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zipeng/Documents/IUE/2_Mineral_mining/Nickel/data/"/>
    </mc:Choice>
  </mc:AlternateContent>
  <xr:revisionPtr revIDLastSave="0" documentId="13_ncr:1_{4BBC1635-83D6-9546-AC06-7DA1DE8EEBD2}" xr6:coauthVersionLast="47" xr6:coauthVersionMax="47" xr10:uidLastSave="{00000000-0000-0000-0000-000000000000}"/>
  <bookViews>
    <workbookView xWindow="0" yWindow="0" windowWidth="28800" windowHeight="18000" activeTab="1" xr2:uid="{06593B8C-7EF3-4369-8C1B-5029B44E5B0A}"/>
  </bookViews>
  <sheets>
    <sheet name="Ni Master" sheetId="1" r:id="rId1"/>
    <sheet name="Sheet1" sheetId="11" r:id="rId2"/>
    <sheet name="Ni $Values" sheetId="2" r:id="rId3"/>
    <sheet name="ResC % v t" sheetId="3" r:id="rId4"/>
    <sheet name="ResV % v t" sheetId="5" r:id="rId5"/>
    <sheet name="ResC $ v t" sheetId="7" r:id="rId6"/>
    <sheet name="ResV $ v t" sheetId="8" r:id="rId7"/>
    <sheet name="1v1 S" sheetId="9" r:id="rId8"/>
    <sheet name="1v1 L" sheetId="10" r:id="rId9"/>
  </sheets>
  <definedNames>
    <definedName name="_xlnm._FilterDatabase" localSheetId="2" hidden="1">'Ni $Values'!#REF!</definedName>
    <definedName name="_xlnm._FilterDatabase" localSheetId="0" hidden="1">'Ni Master'!$C$1:$H$631</definedName>
    <definedName name="_xlnm._FilterDatabase" localSheetId="1" hidden="1">Sheet1!$A$3:$O$631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C569" i="2" l="1"/>
  <c r="HB569" i="2"/>
  <c r="GW569" i="2"/>
  <c r="GV569" i="2"/>
  <c r="GU569" i="2"/>
  <c r="GT569" i="2"/>
  <c r="GO569" i="2"/>
  <c r="GP569" i="2" s="1"/>
  <c r="GQ569" i="2" s="1"/>
  <c r="FT569" i="2"/>
  <c r="FS569" i="2"/>
  <c r="GL569" i="2" s="1"/>
  <c r="FQ569" i="2"/>
  <c r="GJ569" i="2" s="1"/>
  <c r="FP569" i="2"/>
  <c r="GI569" i="2" s="1"/>
  <c r="FO569" i="2"/>
  <c r="FN569" i="2"/>
  <c r="FM569" i="2"/>
  <c r="FL569" i="2"/>
  <c r="FK569" i="2"/>
  <c r="FJ569" i="2"/>
  <c r="FI569" i="2"/>
  <c r="GB569" i="2" s="1"/>
  <c r="FH569" i="2"/>
  <c r="FG569" i="2"/>
  <c r="FF569" i="2"/>
  <c r="FY569" i="2" s="1"/>
  <c r="FE569" i="2"/>
  <c r="FX569" i="2" s="1"/>
  <c r="FD569" i="2"/>
  <c r="FC569" i="2"/>
  <c r="FB569" i="2"/>
  <c r="EH569" i="2"/>
  <c r="EG569" i="2"/>
  <c r="EZ569" i="2" s="1"/>
  <c r="EE569" i="2"/>
  <c r="EX569" i="2" s="1"/>
  <c r="ED569" i="2"/>
  <c r="EW569" i="2" s="1"/>
  <c r="EC569" i="2"/>
  <c r="EB569" i="2"/>
  <c r="EA569" i="2"/>
  <c r="DZ569" i="2"/>
  <c r="DY569" i="2"/>
  <c r="DX569" i="2"/>
  <c r="DW569" i="2"/>
  <c r="EP569" i="2" s="1"/>
  <c r="DV569" i="2"/>
  <c r="DU569" i="2"/>
  <c r="DT569" i="2"/>
  <c r="EM569" i="2" s="1"/>
  <c r="DS569" i="2"/>
  <c r="EL569" i="2" s="1"/>
  <c r="DR569" i="2"/>
  <c r="DQ569" i="2"/>
  <c r="DP569" i="2"/>
  <c r="DM569" i="2"/>
  <c r="DL569" i="2"/>
  <c r="FC66" i="1"/>
  <c r="FB66" i="1"/>
  <c r="EZ66" i="1"/>
  <c r="EC66" i="1"/>
  <c r="EB66" i="1"/>
  <c r="CQ518" i="1"/>
  <c r="DF518" i="1" s="1"/>
  <c r="AR518" i="1"/>
  <c r="AF518" i="1"/>
  <c r="AU518" i="1" s="1"/>
  <c r="EI60" i="1"/>
  <c r="EH50" i="1"/>
  <c r="EH49" i="1"/>
  <c r="EI48" i="1"/>
  <c r="EH47" i="1"/>
  <c r="EI46" i="1"/>
  <c r="EH42" i="1"/>
  <c r="EH41" i="1"/>
  <c r="EI38" i="1"/>
  <c r="EH38" i="1"/>
  <c r="EI36" i="1"/>
  <c r="EI35" i="1"/>
  <c r="EI34" i="1"/>
  <c r="EH32" i="1"/>
  <c r="EI31" i="1"/>
  <c r="EI30" i="1"/>
  <c r="EH29" i="1"/>
  <c r="EI27" i="1"/>
  <c r="EI26" i="1"/>
  <c r="EI25" i="1"/>
  <c r="EI23" i="1"/>
  <c r="EI20" i="1"/>
  <c r="EI19" i="1"/>
  <c r="EH18" i="1"/>
  <c r="EI16" i="1"/>
  <c r="EI15" i="1"/>
  <c r="EI14" i="1"/>
  <c r="EI13" i="1"/>
  <c r="EH12" i="1"/>
  <c r="EH11" i="1"/>
  <c r="EI8" i="1"/>
  <c r="EH8" i="1"/>
  <c r="EH7" i="1"/>
  <c r="EH6" i="1"/>
  <c r="EI6" i="1"/>
  <c r="EI4" i="1"/>
  <c r="FA66" i="1" l="1"/>
  <c r="AH518" i="1"/>
  <c r="AQ518" i="1"/>
  <c r="AN518" i="1"/>
  <c r="AP518" i="1"/>
  <c r="CR518" i="1"/>
  <c r="CS518" i="1"/>
  <c r="CY518" i="1"/>
  <c r="DA518" i="1"/>
  <c r="DB518" i="1"/>
  <c r="AG518" i="1"/>
  <c r="DC518" i="1"/>
  <c r="CO398" i="2"/>
  <c r="DA398" i="2" s="1"/>
  <c r="AD398" i="2"/>
  <c r="AP398" i="2" s="1"/>
  <c r="CY398" i="2" l="1"/>
  <c r="CP398" i="2"/>
  <c r="DD398" i="2"/>
  <c r="CZ398" i="2"/>
  <c r="CQ398" i="2"/>
  <c r="CW398" i="2"/>
  <c r="AE398" i="2"/>
  <c r="AL398" i="2"/>
  <c r="AN398" i="2"/>
  <c r="AF398" i="2"/>
  <c r="AO398" i="2"/>
  <c r="AS398" i="2"/>
  <c r="HC32" i="2" l="1"/>
  <c r="HB32" i="2"/>
  <c r="GW32" i="2"/>
  <c r="GT32" i="2"/>
  <c r="FT32" i="2"/>
  <c r="FS32" i="2"/>
  <c r="GL32" i="2" s="1"/>
  <c r="FQ32" i="2"/>
  <c r="GJ32" i="2" s="1"/>
  <c r="FP32" i="2"/>
  <c r="GI32" i="2" s="1"/>
  <c r="FO32" i="2"/>
  <c r="FN32" i="2"/>
  <c r="FM32" i="2"/>
  <c r="FL32" i="2"/>
  <c r="FK32" i="2"/>
  <c r="FJ32" i="2"/>
  <c r="FI32" i="2"/>
  <c r="GB32" i="2" s="1"/>
  <c r="FH32" i="2"/>
  <c r="FG32" i="2"/>
  <c r="FF32" i="2"/>
  <c r="FY32" i="2" s="1"/>
  <c r="FE32" i="2"/>
  <c r="FX32" i="2" s="1"/>
  <c r="FD32" i="2"/>
  <c r="FC32" i="2"/>
  <c r="FB32" i="2"/>
  <c r="BQ32" i="2"/>
  <c r="AY32" i="2"/>
  <c r="BH32" i="2" s="1"/>
  <c r="AV32" i="2"/>
  <c r="AD32" i="2"/>
  <c r="DR32" i="2" l="1"/>
  <c r="DZ32" i="2"/>
  <c r="BF32" i="2"/>
  <c r="BG32" i="2"/>
  <c r="GV32" i="2" s="1"/>
  <c r="DQ32" i="2"/>
  <c r="DT32" i="2"/>
  <c r="EM32" i="2" s="1"/>
  <c r="AK32" i="2"/>
  <c r="EA32" i="2"/>
  <c r="AL32" i="2"/>
  <c r="EB32" i="2"/>
  <c r="EC32" i="2"/>
  <c r="EG32" i="2"/>
  <c r="EZ32" i="2" s="1"/>
  <c r="ED32" i="2"/>
  <c r="EW32" i="2" s="1"/>
  <c r="AM32" i="2"/>
  <c r="DX32" i="2" s="1"/>
  <c r="GO32" i="2"/>
  <c r="AZ32" i="2"/>
  <c r="EE32" i="2"/>
  <c r="EX32" i="2" s="1"/>
  <c r="BC32" i="2"/>
  <c r="DU32" i="2"/>
  <c r="EH32" i="2"/>
  <c r="AE32" i="2"/>
  <c r="DY32" i="2"/>
  <c r="AH32" i="2"/>
  <c r="DL32" i="2" l="1"/>
  <c r="DV32" i="2"/>
  <c r="GU32" i="2"/>
  <c r="DW32" i="2"/>
  <c r="EP32" i="2" s="1"/>
  <c r="DP32" i="2"/>
  <c r="GP32" i="2"/>
  <c r="GQ32" i="2" s="1"/>
  <c r="DM32" i="2"/>
  <c r="DS32" i="2"/>
  <c r="EL32" i="2" s="1"/>
  <c r="EB11" i="1" l="1"/>
  <c r="EB47" i="1"/>
  <c r="EB18" i="1"/>
  <c r="EB54" i="1"/>
  <c r="HC631" i="2" l="1"/>
  <c r="HY37" i="2" s="1"/>
  <c r="HB631" i="2"/>
  <c r="HX37" i="2" s="1"/>
  <c r="HC629" i="2"/>
  <c r="HB629" i="2"/>
  <c r="HC628" i="2"/>
  <c r="HB628" i="2"/>
  <c r="HC627" i="2"/>
  <c r="HB627" i="2"/>
  <c r="HC630" i="2"/>
  <c r="HB630" i="2"/>
  <c r="HC626" i="2"/>
  <c r="HB626" i="2"/>
  <c r="HC625" i="2"/>
  <c r="HB625" i="2"/>
  <c r="HC624" i="2"/>
  <c r="HB624" i="2"/>
  <c r="HC623" i="2"/>
  <c r="HB623" i="2"/>
  <c r="HC622" i="2"/>
  <c r="HB622" i="2"/>
  <c r="HC621" i="2"/>
  <c r="HB621" i="2"/>
  <c r="HC620" i="2"/>
  <c r="HB620" i="2"/>
  <c r="HC619" i="2"/>
  <c r="HB619" i="2"/>
  <c r="HC618" i="2"/>
  <c r="HB618" i="2"/>
  <c r="HC617" i="2"/>
  <c r="HB617" i="2"/>
  <c r="HC616" i="2"/>
  <c r="HB616" i="2"/>
  <c r="HC615" i="2"/>
  <c r="HB615" i="2"/>
  <c r="HC614" i="2"/>
  <c r="HB614" i="2"/>
  <c r="HC613" i="2"/>
  <c r="HB613" i="2"/>
  <c r="HC612" i="2"/>
  <c r="HB612" i="2"/>
  <c r="HC611" i="2"/>
  <c r="HB611" i="2"/>
  <c r="HC610" i="2"/>
  <c r="HB610" i="2"/>
  <c r="HC609" i="2"/>
  <c r="HB609" i="2"/>
  <c r="HC608" i="2"/>
  <c r="HB608" i="2"/>
  <c r="HC607" i="2"/>
  <c r="HB607" i="2"/>
  <c r="HC606" i="2"/>
  <c r="HB606" i="2"/>
  <c r="HC605" i="2"/>
  <c r="HB605" i="2"/>
  <c r="HC604" i="2"/>
  <c r="HB604" i="2"/>
  <c r="HC603" i="2"/>
  <c r="HB603" i="2"/>
  <c r="HC602" i="2"/>
  <c r="HB602" i="2"/>
  <c r="HB601" i="2"/>
  <c r="HC600" i="2"/>
  <c r="HB600" i="2"/>
  <c r="HC599" i="2"/>
  <c r="HB599" i="2"/>
  <c r="HC598" i="2"/>
  <c r="HB598" i="2"/>
  <c r="HC597" i="2"/>
  <c r="HB597" i="2"/>
  <c r="HC596" i="2"/>
  <c r="HB596" i="2"/>
  <c r="HC595" i="2"/>
  <c r="HB595" i="2"/>
  <c r="HC594" i="2"/>
  <c r="HB594" i="2"/>
  <c r="HC593" i="2"/>
  <c r="HB593" i="2"/>
  <c r="HC592" i="2"/>
  <c r="HB592" i="2"/>
  <c r="HC591" i="2"/>
  <c r="HB591" i="2"/>
  <c r="HC590" i="2"/>
  <c r="HB590" i="2"/>
  <c r="HC589" i="2"/>
  <c r="HB589" i="2"/>
  <c r="HC588" i="2"/>
  <c r="HB588" i="2"/>
  <c r="HC587" i="2"/>
  <c r="HB587" i="2"/>
  <c r="HC586" i="2"/>
  <c r="HB586" i="2"/>
  <c r="HC585" i="2"/>
  <c r="HB585" i="2"/>
  <c r="HC584" i="2"/>
  <c r="HB584" i="2"/>
  <c r="HC583" i="2"/>
  <c r="HB583" i="2"/>
  <c r="HC582" i="2"/>
  <c r="HB582" i="2"/>
  <c r="HC581" i="2"/>
  <c r="HB581" i="2"/>
  <c r="HC580" i="2"/>
  <c r="HB580" i="2"/>
  <c r="HC579" i="2"/>
  <c r="HB579" i="2"/>
  <c r="HC578" i="2"/>
  <c r="HB578" i="2"/>
  <c r="HC577" i="2"/>
  <c r="HB577" i="2"/>
  <c r="HC576" i="2"/>
  <c r="HB576" i="2"/>
  <c r="HC575" i="2"/>
  <c r="HB575" i="2"/>
  <c r="HC574" i="2"/>
  <c r="HB574" i="2"/>
  <c r="HC573" i="2"/>
  <c r="HB573" i="2"/>
  <c r="HC572" i="2"/>
  <c r="HB572" i="2"/>
  <c r="HC571" i="2"/>
  <c r="HB571" i="2"/>
  <c r="HC570" i="2"/>
  <c r="HB570" i="2"/>
  <c r="HC568" i="2"/>
  <c r="HB568" i="2"/>
  <c r="HC567" i="2"/>
  <c r="HB567" i="2"/>
  <c r="HC566" i="2"/>
  <c r="HB566" i="2"/>
  <c r="HC565" i="2"/>
  <c r="HB565" i="2"/>
  <c r="HC564" i="2"/>
  <c r="HB564" i="2"/>
  <c r="HC563" i="2"/>
  <c r="HB563" i="2"/>
  <c r="HC562" i="2"/>
  <c r="HB562" i="2"/>
  <c r="HC561" i="2"/>
  <c r="HB561" i="2"/>
  <c r="HB560" i="2"/>
  <c r="HC559" i="2"/>
  <c r="HB559" i="2"/>
  <c r="HC558" i="2"/>
  <c r="HB558" i="2"/>
  <c r="HC557" i="2"/>
  <c r="HB557" i="2"/>
  <c r="HC556" i="2"/>
  <c r="HB556" i="2"/>
  <c r="HC555" i="2"/>
  <c r="HB555" i="2"/>
  <c r="HC554" i="2"/>
  <c r="HC553" i="2"/>
  <c r="HB553" i="2"/>
  <c r="HC552" i="2"/>
  <c r="HB552" i="2"/>
  <c r="HC551" i="2"/>
  <c r="HB551" i="2"/>
  <c r="HC550" i="2"/>
  <c r="HB550" i="2"/>
  <c r="HC549" i="2"/>
  <c r="HB549" i="2"/>
  <c r="HC548" i="2"/>
  <c r="HB548" i="2"/>
  <c r="HC547" i="2"/>
  <c r="HB547" i="2"/>
  <c r="HC546" i="2"/>
  <c r="HB546" i="2"/>
  <c r="HC545" i="2"/>
  <c r="HB545" i="2"/>
  <c r="HC544" i="2"/>
  <c r="HB544" i="2"/>
  <c r="HB543" i="2"/>
  <c r="HC542" i="2"/>
  <c r="HB542" i="2"/>
  <c r="HC541" i="2"/>
  <c r="HB541" i="2"/>
  <c r="HC540" i="2"/>
  <c r="HB540" i="2"/>
  <c r="HC539" i="2"/>
  <c r="HB539" i="2"/>
  <c r="HC538" i="2"/>
  <c r="HB538" i="2"/>
  <c r="HC537" i="2"/>
  <c r="HB537" i="2"/>
  <c r="HC536" i="2"/>
  <c r="HB536" i="2"/>
  <c r="HC535" i="2"/>
  <c r="HB535" i="2"/>
  <c r="HC534" i="2"/>
  <c r="HB534" i="2"/>
  <c r="HC533" i="2"/>
  <c r="HB533" i="2"/>
  <c r="HC532" i="2"/>
  <c r="HB532" i="2"/>
  <c r="HC531" i="2"/>
  <c r="HB531" i="2"/>
  <c r="HC530" i="2"/>
  <c r="HB530" i="2"/>
  <c r="HC529" i="2"/>
  <c r="HB529" i="2"/>
  <c r="HC528" i="2"/>
  <c r="HB528" i="2"/>
  <c r="HC527" i="2"/>
  <c r="HB527" i="2"/>
  <c r="HC526" i="2"/>
  <c r="HB526" i="2"/>
  <c r="HC525" i="2"/>
  <c r="HB525" i="2"/>
  <c r="HC524" i="2"/>
  <c r="HB524" i="2"/>
  <c r="HC523" i="2"/>
  <c r="HB523" i="2"/>
  <c r="HC522" i="2"/>
  <c r="HB522" i="2"/>
  <c r="HC521" i="2"/>
  <c r="HB521" i="2"/>
  <c r="HC520" i="2"/>
  <c r="HB520" i="2"/>
  <c r="HC519" i="2"/>
  <c r="HB519" i="2"/>
  <c r="HC518" i="2"/>
  <c r="HB518" i="2"/>
  <c r="HC517" i="2"/>
  <c r="HB517" i="2"/>
  <c r="HC516" i="2"/>
  <c r="HB516" i="2"/>
  <c r="HC515" i="2"/>
  <c r="HB515" i="2"/>
  <c r="HC514" i="2"/>
  <c r="HB514" i="2"/>
  <c r="HC513" i="2"/>
  <c r="HB513" i="2"/>
  <c r="HC512" i="2"/>
  <c r="HB512" i="2"/>
  <c r="HC511" i="2"/>
  <c r="HB511" i="2"/>
  <c r="HC510" i="2"/>
  <c r="HB510" i="2"/>
  <c r="HC509" i="2"/>
  <c r="HB509" i="2"/>
  <c r="HC508" i="2"/>
  <c r="HB508" i="2"/>
  <c r="HC507" i="2"/>
  <c r="HB507" i="2"/>
  <c r="HC506" i="2"/>
  <c r="HB506" i="2"/>
  <c r="HC505" i="2"/>
  <c r="HB505" i="2"/>
  <c r="HC504" i="2"/>
  <c r="HB504" i="2"/>
  <c r="HC503" i="2"/>
  <c r="HB503" i="2"/>
  <c r="HC502" i="2"/>
  <c r="HB502" i="2"/>
  <c r="HC501" i="2"/>
  <c r="HB501" i="2"/>
  <c r="HC500" i="2"/>
  <c r="HB500" i="2"/>
  <c r="HC499" i="2"/>
  <c r="HB499" i="2"/>
  <c r="HC498" i="2"/>
  <c r="HB498" i="2"/>
  <c r="HC497" i="2"/>
  <c r="HB497" i="2"/>
  <c r="HC496" i="2"/>
  <c r="HB496" i="2"/>
  <c r="HC495" i="2"/>
  <c r="HB495" i="2"/>
  <c r="HC494" i="2"/>
  <c r="HB494" i="2"/>
  <c r="HC493" i="2"/>
  <c r="HB493" i="2"/>
  <c r="HC492" i="2"/>
  <c r="HB492" i="2"/>
  <c r="HC491" i="2"/>
  <c r="HB491" i="2"/>
  <c r="HC490" i="2"/>
  <c r="HB490" i="2"/>
  <c r="HC489" i="2"/>
  <c r="HB489" i="2"/>
  <c r="HC488" i="2"/>
  <c r="HB488" i="2"/>
  <c r="HC487" i="2"/>
  <c r="HB487" i="2"/>
  <c r="HC486" i="2"/>
  <c r="HB486" i="2"/>
  <c r="HC485" i="2"/>
  <c r="HC484" i="2"/>
  <c r="HB484" i="2"/>
  <c r="HC483" i="2"/>
  <c r="HB483" i="2"/>
  <c r="HC482" i="2"/>
  <c r="HB482" i="2"/>
  <c r="HC481" i="2"/>
  <c r="HB481" i="2"/>
  <c r="HC480" i="2"/>
  <c r="HB480" i="2"/>
  <c r="HC479" i="2"/>
  <c r="HB479" i="2"/>
  <c r="HC478" i="2"/>
  <c r="HB478" i="2"/>
  <c r="HC477" i="2"/>
  <c r="HB477" i="2"/>
  <c r="HC476" i="2"/>
  <c r="HB476" i="2"/>
  <c r="HC475" i="2"/>
  <c r="HB475" i="2"/>
  <c r="HC474" i="2"/>
  <c r="HB474" i="2"/>
  <c r="HC473" i="2"/>
  <c r="HB473" i="2"/>
  <c r="HC472" i="2"/>
  <c r="HB472" i="2"/>
  <c r="HC471" i="2"/>
  <c r="HB471" i="2"/>
  <c r="HC470" i="2"/>
  <c r="HB470" i="2"/>
  <c r="HC469" i="2"/>
  <c r="HB469" i="2"/>
  <c r="HC468" i="2"/>
  <c r="HB468" i="2"/>
  <c r="HC467" i="2"/>
  <c r="HB467" i="2"/>
  <c r="HC466" i="2"/>
  <c r="HB466" i="2"/>
  <c r="HC465" i="2"/>
  <c r="HB465" i="2"/>
  <c r="HC464" i="2"/>
  <c r="HB464" i="2"/>
  <c r="HC463" i="2"/>
  <c r="HB463" i="2"/>
  <c r="HC462" i="2"/>
  <c r="HB462" i="2"/>
  <c r="HC461" i="2"/>
  <c r="HB461" i="2"/>
  <c r="HC460" i="2"/>
  <c r="HB460" i="2"/>
  <c r="HC459" i="2"/>
  <c r="HB459" i="2"/>
  <c r="HC458" i="2"/>
  <c r="HB458" i="2"/>
  <c r="HC457" i="2"/>
  <c r="HB457" i="2"/>
  <c r="HC456" i="2"/>
  <c r="HB456" i="2"/>
  <c r="HC455" i="2"/>
  <c r="HB455" i="2"/>
  <c r="HC454" i="2"/>
  <c r="HB454" i="2"/>
  <c r="HB453" i="2"/>
  <c r="HC452" i="2"/>
  <c r="HB452" i="2"/>
  <c r="HC451" i="2"/>
  <c r="HB451" i="2"/>
  <c r="HC450" i="2"/>
  <c r="HB450" i="2"/>
  <c r="HC449" i="2"/>
  <c r="HB449" i="2"/>
  <c r="HC448" i="2"/>
  <c r="HB448" i="2"/>
  <c r="HC447" i="2"/>
  <c r="HB447" i="2"/>
  <c r="HC446" i="2"/>
  <c r="HB446" i="2"/>
  <c r="HC445" i="2"/>
  <c r="HB445" i="2"/>
  <c r="HC443" i="2"/>
  <c r="HB443" i="2"/>
  <c r="HC442" i="2"/>
  <c r="HB442" i="2"/>
  <c r="HC441" i="2"/>
  <c r="HB441" i="2"/>
  <c r="HC440" i="2"/>
  <c r="HB440" i="2"/>
  <c r="HC439" i="2"/>
  <c r="HB439" i="2"/>
  <c r="HC438" i="2"/>
  <c r="HB438" i="2"/>
  <c r="HC437" i="2"/>
  <c r="HB437" i="2"/>
  <c r="HC436" i="2"/>
  <c r="HB436" i="2"/>
  <c r="HC435" i="2"/>
  <c r="HB435" i="2"/>
  <c r="HC434" i="2"/>
  <c r="HB434" i="2"/>
  <c r="HC433" i="2"/>
  <c r="HB433" i="2"/>
  <c r="HC432" i="2"/>
  <c r="HB432" i="2"/>
  <c r="HC431" i="2"/>
  <c r="HB431" i="2"/>
  <c r="HC430" i="2"/>
  <c r="HB430" i="2"/>
  <c r="HC429" i="2"/>
  <c r="HB429" i="2"/>
  <c r="HC428" i="2"/>
  <c r="HB428" i="2"/>
  <c r="HC427" i="2"/>
  <c r="HB427" i="2"/>
  <c r="HC426" i="2"/>
  <c r="HB426" i="2"/>
  <c r="HC425" i="2"/>
  <c r="HB425" i="2"/>
  <c r="HC424" i="2"/>
  <c r="HB424" i="2"/>
  <c r="HC423" i="2"/>
  <c r="HB423" i="2"/>
  <c r="HC422" i="2"/>
  <c r="HB422" i="2"/>
  <c r="HC421" i="2"/>
  <c r="HB421" i="2"/>
  <c r="HC420" i="2"/>
  <c r="HB420" i="2"/>
  <c r="HC419" i="2"/>
  <c r="HB419" i="2"/>
  <c r="HC418" i="2"/>
  <c r="HB418" i="2"/>
  <c r="HC417" i="2"/>
  <c r="HB417" i="2"/>
  <c r="HC416" i="2"/>
  <c r="HB416" i="2"/>
  <c r="HC415" i="2"/>
  <c r="HB415" i="2"/>
  <c r="HC414" i="2"/>
  <c r="HB414" i="2"/>
  <c r="HC413" i="2"/>
  <c r="HB413" i="2"/>
  <c r="HC412" i="2"/>
  <c r="HB412" i="2"/>
  <c r="HC411" i="2"/>
  <c r="HB411" i="2"/>
  <c r="HC410" i="2"/>
  <c r="HB410" i="2"/>
  <c r="HC409" i="2"/>
  <c r="HB409" i="2"/>
  <c r="HC408" i="2"/>
  <c r="HB408" i="2"/>
  <c r="HC407" i="2"/>
  <c r="HB407" i="2"/>
  <c r="HC406" i="2"/>
  <c r="HB406" i="2"/>
  <c r="HC405" i="2"/>
  <c r="HB405" i="2"/>
  <c r="HC404" i="2"/>
  <c r="HB404" i="2"/>
  <c r="HC403" i="2"/>
  <c r="HB403" i="2"/>
  <c r="HC402" i="2"/>
  <c r="HB402" i="2"/>
  <c r="HC401" i="2"/>
  <c r="HB401" i="2"/>
  <c r="HC400" i="2"/>
  <c r="HB400" i="2"/>
  <c r="HC399" i="2"/>
  <c r="HB399" i="2"/>
  <c r="HC398" i="2"/>
  <c r="HB398" i="2"/>
  <c r="HC397" i="2"/>
  <c r="HB397" i="2"/>
  <c r="HC396" i="2"/>
  <c r="HB396" i="2"/>
  <c r="HC395" i="2"/>
  <c r="HB395" i="2"/>
  <c r="HC394" i="2"/>
  <c r="HB394" i="2"/>
  <c r="HC393" i="2"/>
  <c r="HB393" i="2"/>
  <c r="HC392" i="2"/>
  <c r="HB392" i="2"/>
  <c r="HC391" i="2"/>
  <c r="HB391" i="2"/>
  <c r="HC390" i="2"/>
  <c r="HB390" i="2"/>
  <c r="HC389" i="2"/>
  <c r="HB389" i="2"/>
  <c r="HC388" i="2"/>
  <c r="HB388" i="2"/>
  <c r="HC387" i="2"/>
  <c r="HB387" i="2"/>
  <c r="HC386" i="2"/>
  <c r="HB386" i="2"/>
  <c r="HC385" i="2"/>
  <c r="HB385" i="2"/>
  <c r="HC384" i="2"/>
  <c r="HB384" i="2"/>
  <c r="HC383" i="2"/>
  <c r="HB383" i="2"/>
  <c r="HC382" i="2"/>
  <c r="HB382" i="2"/>
  <c r="HC381" i="2"/>
  <c r="HB381" i="2"/>
  <c r="HC380" i="2"/>
  <c r="HB380" i="2"/>
  <c r="HC379" i="2"/>
  <c r="HB379" i="2"/>
  <c r="HC378" i="2"/>
  <c r="HB378" i="2"/>
  <c r="HC377" i="2"/>
  <c r="HB377" i="2"/>
  <c r="HC376" i="2"/>
  <c r="HB376" i="2"/>
  <c r="HB375" i="2"/>
  <c r="HC374" i="2"/>
  <c r="HB374" i="2"/>
  <c r="HC373" i="2"/>
  <c r="HB373" i="2"/>
  <c r="HC372" i="2"/>
  <c r="HB372" i="2"/>
  <c r="HC371" i="2"/>
  <c r="HB371" i="2"/>
  <c r="HC370" i="2"/>
  <c r="HB370" i="2"/>
  <c r="HC369" i="2"/>
  <c r="HB369" i="2"/>
  <c r="HC368" i="2"/>
  <c r="HB368" i="2"/>
  <c r="HC367" i="2"/>
  <c r="HB367" i="2"/>
  <c r="HC366" i="2"/>
  <c r="HB366" i="2"/>
  <c r="HC365" i="2"/>
  <c r="HB365" i="2"/>
  <c r="HC364" i="2"/>
  <c r="HB364" i="2"/>
  <c r="HC363" i="2"/>
  <c r="HB363" i="2"/>
  <c r="HC362" i="2"/>
  <c r="HB362" i="2"/>
  <c r="HC361" i="2"/>
  <c r="HB361" i="2"/>
  <c r="HC360" i="2"/>
  <c r="HB360" i="2"/>
  <c r="HC359" i="2"/>
  <c r="HC358" i="2"/>
  <c r="HB358" i="2"/>
  <c r="HC357" i="2"/>
  <c r="HB357" i="2"/>
  <c r="HC356" i="2"/>
  <c r="HB356" i="2"/>
  <c r="HC355" i="2"/>
  <c r="HB355" i="2"/>
  <c r="HC354" i="2"/>
  <c r="HB354" i="2"/>
  <c r="HC353" i="2"/>
  <c r="HB353" i="2"/>
  <c r="HC352" i="2"/>
  <c r="HB352" i="2"/>
  <c r="HC351" i="2"/>
  <c r="HB351" i="2"/>
  <c r="HC350" i="2"/>
  <c r="HB350" i="2"/>
  <c r="HC349" i="2"/>
  <c r="HB349" i="2"/>
  <c r="HC348" i="2"/>
  <c r="HB348" i="2"/>
  <c r="HC347" i="2"/>
  <c r="HB347" i="2"/>
  <c r="HC346" i="2"/>
  <c r="HB346" i="2"/>
  <c r="HC345" i="2"/>
  <c r="HB345" i="2"/>
  <c r="HC344" i="2"/>
  <c r="HB344" i="2"/>
  <c r="HC343" i="2"/>
  <c r="HB343" i="2"/>
  <c r="HC342" i="2"/>
  <c r="HB342" i="2"/>
  <c r="HC341" i="2"/>
  <c r="HB341" i="2"/>
  <c r="HC340" i="2"/>
  <c r="HB340" i="2"/>
  <c r="HC339" i="2"/>
  <c r="HB339" i="2"/>
  <c r="HC338" i="2"/>
  <c r="HB338" i="2"/>
  <c r="HC337" i="2"/>
  <c r="HB337" i="2"/>
  <c r="HC336" i="2"/>
  <c r="HB336" i="2"/>
  <c r="HC335" i="2"/>
  <c r="HB335" i="2"/>
  <c r="HC334" i="2"/>
  <c r="HB334" i="2"/>
  <c r="HC333" i="2"/>
  <c r="HB333" i="2"/>
  <c r="HC332" i="2"/>
  <c r="HB332" i="2"/>
  <c r="HC331" i="2"/>
  <c r="HB331" i="2"/>
  <c r="HC330" i="2"/>
  <c r="HB330" i="2"/>
  <c r="HC329" i="2"/>
  <c r="HB329" i="2"/>
  <c r="HC328" i="2"/>
  <c r="HB328" i="2"/>
  <c r="HC327" i="2"/>
  <c r="HB327" i="2"/>
  <c r="HC326" i="2"/>
  <c r="HB326" i="2"/>
  <c r="HC325" i="2"/>
  <c r="HB325" i="2"/>
  <c r="HC324" i="2"/>
  <c r="HB324" i="2"/>
  <c r="HC323" i="2"/>
  <c r="HB323" i="2"/>
  <c r="HC322" i="2"/>
  <c r="HB322" i="2"/>
  <c r="HC321" i="2"/>
  <c r="HB321" i="2"/>
  <c r="HC320" i="2"/>
  <c r="HB320" i="2"/>
  <c r="HC319" i="2"/>
  <c r="HB319" i="2"/>
  <c r="HC318" i="2"/>
  <c r="HB318" i="2"/>
  <c r="HC317" i="2"/>
  <c r="HB317" i="2"/>
  <c r="HC316" i="2"/>
  <c r="HB316" i="2"/>
  <c r="HC315" i="2"/>
  <c r="HB315" i="2"/>
  <c r="HC314" i="2"/>
  <c r="HB314" i="2"/>
  <c r="HC313" i="2"/>
  <c r="HB313" i="2"/>
  <c r="HC312" i="2"/>
  <c r="HB312" i="2"/>
  <c r="HC311" i="2"/>
  <c r="HB311" i="2"/>
  <c r="HC310" i="2"/>
  <c r="HB310" i="2"/>
  <c r="HC309" i="2"/>
  <c r="HB309" i="2"/>
  <c r="HC308" i="2"/>
  <c r="HB308" i="2"/>
  <c r="HC307" i="2"/>
  <c r="HB307" i="2"/>
  <c r="HC306" i="2"/>
  <c r="HB306" i="2"/>
  <c r="HC305" i="2"/>
  <c r="HB305" i="2"/>
  <c r="HC304" i="2"/>
  <c r="HB304" i="2"/>
  <c r="HC303" i="2"/>
  <c r="HB303" i="2"/>
  <c r="HC302" i="2"/>
  <c r="HB302" i="2"/>
  <c r="HB301" i="2"/>
  <c r="HC300" i="2"/>
  <c r="HB300" i="2"/>
  <c r="HC299" i="2"/>
  <c r="HB299" i="2"/>
  <c r="HB298" i="2"/>
  <c r="HC297" i="2"/>
  <c r="HB297" i="2"/>
  <c r="HC296" i="2"/>
  <c r="HB296" i="2"/>
  <c r="HC295" i="2"/>
  <c r="HB295" i="2"/>
  <c r="HC294" i="2"/>
  <c r="HB294" i="2"/>
  <c r="HC293" i="2"/>
  <c r="HB293" i="2"/>
  <c r="HC292" i="2"/>
  <c r="HB292" i="2"/>
  <c r="HC291" i="2"/>
  <c r="HB291" i="2"/>
  <c r="HC290" i="2"/>
  <c r="HB290" i="2"/>
  <c r="HC289" i="2"/>
  <c r="HB289" i="2"/>
  <c r="HC288" i="2"/>
  <c r="HB288" i="2"/>
  <c r="HC285" i="2"/>
  <c r="HB285" i="2"/>
  <c r="HC284" i="2"/>
  <c r="HB284" i="2"/>
  <c r="HC283" i="2"/>
  <c r="HB283" i="2"/>
  <c r="HC282" i="2"/>
  <c r="HB282" i="2"/>
  <c r="HC281" i="2"/>
  <c r="HB281" i="2"/>
  <c r="HC280" i="2"/>
  <c r="HB280" i="2"/>
  <c r="HC279" i="2"/>
  <c r="HB279" i="2"/>
  <c r="HC278" i="2"/>
  <c r="HB278" i="2"/>
  <c r="HC277" i="2"/>
  <c r="HB277" i="2"/>
  <c r="HC276" i="2"/>
  <c r="HB276" i="2"/>
  <c r="HC275" i="2"/>
  <c r="HB275" i="2"/>
  <c r="HC274" i="2"/>
  <c r="HB274" i="2"/>
  <c r="HC273" i="2"/>
  <c r="HB273" i="2"/>
  <c r="HC272" i="2"/>
  <c r="HB272" i="2"/>
  <c r="HC271" i="2"/>
  <c r="HB271" i="2"/>
  <c r="HC270" i="2"/>
  <c r="HB270" i="2"/>
  <c r="HC269" i="2"/>
  <c r="HB269" i="2"/>
  <c r="HC268" i="2"/>
  <c r="HB268" i="2"/>
  <c r="HC267" i="2"/>
  <c r="HB267" i="2"/>
  <c r="HC266" i="2"/>
  <c r="HB266" i="2"/>
  <c r="HC265" i="2"/>
  <c r="HB265" i="2"/>
  <c r="HC264" i="2"/>
  <c r="HB264" i="2"/>
  <c r="HC263" i="2"/>
  <c r="HB263" i="2"/>
  <c r="HC262" i="2"/>
  <c r="HB262" i="2"/>
  <c r="HC261" i="2"/>
  <c r="HB261" i="2"/>
  <c r="HC260" i="2"/>
  <c r="HB260" i="2"/>
  <c r="HC259" i="2"/>
  <c r="HB259" i="2"/>
  <c r="HC258" i="2"/>
  <c r="HB258" i="2"/>
  <c r="HC257" i="2"/>
  <c r="HB257" i="2"/>
  <c r="HC256" i="2"/>
  <c r="HB256" i="2"/>
  <c r="HC255" i="2"/>
  <c r="HB255" i="2"/>
  <c r="HC254" i="2"/>
  <c r="HB254" i="2"/>
  <c r="HC253" i="2"/>
  <c r="HB253" i="2"/>
  <c r="HC252" i="2"/>
  <c r="HB252" i="2"/>
  <c r="HC251" i="2"/>
  <c r="HB251" i="2"/>
  <c r="HC250" i="2"/>
  <c r="HB250" i="2"/>
  <c r="HC249" i="2"/>
  <c r="HB249" i="2"/>
  <c r="HC248" i="2"/>
  <c r="HB248" i="2"/>
  <c r="HC247" i="2"/>
  <c r="HB247" i="2"/>
  <c r="HC246" i="2"/>
  <c r="HB246" i="2"/>
  <c r="HC245" i="2"/>
  <c r="HB245" i="2"/>
  <c r="HC244" i="2"/>
  <c r="HB244" i="2"/>
  <c r="HC243" i="2"/>
  <c r="HB243" i="2"/>
  <c r="HC242" i="2"/>
  <c r="HB242" i="2"/>
  <c r="HC241" i="2"/>
  <c r="HB241" i="2"/>
  <c r="HC240" i="2"/>
  <c r="HB240" i="2"/>
  <c r="HC239" i="2"/>
  <c r="HB239" i="2"/>
  <c r="HC238" i="2"/>
  <c r="HB238" i="2"/>
  <c r="HC237" i="2"/>
  <c r="HB237" i="2"/>
  <c r="HC236" i="2"/>
  <c r="HB236" i="2"/>
  <c r="HC235" i="2"/>
  <c r="HB235" i="2"/>
  <c r="HC234" i="2"/>
  <c r="HB234" i="2"/>
  <c r="HC233" i="2"/>
  <c r="HB233" i="2"/>
  <c r="HC232" i="2"/>
  <c r="HB232" i="2"/>
  <c r="HC231" i="2"/>
  <c r="HB231" i="2"/>
  <c r="HC228" i="2"/>
  <c r="HB228" i="2"/>
  <c r="HC227" i="2"/>
  <c r="HB227" i="2"/>
  <c r="HC226" i="2"/>
  <c r="HB226" i="2"/>
  <c r="HC225" i="2"/>
  <c r="HB225" i="2"/>
  <c r="HC224" i="2"/>
  <c r="HB224" i="2"/>
  <c r="HC223" i="2"/>
  <c r="HB223" i="2"/>
  <c r="HC222" i="2"/>
  <c r="HB222" i="2"/>
  <c r="HC221" i="2"/>
  <c r="HB221" i="2"/>
  <c r="HC220" i="2"/>
  <c r="HB220" i="2"/>
  <c r="HC219" i="2"/>
  <c r="HB219" i="2"/>
  <c r="HB218" i="2"/>
  <c r="HB217" i="2"/>
  <c r="HC216" i="2"/>
  <c r="HB216" i="2"/>
  <c r="HC215" i="2"/>
  <c r="HB215" i="2"/>
  <c r="HC214" i="2"/>
  <c r="HB214" i="2"/>
  <c r="HC213" i="2"/>
  <c r="HB213" i="2"/>
  <c r="HC212" i="2"/>
  <c r="HB212" i="2"/>
  <c r="HC211" i="2"/>
  <c r="HB211" i="2"/>
  <c r="HC207" i="2"/>
  <c r="HB207" i="2"/>
  <c r="HC206" i="2"/>
  <c r="HB206" i="2"/>
  <c r="HC205" i="2"/>
  <c r="HB205" i="2"/>
  <c r="HC204" i="2"/>
  <c r="HB204" i="2"/>
  <c r="HC203" i="2"/>
  <c r="HB203" i="2"/>
  <c r="HC202" i="2"/>
  <c r="HB202" i="2"/>
  <c r="HC201" i="2"/>
  <c r="HB201" i="2"/>
  <c r="HC200" i="2"/>
  <c r="HB200" i="2"/>
  <c r="HC199" i="2"/>
  <c r="HB199" i="2"/>
  <c r="HC198" i="2"/>
  <c r="HB198" i="2"/>
  <c r="HC197" i="2"/>
  <c r="HB197" i="2"/>
  <c r="HC196" i="2"/>
  <c r="HB196" i="2"/>
  <c r="HC195" i="2"/>
  <c r="HB195" i="2"/>
  <c r="HC194" i="2"/>
  <c r="HB194" i="2"/>
  <c r="HC193" i="2"/>
  <c r="HB193" i="2"/>
  <c r="HC192" i="2"/>
  <c r="HB192" i="2"/>
  <c r="HC191" i="2"/>
  <c r="HB191" i="2"/>
  <c r="HC190" i="2"/>
  <c r="HB190" i="2"/>
  <c r="HC189" i="2"/>
  <c r="HB189" i="2"/>
  <c r="HC188" i="2"/>
  <c r="HB188" i="2"/>
  <c r="HC187" i="2"/>
  <c r="HB187" i="2"/>
  <c r="HC186" i="2"/>
  <c r="HB186" i="2"/>
  <c r="HC185" i="2"/>
  <c r="HB185" i="2"/>
  <c r="HC184" i="2"/>
  <c r="HB184" i="2"/>
  <c r="HC183" i="2"/>
  <c r="HB183" i="2"/>
  <c r="HC182" i="2"/>
  <c r="HB182" i="2"/>
  <c r="HC181" i="2"/>
  <c r="HB181" i="2"/>
  <c r="HC180" i="2"/>
  <c r="HB180" i="2"/>
  <c r="HC179" i="2"/>
  <c r="HB179" i="2"/>
  <c r="HC178" i="2"/>
  <c r="HB178" i="2"/>
  <c r="HC177" i="2"/>
  <c r="HB177" i="2"/>
  <c r="HC176" i="2"/>
  <c r="HB176" i="2"/>
  <c r="HC175" i="2"/>
  <c r="HB175" i="2"/>
  <c r="HC174" i="2"/>
  <c r="HB174" i="2"/>
  <c r="HC173" i="2"/>
  <c r="HB173" i="2"/>
  <c r="HC172" i="2"/>
  <c r="HB172" i="2"/>
  <c r="HC171" i="2"/>
  <c r="HB171" i="2"/>
  <c r="HC170" i="2"/>
  <c r="HB170" i="2"/>
  <c r="HB169" i="2"/>
  <c r="HC168" i="2"/>
  <c r="HB168" i="2"/>
  <c r="HC167" i="2"/>
  <c r="HB167" i="2"/>
  <c r="HC166" i="2"/>
  <c r="HB166" i="2"/>
  <c r="HC165" i="2"/>
  <c r="HB165" i="2"/>
  <c r="HC164" i="2"/>
  <c r="HB164" i="2"/>
  <c r="HC163" i="2"/>
  <c r="HB163" i="2"/>
  <c r="HC162" i="2"/>
  <c r="HB162" i="2"/>
  <c r="HC161" i="2"/>
  <c r="HB161" i="2"/>
  <c r="HC160" i="2"/>
  <c r="HB160" i="2"/>
  <c r="HC159" i="2"/>
  <c r="HB159" i="2"/>
  <c r="HC158" i="2"/>
  <c r="HB158" i="2"/>
  <c r="HC157" i="2"/>
  <c r="HB157" i="2"/>
  <c r="HC156" i="2"/>
  <c r="HB156" i="2"/>
  <c r="HC155" i="2"/>
  <c r="HB155" i="2"/>
  <c r="HC154" i="2"/>
  <c r="HB154" i="2"/>
  <c r="HC153" i="2"/>
  <c r="HB153" i="2"/>
  <c r="HC152" i="2"/>
  <c r="HB152" i="2"/>
  <c r="HC151" i="2"/>
  <c r="HB151" i="2"/>
  <c r="HC150" i="2"/>
  <c r="HB150" i="2"/>
  <c r="HC149" i="2"/>
  <c r="HB149" i="2"/>
  <c r="HC148" i="2"/>
  <c r="HB148" i="2"/>
  <c r="HC147" i="2"/>
  <c r="HB147" i="2"/>
  <c r="HC146" i="2"/>
  <c r="HB146" i="2"/>
  <c r="HC145" i="2"/>
  <c r="HB145" i="2"/>
  <c r="HC144" i="2"/>
  <c r="HB144" i="2"/>
  <c r="HC143" i="2"/>
  <c r="HB143" i="2"/>
  <c r="HC142" i="2"/>
  <c r="HB142" i="2"/>
  <c r="HC141" i="2"/>
  <c r="HB141" i="2"/>
  <c r="HC140" i="2"/>
  <c r="HB140" i="2"/>
  <c r="HC139" i="2"/>
  <c r="HB139" i="2"/>
  <c r="HC138" i="2"/>
  <c r="HB138" i="2"/>
  <c r="HC137" i="2"/>
  <c r="HB137" i="2"/>
  <c r="HC136" i="2"/>
  <c r="HB136" i="2"/>
  <c r="HC135" i="2"/>
  <c r="HB135" i="2"/>
  <c r="HC134" i="2"/>
  <c r="HB134" i="2"/>
  <c r="HC133" i="2"/>
  <c r="HB133" i="2"/>
  <c r="HC132" i="2"/>
  <c r="HB132" i="2"/>
  <c r="HC131" i="2"/>
  <c r="HB131" i="2"/>
  <c r="HC130" i="2"/>
  <c r="HB130" i="2"/>
  <c r="HC129" i="2"/>
  <c r="HB129" i="2"/>
  <c r="HC128" i="2"/>
  <c r="HB128" i="2"/>
  <c r="HC127" i="2"/>
  <c r="HB127" i="2"/>
  <c r="HC126" i="2"/>
  <c r="HB126" i="2"/>
  <c r="HC125" i="2"/>
  <c r="HB125" i="2"/>
  <c r="HC124" i="2"/>
  <c r="HB124" i="2"/>
  <c r="HC123" i="2"/>
  <c r="HB123" i="2"/>
  <c r="HC122" i="2"/>
  <c r="HB122" i="2"/>
  <c r="HC121" i="2"/>
  <c r="HB121" i="2"/>
  <c r="HC120" i="2"/>
  <c r="HB120" i="2"/>
  <c r="HC119" i="2"/>
  <c r="HB119" i="2"/>
  <c r="HC118" i="2"/>
  <c r="HB118" i="2"/>
  <c r="HC115" i="2"/>
  <c r="HB115" i="2"/>
  <c r="HC114" i="2"/>
  <c r="HB114" i="2"/>
  <c r="HC113" i="2"/>
  <c r="HB113" i="2"/>
  <c r="HB112" i="2"/>
  <c r="HC111" i="2"/>
  <c r="HB111" i="2"/>
  <c r="HC110" i="2"/>
  <c r="HB110" i="2"/>
  <c r="HC109" i="2"/>
  <c r="HB109" i="2"/>
  <c r="HB108" i="2"/>
  <c r="HC107" i="2"/>
  <c r="HB107" i="2"/>
  <c r="HC106" i="2"/>
  <c r="HB106" i="2"/>
  <c r="HC105" i="2"/>
  <c r="HB105" i="2"/>
  <c r="HC104" i="2"/>
  <c r="HB104" i="2"/>
  <c r="HC103" i="2"/>
  <c r="HB103" i="2"/>
  <c r="HC102" i="2"/>
  <c r="HB102" i="2"/>
  <c r="HC101" i="2"/>
  <c r="HB101" i="2"/>
  <c r="HC100" i="2"/>
  <c r="HB100" i="2"/>
  <c r="HC99" i="2"/>
  <c r="HB99" i="2"/>
  <c r="HC98" i="2"/>
  <c r="HB98" i="2"/>
  <c r="HC97" i="2"/>
  <c r="HB97" i="2"/>
  <c r="HC96" i="2"/>
  <c r="HB96" i="2"/>
  <c r="HC95" i="2"/>
  <c r="HB95" i="2"/>
  <c r="HC94" i="2"/>
  <c r="HB94" i="2"/>
  <c r="HC93" i="2"/>
  <c r="HB93" i="2"/>
  <c r="HC92" i="2"/>
  <c r="HB92" i="2"/>
  <c r="HC91" i="2"/>
  <c r="HB91" i="2"/>
  <c r="HC90" i="2"/>
  <c r="HB90" i="2"/>
  <c r="HC89" i="2"/>
  <c r="HB89" i="2"/>
  <c r="HC88" i="2"/>
  <c r="HB88" i="2"/>
  <c r="HC87" i="2"/>
  <c r="HB87" i="2"/>
  <c r="HC86" i="2"/>
  <c r="HB86" i="2"/>
  <c r="HC85" i="2"/>
  <c r="HB85" i="2"/>
  <c r="HC84" i="2"/>
  <c r="HB84" i="2"/>
  <c r="HC83" i="2"/>
  <c r="HB83" i="2"/>
  <c r="HC82" i="2"/>
  <c r="HB82" i="2"/>
  <c r="HC81" i="2"/>
  <c r="HB81" i="2"/>
  <c r="HC80" i="2"/>
  <c r="HB80" i="2"/>
  <c r="HC79" i="2"/>
  <c r="HB79" i="2"/>
  <c r="HC78" i="2"/>
  <c r="HB78" i="2"/>
  <c r="HC77" i="2"/>
  <c r="HB77" i="2"/>
  <c r="HC76" i="2"/>
  <c r="HB76" i="2"/>
  <c r="HC75" i="2"/>
  <c r="HB75" i="2"/>
  <c r="HC74" i="2"/>
  <c r="HB74" i="2"/>
  <c r="HC73" i="2"/>
  <c r="HB73" i="2"/>
  <c r="HC72" i="2"/>
  <c r="HB72" i="2"/>
  <c r="HC70" i="2"/>
  <c r="HB70" i="2"/>
  <c r="HC69" i="2"/>
  <c r="HB69" i="2"/>
  <c r="HC68" i="2"/>
  <c r="HB68" i="2"/>
  <c r="HC67" i="2"/>
  <c r="HB67" i="2"/>
  <c r="HC66" i="2"/>
  <c r="HB66" i="2"/>
  <c r="HC65" i="2"/>
  <c r="HB65" i="2"/>
  <c r="HC64" i="2"/>
  <c r="HB64" i="2"/>
  <c r="HC63" i="2"/>
  <c r="HB63" i="2"/>
  <c r="HC62" i="2"/>
  <c r="HB62" i="2"/>
  <c r="HC61" i="2"/>
  <c r="HB61" i="2"/>
  <c r="HC60" i="2"/>
  <c r="HB60" i="2"/>
  <c r="HC59" i="2"/>
  <c r="HB59" i="2"/>
  <c r="HC58" i="2"/>
  <c r="HB58" i="2"/>
  <c r="HC57" i="2"/>
  <c r="HB57" i="2"/>
  <c r="HC56" i="2"/>
  <c r="HB56" i="2"/>
  <c r="HC55" i="2"/>
  <c r="HB55" i="2"/>
  <c r="HC54" i="2"/>
  <c r="HB54" i="2"/>
  <c r="HC53" i="2"/>
  <c r="HB53" i="2"/>
  <c r="HC52" i="2"/>
  <c r="HB52" i="2"/>
  <c r="HC51" i="2"/>
  <c r="HB51" i="2"/>
  <c r="HC50" i="2"/>
  <c r="HB50" i="2"/>
  <c r="HC49" i="2"/>
  <c r="HB49" i="2"/>
  <c r="HB48" i="2"/>
  <c r="HC47" i="2"/>
  <c r="HY17" i="2" s="1"/>
  <c r="HB47" i="2"/>
  <c r="HX17" i="2" s="1"/>
  <c r="HC46" i="2"/>
  <c r="HB46" i="2"/>
  <c r="HC45" i="2"/>
  <c r="HB45" i="2"/>
  <c r="HC44" i="2"/>
  <c r="HB44" i="2"/>
  <c r="HC43" i="2"/>
  <c r="HB43" i="2"/>
  <c r="HC42" i="2"/>
  <c r="HB42" i="2"/>
  <c r="HC41" i="2"/>
  <c r="HB41" i="2"/>
  <c r="HC40" i="2"/>
  <c r="HB40" i="2"/>
  <c r="HC39" i="2"/>
  <c r="HB39" i="2"/>
  <c r="HC38" i="2"/>
  <c r="HB38" i="2"/>
  <c r="HC37" i="2"/>
  <c r="HB37" i="2"/>
  <c r="HC36" i="2"/>
  <c r="HB36" i="2"/>
  <c r="HC35" i="2"/>
  <c r="HB35" i="2"/>
  <c r="HC34" i="2"/>
  <c r="HB34" i="2"/>
  <c r="HC33" i="2"/>
  <c r="HB33" i="2"/>
  <c r="HC31" i="2"/>
  <c r="HB31" i="2"/>
  <c r="HC30" i="2"/>
  <c r="HB30" i="2"/>
  <c r="HC29" i="2"/>
  <c r="HB29" i="2"/>
  <c r="HC28" i="2"/>
  <c r="HB28" i="2"/>
  <c r="HC27" i="2"/>
  <c r="HB27" i="2"/>
  <c r="HC26" i="2"/>
  <c r="HB26" i="2"/>
  <c r="HC25" i="2"/>
  <c r="HB25" i="2"/>
  <c r="HC24" i="2"/>
  <c r="HB24" i="2"/>
  <c r="HC23" i="2"/>
  <c r="HB23" i="2"/>
  <c r="HC22" i="2"/>
  <c r="HB22" i="2"/>
  <c r="HC21" i="2"/>
  <c r="HB21" i="2"/>
  <c r="HC20" i="2"/>
  <c r="HB20" i="2"/>
  <c r="HC19" i="2"/>
  <c r="HB19" i="2"/>
  <c r="HC18" i="2"/>
  <c r="HB18" i="2"/>
  <c r="HC17" i="2"/>
  <c r="HB17" i="2"/>
  <c r="HC16" i="2"/>
  <c r="HB16" i="2"/>
  <c r="HC15" i="2"/>
  <c r="HB15" i="2"/>
  <c r="HC14" i="2"/>
  <c r="HB14" i="2"/>
  <c r="HC13" i="2"/>
  <c r="HB13" i="2"/>
  <c r="HC12" i="2"/>
  <c r="HB12" i="2"/>
  <c r="HC11" i="2"/>
  <c r="HB11" i="2"/>
  <c r="HC10" i="2"/>
  <c r="HB10" i="2"/>
  <c r="HC9" i="2"/>
  <c r="HB9" i="2"/>
  <c r="HC8" i="2"/>
  <c r="HB8" i="2"/>
  <c r="HC7" i="2"/>
  <c r="HB7" i="2"/>
  <c r="HC6" i="2"/>
  <c r="HB6" i="2"/>
  <c r="HC5" i="2"/>
  <c r="HY5" i="2" s="1"/>
  <c r="HB5" i="2"/>
  <c r="HX5" i="2" s="1"/>
  <c r="GU631" i="2"/>
  <c r="GT631" i="2"/>
  <c r="GV629" i="2"/>
  <c r="GU629" i="2"/>
  <c r="GT629" i="2"/>
  <c r="GV628" i="2"/>
  <c r="GU628" i="2"/>
  <c r="GT628" i="2"/>
  <c r="GV627" i="2"/>
  <c r="GU627" i="2"/>
  <c r="GT627" i="2"/>
  <c r="GV630" i="2"/>
  <c r="GU630" i="2"/>
  <c r="HO37" i="2" s="1"/>
  <c r="HO46" i="2" s="1"/>
  <c r="GT630" i="2"/>
  <c r="HN37" i="2" s="1"/>
  <c r="HN46" i="2" s="1"/>
  <c r="GU626" i="2"/>
  <c r="GT626" i="2"/>
  <c r="GU625" i="2"/>
  <c r="GT625" i="2"/>
  <c r="GU624" i="2"/>
  <c r="GT624" i="2"/>
  <c r="GV623" i="2"/>
  <c r="GU623" i="2"/>
  <c r="GT623" i="2"/>
  <c r="GV622" i="2"/>
  <c r="GU622" i="2"/>
  <c r="GT622" i="2"/>
  <c r="GV621" i="2"/>
  <c r="GU621" i="2"/>
  <c r="GT621" i="2"/>
  <c r="GV620" i="2"/>
  <c r="GU620" i="2"/>
  <c r="GT620" i="2"/>
  <c r="GU619" i="2"/>
  <c r="GT619" i="2"/>
  <c r="GU618" i="2"/>
  <c r="GT618" i="2"/>
  <c r="GV617" i="2"/>
  <c r="GU617" i="2"/>
  <c r="GT617" i="2"/>
  <c r="GV616" i="2"/>
  <c r="GU616" i="2"/>
  <c r="GT616" i="2"/>
  <c r="GV615" i="2"/>
  <c r="GU615" i="2"/>
  <c r="GT615" i="2"/>
  <c r="GV614" i="2"/>
  <c r="GU614" i="2"/>
  <c r="GT614" i="2"/>
  <c r="GV613" i="2"/>
  <c r="GU613" i="2"/>
  <c r="GT613" i="2"/>
  <c r="GV612" i="2"/>
  <c r="GU612" i="2"/>
  <c r="GT612" i="2"/>
  <c r="GV611" i="2"/>
  <c r="GU611" i="2"/>
  <c r="GT611" i="2"/>
  <c r="GV610" i="2"/>
  <c r="GU610" i="2"/>
  <c r="GT610" i="2"/>
  <c r="GV609" i="2"/>
  <c r="GU609" i="2"/>
  <c r="GT609" i="2"/>
  <c r="GV608" i="2"/>
  <c r="GU608" i="2"/>
  <c r="GT608" i="2"/>
  <c r="GV607" i="2"/>
  <c r="GU607" i="2"/>
  <c r="GT607" i="2"/>
  <c r="GV606" i="2"/>
  <c r="GU606" i="2"/>
  <c r="GT606" i="2"/>
  <c r="GV605" i="2"/>
  <c r="GU605" i="2"/>
  <c r="GT605" i="2"/>
  <c r="GV604" i="2"/>
  <c r="GU604" i="2"/>
  <c r="GT604" i="2"/>
  <c r="GV603" i="2"/>
  <c r="GU603" i="2"/>
  <c r="GT603" i="2"/>
  <c r="GV602" i="2"/>
  <c r="GU602" i="2"/>
  <c r="GT602" i="2"/>
  <c r="GU601" i="2"/>
  <c r="GT601" i="2"/>
  <c r="GV600" i="2"/>
  <c r="GU600" i="2"/>
  <c r="GT600" i="2"/>
  <c r="GV599" i="2"/>
  <c r="GU599" i="2"/>
  <c r="GT599" i="2"/>
  <c r="GV598" i="2"/>
  <c r="GU598" i="2"/>
  <c r="GT598" i="2"/>
  <c r="GV597" i="2"/>
  <c r="GU597" i="2"/>
  <c r="GT597" i="2"/>
  <c r="GV596" i="2"/>
  <c r="GU596" i="2"/>
  <c r="GT596" i="2"/>
  <c r="GV595" i="2"/>
  <c r="GU595" i="2"/>
  <c r="GT595" i="2"/>
  <c r="GV594" i="2"/>
  <c r="GU594" i="2"/>
  <c r="GT594" i="2"/>
  <c r="GV593" i="2"/>
  <c r="GU593" i="2"/>
  <c r="GT593" i="2"/>
  <c r="GV592" i="2"/>
  <c r="GU592" i="2"/>
  <c r="GT592" i="2"/>
  <c r="GV591" i="2"/>
  <c r="GU591" i="2"/>
  <c r="GT591" i="2"/>
  <c r="GV590" i="2"/>
  <c r="GU590" i="2"/>
  <c r="GT590" i="2"/>
  <c r="GV589" i="2"/>
  <c r="GU589" i="2"/>
  <c r="GT589" i="2"/>
  <c r="GV588" i="2"/>
  <c r="GU588" i="2"/>
  <c r="GT588" i="2"/>
  <c r="GV587" i="2"/>
  <c r="GU587" i="2"/>
  <c r="GT587" i="2"/>
  <c r="GV586" i="2"/>
  <c r="GU586" i="2"/>
  <c r="GT586" i="2"/>
  <c r="GV585" i="2"/>
  <c r="GU585" i="2"/>
  <c r="GT585" i="2"/>
  <c r="GV584" i="2"/>
  <c r="GU584" i="2"/>
  <c r="GT584" i="2"/>
  <c r="GV583" i="2"/>
  <c r="GU583" i="2"/>
  <c r="GT583" i="2"/>
  <c r="GV582" i="2"/>
  <c r="GU582" i="2"/>
  <c r="GT582" i="2"/>
  <c r="GV581" i="2"/>
  <c r="GU581" i="2"/>
  <c r="GT581" i="2"/>
  <c r="GV580" i="2"/>
  <c r="GU580" i="2"/>
  <c r="GT580" i="2"/>
  <c r="GV579" i="2"/>
  <c r="GU579" i="2"/>
  <c r="GT579" i="2"/>
  <c r="GV578" i="2"/>
  <c r="GU578" i="2"/>
  <c r="GT578" i="2"/>
  <c r="GV577" i="2"/>
  <c r="GU577" i="2"/>
  <c r="GT577" i="2"/>
  <c r="GU576" i="2"/>
  <c r="GT576" i="2"/>
  <c r="GU575" i="2"/>
  <c r="GT575" i="2"/>
  <c r="GV574" i="2"/>
  <c r="GU574" i="2"/>
  <c r="GT574" i="2"/>
  <c r="GV573" i="2"/>
  <c r="GU573" i="2"/>
  <c r="GT573" i="2"/>
  <c r="GV572" i="2"/>
  <c r="GU572" i="2"/>
  <c r="GT572" i="2"/>
  <c r="GV571" i="2"/>
  <c r="GU571" i="2"/>
  <c r="GT571" i="2"/>
  <c r="GV570" i="2"/>
  <c r="GU570" i="2"/>
  <c r="GT570" i="2"/>
  <c r="GU568" i="2"/>
  <c r="GT568" i="2"/>
  <c r="GU567" i="2"/>
  <c r="GT567" i="2"/>
  <c r="GU566" i="2"/>
  <c r="GT566" i="2"/>
  <c r="GU565" i="2"/>
  <c r="GT565" i="2"/>
  <c r="GU564" i="2"/>
  <c r="GT564" i="2"/>
  <c r="GV563" i="2"/>
  <c r="GU563" i="2"/>
  <c r="GT563" i="2"/>
  <c r="GU562" i="2"/>
  <c r="GT562" i="2"/>
  <c r="GV561" i="2"/>
  <c r="GU561" i="2"/>
  <c r="GT561" i="2"/>
  <c r="GT560" i="2"/>
  <c r="GV559" i="2"/>
  <c r="GU559" i="2"/>
  <c r="GT559" i="2"/>
  <c r="GV558" i="2"/>
  <c r="GU558" i="2"/>
  <c r="GT558" i="2"/>
  <c r="GV557" i="2"/>
  <c r="GU557" i="2"/>
  <c r="GT557" i="2"/>
  <c r="GV556" i="2"/>
  <c r="GU556" i="2"/>
  <c r="GT556" i="2"/>
  <c r="GV555" i="2"/>
  <c r="GU555" i="2"/>
  <c r="GT555" i="2"/>
  <c r="GV554" i="2"/>
  <c r="GU554" i="2"/>
  <c r="GU553" i="2"/>
  <c r="GT553" i="2"/>
  <c r="GV552" i="2"/>
  <c r="GU552" i="2"/>
  <c r="GT552" i="2"/>
  <c r="GV551" i="2"/>
  <c r="GU551" i="2"/>
  <c r="GT551" i="2"/>
  <c r="GV550" i="2"/>
  <c r="GU550" i="2"/>
  <c r="GT550" i="2"/>
  <c r="GV549" i="2"/>
  <c r="GU549" i="2"/>
  <c r="GT549" i="2"/>
  <c r="GV548" i="2"/>
  <c r="GU548" i="2"/>
  <c r="GT548" i="2"/>
  <c r="GV547" i="2"/>
  <c r="GU547" i="2"/>
  <c r="GT547" i="2"/>
  <c r="GV546" i="2"/>
  <c r="GU546" i="2"/>
  <c r="GT546" i="2"/>
  <c r="GV545" i="2"/>
  <c r="GU545" i="2"/>
  <c r="GT545" i="2"/>
  <c r="GV544" i="2"/>
  <c r="GU544" i="2"/>
  <c r="GT544" i="2"/>
  <c r="GV543" i="2"/>
  <c r="GV542" i="2"/>
  <c r="GU542" i="2"/>
  <c r="GT542" i="2"/>
  <c r="GV541" i="2"/>
  <c r="GU541" i="2"/>
  <c r="GT541" i="2"/>
  <c r="GV540" i="2"/>
  <c r="GU540" i="2"/>
  <c r="GT540" i="2"/>
  <c r="GV539" i="2"/>
  <c r="GU539" i="2"/>
  <c r="GT539" i="2"/>
  <c r="GV538" i="2"/>
  <c r="GU538" i="2"/>
  <c r="GT538" i="2"/>
  <c r="GV537" i="2"/>
  <c r="GU537" i="2"/>
  <c r="GT537" i="2"/>
  <c r="GV536" i="2"/>
  <c r="GU536" i="2"/>
  <c r="GT536" i="2"/>
  <c r="GV535" i="2"/>
  <c r="GU535" i="2"/>
  <c r="GT535" i="2"/>
  <c r="GV534" i="2"/>
  <c r="GU534" i="2"/>
  <c r="GT534" i="2"/>
  <c r="GV533" i="2"/>
  <c r="GU533" i="2"/>
  <c r="GT533" i="2"/>
  <c r="GV532" i="2"/>
  <c r="GU532" i="2"/>
  <c r="GT532" i="2"/>
  <c r="GV531" i="2"/>
  <c r="GU531" i="2"/>
  <c r="GT531" i="2"/>
  <c r="GV530" i="2"/>
  <c r="GU530" i="2"/>
  <c r="GT530" i="2"/>
  <c r="GV529" i="2"/>
  <c r="GU529" i="2"/>
  <c r="GT529" i="2"/>
  <c r="GV528" i="2"/>
  <c r="GU528" i="2"/>
  <c r="GT528" i="2"/>
  <c r="GV527" i="2"/>
  <c r="GU527" i="2"/>
  <c r="GT527" i="2"/>
  <c r="GV526" i="2"/>
  <c r="GU526" i="2"/>
  <c r="GT526" i="2"/>
  <c r="GV525" i="2"/>
  <c r="GU525" i="2"/>
  <c r="GT525" i="2"/>
  <c r="GV524" i="2"/>
  <c r="GU524" i="2"/>
  <c r="GT524" i="2"/>
  <c r="GV523" i="2"/>
  <c r="GU523" i="2"/>
  <c r="GT523" i="2"/>
  <c r="GV522" i="2"/>
  <c r="GU522" i="2"/>
  <c r="GT522" i="2"/>
  <c r="GV521" i="2"/>
  <c r="GU521" i="2"/>
  <c r="GT521" i="2"/>
  <c r="GV520" i="2"/>
  <c r="GU520" i="2"/>
  <c r="GT520" i="2"/>
  <c r="GV519" i="2"/>
  <c r="GU519" i="2"/>
  <c r="GT519" i="2"/>
  <c r="GV518" i="2"/>
  <c r="GU518" i="2"/>
  <c r="GT518" i="2"/>
  <c r="GT517" i="2"/>
  <c r="GV516" i="2"/>
  <c r="GU516" i="2"/>
  <c r="GT516" i="2"/>
  <c r="GV515" i="2"/>
  <c r="GU515" i="2"/>
  <c r="GT515" i="2"/>
  <c r="GT514" i="2"/>
  <c r="GV513" i="2"/>
  <c r="GU513" i="2"/>
  <c r="GT513" i="2"/>
  <c r="GV512" i="2"/>
  <c r="GU512" i="2"/>
  <c r="GT512" i="2"/>
  <c r="GV511" i="2"/>
  <c r="GU511" i="2"/>
  <c r="GT511" i="2"/>
  <c r="GV510" i="2"/>
  <c r="GU510" i="2"/>
  <c r="GT510" i="2"/>
  <c r="GV509" i="2"/>
  <c r="GU509" i="2"/>
  <c r="GT509" i="2"/>
  <c r="GV508" i="2"/>
  <c r="GU508" i="2"/>
  <c r="GT508" i="2"/>
  <c r="GV507" i="2"/>
  <c r="GU507" i="2"/>
  <c r="GT507" i="2"/>
  <c r="GV506" i="2"/>
  <c r="GU506" i="2"/>
  <c r="GT506" i="2"/>
  <c r="GV505" i="2"/>
  <c r="GU505" i="2"/>
  <c r="GT505" i="2"/>
  <c r="GV504" i="2"/>
  <c r="GU504" i="2"/>
  <c r="GT504" i="2"/>
  <c r="GV503" i="2"/>
  <c r="GU503" i="2"/>
  <c r="GT503" i="2"/>
  <c r="GV502" i="2"/>
  <c r="GU502" i="2"/>
  <c r="GT502" i="2"/>
  <c r="GV501" i="2"/>
  <c r="GU501" i="2"/>
  <c r="GT501" i="2"/>
  <c r="GV500" i="2"/>
  <c r="GU500" i="2"/>
  <c r="GT500" i="2"/>
  <c r="GT499" i="2"/>
  <c r="GV498" i="2"/>
  <c r="GU498" i="2"/>
  <c r="GT498" i="2"/>
  <c r="GV497" i="2"/>
  <c r="GV496" i="2"/>
  <c r="GU496" i="2"/>
  <c r="GT496" i="2"/>
  <c r="GV495" i="2"/>
  <c r="GU495" i="2"/>
  <c r="GT495" i="2"/>
  <c r="GV493" i="2"/>
  <c r="GU493" i="2"/>
  <c r="GT493" i="2"/>
  <c r="GV492" i="2"/>
  <c r="GU492" i="2"/>
  <c r="GT492" i="2"/>
  <c r="GT491" i="2"/>
  <c r="GV490" i="2"/>
  <c r="GU490" i="2"/>
  <c r="GT490" i="2"/>
  <c r="GV489" i="2"/>
  <c r="GU489" i="2"/>
  <c r="GT489" i="2"/>
  <c r="GV488" i="2"/>
  <c r="GU488" i="2"/>
  <c r="GT488" i="2"/>
  <c r="GV487" i="2"/>
  <c r="GU487" i="2"/>
  <c r="GT487" i="2"/>
  <c r="GV486" i="2"/>
  <c r="GU486" i="2"/>
  <c r="GV485" i="2"/>
  <c r="GU485" i="2"/>
  <c r="GV484" i="2"/>
  <c r="GU484" i="2"/>
  <c r="GT484" i="2"/>
  <c r="GV483" i="2"/>
  <c r="GU483" i="2"/>
  <c r="GT483" i="2"/>
  <c r="GV482" i="2"/>
  <c r="GU482" i="2"/>
  <c r="GT482" i="2"/>
  <c r="GV481" i="2"/>
  <c r="GU481" i="2"/>
  <c r="GT481" i="2"/>
  <c r="GV480" i="2"/>
  <c r="GU480" i="2"/>
  <c r="GT480" i="2"/>
  <c r="GV479" i="2"/>
  <c r="GU479" i="2"/>
  <c r="GT479" i="2"/>
  <c r="GV478" i="2"/>
  <c r="GU478" i="2"/>
  <c r="GT478" i="2"/>
  <c r="GV477" i="2"/>
  <c r="GU477" i="2"/>
  <c r="GT477" i="2"/>
  <c r="GV476" i="2"/>
  <c r="GU476" i="2"/>
  <c r="GT476" i="2"/>
  <c r="GV475" i="2"/>
  <c r="GU475" i="2"/>
  <c r="GT475" i="2"/>
  <c r="GV474" i="2"/>
  <c r="GU474" i="2"/>
  <c r="GT474" i="2"/>
  <c r="GV473" i="2"/>
  <c r="GU473" i="2"/>
  <c r="GT473" i="2"/>
  <c r="GV472" i="2"/>
  <c r="GU472" i="2"/>
  <c r="GT472" i="2"/>
  <c r="GU471" i="2"/>
  <c r="GT471" i="2"/>
  <c r="GU470" i="2"/>
  <c r="GT470" i="2"/>
  <c r="GV469" i="2"/>
  <c r="GU469" i="2"/>
  <c r="GT469" i="2"/>
  <c r="GV468" i="2"/>
  <c r="GU468" i="2"/>
  <c r="GT468" i="2"/>
  <c r="GV467" i="2"/>
  <c r="GU467" i="2"/>
  <c r="GT467" i="2"/>
  <c r="GV466" i="2"/>
  <c r="GU466" i="2"/>
  <c r="GT466" i="2"/>
  <c r="GV465" i="2"/>
  <c r="GU465" i="2"/>
  <c r="GT465" i="2"/>
  <c r="GV464" i="2"/>
  <c r="GU464" i="2"/>
  <c r="GT464" i="2"/>
  <c r="GV463" i="2"/>
  <c r="GU463" i="2"/>
  <c r="GT463" i="2"/>
  <c r="GV462" i="2"/>
  <c r="GU462" i="2"/>
  <c r="GT462" i="2"/>
  <c r="GV461" i="2"/>
  <c r="GU461" i="2"/>
  <c r="GT461" i="2"/>
  <c r="GV460" i="2"/>
  <c r="GU460" i="2"/>
  <c r="GT460" i="2"/>
  <c r="GV459" i="2"/>
  <c r="GU459" i="2"/>
  <c r="GT459" i="2"/>
  <c r="GT458" i="2"/>
  <c r="GV457" i="2"/>
  <c r="GU457" i="2"/>
  <c r="GT457" i="2"/>
  <c r="GV456" i="2"/>
  <c r="GU456" i="2"/>
  <c r="GT456" i="2"/>
  <c r="GV455" i="2"/>
  <c r="GU455" i="2"/>
  <c r="GT455" i="2"/>
  <c r="GU452" i="2"/>
  <c r="GT452" i="2"/>
  <c r="GU451" i="2"/>
  <c r="GT451" i="2"/>
  <c r="GV450" i="2"/>
  <c r="GU450" i="2"/>
  <c r="GT450" i="2"/>
  <c r="GV449" i="2"/>
  <c r="GU449" i="2"/>
  <c r="GT449" i="2"/>
  <c r="GV448" i="2"/>
  <c r="GU448" i="2"/>
  <c r="GT448" i="2"/>
  <c r="GV447" i="2"/>
  <c r="GU447" i="2"/>
  <c r="GT447" i="2"/>
  <c r="GV446" i="2"/>
  <c r="GU446" i="2"/>
  <c r="GT446" i="2"/>
  <c r="GV445" i="2"/>
  <c r="GU445" i="2"/>
  <c r="GT445" i="2"/>
  <c r="GU443" i="2"/>
  <c r="GT443" i="2"/>
  <c r="GU442" i="2"/>
  <c r="GT442" i="2"/>
  <c r="GV441" i="2"/>
  <c r="GU441" i="2"/>
  <c r="GT441" i="2"/>
  <c r="GV440" i="2"/>
  <c r="GU440" i="2"/>
  <c r="GT440" i="2"/>
  <c r="GV439" i="2"/>
  <c r="GU439" i="2"/>
  <c r="GT439" i="2"/>
  <c r="GV438" i="2"/>
  <c r="GU438" i="2"/>
  <c r="GT438" i="2"/>
  <c r="GV437" i="2"/>
  <c r="GU437" i="2"/>
  <c r="GT437" i="2"/>
  <c r="GV436" i="2"/>
  <c r="GU436" i="2"/>
  <c r="GT436" i="2"/>
  <c r="GV435" i="2"/>
  <c r="GU435" i="2"/>
  <c r="GT435" i="2"/>
  <c r="GV434" i="2"/>
  <c r="GU434" i="2"/>
  <c r="GT434" i="2"/>
  <c r="GV433" i="2"/>
  <c r="GU433" i="2"/>
  <c r="GT433" i="2"/>
  <c r="GV432" i="2"/>
  <c r="GU432" i="2"/>
  <c r="GT432" i="2"/>
  <c r="GV431" i="2"/>
  <c r="GU431" i="2"/>
  <c r="GT431" i="2"/>
  <c r="GV430" i="2"/>
  <c r="GU430" i="2"/>
  <c r="GT430" i="2"/>
  <c r="GV429" i="2"/>
  <c r="GU429" i="2"/>
  <c r="GT429" i="2"/>
  <c r="GV428" i="2"/>
  <c r="GU428" i="2"/>
  <c r="GT428" i="2"/>
  <c r="GV427" i="2"/>
  <c r="GU427" i="2"/>
  <c r="GT427" i="2"/>
  <c r="GV426" i="2"/>
  <c r="GU426" i="2"/>
  <c r="GT426" i="2"/>
  <c r="GV425" i="2"/>
  <c r="GU425" i="2"/>
  <c r="GT425" i="2"/>
  <c r="GV424" i="2"/>
  <c r="GU424" i="2"/>
  <c r="GT424" i="2"/>
  <c r="GV423" i="2"/>
  <c r="GU423" i="2"/>
  <c r="GT423" i="2"/>
  <c r="GV422" i="2"/>
  <c r="GU422" i="2"/>
  <c r="GT422" i="2"/>
  <c r="GV421" i="2"/>
  <c r="GU421" i="2"/>
  <c r="GT421" i="2"/>
  <c r="GV420" i="2"/>
  <c r="GU420" i="2"/>
  <c r="GT420" i="2"/>
  <c r="GV419" i="2"/>
  <c r="GU419" i="2"/>
  <c r="GT419" i="2"/>
  <c r="GV418" i="2"/>
  <c r="GU418" i="2"/>
  <c r="GT418" i="2"/>
  <c r="GV417" i="2"/>
  <c r="GU417" i="2"/>
  <c r="GT417" i="2"/>
  <c r="GV416" i="2"/>
  <c r="GU416" i="2"/>
  <c r="GT416" i="2"/>
  <c r="GV415" i="2"/>
  <c r="GU415" i="2"/>
  <c r="GT415" i="2"/>
  <c r="GV414" i="2"/>
  <c r="GU414" i="2"/>
  <c r="GT414" i="2"/>
  <c r="GV413" i="2"/>
  <c r="GU413" i="2"/>
  <c r="GT413" i="2"/>
  <c r="GV412" i="2"/>
  <c r="GU412" i="2"/>
  <c r="GT412" i="2"/>
  <c r="GV411" i="2"/>
  <c r="GU411" i="2"/>
  <c r="GT411" i="2"/>
  <c r="GV410" i="2"/>
  <c r="GU410" i="2"/>
  <c r="GT410" i="2"/>
  <c r="GV409" i="2"/>
  <c r="GU409" i="2"/>
  <c r="GT409" i="2"/>
  <c r="GV408" i="2"/>
  <c r="GU408" i="2"/>
  <c r="GT408" i="2"/>
  <c r="GV407" i="2"/>
  <c r="GU407" i="2"/>
  <c r="GT407" i="2"/>
  <c r="GV406" i="2"/>
  <c r="GU406" i="2"/>
  <c r="GT406" i="2"/>
  <c r="GV405" i="2"/>
  <c r="GU405" i="2"/>
  <c r="GT405" i="2"/>
  <c r="GV404" i="2"/>
  <c r="GU404" i="2"/>
  <c r="GT404" i="2"/>
  <c r="GV403" i="2"/>
  <c r="GU403" i="2"/>
  <c r="GT403" i="2"/>
  <c r="GV402" i="2"/>
  <c r="GU402" i="2"/>
  <c r="GT402" i="2"/>
  <c r="GV401" i="2"/>
  <c r="GU401" i="2"/>
  <c r="GT401" i="2"/>
  <c r="GV400" i="2"/>
  <c r="GU400" i="2"/>
  <c r="GT400" i="2"/>
  <c r="GV399" i="2"/>
  <c r="GU399" i="2"/>
  <c r="GT399" i="2"/>
  <c r="GV398" i="2"/>
  <c r="GU398" i="2"/>
  <c r="GT398" i="2"/>
  <c r="GV397" i="2"/>
  <c r="GU397" i="2"/>
  <c r="GT397" i="2"/>
  <c r="GV396" i="2"/>
  <c r="GU396" i="2"/>
  <c r="GT396" i="2"/>
  <c r="GV395" i="2"/>
  <c r="GU395" i="2"/>
  <c r="GT395" i="2"/>
  <c r="GV394" i="2"/>
  <c r="GU394" i="2"/>
  <c r="GT394" i="2"/>
  <c r="GV393" i="2"/>
  <c r="GU393" i="2"/>
  <c r="GT393" i="2"/>
  <c r="GV392" i="2"/>
  <c r="GU392" i="2"/>
  <c r="GT392" i="2"/>
  <c r="GV391" i="2"/>
  <c r="GU391" i="2"/>
  <c r="GT391" i="2"/>
  <c r="GV390" i="2"/>
  <c r="GU390" i="2"/>
  <c r="GT390" i="2"/>
  <c r="GV389" i="2"/>
  <c r="GU389" i="2"/>
  <c r="GT389" i="2"/>
  <c r="GV388" i="2"/>
  <c r="GU388" i="2"/>
  <c r="GT388" i="2"/>
  <c r="GV387" i="2"/>
  <c r="GU387" i="2"/>
  <c r="GT387" i="2"/>
  <c r="GV386" i="2"/>
  <c r="GU386" i="2"/>
  <c r="GT386" i="2"/>
  <c r="GV383" i="2"/>
  <c r="GU383" i="2"/>
  <c r="GT383" i="2"/>
  <c r="GV382" i="2"/>
  <c r="GU382" i="2"/>
  <c r="GT382" i="2"/>
  <c r="GV381" i="2"/>
  <c r="GU381" i="2"/>
  <c r="GT381" i="2"/>
  <c r="GV380" i="2"/>
  <c r="GU380" i="2"/>
  <c r="GT380" i="2"/>
  <c r="GV379" i="2"/>
  <c r="GU379" i="2"/>
  <c r="GT379" i="2"/>
  <c r="GV378" i="2"/>
  <c r="GU378" i="2"/>
  <c r="GT378" i="2"/>
  <c r="GV377" i="2"/>
  <c r="GU377" i="2"/>
  <c r="GT377" i="2"/>
  <c r="GV376" i="2"/>
  <c r="GU376" i="2"/>
  <c r="GT376" i="2"/>
  <c r="GV374" i="2"/>
  <c r="GU374" i="2"/>
  <c r="GT374" i="2"/>
  <c r="GV373" i="2"/>
  <c r="GU373" i="2"/>
  <c r="GT373" i="2"/>
  <c r="GV372" i="2"/>
  <c r="GU372" i="2"/>
  <c r="GT372" i="2"/>
  <c r="GV371" i="2"/>
  <c r="GV370" i="2"/>
  <c r="GU370" i="2"/>
  <c r="GT370" i="2"/>
  <c r="GU369" i="2"/>
  <c r="GT369" i="2"/>
  <c r="HN27" i="2" s="1"/>
  <c r="GV368" i="2"/>
  <c r="GU368" i="2"/>
  <c r="GT368" i="2"/>
  <c r="GV367" i="2"/>
  <c r="GU367" i="2"/>
  <c r="GT367" i="2"/>
  <c r="GV366" i="2"/>
  <c r="GU366" i="2"/>
  <c r="GT366" i="2"/>
  <c r="GV365" i="2"/>
  <c r="GU365" i="2"/>
  <c r="GT365" i="2"/>
  <c r="GV364" i="2"/>
  <c r="GU364" i="2"/>
  <c r="GT364" i="2"/>
  <c r="GV363" i="2"/>
  <c r="GU363" i="2"/>
  <c r="GT363" i="2"/>
  <c r="GV362" i="2"/>
  <c r="GU362" i="2"/>
  <c r="GT362" i="2"/>
  <c r="GV361" i="2"/>
  <c r="GT361" i="2"/>
  <c r="GV360" i="2"/>
  <c r="GU360" i="2"/>
  <c r="GT360" i="2"/>
  <c r="GV359" i="2"/>
  <c r="GT359" i="2"/>
  <c r="GV358" i="2"/>
  <c r="GU358" i="2"/>
  <c r="GT358" i="2"/>
  <c r="GV357" i="2"/>
  <c r="GU357" i="2"/>
  <c r="GT357" i="2"/>
  <c r="GV356" i="2"/>
  <c r="GU356" i="2"/>
  <c r="GT356" i="2"/>
  <c r="GV355" i="2"/>
  <c r="GU355" i="2"/>
  <c r="GT355" i="2"/>
  <c r="GV354" i="2"/>
  <c r="GU354" i="2"/>
  <c r="GT354" i="2"/>
  <c r="GV353" i="2"/>
  <c r="GU353" i="2"/>
  <c r="GT353" i="2"/>
  <c r="GV352" i="2"/>
  <c r="GU352" i="2"/>
  <c r="GT352" i="2"/>
  <c r="GV351" i="2"/>
  <c r="GU351" i="2"/>
  <c r="GT351" i="2"/>
  <c r="GV350" i="2"/>
  <c r="GU350" i="2"/>
  <c r="GT350" i="2"/>
  <c r="GV349" i="2"/>
  <c r="GU349" i="2"/>
  <c r="GT349" i="2"/>
  <c r="GV348" i="2"/>
  <c r="GU348" i="2"/>
  <c r="GT348" i="2"/>
  <c r="GV347" i="2"/>
  <c r="GU347" i="2"/>
  <c r="GT347" i="2"/>
  <c r="GV346" i="2"/>
  <c r="GU346" i="2"/>
  <c r="GT346" i="2"/>
  <c r="GV345" i="2"/>
  <c r="GU345" i="2"/>
  <c r="GT345" i="2"/>
  <c r="GU344" i="2"/>
  <c r="GT344" i="2"/>
  <c r="GV343" i="2"/>
  <c r="GU343" i="2"/>
  <c r="GT343" i="2"/>
  <c r="GV342" i="2"/>
  <c r="GU342" i="2"/>
  <c r="GT342" i="2"/>
  <c r="GV341" i="2"/>
  <c r="GU341" i="2"/>
  <c r="GT341" i="2"/>
  <c r="GV340" i="2"/>
  <c r="GU340" i="2"/>
  <c r="GT340" i="2"/>
  <c r="GU339" i="2"/>
  <c r="GT339" i="2"/>
  <c r="GV338" i="2"/>
  <c r="GU338" i="2"/>
  <c r="GT338" i="2"/>
  <c r="GV337" i="2"/>
  <c r="GU337" i="2"/>
  <c r="GT337" i="2"/>
  <c r="GV336" i="2"/>
  <c r="GU336" i="2"/>
  <c r="GT336" i="2"/>
  <c r="GV335" i="2"/>
  <c r="GU335" i="2"/>
  <c r="GT335" i="2"/>
  <c r="GV334" i="2"/>
  <c r="GU334" i="2"/>
  <c r="GT334" i="2"/>
  <c r="GV332" i="2"/>
  <c r="GU332" i="2"/>
  <c r="GT332" i="2"/>
  <c r="GT331" i="2"/>
  <c r="GV330" i="2"/>
  <c r="GU330" i="2"/>
  <c r="GT330" i="2"/>
  <c r="GV329" i="2"/>
  <c r="GU329" i="2"/>
  <c r="GT329" i="2"/>
  <c r="GV328" i="2"/>
  <c r="GU328" i="2"/>
  <c r="GT328" i="2"/>
  <c r="GV327" i="2"/>
  <c r="GU327" i="2"/>
  <c r="GT327" i="2"/>
  <c r="GU326" i="2"/>
  <c r="GT326" i="2"/>
  <c r="GV325" i="2"/>
  <c r="GU325" i="2"/>
  <c r="GT325" i="2"/>
  <c r="GV324" i="2"/>
  <c r="GU324" i="2"/>
  <c r="GT324" i="2"/>
  <c r="GV323" i="2"/>
  <c r="GU323" i="2"/>
  <c r="GT323" i="2"/>
  <c r="GV322" i="2"/>
  <c r="GU322" i="2"/>
  <c r="GT322" i="2"/>
  <c r="GV321" i="2"/>
  <c r="GU321" i="2"/>
  <c r="GT321" i="2"/>
  <c r="GT320" i="2"/>
  <c r="GU319" i="2"/>
  <c r="GT319" i="2"/>
  <c r="GV318" i="2"/>
  <c r="GU318" i="2"/>
  <c r="GT318" i="2"/>
  <c r="GT317" i="2"/>
  <c r="GV316" i="2"/>
  <c r="GU316" i="2"/>
  <c r="GT316" i="2"/>
  <c r="GV315" i="2"/>
  <c r="GU315" i="2"/>
  <c r="GT315" i="2"/>
  <c r="GV314" i="2"/>
  <c r="GU314" i="2"/>
  <c r="GT314" i="2"/>
  <c r="GV313" i="2"/>
  <c r="GU313" i="2"/>
  <c r="GT313" i="2"/>
  <c r="GU312" i="2"/>
  <c r="GT312" i="2"/>
  <c r="GV311" i="2"/>
  <c r="GU311" i="2"/>
  <c r="GT311" i="2"/>
  <c r="GV310" i="2"/>
  <c r="GT310" i="2"/>
  <c r="GV309" i="2"/>
  <c r="GU309" i="2"/>
  <c r="GT309" i="2"/>
  <c r="GT308" i="2"/>
  <c r="GV307" i="2"/>
  <c r="GU307" i="2"/>
  <c r="GT307" i="2"/>
  <c r="GT306" i="2"/>
  <c r="GV305" i="2"/>
  <c r="GU305" i="2"/>
  <c r="GT305" i="2"/>
  <c r="GT304" i="2"/>
  <c r="GT303" i="2"/>
  <c r="GV302" i="2"/>
  <c r="GU302" i="2"/>
  <c r="GT302" i="2"/>
  <c r="GT301" i="2"/>
  <c r="GV300" i="2"/>
  <c r="GT300" i="2"/>
  <c r="GV299" i="2"/>
  <c r="GU299" i="2"/>
  <c r="GT299" i="2"/>
  <c r="GV296" i="2"/>
  <c r="GU296" i="2"/>
  <c r="GT296" i="2"/>
  <c r="GT295" i="2"/>
  <c r="GV294" i="2"/>
  <c r="GU294" i="2"/>
  <c r="GT294" i="2"/>
  <c r="GV293" i="2"/>
  <c r="GU293" i="2"/>
  <c r="GT293" i="2"/>
  <c r="GV292" i="2"/>
  <c r="GU292" i="2"/>
  <c r="GT292" i="2"/>
  <c r="GV291" i="2"/>
  <c r="GU291" i="2"/>
  <c r="GT291" i="2"/>
  <c r="GU290" i="2"/>
  <c r="GT290" i="2"/>
  <c r="GV289" i="2"/>
  <c r="GU289" i="2"/>
  <c r="GT289" i="2"/>
  <c r="GT288" i="2"/>
  <c r="GV287" i="2"/>
  <c r="GU287" i="2"/>
  <c r="GV285" i="2"/>
  <c r="GU285" i="2"/>
  <c r="GT285" i="2"/>
  <c r="GV284" i="2"/>
  <c r="GU284" i="2"/>
  <c r="GT284" i="2"/>
  <c r="GV283" i="2"/>
  <c r="GU283" i="2"/>
  <c r="GT283" i="2"/>
  <c r="GV282" i="2"/>
  <c r="GU282" i="2"/>
  <c r="GT282" i="2"/>
  <c r="GV281" i="2"/>
  <c r="GU281" i="2"/>
  <c r="GT281" i="2"/>
  <c r="GV280" i="2"/>
  <c r="GU280" i="2"/>
  <c r="GT280" i="2"/>
  <c r="GV279" i="2"/>
  <c r="GU279" i="2"/>
  <c r="GT279" i="2"/>
  <c r="GU278" i="2"/>
  <c r="GT278" i="2"/>
  <c r="GU277" i="2"/>
  <c r="GT277" i="2"/>
  <c r="GV276" i="2"/>
  <c r="GU276" i="2"/>
  <c r="GT276" i="2"/>
  <c r="GV275" i="2"/>
  <c r="GU275" i="2"/>
  <c r="GT275" i="2"/>
  <c r="GU274" i="2"/>
  <c r="GT274" i="2"/>
  <c r="GU273" i="2"/>
  <c r="GT273" i="2"/>
  <c r="GV272" i="2"/>
  <c r="GU272" i="2"/>
  <c r="GT272" i="2"/>
  <c r="GV271" i="2"/>
  <c r="GU271" i="2"/>
  <c r="GT271" i="2"/>
  <c r="GV270" i="2"/>
  <c r="GU270" i="2"/>
  <c r="GT270" i="2"/>
  <c r="GV269" i="2"/>
  <c r="GU269" i="2"/>
  <c r="GT269" i="2"/>
  <c r="GV268" i="2"/>
  <c r="GU268" i="2"/>
  <c r="GT268" i="2"/>
  <c r="GV267" i="2"/>
  <c r="GU267" i="2"/>
  <c r="GT267" i="2"/>
  <c r="GV266" i="2"/>
  <c r="GU266" i="2"/>
  <c r="GT266" i="2"/>
  <c r="GV265" i="2"/>
  <c r="GU265" i="2"/>
  <c r="GT265" i="2"/>
  <c r="GV264" i="2"/>
  <c r="GU264" i="2"/>
  <c r="GT264" i="2"/>
  <c r="GV263" i="2"/>
  <c r="GU263" i="2"/>
  <c r="GT263" i="2"/>
  <c r="GV262" i="2"/>
  <c r="GU262" i="2"/>
  <c r="GT262" i="2"/>
  <c r="GV261" i="2"/>
  <c r="GU261" i="2"/>
  <c r="GT261" i="2"/>
  <c r="GU260" i="2"/>
  <c r="GT260" i="2"/>
  <c r="GV259" i="2"/>
  <c r="GU259" i="2"/>
  <c r="GT259" i="2"/>
  <c r="GV258" i="2"/>
  <c r="GU258" i="2"/>
  <c r="GT258" i="2"/>
  <c r="GV257" i="2"/>
  <c r="GU257" i="2"/>
  <c r="GT257" i="2"/>
  <c r="GU256" i="2"/>
  <c r="GT256" i="2"/>
  <c r="GV255" i="2"/>
  <c r="GU255" i="2"/>
  <c r="GT255" i="2"/>
  <c r="GV254" i="2"/>
  <c r="GU254" i="2"/>
  <c r="GT254" i="2"/>
  <c r="GV253" i="2"/>
  <c r="GU253" i="2"/>
  <c r="GT253" i="2"/>
  <c r="GV252" i="2"/>
  <c r="GU252" i="2"/>
  <c r="GT252" i="2"/>
  <c r="GV251" i="2"/>
  <c r="GU251" i="2"/>
  <c r="GT251" i="2"/>
  <c r="GV250" i="2"/>
  <c r="GU250" i="2"/>
  <c r="GT250" i="2"/>
  <c r="GV249" i="2"/>
  <c r="GU249" i="2"/>
  <c r="GT249" i="2"/>
  <c r="GV248" i="2"/>
  <c r="GU248" i="2"/>
  <c r="GT248" i="2"/>
  <c r="GV247" i="2"/>
  <c r="GU247" i="2"/>
  <c r="GT247" i="2"/>
  <c r="GV246" i="2"/>
  <c r="GU246" i="2"/>
  <c r="GT246" i="2"/>
  <c r="GV245" i="2"/>
  <c r="GU245" i="2"/>
  <c r="GT245" i="2"/>
  <c r="GU244" i="2"/>
  <c r="GT244" i="2"/>
  <c r="GU243" i="2"/>
  <c r="GT243" i="2"/>
  <c r="GV242" i="2"/>
  <c r="GU242" i="2"/>
  <c r="GT242" i="2"/>
  <c r="GV241" i="2"/>
  <c r="GU241" i="2"/>
  <c r="GT241" i="2"/>
  <c r="GV240" i="2"/>
  <c r="GU240" i="2"/>
  <c r="GT240" i="2"/>
  <c r="GV239" i="2"/>
  <c r="GU239" i="2"/>
  <c r="GT239" i="2"/>
  <c r="GV238" i="2"/>
  <c r="GU238" i="2"/>
  <c r="GT238" i="2"/>
  <c r="GV237" i="2"/>
  <c r="GU237" i="2"/>
  <c r="GT237" i="2"/>
  <c r="GV236" i="2"/>
  <c r="GU236" i="2"/>
  <c r="GT236" i="2"/>
  <c r="GV233" i="2"/>
  <c r="GU233" i="2"/>
  <c r="GT233" i="2"/>
  <c r="GV232" i="2"/>
  <c r="GU232" i="2"/>
  <c r="GT232" i="2"/>
  <c r="GU231" i="2"/>
  <c r="GT231" i="2"/>
  <c r="GV228" i="2"/>
  <c r="GU228" i="2"/>
  <c r="GT228" i="2"/>
  <c r="GV227" i="2"/>
  <c r="GU227" i="2"/>
  <c r="GT227" i="2"/>
  <c r="GV226" i="2"/>
  <c r="GU226" i="2"/>
  <c r="GT226" i="2"/>
  <c r="GV225" i="2"/>
  <c r="GU225" i="2"/>
  <c r="GT225" i="2"/>
  <c r="GV224" i="2"/>
  <c r="GU224" i="2"/>
  <c r="GT224" i="2"/>
  <c r="GV223" i="2"/>
  <c r="GU223" i="2"/>
  <c r="GT223" i="2"/>
  <c r="GV222" i="2"/>
  <c r="GU222" i="2"/>
  <c r="GT222" i="2"/>
  <c r="GV221" i="2"/>
  <c r="GU221" i="2"/>
  <c r="GT221" i="2"/>
  <c r="GV220" i="2"/>
  <c r="GU220" i="2"/>
  <c r="GT220" i="2"/>
  <c r="GV219" i="2"/>
  <c r="GU219" i="2"/>
  <c r="GT219" i="2"/>
  <c r="GT218" i="2"/>
  <c r="GV217" i="2"/>
  <c r="GT217" i="2"/>
  <c r="GU216" i="2"/>
  <c r="GT216" i="2"/>
  <c r="GV215" i="2"/>
  <c r="GV214" i="2"/>
  <c r="GU214" i="2"/>
  <c r="GT214" i="2"/>
  <c r="GV213" i="2"/>
  <c r="GU213" i="2"/>
  <c r="GT213" i="2"/>
  <c r="GV212" i="2"/>
  <c r="GU212" i="2"/>
  <c r="GT212" i="2"/>
  <c r="GT207" i="2"/>
  <c r="GT206" i="2"/>
  <c r="GT205" i="2"/>
  <c r="GV204" i="2"/>
  <c r="GU204" i="2"/>
  <c r="GT204" i="2"/>
  <c r="GV203" i="2"/>
  <c r="GU203" i="2"/>
  <c r="GT203" i="2"/>
  <c r="GV202" i="2"/>
  <c r="GU202" i="2"/>
  <c r="GT202" i="2"/>
  <c r="GV201" i="2"/>
  <c r="GU201" i="2"/>
  <c r="GT201" i="2"/>
  <c r="GV200" i="2"/>
  <c r="GU200" i="2"/>
  <c r="GT200" i="2"/>
  <c r="GV199" i="2"/>
  <c r="GU199" i="2"/>
  <c r="GT199" i="2"/>
  <c r="GV198" i="2"/>
  <c r="GU198" i="2"/>
  <c r="GT198" i="2"/>
  <c r="GV197" i="2"/>
  <c r="GU197" i="2"/>
  <c r="GT197" i="2"/>
  <c r="GV196" i="2"/>
  <c r="GU196" i="2"/>
  <c r="GT196" i="2"/>
  <c r="GV195" i="2"/>
  <c r="GU195" i="2"/>
  <c r="GT195" i="2"/>
  <c r="GV194" i="2"/>
  <c r="GU194" i="2"/>
  <c r="GT194" i="2"/>
  <c r="GV193" i="2"/>
  <c r="GU193" i="2"/>
  <c r="GT193" i="2"/>
  <c r="GV192" i="2"/>
  <c r="GU192" i="2"/>
  <c r="GT192" i="2"/>
  <c r="GV191" i="2"/>
  <c r="GU191" i="2"/>
  <c r="GT191" i="2"/>
  <c r="GT190" i="2"/>
  <c r="GV189" i="2"/>
  <c r="GU189" i="2"/>
  <c r="GT189" i="2"/>
  <c r="GV188" i="2"/>
  <c r="GU188" i="2"/>
  <c r="GT188" i="2"/>
  <c r="GV187" i="2"/>
  <c r="GU187" i="2"/>
  <c r="GT187" i="2"/>
  <c r="GV186" i="2"/>
  <c r="GU186" i="2"/>
  <c r="GT186" i="2"/>
  <c r="GV185" i="2"/>
  <c r="GU185" i="2"/>
  <c r="GT185" i="2"/>
  <c r="GV184" i="2"/>
  <c r="GU184" i="2"/>
  <c r="GT184" i="2"/>
  <c r="GV183" i="2"/>
  <c r="GU183" i="2"/>
  <c r="GT183" i="2"/>
  <c r="GV182" i="2"/>
  <c r="GU182" i="2"/>
  <c r="GT182" i="2"/>
  <c r="GV181" i="2"/>
  <c r="GU181" i="2"/>
  <c r="GT181" i="2"/>
  <c r="GV180" i="2"/>
  <c r="GU180" i="2"/>
  <c r="GT180" i="2"/>
  <c r="GV179" i="2"/>
  <c r="GU179" i="2"/>
  <c r="GT179" i="2"/>
  <c r="GV178" i="2"/>
  <c r="GU178" i="2"/>
  <c r="GT178" i="2"/>
  <c r="GT177" i="2"/>
  <c r="GV176" i="2"/>
  <c r="GU176" i="2"/>
  <c r="GT176" i="2"/>
  <c r="GV175" i="2"/>
  <c r="GU175" i="2"/>
  <c r="GT175" i="2"/>
  <c r="GV174" i="2"/>
  <c r="GU174" i="2"/>
  <c r="GT174" i="2"/>
  <c r="GV173" i="2"/>
  <c r="GU173" i="2"/>
  <c r="GT173" i="2"/>
  <c r="GV172" i="2"/>
  <c r="GU172" i="2"/>
  <c r="GT172" i="2"/>
  <c r="GT171" i="2"/>
  <c r="GV170" i="2"/>
  <c r="GU170" i="2"/>
  <c r="GT170" i="2"/>
  <c r="GT169" i="2"/>
  <c r="GV168" i="2"/>
  <c r="GU168" i="2"/>
  <c r="GT168" i="2"/>
  <c r="GV167" i="2"/>
  <c r="GU167" i="2"/>
  <c r="GT167" i="2"/>
  <c r="GV166" i="2"/>
  <c r="GU166" i="2"/>
  <c r="GT166" i="2"/>
  <c r="GV165" i="2"/>
  <c r="GU165" i="2"/>
  <c r="GT165" i="2"/>
  <c r="GV164" i="2"/>
  <c r="GU164" i="2"/>
  <c r="GT164" i="2"/>
  <c r="GV163" i="2"/>
  <c r="GU163" i="2"/>
  <c r="GT163" i="2"/>
  <c r="GV162" i="2"/>
  <c r="GU162" i="2"/>
  <c r="GT162" i="2"/>
  <c r="GV161" i="2"/>
  <c r="GU161" i="2"/>
  <c r="GT161" i="2"/>
  <c r="GV160" i="2"/>
  <c r="GT160" i="2"/>
  <c r="GU159" i="2"/>
  <c r="GT159" i="2"/>
  <c r="GV158" i="2"/>
  <c r="GU158" i="2"/>
  <c r="GT158" i="2"/>
  <c r="GV157" i="2"/>
  <c r="GU157" i="2"/>
  <c r="GT157" i="2"/>
  <c r="GV156" i="2"/>
  <c r="GU156" i="2"/>
  <c r="GT156" i="2"/>
  <c r="GV155" i="2"/>
  <c r="GU155" i="2"/>
  <c r="GT155" i="2"/>
  <c r="GV154" i="2"/>
  <c r="GU154" i="2"/>
  <c r="GT154" i="2"/>
  <c r="GV153" i="2"/>
  <c r="GU153" i="2"/>
  <c r="GV152" i="2"/>
  <c r="GU152" i="2"/>
  <c r="GT152" i="2"/>
  <c r="GV151" i="2"/>
  <c r="GU151" i="2"/>
  <c r="GT151" i="2"/>
  <c r="GV150" i="2"/>
  <c r="GU150" i="2"/>
  <c r="GT150" i="2"/>
  <c r="GV149" i="2"/>
  <c r="GU149" i="2"/>
  <c r="GT149" i="2"/>
  <c r="GV148" i="2"/>
  <c r="GU148" i="2"/>
  <c r="GT148" i="2"/>
  <c r="GV147" i="2"/>
  <c r="GU147" i="2"/>
  <c r="GT147" i="2"/>
  <c r="GV146" i="2"/>
  <c r="GU146" i="2"/>
  <c r="GT146" i="2"/>
  <c r="GU145" i="2"/>
  <c r="GT145" i="2"/>
  <c r="GU144" i="2"/>
  <c r="GT144" i="2"/>
  <c r="GV143" i="2"/>
  <c r="GU143" i="2"/>
  <c r="GT143" i="2"/>
  <c r="GV142" i="2"/>
  <c r="GU142" i="2"/>
  <c r="GT142" i="2"/>
  <c r="GV141" i="2"/>
  <c r="GU141" i="2"/>
  <c r="GT141" i="2"/>
  <c r="GV140" i="2"/>
  <c r="GU140" i="2"/>
  <c r="GT140" i="2"/>
  <c r="GU139" i="2"/>
  <c r="GT139" i="2"/>
  <c r="GV138" i="2"/>
  <c r="GU138" i="2"/>
  <c r="GT138" i="2"/>
  <c r="GV137" i="2"/>
  <c r="GU137" i="2"/>
  <c r="GT137" i="2"/>
  <c r="GU136" i="2"/>
  <c r="GT136" i="2"/>
  <c r="GU135" i="2"/>
  <c r="GT135" i="2"/>
  <c r="GV134" i="2"/>
  <c r="GU134" i="2"/>
  <c r="GT134" i="2"/>
  <c r="GV133" i="2"/>
  <c r="GU133" i="2"/>
  <c r="GT133" i="2"/>
  <c r="GV132" i="2"/>
  <c r="GU132" i="2"/>
  <c r="GT132" i="2"/>
  <c r="GV131" i="2"/>
  <c r="GU131" i="2"/>
  <c r="GT131" i="2"/>
  <c r="GV130" i="2"/>
  <c r="GU130" i="2"/>
  <c r="GT130" i="2"/>
  <c r="GV129" i="2"/>
  <c r="GU129" i="2"/>
  <c r="GT129" i="2"/>
  <c r="GV128" i="2"/>
  <c r="GU128" i="2"/>
  <c r="GT128" i="2"/>
  <c r="GV127" i="2"/>
  <c r="GU127" i="2"/>
  <c r="GT127" i="2"/>
  <c r="GV126" i="2"/>
  <c r="GU126" i="2"/>
  <c r="GT126" i="2"/>
  <c r="GV125" i="2"/>
  <c r="GU125" i="2"/>
  <c r="GT125" i="2"/>
  <c r="GV124" i="2"/>
  <c r="GU124" i="2"/>
  <c r="GT124" i="2"/>
  <c r="GV123" i="2"/>
  <c r="GU123" i="2"/>
  <c r="GT123" i="2"/>
  <c r="GV122" i="2"/>
  <c r="GU122" i="2"/>
  <c r="GT122" i="2"/>
  <c r="GV121" i="2"/>
  <c r="GU121" i="2"/>
  <c r="GT121" i="2"/>
  <c r="GU120" i="2"/>
  <c r="GT120" i="2"/>
  <c r="GV119" i="2"/>
  <c r="GU119" i="2"/>
  <c r="GT119" i="2"/>
  <c r="GV118" i="2"/>
  <c r="GU118" i="2"/>
  <c r="GT118" i="2"/>
  <c r="GV115" i="2"/>
  <c r="GU115" i="2"/>
  <c r="GT115" i="2"/>
  <c r="GV114" i="2"/>
  <c r="GU114" i="2"/>
  <c r="GT114" i="2"/>
  <c r="GV113" i="2"/>
  <c r="GU113" i="2"/>
  <c r="GT113" i="2"/>
  <c r="GT112" i="2"/>
  <c r="GV111" i="2"/>
  <c r="GU111" i="2"/>
  <c r="GT111" i="2"/>
  <c r="GV110" i="2"/>
  <c r="GU110" i="2"/>
  <c r="GT110" i="2"/>
  <c r="GV109" i="2"/>
  <c r="GU109" i="2"/>
  <c r="GT109" i="2"/>
  <c r="GT108" i="2"/>
  <c r="GV107" i="2"/>
  <c r="GU107" i="2"/>
  <c r="GT107" i="2"/>
  <c r="GV106" i="2"/>
  <c r="GU106" i="2"/>
  <c r="GT106" i="2"/>
  <c r="GV105" i="2"/>
  <c r="GU105" i="2"/>
  <c r="GT105" i="2"/>
  <c r="GV104" i="2"/>
  <c r="GU104" i="2"/>
  <c r="GT104" i="2"/>
  <c r="GV103" i="2"/>
  <c r="GU103" i="2"/>
  <c r="GT103" i="2"/>
  <c r="GV102" i="2"/>
  <c r="GU102" i="2"/>
  <c r="GT102" i="2"/>
  <c r="GV101" i="2"/>
  <c r="GU101" i="2"/>
  <c r="GT101" i="2"/>
  <c r="GV100" i="2"/>
  <c r="GU100" i="2"/>
  <c r="GT100" i="2"/>
  <c r="GV99" i="2"/>
  <c r="GU99" i="2"/>
  <c r="GT99" i="2"/>
  <c r="GV98" i="2"/>
  <c r="GU98" i="2"/>
  <c r="GT98" i="2"/>
  <c r="GV97" i="2"/>
  <c r="GU97" i="2"/>
  <c r="GT97" i="2"/>
  <c r="GV96" i="2"/>
  <c r="GT96" i="2"/>
  <c r="GV95" i="2"/>
  <c r="GU95" i="2"/>
  <c r="GT95" i="2"/>
  <c r="GV94" i="2"/>
  <c r="GU94" i="2"/>
  <c r="GT94" i="2"/>
  <c r="GV92" i="2"/>
  <c r="GU92" i="2"/>
  <c r="GT92" i="2"/>
  <c r="GV91" i="2"/>
  <c r="GU91" i="2"/>
  <c r="GT91" i="2"/>
  <c r="GV90" i="2"/>
  <c r="GU90" i="2"/>
  <c r="GT90" i="2"/>
  <c r="GV89" i="2"/>
  <c r="GU89" i="2"/>
  <c r="GT89" i="2"/>
  <c r="GV88" i="2"/>
  <c r="GU88" i="2"/>
  <c r="GT88" i="2"/>
  <c r="GV87" i="2"/>
  <c r="GU87" i="2"/>
  <c r="GT87" i="2"/>
  <c r="GU86" i="2"/>
  <c r="GT86" i="2"/>
  <c r="GV85" i="2"/>
  <c r="GU85" i="2"/>
  <c r="GT85" i="2"/>
  <c r="GV84" i="2"/>
  <c r="GU84" i="2"/>
  <c r="GT84" i="2"/>
  <c r="GV83" i="2"/>
  <c r="GU83" i="2"/>
  <c r="GT83" i="2"/>
  <c r="GV82" i="2"/>
  <c r="GU82" i="2"/>
  <c r="GT82" i="2"/>
  <c r="GV81" i="2"/>
  <c r="GU81" i="2"/>
  <c r="GT81" i="2"/>
  <c r="GV80" i="2"/>
  <c r="GU80" i="2"/>
  <c r="GT80" i="2"/>
  <c r="GV79" i="2"/>
  <c r="GU79" i="2"/>
  <c r="GT79" i="2"/>
  <c r="GV78" i="2"/>
  <c r="GU78" i="2"/>
  <c r="GT78" i="2"/>
  <c r="GV77" i="2"/>
  <c r="GU77" i="2"/>
  <c r="GT77" i="2"/>
  <c r="GU76" i="2"/>
  <c r="GT76" i="2"/>
  <c r="GV75" i="2"/>
  <c r="GU75" i="2"/>
  <c r="GT75" i="2"/>
  <c r="GV74" i="2"/>
  <c r="GU74" i="2"/>
  <c r="GT74" i="2"/>
  <c r="GV73" i="2"/>
  <c r="GU73" i="2"/>
  <c r="GT73" i="2"/>
  <c r="GV72" i="2"/>
  <c r="GU72" i="2"/>
  <c r="GT72" i="2"/>
  <c r="GV71" i="2"/>
  <c r="GV70" i="2"/>
  <c r="GU70" i="2"/>
  <c r="GT70" i="2"/>
  <c r="GV69" i="2"/>
  <c r="GU69" i="2"/>
  <c r="GT69" i="2"/>
  <c r="GV68" i="2"/>
  <c r="GU68" i="2"/>
  <c r="GT68" i="2"/>
  <c r="GV67" i="2"/>
  <c r="GU67" i="2"/>
  <c r="GT67" i="2"/>
  <c r="GV66" i="2"/>
  <c r="GU66" i="2"/>
  <c r="GT66" i="2"/>
  <c r="GV65" i="2"/>
  <c r="GU65" i="2"/>
  <c r="GT65" i="2"/>
  <c r="GV64" i="2"/>
  <c r="GU64" i="2"/>
  <c r="GT64" i="2"/>
  <c r="GV63" i="2"/>
  <c r="GU63" i="2"/>
  <c r="GT63" i="2"/>
  <c r="GV62" i="2"/>
  <c r="GU62" i="2"/>
  <c r="GT62" i="2"/>
  <c r="GV61" i="2"/>
  <c r="GU61" i="2"/>
  <c r="GT61" i="2"/>
  <c r="GV60" i="2"/>
  <c r="GU60" i="2"/>
  <c r="GT60" i="2"/>
  <c r="GV59" i="2"/>
  <c r="GU59" i="2"/>
  <c r="GT59" i="2"/>
  <c r="GV58" i="2"/>
  <c r="GU58" i="2"/>
  <c r="GT58" i="2"/>
  <c r="GV57" i="2"/>
  <c r="GU57" i="2"/>
  <c r="GT57" i="2"/>
  <c r="GV56" i="2"/>
  <c r="GU56" i="2"/>
  <c r="GT56" i="2"/>
  <c r="GV55" i="2"/>
  <c r="GU55" i="2"/>
  <c r="GT55" i="2"/>
  <c r="GV54" i="2"/>
  <c r="GU54" i="2"/>
  <c r="GT54" i="2"/>
  <c r="GV53" i="2"/>
  <c r="GU53" i="2"/>
  <c r="GT53" i="2"/>
  <c r="GV52" i="2"/>
  <c r="GU52" i="2"/>
  <c r="GT52" i="2"/>
  <c r="GV51" i="2"/>
  <c r="GU51" i="2"/>
  <c r="GT51" i="2"/>
  <c r="GV50" i="2"/>
  <c r="GU50" i="2"/>
  <c r="GT50" i="2"/>
  <c r="GV49" i="2"/>
  <c r="GU49" i="2"/>
  <c r="GT49" i="2"/>
  <c r="GV48" i="2"/>
  <c r="GU48" i="2"/>
  <c r="GT48" i="2"/>
  <c r="GV47" i="2"/>
  <c r="HP17" i="2" s="1"/>
  <c r="GU47" i="2"/>
  <c r="HO17" i="2" s="1"/>
  <c r="GT47" i="2"/>
  <c r="HN17" i="2" s="1"/>
  <c r="GV46" i="2"/>
  <c r="GU46" i="2"/>
  <c r="GT46" i="2"/>
  <c r="GV45" i="2"/>
  <c r="GU45" i="2"/>
  <c r="GT45" i="2"/>
  <c r="GV44" i="2"/>
  <c r="GU44" i="2"/>
  <c r="GT44" i="2"/>
  <c r="GV43" i="2"/>
  <c r="GU43" i="2"/>
  <c r="GT43" i="2"/>
  <c r="GV42" i="2"/>
  <c r="GU42" i="2"/>
  <c r="GT42" i="2"/>
  <c r="GV41" i="2"/>
  <c r="GU41" i="2"/>
  <c r="GT41" i="2"/>
  <c r="GV40" i="2"/>
  <c r="GU40" i="2"/>
  <c r="GT40" i="2"/>
  <c r="GV39" i="2"/>
  <c r="GU39" i="2"/>
  <c r="GT39" i="2"/>
  <c r="GV38" i="2"/>
  <c r="GU38" i="2"/>
  <c r="GT38" i="2"/>
  <c r="GV37" i="2"/>
  <c r="GU37" i="2"/>
  <c r="GT37" i="2"/>
  <c r="GV36" i="2"/>
  <c r="GU36" i="2"/>
  <c r="GT36" i="2"/>
  <c r="GV35" i="2"/>
  <c r="GU35" i="2"/>
  <c r="GT35" i="2"/>
  <c r="GV34" i="2"/>
  <c r="GV33" i="2"/>
  <c r="GU33" i="2"/>
  <c r="GT33" i="2"/>
  <c r="GT31" i="2"/>
  <c r="GV30" i="2"/>
  <c r="GU30" i="2"/>
  <c r="GT30" i="2"/>
  <c r="GV29" i="2"/>
  <c r="GU29" i="2"/>
  <c r="GT29" i="2"/>
  <c r="GV28" i="2"/>
  <c r="GU28" i="2"/>
  <c r="GT28" i="2"/>
  <c r="GT27" i="2"/>
  <c r="GV26" i="2"/>
  <c r="GT26" i="2"/>
  <c r="GV25" i="2"/>
  <c r="GT25" i="2"/>
  <c r="GV24" i="2"/>
  <c r="GU24" i="2"/>
  <c r="GT24" i="2"/>
  <c r="GV23" i="2"/>
  <c r="GU23" i="2"/>
  <c r="GT23" i="2"/>
  <c r="GT22" i="2"/>
  <c r="GU21" i="2"/>
  <c r="GT21" i="2"/>
  <c r="GU20" i="2"/>
  <c r="GT20" i="2"/>
  <c r="GV19" i="2"/>
  <c r="GU19" i="2"/>
  <c r="GT19" i="2"/>
  <c r="GU18" i="2"/>
  <c r="GT18" i="2"/>
  <c r="GV17" i="2"/>
  <c r="GU17" i="2"/>
  <c r="GT17" i="2"/>
  <c r="GV14" i="2"/>
  <c r="GU14" i="2"/>
  <c r="GT14" i="2"/>
  <c r="GV13" i="2"/>
  <c r="GU13" i="2"/>
  <c r="GT13" i="2"/>
  <c r="GV12" i="2"/>
  <c r="GU12" i="2"/>
  <c r="GT12" i="2"/>
  <c r="GV11" i="2"/>
  <c r="GU11" i="2"/>
  <c r="GT11" i="2"/>
  <c r="GV10" i="2"/>
  <c r="GU10" i="2"/>
  <c r="GT10" i="2"/>
  <c r="GV9" i="2"/>
  <c r="GU9" i="2"/>
  <c r="GT9" i="2"/>
  <c r="GV8" i="2"/>
  <c r="GU8" i="2"/>
  <c r="GT8" i="2"/>
  <c r="GV7" i="2"/>
  <c r="GU7" i="2"/>
  <c r="GT7" i="2"/>
  <c r="GV6" i="2"/>
  <c r="HP7" i="2" s="1"/>
  <c r="GU6" i="2"/>
  <c r="HO7" i="2" s="1"/>
  <c r="GT6" i="2"/>
  <c r="HN7" i="2" s="1"/>
  <c r="GV5" i="2"/>
  <c r="HP5" i="2" s="1"/>
  <c r="GU5" i="2"/>
  <c r="HO5" i="2" s="1"/>
  <c r="GT5" i="2"/>
  <c r="HN5" i="2" s="1"/>
  <c r="ID37" i="2"/>
  <c r="ID36" i="2"/>
  <c r="ID35" i="2"/>
  <c r="ID34" i="2"/>
  <c r="ID31" i="2"/>
  <c r="ID29" i="2"/>
  <c r="ID27" i="2"/>
  <c r="ID25" i="2"/>
  <c r="ID23" i="2"/>
  <c r="ID21" i="2"/>
  <c r="ID19" i="2"/>
  <c r="ID17" i="2"/>
  <c r="ID15" i="2"/>
  <c r="ID11" i="2"/>
  <c r="GW22" i="2"/>
  <c r="FT22" i="2"/>
  <c r="FS22" i="2"/>
  <c r="GL22" i="2" s="1"/>
  <c r="FQ22" i="2"/>
  <c r="GJ22" i="2" s="1"/>
  <c r="FP22" i="2"/>
  <c r="GI22" i="2" s="1"/>
  <c r="FO22" i="2"/>
  <c r="FN22" i="2"/>
  <c r="FM22" i="2"/>
  <c r="FL22" i="2"/>
  <c r="FK22" i="2"/>
  <c r="FJ22" i="2"/>
  <c r="FI22" i="2"/>
  <c r="GB22" i="2" s="1"/>
  <c r="FH22" i="2"/>
  <c r="FG22" i="2"/>
  <c r="FF22" i="2"/>
  <c r="FY22" i="2" s="1"/>
  <c r="FE22" i="2"/>
  <c r="FX22" i="2" s="1"/>
  <c r="FD22" i="2"/>
  <c r="FC22" i="2"/>
  <c r="FB22" i="2"/>
  <c r="AY22" i="2"/>
  <c r="BH22" i="2" s="1"/>
  <c r="AD22" i="2"/>
  <c r="ID9" i="2"/>
  <c r="ID8" i="2"/>
  <c r="ID7" i="2"/>
  <c r="ID6" i="2"/>
  <c r="ID13" i="2"/>
  <c r="ID12" i="2"/>
  <c r="ID5" i="2"/>
  <c r="FT449" i="2"/>
  <c r="FS449" i="2"/>
  <c r="GL449" i="2" s="1"/>
  <c r="FQ449" i="2"/>
  <c r="GJ449" i="2" s="1"/>
  <c r="FP449" i="2"/>
  <c r="GI449" i="2" s="1"/>
  <c r="FO449" i="2"/>
  <c r="FN449" i="2"/>
  <c r="FM449" i="2"/>
  <c r="FL449" i="2"/>
  <c r="FK449" i="2"/>
  <c r="FJ449" i="2"/>
  <c r="FI449" i="2"/>
  <c r="GB449" i="2" s="1"/>
  <c r="FH449" i="2"/>
  <c r="FG449" i="2"/>
  <c r="FF449" i="2"/>
  <c r="FY449" i="2" s="1"/>
  <c r="FE449" i="2"/>
  <c r="FX449" i="2" s="1"/>
  <c r="FD449" i="2"/>
  <c r="FC449" i="2"/>
  <c r="FB449" i="2"/>
  <c r="EH449" i="2"/>
  <c r="EG449" i="2"/>
  <c r="EZ449" i="2" s="1"/>
  <c r="EE449" i="2"/>
  <c r="EX449" i="2" s="1"/>
  <c r="ED449" i="2"/>
  <c r="EW449" i="2" s="1"/>
  <c r="EC449" i="2"/>
  <c r="EB449" i="2"/>
  <c r="EA449" i="2"/>
  <c r="DZ449" i="2"/>
  <c r="DY449" i="2"/>
  <c r="DX449" i="2"/>
  <c r="DW449" i="2"/>
  <c r="EP449" i="2" s="1"/>
  <c r="DV449" i="2"/>
  <c r="DU449" i="2"/>
  <c r="DT449" i="2"/>
  <c r="EM449" i="2" s="1"/>
  <c r="DS449" i="2"/>
  <c r="EL449" i="2" s="1"/>
  <c r="DR449" i="2"/>
  <c r="DQ449" i="2"/>
  <c r="DP449" i="2"/>
  <c r="FT448" i="2"/>
  <c r="FS448" i="2"/>
  <c r="GL448" i="2" s="1"/>
  <c r="FQ448" i="2"/>
  <c r="GJ448" i="2" s="1"/>
  <c r="FP448" i="2"/>
  <c r="GI448" i="2" s="1"/>
  <c r="FO448" i="2"/>
  <c r="FN448" i="2"/>
  <c r="FM448" i="2"/>
  <c r="FL448" i="2"/>
  <c r="FK448" i="2"/>
  <c r="FJ448" i="2"/>
  <c r="FI448" i="2"/>
  <c r="GB448" i="2" s="1"/>
  <c r="FH448" i="2"/>
  <c r="FG448" i="2"/>
  <c r="FF448" i="2"/>
  <c r="FY448" i="2" s="1"/>
  <c r="FE448" i="2"/>
  <c r="FX448" i="2" s="1"/>
  <c r="FD448" i="2"/>
  <c r="FC448" i="2"/>
  <c r="FB448" i="2"/>
  <c r="EH448" i="2"/>
  <c r="EG448" i="2"/>
  <c r="EZ448" i="2" s="1"/>
  <c r="EE448" i="2"/>
  <c r="EX448" i="2" s="1"/>
  <c r="ED448" i="2"/>
  <c r="EW448" i="2" s="1"/>
  <c r="EC448" i="2"/>
  <c r="EB448" i="2"/>
  <c r="EA448" i="2"/>
  <c r="DZ448" i="2"/>
  <c r="DY448" i="2"/>
  <c r="DX448" i="2"/>
  <c r="DW448" i="2"/>
  <c r="EP448" i="2" s="1"/>
  <c r="DV448" i="2"/>
  <c r="DU448" i="2"/>
  <c r="DT448" i="2"/>
  <c r="EM448" i="2" s="1"/>
  <c r="DS448" i="2"/>
  <c r="EL448" i="2" s="1"/>
  <c r="DR448" i="2"/>
  <c r="DQ448" i="2"/>
  <c r="DP448" i="2"/>
  <c r="FT447" i="2"/>
  <c r="FS447" i="2"/>
  <c r="GL447" i="2" s="1"/>
  <c r="FQ447" i="2"/>
  <c r="GJ447" i="2" s="1"/>
  <c r="FP447" i="2"/>
  <c r="GI447" i="2" s="1"/>
  <c r="FO447" i="2"/>
  <c r="FN447" i="2"/>
  <c r="FM447" i="2"/>
  <c r="FL447" i="2"/>
  <c r="FK447" i="2"/>
  <c r="FJ447" i="2"/>
  <c r="FI447" i="2"/>
  <c r="GB447" i="2" s="1"/>
  <c r="FH447" i="2"/>
  <c r="FG447" i="2"/>
  <c r="FF447" i="2"/>
  <c r="FY447" i="2" s="1"/>
  <c r="FE447" i="2"/>
  <c r="FX447" i="2" s="1"/>
  <c r="FD447" i="2"/>
  <c r="FC447" i="2"/>
  <c r="FB447" i="2"/>
  <c r="EH447" i="2"/>
  <c r="EG447" i="2"/>
  <c r="EZ447" i="2" s="1"/>
  <c r="EE447" i="2"/>
  <c r="EX447" i="2" s="1"/>
  <c r="ED447" i="2"/>
  <c r="EW447" i="2" s="1"/>
  <c r="EC447" i="2"/>
  <c r="EB447" i="2"/>
  <c r="EA447" i="2"/>
  <c r="DZ447" i="2"/>
  <c r="DY447" i="2"/>
  <c r="DX447" i="2"/>
  <c r="DW447" i="2"/>
  <c r="EP447" i="2" s="1"/>
  <c r="DV447" i="2"/>
  <c r="DU447" i="2"/>
  <c r="DT447" i="2"/>
  <c r="EM447" i="2" s="1"/>
  <c r="DS447" i="2"/>
  <c r="EL447" i="2" s="1"/>
  <c r="DR447" i="2"/>
  <c r="DQ447" i="2"/>
  <c r="DP447" i="2"/>
  <c r="FT446" i="2"/>
  <c r="FS446" i="2"/>
  <c r="GL446" i="2" s="1"/>
  <c r="FQ446" i="2"/>
  <c r="GJ446" i="2" s="1"/>
  <c r="FP446" i="2"/>
  <c r="GI446" i="2" s="1"/>
  <c r="FO446" i="2"/>
  <c r="FN446" i="2"/>
  <c r="FM446" i="2"/>
  <c r="FL446" i="2"/>
  <c r="FK446" i="2"/>
  <c r="FJ446" i="2"/>
  <c r="FI446" i="2"/>
  <c r="GB446" i="2" s="1"/>
  <c r="FH446" i="2"/>
  <c r="FG446" i="2"/>
  <c r="FF446" i="2"/>
  <c r="FY446" i="2" s="1"/>
  <c r="FE446" i="2"/>
  <c r="FX446" i="2" s="1"/>
  <c r="FD446" i="2"/>
  <c r="FC446" i="2"/>
  <c r="FB446" i="2"/>
  <c r="EH446" i="2"/>
  <c r="EG446" i="2"/>
  <c r="EZ446" i="2" s="1"/>
  <c r="EE446" i="2"/>
  <c r="EX446" i="2" s="1"/>
  <c r="ED446" i="2"/>
  <c r="EW446" i="2" s="1"/>
  <c r="EC446" i="2"/>
  <c r="EB446" i="2"/>
  <c r="EA446" i="2"/>
  <c r="DZ446" i="2"/>
  <c r="DY446" i="2"/>
  <c r="DX446" i="2"/>
  <c r="DW446" i="2"/>
  <c r="EP446" i="2" s="1"/>
  <c r="DV446" i="2"/>
  <c r="DU446" i="2"/>
  <c r="DT446" i="2"/>
  <c r="EM446" i="2" s="1"/>
  <c r="DS446" i="2"/>
  <c r="EL446" i="2" s="1"/>
  <c r="DR446" i="2"/>
  <c r="DQ446" i="2"/>
  <c r="DP446" i="2"/>
  <c r="FT445" i="2"/>
  <c r="FS445" i="2"/>
  <c r="GL445" i="2" s="1"/>
  <c r="FQ445" i="2"/>
  <c r="GJ445" i="2" s="1"/>
  <c r="FP445" i="2"/>
  <c r="GI445" i="2" s="1"/>
  <c r="FO445" i="2"/>
  <c r="FN445" i="2"/>
  <c r="FM445" i="2"/>
  <c r="FL445" i="2"/>
  <c r="FK445" i="2"/>
  <c r="FJ445" i="2"/>
  <c r="FI445" i="2"/>
  <c r="GB445" i="2" s="1"/>
  <c r="FH445" i="2"/>
  <c r="FG445" i="2"/>
  <c r="FF445" i="2"/>
  <c r="FY445" i="2" s="1"/>
  <c r="FE445" i="2"/>
  <c r="FX445" i="2" s="1"/>
  <c r="FD445" i="2"/>
  <c r="FC445" i="2"/>
  <c r="FB445" i="2"/>
  <c r="EH445" i="2"/>
  <c r="EG445" i="2"/>
  <c r="EZ445" i="2" s="1"/>
  <c r="EE445" i="2"/>
  <c r="EX445" i="2" s="1"/>
  <c r="ED445" i="2"/>
  <c r="EW445" i="2" s="1"/>
  <c r="EC445" i="2"/>
  <c r="EB445" i="2"/>
  <c r="EA445" i="2"/>
  <c r="DZ445" i="2"/>
  <c r="DY445" i="2"/>
  <c r="DX445" i="2"/>
  <c r="DW445" i="2"/>
  <c r="EP445" i="2" s="1"/>
  <c r="DV445" i="2"/>
  <c r="DU445" i="2"/>
  <c r="DT445" i="2"/>
  <c r="EM445" i="2" s="1"/>
  <c r="DS445" i="2"/>
  <c r="EL445" i="2" s="1"/>
  <c r="DR445" i="2"/>
  <c r="DQ445" i="2"/>
  <c r="DP445" i="2"/>
  <c r="FT345" i="2"/>
  <c r="FS345" i="2"/>
  <c r="GL345" i="2" s="1"/>
  <c r="FQ345" i="2"/>
  <c r="GJ345" i="2" s="1"/>
  <c r="FP345" i="2"/>
  <c r="GI345" i="2" s="1"/>
  <c r="FO345" i="2"/>
  <c r="FN345" i="2"/>
  <c r="FM345" i="2"/>
  <c r="FL345" i="2"/>
  <c r="FK345" i="2"/>
  <c r="FJ345" i="2"/>
  <c r="FI345" i="2"/>
  <c r="GB345" i="2" s="1"/>
  <c r="FH345" i="2"/>
  <c r="FG345" i="2"/>
  <c r="FF345" i="2"/>
  <c r="FY345" i="2" s="1"/>
  <c r="FE345" i="2"/>
  <c r="FX345" i="2" s="1"/>
  <c r="FD345" i="2"/>
  <c r="FC345" i="2"/>
  <c r="FB345" i="2"/>
  <c r="EH345" i="2"/>
  <c r="EG345" i="2"/>
  <c r="EZ345" i="2" s="1"/>
  <c r="EE345" i="2"/>
  <c r="EX345" i="2" s="1"/>
  <c r="ED345" i="2"/>
  <c r="EW345" i="2" s="1"/>
  <c r="EC345" i="2"/>
  <c r="EB345" i="2"/>
  <c r="EA345" i="2"/>
  <c r="DZ345" i="2"/>
  <c r="DY345" i="2"/>
  <c r="DX345" i="2"/>
  <c r="DW345" i="2"/>
  <c r="EP345" i="2" s="1"/>
  <c r="DV345" i="2"/>
  <c r="DU345" i="2"/>
  <c r="DT345" i="2"/>
  <c r="EM345" i="2" s="1"/>
  <c r="DS345" i="2"/>
  <c r="EL345" i="2" s="1"/>
  <c r="DR345" i="2"/>
  <c r="DQ345" i="2"/>
  <c r="DP345" i="2"/>
  <c r="FT561" i="2"/>
  <c r="FS561" i="2"/>
  <c r="GL561" i="2" s="1"/>
  <c r="FQ561" i="2"/>
  <c r="GJ561" i="2" s="1"/>
  <c r="FP561" i="2"/>
  <c r="GI561" i="2" s="1"/>
  <c r="FO561" i="2"/>
  <c r="FN561" i="2"/>
  <c r="FM561" i="2"/>
  <c r="FL561" i="2"/>
  <c r="FK561" i="2"/>
  <c r="FJ561" i="2"/>
  <c r="FI561" i="2"/>
  <c r="GB561" i="2" s="1"/>
  <c r="FH561" i="2"/>
  <c r="FG561" i="2"/>
  <c r="FF561" i="2"/>
  <c r="FY561" i="2" s="1"/>
  <c r="FE561" i="2"/>
  <c r="FX561" i="2" s="1"/>
  <c r="FD561" i="2"/>
  <c r="FC561" i="2"/>
  <c r="FB561" i="2"/>
  <c r="EH561" i="2"/>
  <c r="EG561" i="2"/>
  <c r="EZ561" i="2" s="1"/>
  <c r="EE561" i="2"/>
  <c r="EX561" i="2" s="1"/>
  <c r="ED561" i="2"/>
  <c r="EW561" i="2" s="1"/>
  <c r="EC561" i="2"/>
  <c r="EB561" i="2"/>
  <c r="EA561" i="2"/>
  <c r="DZ561" i="2"/>
  <c r="DY561" i="2"/>
  <c r="DX561" i="2"/>
  <c r="DW561" i="2"/>
  <c r="EP561" i="2" s="1"/>
  <c r="DV561" i="2"/>
  <c r="DU561" i="2"/>
  <c r="DT561" i="2"/>
  <c r="EM561" i="2" s="1"/>
  <c r="DS561" i="2"/>
  <c r="EL561" i="2" s="1"/>
  <c r="DR561" i="2"/>
  <c r="DQ561" i="2"/>
  <c r="DP561" i="2"/>
  <c r="FT26" i="2"/>
  <c r="FS26" i="2"/>
  <c r="GL26" i="2" s="1"/>
  <c r="FQ26" i="2"/>
  <c r="GJ26" i="2" s="1"/>
  <c r="FP26" i="2"/>
  <c r="GI26" i="2" s="1"/>
  <c r="FO26" i="2"/>
  <c r="FN26" i="2"/>
  <c r="FM26" i="2"/>
  <c r="FL26" i="2"/>
  <c r="FK26" i="2"/>
  <c r="FJ26" i="2"/>
  <c r="FI26" i="2"/>
  <c r="GB26" i="2" s="1"/>
  <c r="FH26" i="2"/>
  <c r="FG26" i="2"/>
  <c r="FF26" i="2"/>
  <c r="FY26" i="2" s="1"/>
  <c r="FE26" i="2"/>
  <c r="FX26" i="2" s="1"/>
  <c r="FD26" i="2"/>
  <c r="FC26" i="2"/>
  <c r="FB26" i="2"/>
  <c r="FT25" i="2"/>
  <c r="FS25" i="2"/>
  <c r="GL25" i="2" s="1"/>
  <c r="FQ25" i="2"/>
  <c r="GJ25" i="2" s="1"/>
  <c r="FP25" i="2"/>
  <c r="GI25" i="2" s="1"/>
  <c r="FO25" i="2"/>
  <c r="FN25" i="2"/>
  <c r="FM25" i="2"/>
  <c r="FL25" i="2"/>
  <c r="FK25" i="2"/>
  <c r="FJ25" i="2"/>
  <c r="FI25" i="2"/>
  <c r="GB25" i="2" s="1"/>
  <c r="FH25" i="2"/>
  <c r="FG25" i="2"/>
  <c r="FF25" i="2"/>
  <c r="FY25" i="2" s="1"/>
  <c r="FE25" i="2"/>
  <c r="FX25" i="2" s="1"/>
  <c r="FD25" i="2"/>
  <c r="FC25" i="2"/>
  <c r="FB25" i="2"/>
  <c r="FT138" i="2"/>
  <c r="FS138" i="2"/>
  <c r="GL138" i="2" s="1"/>
  <c r="FQ138" i="2"/>
  <c r="GJ138" i="2" s="1"/>
  <c r="FP138" i="2"/>
  <c r="GI138" i="2" s="1"/>
  <c r="FO138" i="2"/>
  <c r="FN138" i="2"/>
  <c r="FM138" i="2"/>
  <c r="FL138" i="2"/>
  <c r="FK138" i="2"/>
  <c r="FJ138" i="2"/>
  <c r="FI138" i="2"/>
  <c r="GB138" i="2" s="1"/>
  <c r="FH138" i="2"/>
  <c r="FG138" i="2"/>
  <c r="FF138" i="2"/>
  <c r="FY138" i="2" s="1"/>
  <c r="FE138" i="2"/>
  <c r="FX138" i="2" s="1"/>
  <c r="FD138" i="2"/>
  <c r="FC138" i="2"/>
  <c r="FB138" i="2"/>
  <c r="EH138" i="2"/>
  <c r="EG138" i="2"/>
  <c r="EZ138" i="2" s="1"/>
  <c r="EE138" i="2"/>
  <c r="EX138" i="2" s="1"/>
  <c r="ED138" i="2"/>
  <c r="EW138" i="2" s="1"/>
  <c r="EC138" i="2"/>
  <c r="EB138" i="2"/>
  <c r="EA138" i="2"/>
  <c r="DZ138" i="2"/>
  <c r="DY138" i="2"/>
  <c r="DX138" i="2"/>
  <c r="DW138" i="2"/>
  <c r="EP138" i="2" s="1"/>
  <c r="DV138" i="2"/>
  <c r="DU138" i="2"/>
  <c r="DT138" i="2"/>
  <c r="EM138" i="2" s="1"/>
  <c r="DS138" i="2"/>
  <c r="EL138" i="2" s="1"/>
  <c r="DR138" i="2"/>
  <c r="DQ138" i="2"/>
  <c r="DP138" i="2"/>
  <c r="FT626" i="2"/>
  <c r="FS626" i="2"/>
  <c r="GL626" i="2" s="1"/>
  <c r="FQ626" i="2"/>
  <c r="GJ626" i="2" s="1"/>
  <c r="FP626" i="2"/>
  <c r="GI626" i="2" s="1"/>
  <c r="FO626" i="2"/>
  <c r="FN626" i="2"/>
  <c r="FM626" i="2"/>
  <c r="FL626" i="2"/>
  <c r="FK626" i="2"/>
  <c r="FJ626" i="2"/>
  <c r="FI626" i="2"/>
  <c r="GB626" i="2" s="1"/>
  <c r="FH626" i="2"/>
  <c r="FG626" i="2"/>
  <c r="FF626" i="2"/>
  <c r="FY626" i="2" s="1"/>
  <c r="FE626" i="2"/>
  <c r="FX626" i="2" s="1"/>
  <c r="FD626" i="2"/>
  <c r="FC626" i="2"/>
  <c r="FB626" i="2"/>
  <c r="FT625" i="2"/>
  <c r="FS625" i="2"/>
  <c r="GL625" i="2" s="1"/>
  <c r="FQ625" i="2"/>
  <c r="GJ625" i="2" s="1"/>
  <c r="FP625" i="2"/>
  <c r="GI625" i="2" s="1"/>
  <c r="FO625" i="2"/>
  <c r="FN625" i="2"/>
  <c r="FM625" i="2"/>
  <c r="FL625" i="2"/>
  <c r="FK625" i="2"/>
  <c r="FJ625" i="2"/>
  <c r="FI625" i="2"/>
  <c r="GB625" i="2" s="1"/>
  <c r="FH625" i="2"/>
  <c r="FG625" i="2"/>
  <c r="FF625" i="2"/>
  <c r="FY625" i="2" s="1"/>
  <c r="FE625" i="2"/>
  <c r="FX625" i="2" s="1"/>
  <c r="FD625" i="2"/>
  <c r="FC625" i="2"/>
  <c r="FB625" i="2"/>
  <c r="FT575" i="2"/>
  <c r="FS575" i="2"/>
  <c r="GL575" i="2" s="1"/>
  <c r="FQ575" i="2"/>
  <c r="GJ575" i="2" s="1"/>
  <c r="FP575" i="2"/>
  <c r="GI575" i="2" s="1"/>
  <c r="FO575" i="2"/>
  <c r="FN575" i="2"/>
  <c r="FM575" i="2"/>
  <c r="FL575" i="2"/>
  <c r="FK575" i="2"/>
  <c r="FJ575" i="2"/>
  <c r="FI575" i="2"/>
  <c r="GB575" i="2" s="1"/>
  <c r="FH575" i="2"/>
  <c r="FG575" i="2"/>
  <c r="FF575" i="2"/>
  <c r="FY575" i="2" s="1"/>
  <c r="FE575" i="2"/>
  <c r="FX575" i="2" s="1"/>
  <c r="FD575" i="2"/>
  <c r="FC575" i="2"/>
  <c r="FB575" i="2"/>
  <c r="FT564" i="2"/>
  <c r="FS564" i="2"/>
  <c r="GL564" i="2" s="1"/>
  <c r="FQ564" i="2"/>
  <c r="GJ564" i="2" s="1"/>
  <c r="FP564" i="2"/>
  <c r="GI564" i="2" s="1"/>
  <c r="FO564" i="2"/>
  <c r="FN564" i="2"/>
  <c r="FM564" i="2"/>
  <c r="FL564" i="2"/>
  <c r="FK564" i="2"/>
  <c r="FJ564" i="2"/>
  <c r="FI564" i="2"/>
  <c r="GB564" i="2" s="1"/>
  <c r="FH564" i="2"/>
  <c r="FG564" i="2"/>
  <c r="FF564" i="2"/>
  <c r="FY564" i="2" s="1"/>
  <c r="FE564" i="2"/>
  <c r="FX564" i="2" s="1"/>
  <c r="FD564" i="2"/>
  <c r="FC564" i="2"/>
  <c r="FB564" i="2"/>
  <c r="FT563" i="2"/>
  <c r="FS563" i="2"/>
  <c r="GL563" i="2" s="1"/>
  <c r="FQ563" i="2"/>
  <c r="GJ563" i="2" s="1"/>
  <c r="FP563" i="2"/>
  <c r="GI563" i="2" s="1"/>
  <c r="FO563" i="2"/>
  <c r="FN563" i="2"/>
  <c r="FM563" i="2"/>
  <c r="FL563" i="2"/>
  <c r="FK563" i="2"/>
  <c r="FJ563" i="2"/>
  <c r="FI563" i="2"/>
  <c r="GB563" i="2" s="1"/>
  <c r="FH563" i="2"/>
  <c r="FG563" i="2"/>
  <c r="FF563" i="2"/>
  <c r="FY563" i="2" s="1"/>
  <c r="FE563" i="2"/>
  <c r="FX563" i="2" s="1"/>
  <c r="FD563" i="2"/>
  <c r="FC563" i="2"/>
  <c r="FB563" i="2"/>
  <c r="EH563" i="2"/>
  <c r="EG563" i="2"/>
  <c r="EZ563" i="2" s="1"/>
  <c r="EE563" i="2"/>
  <c r="EX563" i="2" s="1"/>
  <c r="ED563" i="2"/>
  <c r="EW563" i="2" s="1"/>
  <c r="EC563" i="2"/>
  <c r="EB563" i="2"/>
  <c r="EA563" i="2"/>
  <c r="DZ563" i="2"/>
  <c r="DY563" i="2"/>
  <c r="DX563" i="2"/>
  <c r="DW563" i="2"/>
  <c r="EP563" i="2" s="1"/>
  <c r="DV563" i="2"/>
  <c r="DU563" i="2"/>
  <c r="DT563" i="2"/>
  <c r="EM563" i="2" s="1"/>
  <c r="DS563" i="2"/>
  <c r="EL563" i="2" s="1"/>
  <c r="DR563" i="2"/>
  <c r="DQ563" i="2"/>
  <c r="DP563" i="2"/>
  <c r="FT568" i="2"/>
  <c r="FS568" i="2"/>
  <c r="GL568" i="2" s="1"/>
  <c r="FQ568" i="2"/>
  <c r="GJ568" i="2" s="1"/>
  <c r="FP568" i="2"/>
  <c r="GI568" i="2" s="1"/>
  <c r="FO568" i="2"/>
  <c r="FN568" i="2"/>
  <c r="FM568" i="2"/>
  <c r="FL568" i="2"/>
  <c r="FK568" i="2"/>
  <c r="FJ568" i="2"/>
  <c r="FI568" i="2"/>
  <c r="GB568" i="2" s="1"/>
  <c r="FH568" i="2"/>
  <c r="FG568" i="2"/>
  <c r="FF568" i="2"/>
  <c r="FY568" i="2" s="1"/>
  <c r="FE568" i="2"/>
  <c r="FX568" i="2" s="1"/>
  <c r="FD568" i="2"/>
  <c r="FC568" i="2"/>
  <c r="FB568" i="2"/>
  <c r="FT619" i="2"/>
  <c r="FS619" i="2"/>
  <c r="GL619" i="2" s="1"/>
  <c r="FQ619" i="2"/>
  <c r="GJ619" i="2" s="1"/>
  <c r="FP619" i="2"/>
  <c r="GI619" i="2" s="1"/>
  <c r="FO619" i="2"/>
  <c r="FN619" i="2"/>
  <c r="FM619" i="2"/>
  <c r="FL619" i="2"/>
  <c r="FK619" i="2"/>
  <c r="FJ619" i="2"/>
  <c r="FI619" i="2"/>
  <c r="GB619" i="2" s="1"/>
  <c r="FH619" i="2"/>
  <c r="FG619" i="2"/>
  <c r="FF619" i="2"/>
  <c r="FY619" i="2" s="1"/>
  <c r="FE619" i="2"/>
  <c r="FX619" i="2" s="1"/>
  <c r="FD619" i="2"/>
  <c r="FC619" i="2"/>
  <c r="FB619" i="2"/>
  <c r="FT562" i="2"/>
  <c r="FS562" i="2"/>
  <c r="GL562" i="2" s="1"/>
  <c r="FQ562" i="2"/>
  <c r="GJ562" i="2" s="1"/>
  <c r="FP562" i="2"/>
  <c r="GI562" i="2" s="1"/>
  <c r="FO562" i="2"/>
  <c r="FN562" i="2"/>
  <c r="FM562" i="2"/>
  <c r="FL562" i="2"/>
  <c r="FK562" i="2"/>
  <c r="FJ562" i="2"/>
  <c r="FI562" i="2"/>
  <c r="GB562" i="2" s="1"/>
  <c r="FH562" i="2"/>
  <c r="FG562" i="2"/>
  <c r="FF562" i="2"/>
  <c r="FY562" i="2" s="1"/>
  <c r="FE562" i="2"/>
  <c r="FX562" i="2" s="1"/>
  <c r="FD562" i="2"/>
  <c r="FC562" i="2"/>
  <c r="FB562" i="2"/>
  <c r="FT567" i="2"/>
  <c r="FS567" i="2"/>
  <c r="GL567" i="2" s="1"/>
  <c r="FQ567" i="2"/>
  <c r="GJ567" i="2" s="1"/>
  <c r="FP567" i="2"/>
  <c r="GI567" i="2" s="1"/>
  <c r="FO567" i="2"/>
  <c r="FN567" i="2"/>
  <c r="FM567" i="2"/>
  <c r="FL567" i="2"/>
  <c r="FK567" i="2"/>
  <c r="FJ567" i="2"/>
  <c r="FI567" i="2"/>
  <c r="GB567" i="2" s="1"/>
  <c r="FH567" i="2"/>
  <c r="FG567" i="2"/>
  <c r="FF567" i="2"/>
  <c r="FY567" i="2" s="1"/>
  <c r="FE567" i="2"/>
  <c r="FX567" i="2" s="1"/>
  <c r="FD567" i="2"/>
  <c r="FC567" i="2"/>
  <c r="FB567" i="2"/>
  <c r="FT508" i="2"/>
  <c r="FS508" i="2"/>
  <c r="GL508" i="2" s="1"/>
  <c r="FQ508" i="2"/>
  <c r="GJ508" i="2" s="1"/>
  <c r="FP508" i="2"/>
  <c r="GI508" i="2" s="1"/>
  <c r="FO508" i="2"/>
  <c r="FN508" i="2"/>
  <c r="FM508" i="2"/>
  <c r="FL508" i="2"/>
  <c r="FK508" i="2"/>
  <c r="FJ508" i="2"/>
  <c r="FI508" i="2"/>
  <c r="GB508" i="2" s="1"/>
  <c r="FH508" i="2"/>
  <c r="FG508" i="2"/>
  <c r="FF508" i="2"/>
  <c r="FY508" i="2" s="1"/>
  <c r="FE508" i="2"/>
  <c r="FX508" i="2" s="1"/>
  <c r="FD508" i="2"/>
  <c r="FC508" i="2"/>
  <c r="FB508" i="2"/>
  <c r="EH508" i="2"/>
  <c r="EG508" i="2"/>
  <c r="EZ508" i="2" s="1"/>
  <c r="EE508" i="2"/>
  <c r="EX508" i="2" s="1"/>
  <c r="ED508" i="2"/>
  <c r="EW508" i="2" s="1"/>
  <c r="EC508" i="2"/>
  <c r="EB508" i="2"/>
  <c r="EA508" i="2"/>
  <c r="DZ508" i="2"/>
  <c r="DY508" i="2"/>
  <c r="DX508" i="2"/>
  <c r="DW508" i="2"/>
  <c r="EP508" i="2" s="1"/>
  <c r="DV508" i="2"/>
  <c r="DU508" i="2"/>
  <c r="DT508" i="2"/>
  <c r="EM508" i="2" s="1"/>
  <c r="DS508" i="2"/>
  <c r="EL508" i="2" s="1"/>
  <c r="DR508" i="2"/>
  <c r="DQ508" i="2"/>
  <c r="DP508" i="2"/>
  <c r="FT618" i="2"/>
  <c r="FS618" i="2"/>
  <c r="GL618" i="2" s="1"/>
  <c r="FQ618" i="2"/>
  <c r="GJ618" i="2" s="1"/>
  <c r="FP618" i="2"/>
  <c r="GI618" i="2" s="1"/>
  <c r="FO618" i="2"/>
  <c r="FN618" i="2"/>
  <c r="FM618" i="2"/>
  <c r="FL618" i="2"/>
  <c r="FK618" i="2"/>
  <c r="FJ618" i="2"/>
  <c r="FI618" i="2"/>
  <c r="GB618" i="2" s="1"/>
  <c r="FH618" i="2"/>
  <c r="FG618" i="2"/>
  <c r="FF618" i="2"/>
  <c r="FY618" i="2" s="1"/>
  <c r="FE618" i="2"/>
  <c r="FX618" i="2" s="1"/>
  <c r="FD618" i="2"/>
  <c r="FC618" i="2"/>
  <c r="FB618" i="2"/>
  <c r="FT566" i="2"/>
  <c r="FS566" i="2"/>
  <c r="GL566" i="2" s="1"/>
  <c r="FQ566" i="2"/>
  <c r="GJ566" i="2" s="1"/>
  <c r="FP566" i="2"/>
  <c r="GI566" i="2" s="1"/>
  <c r="FO566" i="2"/>
  <c r="FN566" i="2"/>
  <c r="FM566" i="2"/>
  <c r="FL566" i="2"/>
  <c r="FK566" i="2"/>
  <c r="FJ566" i="2"/>
  <c r="FI566" i="2"/>
  <c r="GB566" i="2" s="1"/>
  <c r="FH566" i="2"/>
  <c r="FG566" i="2"/>
  <c r="FF566" i="2"/>
  <c r="FY566" i="2" s="1"/>
  <c r="FE566" i="2"/>
  <c r="FX566" i="2" s="1"/>
  <c r="FD566" i="2"/>
  <c r="FC566" i="2"/>
  <c r="FB566" i="2"/>
  <c r="FT507" i="2"/>
  <c r="FS507" i="2"/>
  <c r="GL507" i="2" s="1"/>
  <c r="FQ507" i="2"/>
  <c r="GJ507" i="2" s="1"/>
  <c r="FP507" i="2"/>
  <c r="GI507" i="2" s="1"/>
  <c r="FO507" i="2"/>
  <c r="FN507" i="2"/>
  <c r="FM507" i="2"/>
  <c r="FL507" i="2"/>
  <c r="FK507" i="2"/>
  <c r="FJ507" i="2"/>
  <c r="FI507" i="2"/>
  <c r="GB507" i="2" s="1"/>
  <c r="FH507" i="2"/>
  <c r="FG507" i="2"/>
  <c r="FF507" i="2"/>
  <c r="FY507" i="2" s="1"/>
  <c r="FE507" i="2"/>
  <c r="FX507" i="2" s="1"/>
  <c r="FD507" i="2"/>
  <c r="FC507" i="2"/>
  <c r="FB507" i="2"/>
  <c r="EH507" i="2"/>
  <c r="EG507" i="2"/>
  <c r="EZ507" i="2" s="1"/>
  <c r="EE507" i="2"/>
  <c r="EX507" i="2" s="1"/>
  <c r="ED507" i="2"/>
  <c r="EW507" i="2" s="1"/>
  <c r="EC507" i="2"/>
  <c r="EB507" i="2"/>
  <c r="EA507" i="2"/>
  <c r="DZ507" i="2"/>
  <c r="DY507" i="2"/>
  <c r="DX507" i="2"/>
  <c r="DW507" i="2"/>
  <c r="EP507" i="2" s="1"/>
  <c r="DV507" i="2"/>
  <c r="DU507" i="2"/>
  <c r="DT507" i="2"/>
  <c r="EM507" i="2" s="1"/>
  <c r="DS507" i="2"/>
  <c r="EL507" i="2" s="1"/>
  <c r="DR507" i="2"/>
  <c r="DQ507" i="2"/>
  <c r="DP507" i="2"/>
  <c r="FT506" i="2"/>
  <c r="FS506" i="2"/>
  <c r="GL506" i="2" s="1"/>
  <c r="FQ506" i="2"/>
  <c r="GJ506" i="2" s="1"/>
  <c r="FP506" i="2"/>
  <c r="GI506" i="2" s="1"/>
  <c r="FO506" i="2"/>
  <c r="FN506" i="2"/>
  <c r="FM506" i="2"/>
  <c r="FL506" i="2"/>
  <c r="FK506" i="2"/>
  <c r="FJ506" i="2"/>
  <c r="FI506" i="2"/>
  <c r="GB506" i="2" s="1"/>
  <c r="FH506" i="2"/>
  <c r="FG506" i="2"/>
  <c r="FF506" i="2"/>
  <c r="FY506" i="2" s="1"/>
  <c r="FE506" i="2"/>
  <c r="FX506" i="2" s="1"/>
  <c r="FD506" i="2"/>
  <c r="FC506" i="2"/>
  <c r="FB506" i="2"/>
  <c r="EH506" i="2"/>
  <c r="EG506" i="2"/>
  <c r="EZ506" i="2" s="1"/>
  <c r="EE506" i="2"/>
  <c r="EX506" i="2" s="1"/>
  <c r="ED506" i="2"/>
  <c r="EW506" i="2" s="1"/>
  <c r="EC506" i="2"/>
  <c r="EB506" i="2"/>
  <c r="EA506" i="2"/>
  <c r="DZ506" i="2"/>
  <c r="DY506" i="2"/>
  <c r="DX506" i="2"/>
  <c r="DW506" i="2"/>
  <c r="EP506" i="2" s="1"/>
  <c r="DV506" i="2"/>
  <c r="DU506" i="2"/>
  <c r="DT506" i="2"/>
  <c r="EM506" i="2" s="1"/>
  <c r="DS506" i="2"/>
  <c r="EL506" i="2" s="1"/>
  <c r="DR506" i="2"/>
  <c r="DQ506" i="2"/>
  <c r="DP506" i="2"/>
  <c r="FT565" i="2"/>
  <c r="FS565" i="2"/>
  <c r="GL565" i="2" s="1"/>
  <c r="FQ565" i="2"/>
  <c r="GJ565" i="2" s="1"/>
  <c r="FP565" i="2"/>
  <c r="GI565" i="2" s="1"/>
  <c r="FO565" i="2"/>
  <c r="FN565" i="2"/>
  <c r="FM565" i="2"/>
  <c r="FL565" i="2"/>
  <c r="FK565" i="2"/>
  <c r="FJ565" i="2"/>
  <c r="FI565" i="2"/>
  <c r="GB565" i="2" s="1"/>
  <c r="FH565" i="2"/>
  <c r="FG565" i="2"/>
  <c r="FF565" i="2"/>
  <c r="FY565" i="2" s="1"/>
  <c r="FE565" i="2"/>
  <c r="FX565" i="2" s="1"/>
  <c r="FD565" i="2"/>
  <c r="FC565" i="2"/>
  <c r="FB565" i="2"/>
  <c r="FT505" i="2"/>
  <c r="FS505" i="2"/>
  <c r="GL505" i="2" s="1"/>
  <c r="FQ505" i="2"/>
  <c r="GJ505" i="2" s="1"/>
  <c r="FP505" i="2"/>
  <c r="GI505" i="2" s="1"/>
  <c r="FO505" i="2"/>
  <c r="FN505" i="2"/>
  <c r="FM505" i="2"/>
  <c r="FL505" i="2"/>
  <c r="FK505" i="2"/>
  <c r="FJ505" i="2"/>
  <c r="FI505" i="2"/>
  <c r="GB505" i="2" s="1"/>
  <c r="FH505" i="2"/>
  <c r="FG505" i="2"/>
  <c r="FF505" i="2"/>
  <c r="FY505" i="2" s="1"/>
  <c r="FE505" i="2"/>
  <c r="FX505" i="2" s="1"/>
  <c r="FD505" i="2"/>
  <c r="FC505" i="2"/>
  <c r="FB505" i="2"/>
  <c r="EH505" i="2"/>
  <c r="EG505" i="2"/>
  <c r="EZ505" i="2" s="1"/>
  <c r="EE505" i="2"/>
  <c r="EX505" i="2" s="1"/>
  <c r="ED505" i="2"/>
  <c r="EW505" i="2" s="1"/>
  <c r="EC505" i="2"/>
  <c r="EB505" i="2"/>
  <c r="EA505" i="2"/>
  <c r="DW505" i="2"/>
  <c r="EP505" i="2" s="1"/>
  <c r="DV505" i="2"/>
  <c r="DU505" i="2"/>
  <c r="DT505" i="2"/>
  <c r="EM505" i="2" s="1"/>
  <c r="DS505" i="2"/>
  <c r="EL505" i="2" s="1"/>
  <c r="DP505" i="2"/>
  <c r="FT504" i="2"/>
  <c r="FS504" i="2"/>
  <c r="GL504" i="2" s="1"/>
  <c r="FQ504" i="2"/>
  <c r="GJ504" i="2" s="1"/>
  <c r="FP504" i="2"/>
  <c r="GI504" i="2" s="1"/>
  <c r="FO504" i="2"/>
  <c r="FN504" i="2"/>
  <c r="FM504" i="2"/>
  <c r="FL504" i="2"/>
  <c r="FK504" i="2"/>
  <c r="FJ504" i="2"/>
  <c r="FI504" i="2"/>
  <c r="GB504" i="2" s="1"/>
  <c r="FH504" i="2"/>
  <c r="FG504" i="2"/>
  <c r="FF504" i="2"/>
  <c r="FY504" i="2" s="1"/>
  <c r="FE504" i="2"/>
  <c r="FX504" i="2" s="1"/>
  <c r="FD504" i="2"/>
  <c r="FC504" i="2"/>
  <c r="FB504" i="2"/>
  <c r="EH504" i="2"/>
  <c r="EG504" i="2"/>
  <c r="EZ504" i="2" s="1"/>
  <c r="EE504" i="2"/>
  <c r="EX504" i="2" s="1"/>
  <c r="ED504" i="2"/>
  <c r="EW504" i="2" s="1"/>
  <c r="EC504" i="2"/>
  <c r="EB504" i="2"/>
  <c r="EA504" i="2"/>
  <c r="DW504" i="2"/>
  <c r="EP504" i="2" s="1"/>
  <c r="DV504" i="2"/>
  <c r="DU504" i="2"/>
  <c r="DT504" i="2"/>
  <c r="EM504" i="2" s="1"/>
  <c r="DS504" i="2"/>
  <c r="EL504" i="2" s="1"/>
  <c r="DP504" i="2"/>
  <c r="FT503" i="2"/>
  <c r="FS503" i="2"/>
  <c r="GL503" i="2" s="1"/>
  <c r="FQ503" i="2"/>
  <c r="GJ503" i="2" s="1"/>
  <c r="FP503" i="2"/>
  <c r="GI503" i="2" s="1"/>
  <c r="FO503" i="2"/>
  <c r="FN503" i="2"/>
  <c r="FM503" i="2"/>
  <c r="FL503" i="2"/>
  <c r="FK503" i="2"/>
  <c r="FJ503" i="2"/>
  <c r="FI503" i="2"/>
  <c r="GB503" i="2" s="1"/>
  <c r="FH503" i="2"/>
  <c r="FG503" i="2"/>
  <c r="FF503" i="2"/>
  <c r="FY503" i="2" s="1"/>
  <c r="FE503" i="2"/>
  <c r="FX503" i="2" s="1"/>
  <c r="FD503" i="2"/>
  <c r="FC503" i="2"/>
  <c r="FB503" i="2"/>
  <c r="EH503" i="2"/>
  <c r="EG503" i="2"/>
  <c r="EZ503" i="2" s="1"/>
  <c r="EE503" i="2"/>
  <c r="EX503" i="2" s="1"/>
  <c r="ED503" i="2"/>
  <c r="EW503" i="2" s="1"/>
  <c r="EC503" i="2"/>
  <c r="EB503" i="2"/>
  <c r="EA503" i="2"/>
  <c r="DZ503" i="2"/>
  <c r="DY503" i="2"/>
  <c r="DX503" i="2"/>
  <c r="DW503" i="2"/>
  <c r="EP503" i="2" s="1"/>
  <c r="DV503" i="2"/>
  <c r="DU503" i="2"/>
  <c r="DT503" i="2"/>
  <c r="EM503" i="2" s="1"/>
  <c r="DS503" i="2"/>
  <c r="EL503" i="2" s="1"/>
  <c r="DR503" i="2"/>
  <c r="DQ503" i="2"/>
  <c r="DP503" i="2"/>
  <c r="FT471" i="2"/>
  <c r="FS471" i="2"/>
  <c r="GL471" i="2" s="1"/>
  <c r="FQ471" i="2"/>
  <c r="GJ471" i="2" s="1"/>
  <c r="FP471" i="2"/>
  <c r="GI471" i="2" s="1"/>
  <c r="FO471" i="2"/>
  <c r="FN471" i="2"/>
  <c r="FM471" i="2"/>
  <c r="FL471" i="2"/>
  <c r="FK471" i="2"/>
  <c r="FJ471" i="2"/>
  <c r="FI471" i="2"/>
  <c r="GB471" i="2" s="1"/>
  <c r="FH471" i="2"/>
  <c r="FG471" i="2"/>
  <c r="FF471" i="2"/>
  <c r="FY471" i="2" s="1"/>
  <c r="FE471" i="2"/>
  <c r="FX471" i="2" s="1"/>
  <c r="FD471" i="2"/>
  <c r="FC471" i="2"/>
  <c r="FB471" i="2"/>
  <c r="FT470" i="2"/>
  <c r="FS470" i="2"/>
  <c r="GL470" i="2" s="1"/>
  <c r="FQ470" i="2"/>
  <c r="GJ470" i="2" s="1"/>
  <c r="FP470" i="2"/>
  <c r="GI470" i="2" s="1"/>
  <c r="FO470" i="2"/>
  <c r="FN470" i="2"/>
  <c r="FM470" i="2"/>
  <c r="FL470" i="2"/>
  <c r="FK470" i="2"/>
  <c r="FJ470" i="2"/>
  <c r="FI470" i="2"/>
  <c r="GB470" i="2" s="1"/>
  <c r="FH470" i="2"/>
  <c r="FG470" i="2"/>
  <c r="FF470" i="2"/>
  <c r="FY470" i="2" s="1"/>
  <c r="FE470" i="2"/>
  <c r="FX470" i="2" s="1"/>
  <c r="FD470" i="2"/>
  <c r="FC470" i="2"/>
  <c r="FB470" i="2"/>
  <c r="FT137" i="2"/>
  <c r="FS137" i="2"/>
  <c r="GL137" i="2" s="1"/>
  <c r="FQ137" i="2"/>
  <c r="GJ137" i="2" s="1"/>
  <c r="FP137" i="2"/>
  <c r="GI137" i="2" s="1"/>
  <c r="FO137" i="2"/>
  <c r="FN137" i="2"/>
  <c r="FM137" i="2"/>
  <c r="FL137" i="2"/>
  <c r="FK137" i="2"/>
  <c r="FJ137" i="2"/>
  <c r="FI137" i="2"/>
  <c r="GB137" i="2" s="1"/>
  <c r="FH137" i="2"/>
  <c r="FG137" i="2"/>
  <c r="FF137" i="2"/>
  <c r="FY137" i="2" s="1"/>
  <c r="FE137" i="2"/>
  <c r="FX137" i="2" s="1"/>
  <c r="FD137" i="2"/>
  <c r="FC137" i="2"/>
  <c r="FB137" i="2"/>
  <c r="EH137" i="2"/>
  <c r="EG137" i="2"/>
  <c r="EZ137" i="2" s="1"/>
  <c r="EE137" i="2"/>
  <c r="EX137" i="2" s="1"/>
  <c r="ED137" i="2"/>
  <c r="EW137" i="2" s="1"/>
  <c r="EC137" i="2"/>
  <c r="EB137" i="2"/>
  <c r="EA137" i="2"/>
  <c r="DZ137" i="2"/>
  <c r="DY137" i="2"/>
  <c r="DX137" i="2"/>
  <c r="DW137" i="2"/>
  <c r="EP137" i="2" s="1"/>
  <c r="DV137" i="2"/>
  <c r="DU137" i="2"/>
  <c r="DT137" i="2"/>
  <c r="EM137" i="2" s="1"/>
  <c r="DS137" i="2"/>
  <c r="EL137" i="2" s="1"/>
  <c r="DR137" i="2"/>
  <c r="DQ137" i="2"/>
  <c r="DP137" i="2"/>
  <c r="FT136" i="2"/>
  <c r="FS136" i="2"/>
  <c r="GL136" i="2" s="1"/>
  <c r="FQ136" i="2"/>
  <c r="GJ136" i="2" s="1"/>
  <c r="FP136" i="2"/>
  <c r="GI136" i="2" s="1"/>
  <c r="FO136" i="2"/>
  <c r="FN136" i="2"/>
  <c r="FM136" i="2"/>
  <c r="FL136" i="2"/>
  <c r="FK136" i="2"/>
  <c r="FJ136" i="2"/>
  <c r="FI136" i="2"/>
  <c r="GB136" i="2" s="1"/>
  <c r="FH136" i="2"/>
  <c r="FG136" i="2"/>
  <c r="FF136" i="2"/>
  <c r="FY136" i="2" s="1"/>
  <c r="FE136" i="2"/>
  <c r="FX136" i="2" s="1"/>
  <c r="FD136" i="2"/>
  <c r="FC136" i="2"/>
  <c r="FB136" i="2"/>
  <c r="FT135" i="2"/>
  <c r="FS135" i="2"/>
  <c r="GL135" i="2" s="1"/>
  <c r="FQ135" i="2"/>
  <c r="GJ135" i="2" s="1"/>
  <c r="FP135" i="2"/>
  <c r="GI135" i="2" s="1"/>
  <c r="FO135" i="2"/>
  <c r="FN135" i="2"/>
  <c r="FM135" i="2"/>
  <c r="FL135" i="2"/>
  <c r="FK135" i="2"/>
  <c r="FJ135" i="2"/>
  <c r="FI135" i="2"/>
  <c r="GB135" i="2" s="1"/>
  <c r="FH135" i="2"/>
  <c r="FG135" i="2"/>
  <c r="FF135" i="2"/>
  <c r="FY135" i="2" s="1"/>
  <c r="FE135" i="2"/>
  <c r="FX135" i="2" s="1"/>
  <c r="FD135" i="2"/>
  <c r="FC135" i="2"/>
  <c r="FB135" i="2"/>
  <c r="FT21" i="2"/>
  <c r="FS21" i="2"/>
  <c r="GL21" i="2" s="1"/>
  <c r="FQ21" i="2"/>
  <c r="GJ21" i="2" s="1"/>
  <c r="FP21" i="2"/>
  <c r="GI21" i="2" s="1"/>
  <c r="FO21" i="2"/>
  <c r="FN21" i="2"/>
  <c r="FM21" i="2"/>
  <c r="FL21" i="2"/>
  <c r="FK21" i="2"/>
  <c r="FJ21" i="2"/>
  <c r="FI21" i="2"/>
  <c r="GB21" i="2" s="1"/>
  <c r="FH21" i="2"/>
  <c r="FG21" i="2"/>
  <c r="FF21" i="2"/>
  <c r="FY21" i="2" s="1"/>
  <c r="FE21" i="2"/>
  <c r="FX21" i="2" s="1"/>
  <c r="FD21" i="2"/>
  <c r="FC21" i="2"/>
  <c r="FB21" i="2"/>
  <c r="EH21" i="2"/>
  <c r="EG21" i="2"/>
  <c r="EZ21" i="2" s="1"/>
  <c r="EE21" i="2"/>
  <c r="EX21" i="2" s="1"/>
  <c r="ED21" i="2"/>
  <c r="EW21" i="2" s="1"/>
  <c r="EC21" i="2"/>
  <c r="EB21" i="2"/>
  <c r="EA21" i="2"/>
  <c r="DZ21" i="2"/>
  <c r="DY21" i="2"/>
  <c r="DX21" i="2"/>
  <c r="DV21" i="2"/>
  <c r="DU21" i="2"/>
  <c r="DT21" i="2"/>
  <c r="EM21" i="2" s="1"/>
  <c r="DS21" i="2"/>
  <c r="EL21" i="2" s="1"/>
  <c r="DR21" i="2"/>
  <c r="DQ21" i="2"/>
  <c r="DP21" i="2"/>
  <c r="FT20" i="2"/>
  <c r="FS20" i="2"/>
  <c r="GL20" i="2" s="1"/>
  <c r="FQ20" i="2"/>
  <c r="GJ20" i="2" s="1"/>
  <c r="FP20" i="2"/>
  <c r="GI20" i="2" s="1"/>
  <c r="FO20" i="2"/>
  <c r="FN20" i="2"/>
  <c r="FM20" i="2"/>
  <c r="FL20" i="2"/>
  <c r="FK20" i="2"/>
  <c r="FJ20" i="2"/>
  <c r="FI20" i="2"/>
  <c r="GB20" i="2" s="1"/>
  <c r="FH20" i="2"/>
  <c r="FG20" i="2"/>
  <c r="FF20" i="2"/>
  <c r="FY20" i="2" s="1"/>
  <c r="FE20" i="2"/>
  <c r="FX20" i="2" s="1"/>
  <c r="FD20" i="2"/>
  <c r="FC20" i="2"/>
  <c r="FB20" i="2"/>
  <c r="FT250" i="2"/>
  <c r="FS250" i="2"/>
  <c r="GL250" i="2" s="1"/>
  <c r="FQ250" i="2"/>
  <c r="GJ250" i="2" s="1"/>
  <c r="FP250" i="2"/>
  <c r="GI250" i="2" s="1"/>
  <c r="FO250" i="2"/>
  <c r="FN250" i="2"/>
  <c r="FM250" i="2"/>
  <c r="FL250" i="2"/>
  <c r="FK250" i="2"/>
  <c r="FJ250" i="2"/>
  <c r="FI250" i="2"/>
  <c r="GB250" i="2" s="1"/>
  <c r="FH250" i="2"/>
  <c r="FG250" i="2"/>
  <c r="FF250" i="2"/>
  <c r="FY250" i="2" s="1"/>
  <c r="FE250" i="2"/>
  <c r="FX250" i="2" s="1"/>
  <c r="FD250" i="2"/>
  <c r="FC250" i="2"/>
  <c r="FB250" i="2"/>
  <c r="EH250" i="2"/>
  <c r="EG250" i="2"/>
  <c r="EZ250" i="2" s="1"/>
  <c r="EE250" i="2"/>
  <c r="EX250" i="2" s="1"/>
  <c r="ED250" i="2"/>
  <c r="EW250" i="2" s="1"/>
  <c r="EC250" i="2"/>
  <c r="EB250" i="2"/>
  <c r="EA250" i="2"/>
  <c r="DZ250" i="2"/>
  <c r="DY250" i="2"/>
  <c r="DX250" i="2"/>
  <c r="DW250" i="2"/>
  <c r="EP250" i="2" s="1"/>
  <c r="DV250" i="2"/>
  <c r="DU250" i="2"/>
  <c r="DT250" i="2"/>
  <c r="EM250" i="2" s="1"/>
  <c r="DS250" i="2"/>
  <c r="EL250" i="2" s="1"/>
  <c r="DR250" i="2"/>
  <c r="DQ250" i="2"/>
  <c r="DP250" i="2"/>
  <c r="FT249" i="2"/>
  <c r="FS249" i="2"/>
  <c r="GL249" i="2" s="1"/>
  <c r="FQ249" i="2"/>
  <c r="GJ249" i="2" s="1"/>
  <c r="FP249" i="2"/>
  <c r="GI249" i="2" s="1"/>
  <c r="FO249" i="2"/>
  <c r="FN249" i="2"/>
  <c r="FM249" i="2"/>
  <c r="FL249" i="2"/>
  <c r="FK249" i="2"/>
  <c r="FJ249" i="2"/>
  <c r="FI249" i="2"/>
  <c r="GB249" i="2" s="1"/>
  <c r="FH249" i="2"/>
  <c r="FG249" i="2"/>
  <c r="FF249" i="2"/>
  <c r="FY249" i="2" s="1"/>
  <c r="FE249" i="2"/>
  <c r="FX249" i="2" s="1"/>
  <c r="FD249" i="2"/>
  <c r="FC249" i="2"/>
  <c r="FB249" i="2"/>
  <c r="EH249" i="2"/>
  <c r="EG249" i="2"/>
  <c r="EZ249" i="2" s="1"/>
  <c r="EE249" i="2"/>
  <c r="EX249" i="2" s="1"/>
  <c r="ED249" i="2"/>
  <c r="EW249" i="2" s="1"/>
  <c r="EC249" i="2"/>
  <c r="EB249" i="2"/>
  <c r="EA249" i="2"/>
  <c r="DZ249" i="2"/>
  <c r="DY249" i="2"/>
  <c r="DX249" i="2"/>
  <c r="DW249" i="2"/>
  <c r="EP249" i="2" s="1"/>
  <c r="DV249" i="2"/>
  <c r="DU249" i="2"/>
  <c r="DT249" i="2"/>
  <c r="EM249" i="2" s="1"/>
  <c r="DS249" i="2"/>
  <c r="EL249" i="2" s="1"/>
  <c r="DR249" i="2"/>
  <c r="DQ249" i="2"/>
  <c r="DP249" i="2"/>
  <c r="FT134" i="2"/>
  <c r="FS134" i="2"/>
  <c r="GL134" i="2" s="1"/>
  <c r="FQ134" i="2"/>
  <c r="GJ134" i="2" s="1"/>
  <c r="FP134" i="2"/>
  <c r="GI134" i="2" s="1"/>
  <c r="FO134" i="2"/>
  <c r="FN134" i="2"/>
  <c r="FM134" i="2"/>
  <c r="FL134" i="2"/>
  <c r="FK134" i="2"/>
  <c r="FJ134" i="2"/>
  <c r="FI134" i="2"/>
  <c r="GB134" i="2" s="1"/>
  <c r="FH134" i="2"/>
  <c r="FG134" i="2"/>
  <c r="FF134" i="2"/>
  <c r="FY134" i="2" s="1"/>
  <c r="FE134" i="2"/>
  <c r="FX134" i="2" s="1"/>
  <c r="FD134" i="2"/>
  <c r="FC134" i="2"/>
  <c r="FB134" i="2"/>
  <c r="EH134" i="2"/>
  <c r="EG134" i="2"/>
  <c r="EZ134" i="2" s="1"/>
  <c r="EE134" i="2"/>
  <c r="EX134" i="2" s="1"/>
  <c r="ED134" i="2"/>
  <c r="EW134" i="2" s="1"/>
  <c r="EC134" i="2"/>
  <c r="EB134" i="2"/>
  <c r="EA134" i="2"/>
  <c r="DZ134" i="2"/>
  <c r="DY134" i="2"/>
  <c r="DX134" i="2"/>
  <c r="DW134" i="2"/>
  <c r="EP134" i="2" s="1"/>
  <c r="DV134" i="2"/>
  <c r="DU134" i="2"/>
  <c r="DT134" i="2"/>
  <c r="EM134" i="2" s="1"/>
  <c r="DS134" i="2"/>
  <c r="EL134" i="2" s="1"/>
  <c r="DR134" i="2"/>
  <c r="DQ134" i="2"/>
  <c r="DP134" i="2"/>
  <c r="FT559" i="2"/>
  <c r="FS559" i="2"/>
  <c r="GL559" i="2" s="1"/>
  <c r="FQ559" i="2"/>
  <c r="GJ559" i="2" s="1"/>
  <c r="FP559" i="2"/>
  <c r="GI559" i="2" s="1"/>
  <c r="FO559" i="2"/>
  <c r="FN559" i="2"/>
  <c r="FM559" i="2"/>
  <c r="FL559" i="2"/>
  <c r="FK559" i="2"/>
  <c r="FJ559" i="2"/>
  <c r="FI559" i="2"/>
  <c r="GB559" i="2" s="1"/>
  <c r="FH559" i="2"/>
  <c r="FG559" i="2"/>
  <c r="FF559" i="2"/>
  <c r="FY559" i="2" s="1"/>
  <c r="FE559" i="2"/>
  <c r="FX559" i="2" s="1"/>
  <c r="FD559" i="2"/>
  <c r="FC559" i="2"/>
  <c r="FB559" i="2"/>
  <c r="EH559" i="2"/>
  <c r="EG559" i="2"/>
  <c r="EZ559" i="2" s="1"/>
  <c r="EE559" i="2"/>
  <c r="EX559" i="2" s="1"/>
  <c r="ED559" i="2"/>
  <c r="EW559" i="2" s="1"/>
  <c r="EC559" i="2"/>
  <c r="EB559" i="2"/>
  <c r="EA559" i="2"/>
  <c r="DZ559" i="2"/>
  <c r="DY559" i="2"/>
  <c r="DX559" i="2"/>
  <c r="DW559" i="2"/>
  <c r="EP559" i="2" s="1"/>
  <c r="DV559" i="2"/>
  <c r="DU559" i="2"/>
  <c r="DT559" i="2"/>
  <c r="EM559" i="2" s="1"/>
  <c r="DS559" i="2"/>
  <c r="EL559" i="2" s="1"/>
  <c r="DR559" i="2"/>
  <c r="DQ559" i="2"/>
  <c r="DP559" i="2"/>
  <c r="FT558" i="2"/>
  <c r="FS558" i="2"/>
  <c r="GL558" i="2" s="1"/>
  <c r="FQ558" i="2"/>
  <c r="GJ558" i="2" s="1"/>
  <c r="FP558" i="2"/>
  <c r="GI558" i="2" s="1"/>
  <c r="FO558" i="2"/>
  <c r="FN558" i="2"/>
  <c r="FM558" i="2"/>
  <c r="FL558" i="2"/>
  <c r="FK558" i="2"/>
  <c r="FJ558" i="2"/>
  <c r="FI558" i="2"/>
  <c r="GB558" i="2" s="1"/>
  <c r="FH558" i="2"/>
  <c r="FG558" i="2"/>
  <c r="FF558" i="2"/>
  <c r="FY558" i="2" s="1"/>
  <c r="FE558" i="2"/>
  <c r="FX558" i="2" s="1"/>
  <c r="FD558" i="2"/>
  <c r="FC558" i="2"/>
  <c r="FB558" i="2"/>
  <c r="EH558" i="2"/>
  <c r="EG558" i="2"/>
  <c r="EZ558" i="2" s="1"/>
  <c r="EE558" i="2"/>
  <c r="EX558" i="2" s="1"/>
  <c r="ED558" i="2"/>
  <c r="EW558" i="2" s="1"/>
  <c r="EC558" i="2"/>
  <c r="EB558" i="2"/>
  <c r="EA558" i="2"/>
  <c r="DZ558" i="2"/>
  <c r="DY558" i="2"/>
  <c r="DX558" i="2"/>
  <c r="DW558" i="2"/>
  <c r="EP558" i="2" s="1"/>
  <c r="DV558" i="2"/>
  <c r="DU558" i="2"/>
  <c r="DT558" i="2"/>
  <c r="EM558" i="2" s="1"/>
  <c r="DS558" i="2"/>
  <c r="EL558" i="2" s="1"/>
  <c r="DR558" i="2"/>
  <c r="DQ558" i="2"/>
  <c r="DP558" i="2"/>
  <c r="FT253" i="2"/>
  <c r="FS253" i="2"/>
  <c r="GL253" i="2" s="1"/>
  <c r="FQ253" i="2"/>
  <c r="GJ253" i="2" s="1"/>
  <c r="FP253" i="2"/>
  <c r="GI253" i="2" s="1"/>
  <c r="FO253" i="2"/>
  <c r="FN253" i="2"/>
  <c r="FM253" i="2"/>
  <c r="FL253" i="2"/>
  <c r="FK253" i="2"/>
  <c r="FJ253" i="2"/>
  <c r="FI253" i="2"/>
  <c r="GB253" i="2" s="1"/>
  <c r="FH253" i="2"/>
  <c r="FG253" i="2"/>
  <c r="FF253" i="2"/>
  <c r="FY253" i="2" s="1"/>
  <c r="FE253" i="2"/>
  <c r="FX253" i="2" s="1"/>
  <c r="FD253" i="2"/>
  <c r="FC253" i="2"/>
  <c r="FB253" i="2"/>
  <c r="EH253" i="2"/>
  <c r="EG253" i="2"/>
  <c r="EZ253" i="2" s="1"/>
  <c r="EE253" i="2"/>
  <c r="EX253" i="2" s="1"/>
  <c r="ED253" i="2"/>
  <c r="EW253" i="2" s="1"/>
  <c r="EC253" i="2"/>
  <c r="EB253" i="2"/>
  <c r="EA253" i="2"/>
  <c r="DZ253" i="2"/>
  <c r="DY253" i="2"/>
  <c r="DX253" i="2"/>
  <c r="DW253" i="2"/>
  <c r="EP253" i="2" s="1"/>
  <c r="DV253" i="2"/>
  <c r="DU253" i="2"/>
  <c r="DT253" i="2"/>
  <c r="EM253" i="2" s="1"/>
  <c r="DS253" i="2"/>
  <c r="EL253" i="2" s="1"/>
  <c r="DR253" i="2"/>
  <c r="DQ253" i="2"/>
  <c r="DP253" i="2"/>
  <c r="FT171" i="2"/>
  <c r="FS171" i="2"/>
  <c r="GL171" i="2" s="1"/>
  <c r="FQ171" i="2"/>
  <c r="GJ171" i="2" s="1"/>
  <c r="FP171" i="2"/>
  <c r="GI171" i="2" s="1"/>
  <c r="FO171" i="2"/>
  <c r="FN171" i="2"/>
  <c r="FM171" i="2"/>
  <c r="FL171" i="2"/>
  <c r="FK171" i="2"/>
  <c r="FJ171" i="2"/>
  <c r="FI171" i="2"/>
  <c r="GB171" i="2" s="1"/>
  <c r="FH171" i="2"/>
  <c r="FG171" i="2"/>
  <c r="FF171" i="2"/>
  <c r="FY171" i="2" s="1"/>
  <c r="FE171" i="2"/>
  <c r="FX171" i="2" s="1"/>
  <c r="FD171" i="2"/>
  <c r="FC171" i="2"/>
  <c r="FB171" i="2"/>
  <c r="FT557" i="2"/>
  <c r="FS557" i="2"/>
  <c r="GL557" i="2" s="1"/>
  <c r="FQ557" i="2"/>
  <c r="GJ557" i="2" s="1"/>
  <c r="FP557" i="2"/>
  <c r="GI557" i="2" s="1"/>
  <c r="FO557" i="2"/>
  <c r="FN557" i="2"/>
  <c r="FM557" i="2"/>
  <c r="FL557" i="2"/>
  <c r="FK557" i="2"/>
  <c r="FJ557" i="2"/>
  <c r="FI557" i="2"/>
  <c r="GB557" i="2" s="1"/>
  <c r="FH557" i="2"/>
  <c r="FG557" i="2"/>
  <c r="FF557" i="2"/>
  <c r="FY557" i="2" s="1"/>
  <c r="FE557" i="2"/>
  <c r="FX557" i="2" s="1"/>
  <c r="FD557" i="2"/>
  <c r="FC557" i="2"/>
  <c r="FB557" i="2"/>
  <c r="EH557" i="2"/>
  <c r="EG557" i="2"/>
  <c r="EZ557" i="2" s="1"/>
  <c r="EE557" i="2"/>
  <c r="EX557" i="2" s="1"/>
  <c r="ED557" i="2"/>
  <c r="EW557" i="2" s="1"/>
  <c r="EC557" i="2"/>
  <c r="EB557" i="2"/>
  <c r="EA557" i="2"/>
  <c r="DZ557" i="2"/>
  <c r="DY557" i="2"/>
  <c r="DX557" i="2"/>
  <c r="DW557" i="2"/>
  <c r="EP557" i="2" s="1"/>
  <c r="DV557" i="2"/>
  <c r="DU557" i="2"/>
  <c r="DT557" i="2"/>
  <c r="EM557" i="2" s="1"/>
  <c r="DS557" i="2"/>
  <c r="EL557" i="2" s="1"/>
  <c r="DR557" i="2"/>
  <c r="DQ557" i="2"/>
  <c r="DP557" i="2"/>
  <c r="FT556" i="2"/>
  <c r="FS556" i="2"/>
  <c r="GL556" i="2" s="1"/>
  <c r="FQ556" i="2"/>
  <c r="GJ556" i="2" s="1"/>
  <c r="FP556" i="2"/>
  <c r="GI556" i="2" s="1"/>
  <c r="FO556" i="2"/>
  <c r="FN556" i="2"/>
  <c r="FM556" i="2"/>
  <c r="FL556" i="2"/>
  <c r="FK556" i="2"/>
  <c r="FJ556" i="2"/>
  <c r="FI556" i="2"/>
  <c r="GB556" i="2" s="1"/>
  <c r="FH556" i="2"/>
  <c r="FG556" i="2"/>
  <c r="FF556" i="2"/>
  <c r="FY556" i="2" s="1"/>
  <c r="FE556" i="2"/>
  <c r="FX556" i="2" s="1"/>
  <c r="FD556" i="2"/>
  <c r="FC556" i="2"/>
  <c r="FB556" i="2"/>
  <c r="EH556" i="2"/>
  <c r="EG556" i="2"/>
  <c r="EZ556" i="2" s="1"/>
  <c r="EE556" i="2"/>
  <c r="EX556" i="2" s="1"/>
  <c r="ED556" i="2"/>
  <c r="EW556" i="2" s="1"/>
  <c r="EC556" i="2"/>
  <c r="EB556" i="2"/>
  <c r="EA556" i="2"/>
  <c r="DZ556" i="2"/>
  <c r="DY556" i="2"/>
  <c r="DX556" i="2"/>
  <c r="DW556" i="2"/>
  <c r="EP556" i="2" s="1"/>
  <c r="DV556" i="2"/>
  <c r="DU556" i="2"/>
  <c r="DT556" i="2"/>
  <c r="EM556" i="2" s="1"/>
  <c r="DS556" i="2"/>
  <c r="EL556" i="2" s="1"/>
  <c r="DR556" i="2"/>
  <c r="DQ556" i="2"/>
  <c r="DP556" i="2"/>
  <c r="FT555" i="2"/>
  <c r="FS555" i="2"/>
  <c r="GL555" i="2" s="1"/>
  <c r="FQ555" i="2"/>
  <c r="GJ555" i="2" s="1"/>
  <c r="FP555" i="2"/>
  <c r="GI555" i="2" s="1"/>
  <c r="FO555" i="2"/>
  <c r="FN555" i="2"/>
  <c r="FM555" i="2"/>
  <c r="FL555" i="2"/>
  <c r="FK555" i="2"/>
  <c r="FJ555" i="2"/>
  <c r="FI555" i="2"/>
  <c r="GB555" i="2" s="1"/>
  <c r="FH555" i="2"/>
  <c r="FG555" i="2"/>
  <c r="FF555" i="2"/>
  <c r="FY555" i="2" s="1"/>
  <c r="FE555" i="2"/>
  <c r="FX555" i="2" s="1"/>
  <c r="FD555" i="2"/>
  <c r="FC555" i="2"/>
  <c r="FB555" i="2"/>
  <c r="EH555" i="2"/>
  <c r="EG555" i="2"/>
  <c r="EZ555" i="2" s="1"/>
  <c r="EE555" i="2"/>
  <c r="EX555" i="2" s="1"/>
  <c r="ED555" i="2"/>
  <c r="EW555" i="2" s="1"/>
  <c r="EC555" i="2"/>
  <c r="EB555" i="2"/>
  <c r="EA555" i="2"/>
  <c r="DZ555" i="2"/>
  <c r="DY555" i="2"/>
  <c r="DX555" i="2"/>
  <c r="DW555" i="2"/>
  <c r="EP555" i="2" s="1"/>
  <c r="DV555" i="2"/>
  <c r="DU555" i="2"/>
  <c r="DT555" i="2"/>
  <c r="EM555" i="2" s="1"/>
  <c r="DS555" i="2"/>
  <c r="EL555" i="2" s="1"/>
  <c r="DR555" i="2"/>
  <c r="DQ555" i="2"/>
  <c r="DP555" i="2"/>
  <c r="FT617" i="2"/>
  <c r="FS617" i="2"/>
  <c r="GL617" i="2" s="1"/>
  <c r="FQ617" i="2"/>
  <c r="GJ617" i="2" s="1"/>
  <c r="FP617" i="2"/>
  <c r="GI617" i="2" s="1"/>
  <c r="FO617" i="2"/>
  <c r="FN617" i="2"/>
  <c r="FM617" i="2"/>
  <c r="FL617" i="2"/>
  <c r="FK617" i="2"/>
  <c r="FJ617" i="2"/>
  <c r="FI617" i="2"/>
  <c r="GB617" i="2" s="1"/>
  <c r="FH617" i="2"/>
  <c r="FG617" i="2"/>
  <c r="FF617" i="2"/>
  <c r="FY617" i="2" s="1"/>
  <c r="FE617" i="2"/>
  <c r="FX617" i="2" s="1"/>
  <c r="FD617" i="2"/>
  <c r="FC617" i="2"/>
  <c r="FB617" i="2"/>
  <c r="EH617" i="2"/>
  <c r="EG617" i="2"/>
  <c r="EZ617" i="2" s="1"/>
  <c r="EE617" i="2"/>
  <c r="EX617" i="2" s="1"/>
  <c r="ED617" i="2"/>
  <c r="EW617" i="2" s="1"/>
  <c r="EC617" i="2"/>
  <c r="EB617" i="2"/>
  <c r="EA617" i="2"/>
  <c r="DZ617" i="2"/>
  <c r="DY617" i="2"/>
  <c r="DX617" i="2"/>
  <c r="DW617" i="2"/>
  <c r="EP617" i="2" s="1"/>
  <c r="DV617" i="2"/>
  <c r="DU617" i="2"/>
  <c r="DT617" i="2"/>
  <c r="EM617" i="2" s="1"/>
  <c r="DS617" i="2"/>
  <c r="EL617" i="2" s="1"/>
  <c r="DR617" i="2"/>
  <c r="DQ617" i="2"/>
  <c r="DP617" i="2"/>
  <c r="FT616" i="2"/>
  <c r="FS616" i="2"/>
  <c r="GL616" i="2" s="1"/>
  <c r="FQ616" i="2"/>
  <c r="GJ616" i="2" s="1"/>
  <c r="FP616" i="2"/>
  <c r="GI616" i="2" s="1"/>
  <c r="FO616" i="2"/>
  <c r="FN616" i="2"/>
  <c r="FM616" i="2"/>
  <c r="FL616" i="2"/>
  <c r="FK616" i="2"/>
  <c r="FJ616" i="2"/>
  <c r="FI616" i="2"/>
  <c r="GB616" i="2" s="1"/>
  <c r="FH616" i="2"/>
  <c r="FG616" i="2"/>
  <c r="FF616" i="2"/>
  <c r="FY616" i="2" s="1"/>
  <c r="FE616" i="2"/>
  <c r="FX616" i="2" s="1"/>
  <c r="FD616" i="2"/>
  <c r="FC616" i="2"/>
  <c r="FB616" i="2"/>
  <c r="EH616" i="2"/>
  <c r="EG616" i="2"/>
  <c r="EZ616" i="2" s="1"/>
  <c r="EE616" i="2"/>
  <c r="EX616" i="2" s="1"/>
  <c r="ED616" i="2"/>
  <c r="EW616" i="2" s="1"/>
  <c r="EC616" i="2"/>
  <c r="EB616" i="2"/>
  <c r="EA616" i="2"/>
  <c r="DZ616" i="2"/>
  <c r="DY616" i="2"/>
  <c r="DX616" i="2"/>
  <c r="DW616" i="2"/>
  <c r="EP616" i="2" s="1"/>
  <c r="DV616" i="2"/>
  <c r="DU616" i="2"/>
  <c r="DT616" i="2"/>
  <c r="EM616" i="2" s="1"/>
  <c r="DS616" i="2"/>
  <c r="EL616" i="2" s="1"/>
  <c r="DR616" i="2"/>
  <c r="DQ616" i="2"/>
  <c r="DP616" i="2"/>
  <c r="FT615" i="2"/>
  <c r="FS615" i="2"/>
  <c r="GL615" i="2" s="1"/>
  <c r="FQ615" i="2"/>
  <c r="GJ615" i="2" s="1"/>
  <c r="FP615" i="2"/>
  <c r="GI615" i="2" s="1"/>
  <c r="FO615" i="2"/>
  <c r="FN615" i="2"/>
  <c r="FM615" i="2"/>
  <c r="FL615" i="2"/>
  <c r="FK615" i="2"/>
  <c r="FJ615" i="2"/>
  <c r="FI615" i="2"/>
  <c r="GB615" i="2" s="1"/>
  <c r="FH615" i="2"/>
  <c r="FG615" i="2"/>
  <c r="FF615" i="2"/>
  <c r="FY615" i="2" s="1"/>
  <c r="FE615" i="2"/>
  <c r="FX615" i="2" s="1"/>
  <c r="FD615" i="2"/>
  <c r="FC615" i="2"/>
  <c r="FB615" i="2"/>
  <c r="EH615" i="2"/>
  <c r="EG615" i="2"/>
  <c r="EZ615" i="2" s="1"/>
  <c r="EE615" i="2"/>
  <c r="EX615" i="2" s="1"/>
  <c r="ED615" i="2"/>
  <c r="EW615" i="2" s="1"/>
  <c r="EC615" i="2"/>
  <c r="EB615" i="2"/>
  <c r="EA615" i="2"/>
  <c r="DZ615" i="2"/>
  <c r="DY615" i="2"/>
  <c r="DX615" i="2"/>
  <c r="DW615" i="2"/>
  <c r="EP615" i="2" s="1"/>
  <c r="DV615" i="2"/>
  <c r="DU615" i="2"/>
  <c r="DT615" i="2"/>
  <c r="EM615" i="2" s="1"/>
  <c r="DS615" i="2"/>
  <c r="EL615" i="2" s="1"/>
  <c r="DR615" i="2"/>
  <c r="DQ615" i="2"/>
  <c r="DP615" i="2"/>
  <c r="FT614" i="2"/>
  <c r="FS614" i="2"/>
  <c r="GL614" i="2" s="1"/>
  <c r="FQ614" i="2"/>
  <c r="GJ614" i="2" s="1"/>
  <c r="FP614" i="2"/>
  <c r="GI614" i="2" s="1"/>
  <c r="FO614" i="2"/>
  <c r="FN614" i="2"/>
  <c r="FM614" i="2"/>
  <c r="FL614" i="2"/>
  <c r="FK614" i="2"/>
  <c r="FJ614" i="2"/>
  <c r="FI614" i="2"/>
  <c r="GB614" i="2" s="1"/>
  <c r="FH614" i="2"/>
  <c r="FG614" i="2"/>
  <c r="FF614" i="2"/>
  <c r="FY614" i="2" s="1"/>
  <c r="FE614" i="2"/>
  <c r="FX614" i="2" s="1"/>
  <c r="FD614" i="2"/>
  <c r="FC614" i="2"/>
  <c r="FB614" i="2"/>
  <c r="EH614" i="2"/>
  <c r="EG614" i="2"/>
  <c r="EZ614" i="2" s="1"/>
  <c r="EE614" i="2"/>
  <c r="EX614" i="2" s="1"/>
  <c r="ED614" i="2"/>
  <c r="EW614" i="2" s="1"/>
  <c r="EC614" i="2"/>
  <c r="EB614" i="2"/>
  <c r="EA614" i="2"/>
  <c r="DZ614" i="2"/>
  <c r="DY614" i="2"/>
  <c r="DX614" i="2"/>
  <c r="DW614" i="2"/>
  <c r="EP614" i="2" s="1"/>
  <c r="DV614" i="2"/>
  <c r="DU614" i="2"/>
  <c r="DT614" i="2"/>
  <c r="EM614" i="2" s="1"/>
  <c r="DS614" i="2"/>
  <c r="EL614" i="2" s="1"/>
  <c r="DR614" i="2"/>
  <c r="DQ614" i="2"/>
  <c r="DP614" i="2"/>
  <c r="FT496" i="2"/>
  <c r="FS496" i="2"/>
  <c r="GL496" i="2" s="1"/>
  <c r="FQ496" i="2"/>
  <c r="GJ496" i="2" s="1"/>
  <c r="FP496" i="2"/>
  <c r="GI496" i="2" s="1"/>
  <c r="FO496" i="2"/>
  <c r="FN496" i="2"/>
  <c r="FM496" i="2"/>
  <c r="FL496" i="2"/>
  <c r="FK496" i="2"/>
  <c r="FJ496" i="2"/>
  <c r="FI496" i="2"/>
  <c r="GB496" i="2" s="1"/>
  <c r="FH496" i="2"/>
  <c r="FG496" i="2"/>
  <c r="FF496" i="2"/>
  <c r="FY496" i="2" s="1"/>
  <c r="FE496" i="2"/>
  <c r="FX496" i="2" s="1"/>
  <c r="FD496" i="2"/>
  <c r="FC496" i="2"/>
  <c r="FB496" i="2"/>
  <c r="EH496" i="2"/>
  <c r="EG496" i="2"/>
  <c r="EZ496" i="2" s="1"/>
  <c r="EE496" i="2"/>
  <c r="EX496" i="2" s="1"/>
  <c r="ED496" i="2"/>
  <c r="EW496" i="2" s="1"/>
  <c r="EC496" i="2"/>
  <c r="EB496" i="2"/>
  <c r="EA496" i="2"/>
  <c r="DZ496" i="2"/>
  <c r="DY496" i="2"/>
  <c r="DX496" i="2"/>
  <c r="DW496" i="2"/>
  <c r="EP496" i="2" s="1"/>
  <c r="DV496" i="2"/>
  <c r="DU496" i="2"/>
  <c r="DT496" i="2"/>
  <c r="EM496" i="2" s="1"/>
  <c r="DS496" i="2"/>
  <c r="EL496" i="2" s="1"/>
  <c r="DR496" i="2"/>
  <c r="DQ496" i="2"/>
  <c r="DP496" i="2"/>
  <c r="FT495" i="2"/>
  <c r="FS495" i="2"/>
  <c r="GL495" i="2" s="1"/>
  <c r="FQ495" i="2"/>
  <c r="GJ495" i="2" s="1"/>
  <c r="FP495" i="2"/>
  <c r="GI495" i="2" s="1"/>
  <c r="FO495" i="2"/>
  <c r="FN495" i="2"/>
  <c r="FM495" i="2"/>
  <c r="FL495" i="2"/>
  <c r="FK495" i="2"/>
  <c r="FJ495" i="2"/>
  <c r="FI495" i="2"/>
  <c r="GB495" i="2" s="1"/>
  <c r="FH495" i="2"/>
  <c r="FG495" i="2"/>
  <c r="FF495" i="2"/>
  <c r="FY495" i="2" s="1"/>
  <c r="FE495" i="2"/>
  <c r="FX495" i="2" s="1"/>
  <c r="FD495" i="2"/>
  <c r="FC495" i="2"/>
  <c r="FB495" i="2"/>
  <c r="EH495" i="2"/>
  <c r="EG495" i="2"/>
  <c r="EZ495" i="2" s="1"/>
  <c r="EE495" i="2"/>
  <c r="EX495" i="2" s="1"/>
  <c r="ED495" i="2"/>
  <c r="EW495" i="2" s="1"/>
  <c r="EC495" i="2"/>
  <c r="EB495" i="2"/>
  <c r="EA495" i="2"/>
  <c r="DZ495" i="2"/>
  <c r="DY495" i="2"/>
  <c r="DX495" i="2"/>
  <c r="DW495" i="2"/>
  <c r="EP495" i="2" s="1"/>
  <c r="DV495" i="2"/>
  <c r="DU495" i="2"/>
  <c r="DT495" i="2"/>
  <c r="EM495" i="2" s="1"/>
  <c r="DS495" i="2"/>
  <c r="EL495" i="2" s="1"/>
  <c r="DR495" i="2"/>
  <c r="DQ495" i="2"/>
  <c r="DP495" i="2"/>
  <c r="FT502" i="2"/>
  <c r="FS502" i="2"/>
  <c r="GL502" i="2" s="1"/>
  <c r="FQ502" i="2"/>
  <c r="GJ502" i="2" s="1"/>
  <c r="FP502" i="2"/>
  <c r="GI502" i="2" s="1"/>
  <c r="FO502" i="2"/>
  <c r="FN502" i="2"/>
  <c r="FM502" i="2"/>
  <c r="FL502" i="2"/>
  <c r="FK502" i="2"/>
  <c r="FJ502" i="2"/>
  <c r="FI502" i="2"/>
  <c r="GB502" i="2" s="1"/>
  <c r="FH502" i="2"/>
  <c r="FG502" i="2"/>
  <c r="FF502" i="2"/>
  <c r="FY502" i="2" s="1"/>
  <c r="FE502" i="2"/>
  <c r="FX502" i="2" s="1"/>
  <c r="FD502" i="2"/>
  <c r="FC502" i="2"/>
  <c r="FB502" i="2"/>
  <c r="EH502" i="2"/>
  <c r="EG502" i="2"/>
  <c r="EZ502" i="2" s="1"/>
  <c r="EE502" i="2"/>
  <c r="EX502" i="2" s="1"/>
  <c r="ED502" i="2"/>
  <c r="EW502" i="2" s="1"/>
  <c r="EC502" i="2"/>
  <c r="EB502" i="2"/>
  <c r="EA502" i="2"/>
  <c r="DZ502" i="2"/>
  <c r="DY502" i="2"/>
  <c r="DX502" i="2"/>
  <c r="DW502" i="2"/>
  <c r="EP502" i="2" s="1"/>
  <c r="DV502" i="2"/>
  <c r="DU502" i="2"/>
  <c r="DT502" i="2"/>
  <c r="EM502" i="2" s="1"/>
  <c r="DS502" i="2"/>
  <c r="EL502" i="2" s="1"/>
  <c r="DR502" i="2"/>
  <c r="DQ502" i="2"/>
  <c r="DP502" i="2"/>
  <c r="FT29" i="2"/>
  <c r="FS29" i="2"/>
  <c r="GL29" i="2" s="1"/>
  <c r="FQ29" i="2"/>
  <c r="GJ29" i="2" s="1"/>
  <c r="FP29" i="2"/>
  <c r="GI29" i="2" s="1"/>
  <c r="FO29" i="2"/>
  <c r="FN29" i="2"/>
  <c r="FM29" i="2"/>
  <c r="FL29" i="2"/>
  <c r="FK29" i="2"/>
  <c r="FJ29" i="2"/>
  <c r="FI29" i="2"/>
  <c r="GB29" i="2" s="1"/>
  <c r="FH29" i="2"/>
  <c r="FG29" i="2"/>
  <c r="FF29" i="2"/>
  <c r="FY29" i="2" s="1"/>
  <c r="FE29" i="2"/>
  <c r="FX29" i="2" s="1"/>
  <c r="FD29" i="2"/>
  <c r="FC29" i="2"/>
  <c r="FB29" i="2"/>
  <c r="EH29" i="2"/>
  <c r="EG29" i="2"/>
  <c r="EZ29" i="2" s="1"/>
  <c r="EE29" i="2"/>
  <c r="EX29" i="2" s="1"/>
  <c r="ED29" i="2"/>
  <c r="EW29" i="2" s="1"/>
  <c r="EC29" i="2"/>
  <c r="EB29" i="2"/>
  <c r="EA29" i="2"/>
  <c r="DZ29" i="2"/>
  <c r="DY29" i="2"/>
  <c r="DX29" i="2"/>
  <c r="DW29" i="2"/>
  <c r="EP29" i="2" s="1"/>
  <c r="DV29" i="2"/>
  <c r="DU29" i="2"/>
  <c r="DT29" i="2"/>
  <c r="EM29" i="2" s="1"/>
  <c r="DR29" i="2"/>
  <c r="DQ29" i="2"/>
  <c r="DP29" i="2"/>
  <c r="FT28" i="2"/>
  <c r="FS28" i="2"/>
  <c r="GL28" i="2" s="1"/>
  <c r="FQ28" i="2"/>
  <c r="GJ28" i="2" s="1"/>
  <c r="FP28" i="2"/>
  <c r="GI28" i="2" s="1"/>
  <c r="FO28" i="2"/>
  <c r="FN28" i="2"/>
  <c r="FM28" i="2"/>
  <c r="FL28" i="2"/>
  <c r="FK28" i="2"/>
  <c r="FJ28" i="2"/>
  <c r="FI28" i="2"/>
  <c r="GB28" i="2" s="1"/>
  <c r="FH28" i="2"/>
  <c r="FG28" i="2"/>
  <c r="FF28" i="2"/>
  <c r="FY28" i="2" s="1"/>
  <c r="FE28" i="2"/>
  <c r="FX28" i="2" s="1"/>
  <c r="FD28" i="2"/>
  <c r="FC28" i="2"/>
  <c r="FB28" i="2"/>
  <c r="EH28" i="2"/>
  <c r="EG28" i="2"/>
  <c r="EZ28" i="2" s="1"/>
  <c r="EE28" i="2"/>
  <c r="EX28" i="2" s="1"/>
  <c r="ED28" i="2"/>
  <c r="EW28" i="2" s="1"/>
  <c r="EC28" i="2"/>
  <c r="EB28" i="2"/>
  <c r="EA28" i="2"/>
  <c r="DZ28" i="2"/>
  <c r="DY28" i="2"/>
  <c r="DX28" i="2"/>
  <c r="DW28" i="2"/>
  <c r="EP28" i="2" s="1"/>
  <c r="DV28" i="2"/>
  <c r="DU28" i="2"/>
  <c r="DT28" i="2"/>
  <c r="EM28" i="2" s="1"/>
  <c r="DR28" i="2"/>
  <c r="DQ28" i="2"/>
  <c r="DP28" i="2"/>
  <c r="FT553" i="2"/>
  <c r="FS553" i="2"/>
  <c r="GL553" i="2" s="1"/>
  <c r="FQ553" i="2"/>
  <c r="GJ553" i="2" s="1"/>
  <c r="FP553" i="2"/>
  <c r="GI553" i="2" s="1"/>
  <c r="FO553" i="2"/>
  <c r="FN553" i="2"/>
  <c r="FM553" i="2"/>
  <c r="FL553" i="2"/>
  <c r="FK553" i="2"/>
  <c r="FJ553" i="2"/>
  <c r="FI553" i="2"/>
  <c r="GB553" i="2" s="1"/>
  <c r="FH553" i="2"/>
  <c r="FG553" i="2"/>
  <c r="FF553" i="2"/>
  <c r="FY553" i="2" s="1"/>
  <c r="FE553" i="2"/>
  <c r="FX553" i="2" s="1"/>
  <c r="FD553" i="2"/>
  <c r="FC553" i="2"/>
  <c r="FB553" i="2"/>
  <c r="FT384" i="2"/>
  <c r="FS384" i="2"/>
  <c r="GL384" i="2" s="1"/>
  <c r="FQ384" i="2"/>
  <c r="GJ384" i="2" s="1"/>
  <c r="FP384" i="2"/>
  <c r="GI384" i="2" s="1"/>
  <c r="FO384" i="2"/>
  <c r="FN384" i="2"/>
  <c r="FM384" i="2"/>
  <c r="FL384" i="2"/>
  <c r="FK384" i="2"/>
  <c r="FJ384" i="2"/>
  <c r="FI384" i="2"/>
  <c r="GB384" i="2" s="1"/>
  <c r="FH384" i="2"/>
  <c r="FG384" i="2"/>
  <c r="FF384" i="2"/>
  <c r="FY384" i="2" s="1"/>
  <c r="FE384" i="2"/>
  <c r="FX384" i="2" s="1"/>
  <c r="FD384" i="2"/>
  <c r="FC384" i="2"/>
  <c r="FB384" i="2"/>
  <c r="FT443" i="2"/>
  <c r="FS443" i="2"/>
  <c r="GL443" i="2" s="1"/>
  <c r="FQ443" i="2"/>
  <c r="GJ443" i="2" s="1"/>
  <c r="FO443" i="2"/>
  <c r="FN443" i="2"/>
  <c r="FL443" i="2"/>
  <c r="FK443" i="2"/>
  <c r="FJ443" i="2"/>
  <c r="FI443" i="2"/>
  <c r="GB443" i="2" s="1"/>
  <c r="FH443" i="2"/>
  <c r="FG443" i="2"/>
  <c r="FF443" i="2"/>
  <c r="FY443" i="2" s="1"/>
  <c r="FE443" i="2"/>
  <c r="FX443" i="2" s="1"/>
  <c r="FD443" i="2"/>
  <c r="FB443" i="2"/>
  <c r="FT442" i="2"/>
  <c r="FS442" i="2"/>
  <c r="GL442" i="2" s="1"/>
  <c r="FQ442" i="2"/>
  <c r="GJ442" i="2" s="1"/>
  <c r="FP442" i="2"/>
  <c r="GI442" i="2" s="1"/>
  <c r="FO442" i="2"/>
  <c r="FN442" i="2"/>
  <c r="FM442" i="2"/>
  <c r="FL442" i="2"/>
  <c r="FK442" i="2"/>
  <c r="FJ442" i="2"/>
  <c r="FI442" i="2"/>
  <c r="GB442" i="2" s="1"/>
  <c r="FH442" i="2"/>
  <c r="FG442" i="2"/>
  <c r="FF442" i="2"/>
  <c r="FY442" i="2" s="1"/>
  <c r="FE442" i="2"/>
  <c r="FX442" i="2" s="1"/>
  <c r="FD442" i="2"/>
  <c r="FC442" i="2"/>
  <c r="FB442" i="2"/>
  <c r="EH442" i="2"/>
  <c r="EG442" i="2"/>
  <c r="EZ442" i="2" s="1"/>
  <c r="EE442" i="2"/>
  <c r="EX442" i="2" s="1"/>
  <c r="ED442" i="2"/>
  <c r="EW442" i="2" s="1"/>
  <c r="EC442" i="2"/>
  <c r="EB442" i="2"/>
  <c r="EA442" i="2"/>
  <c r="DX442" i="2"/>
  <c r="DV442" i="2"/>
  <c r="DU442" i="2"/>
  <c r="DT442" i="2"/>
  <c r="EM442" i="2" s="1"/>
  <c r="DS442" i="2"/>
  <c r="EL442" i="2" s="1"/>
  <c r="DR442" i="2"/>
  <c r="FT383" i="2"/>
  <c r="FS383" i="2"/>
  <c r="GL383" i="2" s="1"/>
  <c r="FQ383" i="2"/>
  <c r="GJ383" i="2" s="1"/>
  <c r="FP383" i="2"/>
  <c r="GI383" i="2" s="1"/>
  <c r="FO383" i="2"/>
  <c r="FN383" i="2"/>
  <c r="FM383" i="2"/>
  <c r="FL383" i="2"/>
  <c r="FK383" i="2"/>
  <c r="FJ383" i="2"/>
  <c r="FI383" i="2"/>
  <c r="GB383" i="2" s="1"/>
  <c r="FH383" i="2"/>
  <c r="FG383" i="2"/>
  <c r="FF383" i="2"/>
  <c r="FY383" i="2" s="1"/>
  <c r="FE383" i="2"/>
  <c r="FX383" i="2" s="1"/>
  <c r="FD383" i="2"/>
  <c r="FC383" i="2"/>
  <c r="FB383" i="2"/>
  <c r="EH383" i="2"/>
  <c r="EG383" i="2"/>
  <c r="EZ383" i="2" s="1"/>
  <c r="EE383" i="2"/>
  <c r="EX383" i="2" s="1"/>
  <c r="ED383" i="2"/>
  <c r="EW383" i="2" s="1"/>
  <c r="EC383" i="2"/>
  <c r="EB383" i="2"/>
  <c r="EA383" i="2"/>
  <c r="DZ383" i="2"/>
  <c r="DY383" i="2"/>
  <c r="DX383" i="2"/>
  <c r="DW383" i="2"/>
  <c r="EP383" i="2" s="1"/>
  <c r="DV383" i="2"/>
  <c r="DU383" i="2"/>
  <c r="DT383" i="2"/>
  <c r="EM383" i="2" s="1"/>
  <c r="DS383" i="2"/>
  <c r="EL383" i="2" s="1"/>
  <c r="DR383" i="2"/>
  <c r="DQ383" i="2"/>
  <c r="DP383" i="2"/>
  <c r="FT467" i="2"/>
  <c r="FS467" i="2"/>
  <c r="GL467" i="2" s="1"/>
  <c r="FQ467" i="2"/>
  <c r="GJ467" i="2" s="1"/>
  <c r="FP467" i="2"/>
  <c r="GI467" i="2" s="1"/>
  <c r="FO467" i="2"/>
  <c r="FN467" i="2"/>
  <c r="FM467" i="2"/>
  <c r="FL467" i="2"/>
  <c r="FK467" i="2"/>
  <c r="FJ467" i="2"/>
  <c r="FI467" i="2"/>
  <c r="GB467" i="2" s="1"/>
  <c r="FH467" i="2"/>
  <c r="FG467" i="2"/>
  <c r="FF467" i="2"/>
  <c r="FY467" i="2" s="1"/>
  <c r="FE467" i="2"/>
  <c r="FX467" i="2" s="1"/>
  <c r="FD467" i="2"/>
  <c r="FC467" i="2"/>
  <c r="FB467" i="2"/>
  <c r="EH467" i="2"/>
  <c r="EG467" i="2"/>
  <c r="EZ467" i="2" s="1"/>
  <c r="EE467" i="2"/>
  <c r="EX467" i="2" s="1"/>
  <c r="ED467" i="2"/>
  <c r="EW467" i="2" s="1"/>
  <c r="EC467" i="2"/>
  <c r="EB467" i="2"/>
  <c r="EA467" i="2"/>
  <c r="DZ467" i="2"/>
  <c r="DY467" i="2"/>
  <c r="DX467" i="2"/>
  <c r="DW467" i="2"/>
  <c r="EP467" i="2" s="1"/>
  <c r="DV467" i="2"/>
  <c r="DU467" i="2"/>
  <c r="DT467" i="2"/>
  <c r="EM467" i="2" s="1"/>
  <c r="DS467" i="2"/>
  <c r="EL467" i="2" s="1"/>
  <c r="DR467" i="2"/>
  <c r="DQ467" i="2"/>
  <c r="DP467" i="2"/>
  <c r="FT382" i="2"/>
  <c r="FS382" i="2"/>
  <c r="GL382" i="2" s="1"/>
  <c r="FQ382" i="2"/>
  <c r="GJ382" i="2" s="1"/>
  <c r="FP382" i="2"/>
  <c r="GI382" i="2" s="1"/>
  <c r="FO382" i="2"/>
  <c r="FN382" i="2"/>
  <c r="FM382" i="2"/>
  <c r="FL382" i="2"/>
  <c r="FK382" i="2"/>
  <c r="FJ382" i="2"/>
  <c r="FI382" i="2"/>
  <c r="GB382" i="2" s="1"/>
  <c r="FH382" i="2"/>
  <c r="FG382" i="2"/>
  <c r="FF382" i="2"/>
  <c r="FY382" i="2" s="1"/>
  <c r="FE382" i="2"/>
  <c r="FX382" i="2" s="1"/>
  <c r="FD382" i="2"/>
  <c r="FC382" i="2"/>
  <c r="FB382" i="2"/>
  <c r="EH382" i="2"/>
  <c r="EG382" i="2"/>
  <c r="EZ382" i="2" s="1"/>
  <c r="EE382" i="2"/>
  <c r="EX382" i="2" s="1"/>
  <c r="ED382" i="2"/>
  <c r="EW382" i="2" s="1"/>
  <c r="EC382" i="2"/>
  <c r="EB382" i="2"/>
  <c r="EA382" i="2"/>
  <c r="DZ382" i="2"/>
  <c r="DY382" i="2"/>
  <c r="DX382" i="2"/>
  <c r="DW382" i="2"/>
  <c r="EP382" i="2" s="1"/>
  <c r="DV382" i="2"/>
  <c r="DU382" i="2"/>
  <c r="DT382" i="2"/>
  <c r="EM382" i="2" s="1"/>
  <c r="DS382" i="2"/>
  <c r="EL382" i="2" s="1"/>
  <c r="DR382" i="2"/>
  <c r="DQ382" i="2"/>
  <c r="DP382" i="2"/>
  <c r="FT441" i="2"/>
  <c r="FS441" i="2"/>
  <c r="GL441" i="2" s="1"/>
  <c r="FQ441" i="2"/>
  <c r="GJ441" i="2" s="1"/>
  <c r="FP441" i="2"/>
  <c r="GI441" i="2" s="1"/>
  <c r="FO441" i="2"/>
  <c r="FN441" i="2"/>
  <c r="FM441" i="2"/>
  <c r="FL441" i="2"/>
  <c r="FK441" i="2"/>
  <c r="FJ441" i="2"/>
  <c r="FI441" i="2"/>
  <c r="GB441" i="2" s="1"/>
  <c r="FH441" i="2"/>
  <c r="FG441" i="2"/>
  <c r="FF441" i="2"/>
  <c r="FY441" i="2" s="1"/>
  <c r="FE441" i="2"/>
  <c r="FX441" i="2" s="1"/>
  <c r="FD441" i="2"/>
  <c r="FC441" i="2"/>
  <c r="FB441" i="2"/>
  <c r="EH441" i="2"/>
  <c r="EG441" i="2"/>
  <c r="EZ441" i="2" s="1"/>
  <c r="EE441" i="2"/>
  <c r="EX441" i="2" s="1"/>
  <c r="ED441" i="2"/>
  <c r="EW441" i="2" s="1"/>
  <c r="EC441" i="2"/>
  <c r="EB441" i="2"/>
  <c r="EA441" i="2"/>
  <c r="DZ441" i="2"/>
  <c r="DY441" i="2"/>
  <c r="DX441" i="2"/>
  <c r="DW441" i="2"/>
  <c r="EP441" i="2" s="1"/>
  <c r="DV441" i="2"/>
  <c r="DU441" i="2"/>
  <c r="DT441" i="2"/>
  <c r="EM441" i="2" s="1"/>
  <c r="DS441" i="2"/>
  <c r="EL441" i="2" s="1"/>
  <c r="DR441" i="2"/>
  <c r="DQ441" i="2"/>
  <c r="DP441" i="2"/>
  <c r="FT381" i="2"/>
  <c r="FS381" i="2"/>
  <c r="GL381" i="2" s="1"/>
  <c r="FQ381" i="2"/>
  <c r="GJ381" i="2" s="1"/>
  <c r="FP381" i="2"/>
  <c r="GI381" i="2" s="1"/>
  <c r="FO381" i="2"/>
  <c r="FN381" i="2"/>
  <c r="FM381" i="2"/>
  <c r="FL381" i="2"/>
  <c r="FK381" i="2"/>
  <c r="FJ381" i="2"/>
  <c r="FI381" i="2"/>
  <c r="GB381" i="2" s="1"/>
  <c r="FH381" i="2"/>
  <c r="FG381" i="2"/>
  <c r="FF381" i="2"/>
  <c r="FY381" i="2" s="1"/>
  <c r="FE381" i="2"/>
  <c r="FX381" i="2" s="1"/>
  <c r="FD381" i="2"/>
  <c r="FC381" i="2"/>
  <c r="FB381" i="2"/>
  <c r="EH381" i="2"/>
  <c r="EG381" i="2"/>
  <c r="EZ381" i="2" s="1"/>
  <c r="EE381" i="2"/>
  <c r="EX381" i="2" s="1"/>
  <c r="ED381" i="2"/>
  <c r="EW381" i="2" s="1"/>
  <c r="EC381" i="2"/>
  <c r="EB381" i="2"/>
  <c r="EA381" i="2"/>
  <c r="DZ381" i="2"/>
  <c r="DY381" i="2"/>
  <c r="DX381" i="2"/>
  <c r="DW381" i="2"/>
  <c r="EP381" i="2" s="1"/>
  <c r="DV381" i="2"/>
  <c r="DU381" i="2"/>
  <c r="DT381" i="2"/>
  <c r="EM381" i="2" s="1"/>
  <c r="DS381" i="2"/>
  <c r="EL381" i="2" s="1"/>
  <c r="DR381" i="2"/>
  <c r="DQ381" i="2"/>
  <c r="DP381" i="2"/>
  <c r="FT440" i="2"/>
  <c r="FS440" i="2"/>
  <c r="GL440" i="2" s="1"/>
  <c r="FQ440" i="2"/>
  <c r="GJ440" i="2" s="1"/>
  <c r="FP440" i="2"/>
  <c r="GI440" i="2" s="1"/>
  <c r="FO440" i="2"/>
  <c r="FN440" i="2"/>
  <c r="FM440" i="2"/>
  <c r="FL440" i="2"/>
  <c r="FK440" i="2"/>
  <c r="FJ440" i="2"/>
  <c r="FI440" i="2"/>
  <c r="GB440" i="2" s="1"/>
  <c r="FH440" i="2"/>
  <c r="FG440" i="2"/>
  <c r="FF440" i="2"/>
  <c r="FY440" i="2" s="1"/>
  <c r="FE440" i="2"/>
  <c r="FX440" i="2" s="1"/>
  <c r="FD440" i="2"/>
  <c r="FC440" i="2"/>
  <c r="FB440" i="2"/>
  <c r="EH440" i="2"/>
  <c r="EG440" i="2"/>
  <c r="EZ440" i="2" s="1"/>
  <c r="EE440" i="2"/>
  <c r="EX440" i="2" s="1"/>
  <c r="ED440" i="2"/>
  <c r="EW440" i="2" s="1"/>
  <c r="EC440" i="2"/>
  <c r="EB440" i="2"/>
  <c r="EA440" i="2"/>
  <c r="DZ440" i="2"/>
  <c r="DY440" i="2"/>
  <c r="DX440" i="2"/>
  <c r="DW440" i="2"/>
  <c r="EP440" i="2" s="1"/>
  <c r="DV440" i="2"/>
  <c r="DU440" i="2"/>
  <c r="DT440" i="2"/>
  <c r="EM440" i="2" s="1"/>
  <c r="DS440" i="2"/>
  <c r="EL440" i="2" s="1"/>
  <c r="DR440" i="2"/>
  <c r="DQ440" i="2"/>
  <c r="DP440" i="2"/>
  <c r="FT439" i="2"/>
  <c r="FS439" i="2"/>
  <c r="GL439" i="2" s="1"/>
  <c r="FQ439" i="2"/>
  <c r="GJ439" i="2" s="1"/>
  <c r="FP439" i="2"/>
  <c r="GI439" i="2" s="1"/>
  <c r="FO439" i="2"/>
  <c r="FN439" i="2"/>
  <c r="FM439" i="2"/>
  <c r="FL439" i="2"/>
  <c r="FK439" i="2"/>
  <c r="FJ439" i="2"/>
  <c r="FI439" i="2"/>
  <c r="GB439" i="2" s="1"/>
  <c r="FH439" i="2"/>
  <c r="FG439" i="2"/>
  <c r="FF439" i="2"/>
  <c r="FY439" i="2" s="1"/>
  <c r="FE439" i="2"/>
  <c r="FX439" i="2" s="1"/>
  <c r="FD439" i="2"/>
  <c r="FC439" i="2"/>
  <c r="FB439" i="2"/>
  <c r="EH439" i="2"/>
  <c r="EG439" i="2"/>
  <c r="EZ439" i="2" s="1"/>
  <c r="EE439" i="2"/>
  <c r="EX439" i="2" s="1"/>
  <c r="ED439" i="2"/>
  <c r="EW439" i="2" s="1"/>
  <c r="EC439" i="2"/>
  <c r="EB439" i="2"/>
  <c r="EA439" i="2"/>
  <c r="DZ439" i="2"/>
  <c r="DY439" i="2"/>
  <c r="DX439" i="2"/>
  <c r="DW439" i="2"/>
  <c r="EP439" i="2" s="1"/>
  <c r="DV439" i="2"/>
  <c r="DU439" i="2"/>
  <c r="DT439" i="2"/>
  <c r="EM439" i="2" s="1"/>
  <c r="DS439" i="2"/>
  <c r="EL439" i="2" s="1"/>
  <c r="DR439" i="2"/>
  <c r="DQ439" i="2"/>
  <c r="DP439" i="2"/>
  <c r="FT380" i="2"/>
  <c r="FS380" i="2"/>
  <c r="GL380" i="2" s="1"/>
  <c r="FQ380" i="2"/>
  <c r="GJ380" i="2" s="1"/>
  <c r="FP380" i="2"/>
  <c r="GI380" i="2" s="1"/>
  <c r="FO380" i="2"/>
  <c r="FN380" i="2"/>
  <c r="FM380" i="2"/>
  <c r="FL380" i="2"/>
  <c r="FK380" i="2"/>
  <c r="FJ380" i="2"/>
  <c r="FI380" i="2"/>
  <c r="GB380" i="2" s="1"/>
  <c r="FH380" i="2"/>
  <c r="FG380" i="2"/>
  <c r="FF380" i="2"/>
  <c r="FY380" i="2" s="1"/>
  <c r="FE380" i="2"/>
  <c r="FX380" i="2" s="1"/>
  <c r="FD380" i="2"/>
  <c r="FC380" i="2"/>
  <c r="FB380" i="2"/>
  <c r="EH380" i="2"/>
  <c r="EG380" i="2"/>
  <c r="EZ380" i="2" s="1"/>
  <c r="EE380" i="2"/>
  <c r="EX380" i="2" s="1"/>
  <c r="ED380" i="2"/>
  <c r="EW380" i="2" s="1"/>
  <c r="EC380" i="2"/>
  <c r="EB380" i="2"/>
  <c r="EA380" i="2"/>
  <c r="DZ380" i="2"/>
  <c r="DY380" i="2"/>
  <c r="DX380" i="2"/>
  <c r="DW380" i="2"/>
  <c r="EP380" i="2" s="1"/>
  <c r="DV380" i="2"/>
  <c r="DU380" i="2"/>
  <c r="DT380" i="2"/>
  <c r="EM380" i="2" s="1"/>
  <c r="DS380" i="2"/>
  <c r="EL380" i="2" s="1"/>
  <c r="DR380" i="2"/>
  <c r="DQ380" i="2"/>
  <c r="DP380" i="2"/>
  <c r="FT438" i="2"/>
  <c r="FS438" i="2"/>
  <c r="GL438" i="2" s="1"/>
  <c r="FQ438" i="2"/>
  <c r="GJ438" i="2" s="1"/>
  <c r="FP438" i="2"/>
  <c r="GI438" i="2" s="1"/>
  <c r="FO438" i="2"/>
  <c r="FN438" i="2"/>
  <c r="FM438" i="2"/>
  <c r="FL438" i="2"/>
  <c r="FK438" i="2"/>
  <c r="FJ438" i="2"/>
  <c r="FI438" i="2"/>
  <c r="GB438" i="2" s="1"/>
  <c r="FH438" i="2"/>
  <c r="FG438" i="2"/>
  <c r="FF438" i="2"/>
  <c r="FY438" i="2" s="1"/>
  <c r="FE438" i="2"/>
  <c r="FX438" i="2" s="1"/>
  <c r="FD438" i="2"/>
  <c r="FC438" i="2"/>
  <c r="FB438" i="2"/>
  <c r="EH438" i="2"/>
  <c r="EG438" i="2"/>
  <c r="EZ438" i="2" s="1"/>
  <c r="EE438" i="2"/>
  <c r="EX438" i="2" s="1"/>
  <c r="ED438" i="2"/>
  <c r="EW438" i="2" s="1"/>
  <c r="EC438" i="2"/>
  <c r="EB438" i="2"/>
  <c r="EA438" i="2"/>
  <c r="DZ438" i="2"/>
  <c r="DY438" i="2"/>
  <c r="DX438" i="2"/>
  <c r="DW438" i="2"/>
  <c r="EP438" i="2" s="1"/>
  <c r="DV438" i="2"/>
  <c r="DU438" i="2"/>
  <c r="DT438" i="2"/>
  <c r="EM438" i="2" s="1"/>
  <c r="DS438" i="2"/>
  <c r="EL438" i="2" s="1"/>
  <c r="DR438" i="2"/>
  <c r="DQ438" i="2"/>
  <c r="DP438" i="2"/>
  <c r="FT437" i="2"/>
  <c r="FS437" i="2"/>
  <c r="GL437" i="2" s="1"/>
  <c r="FQ437" i="2"/>
  <c r="GJ437" i="2" s="1"/>
  <c r="FP437" i="2"/>
  <c r="GI437" i="2" s="1"/>
  <c r="FO437" i="2"/>
  <c r="FN437" i="2"/>
  <c r="FM437" i="2"/>
  <c r="FL437" i="2"/>
  <c r="FK437" i="2"/>
  <c r="FJ437" i="2"/>
  <c r="FI437" i="2"/>
  <c r="GB437" i="2" s="1"/>
  <c r="FH437" i="2"/>
  <c r="FG437" i="2"/>
  <c r="FF437" i="2"/>
  <c r="FY437" i="2" s="1"/>
  <c r="FE437" i="2"/>
  <c r="FX437" i="2" s="1"/>
  <c r="FD437" i="2"/>
  <c r="FC437" i="2"/>
  <c r="FB437" i="2"/>
  <c r="EH437" i="2"/>
  <c r="EG437" i="2"/>
  <c r="EZ437" i="2" s="1"/>
  <c r="EE437" i="2"/>
  <c r="EX437" i="2" s="1"/>
  <c r="ED437" i="2"/>
  <c r="EW437" i="2" s="1"/>
  <c r="EC437" i="2"/>
  <c r="EB437" i="2"/>
  <c r="EA437" i="2"/>
  <c r="DZ437" i="2"/>
  <c r="DY437" i="2"/>
  <c r="DX437" i="2"/>
  <c r="DW437" i="2"/>
  <c r="EP437" i="2" s="1"/>
  <c r="DV437" i="2"/>
  <c r="DU437" i="2"/>
  <c r="DT437" i="2"/>
  <c r="EM437" i="2" s="1"/>
  <c r="DS437" i="2"/>
  <c r="EL437" i="2" s="1"/>
  <c r="DR437" i="2"/>
  <c r="DQ437" i="2"/>
  <c r="DP437" i="2"/>
  <c r="FT436" i="2"/>
  <c r="FS436" i="2"/>
  <c r="GL436" i="2" s="1"/>
  <c r="FQ436" i="2"/>
  <c r="GJ436" i="2" s="1"/>
  <c r="FP436" i="2"/>
  <c r="GI436" i="2" s="1"/>
  <c r="FO436" i="2"/>
  <c r="FN436" i="2"/>
  <c r="FM436" i="2"/>
  <c r="FL436" i="2"/>
  <c r="FK436" i="2"/>
  <c r="FJ436" i="2"/>
  <c r="FI436" i="2"/>
  <c r="GB436" i="2" s="1"/>
  <c r="FH436" i="2"/>
  <c r="FG436" i="2"/>
  <c r="FF436" i="2"/>
  <c r="FY436" i="2" s="1"/>
  <c r="FE436" i="2"/>
  <c r="FX436" i="2" s="1"/>
  <c r="FD436" i="2"/>
  <c r="FC436" i="2"/>
  <c r="FB436" i="2"/>
  <c r="EH436" i="2"/>
  <c r="EG436" i="2"/>
  <c r="EZ436" i="2" s="1"/>
  <c r="EE436" i="2"/>
  <c r="EX436" i="2" s="1"/>
  <c r="ED436" i="2"/>
  <c r="EW436" i="2" s="1"/>
  <c r="EC436" i="2"/>
  <c r="EB436" i="2"/>
  <c r="EA436" i="2"/>
  <c r="DZ436" i="2"/>
  <c r="DY436" i="2"/>
  <c r="DX436" i="2"/>
  <c r="DW436" i="2"/>
  <c r="EP436" i="2" s="1"/>
  <c r="DV436" i="2"/>
  <c r="DU436" i="2"/>
  <c r="DT436" i="2"/>
  <c r="EM436" i="2" s="1"/>
  <c r="DS436" i="2"/>
  <c r="EL436" i="2" s="1"/>
  <c r="DR436" i="2"/>
  <c r="DQ436" i="2"/>
  <c r="DP436" i="2"/>
  <c r="FT435" i="2"/>
  <c r="FS435" i="2"/>
  <c r="GL435" i="2" s="1"/>
  <c r="FQ435" i="2"/>
  <c r="GJ435" i="2" s="1"/>
  <c r="FP435" i="2"/>
  <c r="GI435" i="2" s="1"/>
  <c r="FO435" i="2"/>
  <c r="FN435" i="2"/>
  <c r="FM435" i="2"/>
  <c r="FL435" i="2"/>
  <c r="FK435" i="2"/>
  <c r="FJ435" i="2"/>
  <c r="FI435" i="2"/>
  <c r="GB435" i="2" s="1"/>
  <c r="FH435" i="2"/>
  <c r="FG435" i="2"/>
  <c r="FF435" i="2"/>
  <c r="FY435" i="2" s="1"/>
  <c r="FE435" i="2"/>
  <c r="FX435" i="2" s="1"/>
  <c r="FD435" i="2"/>
  <c r="FC435" i="2"/>
  <c r="FB435" i="2"/>
  <c r="EH435" i="2"/>
  <c r="EG435" i="2"/>
  <c r="EZ435" i="2" s="1"/>
  <c r="EE435" i="2"/>
  <c r="EX435" i="2" s="1"/>
  <c r="ED435" i="2"/>
  <c r="EW435" i="2" s="1"/>
  <c r="EC435" i="2"/>
  <c r="EB435" i="2"/>
  <c r="EA435" i="2"/>
  <c r="DZ435" i="2"/>
  <c r="DY435" i="2"/>
  <c r="DX435" i="2"/>
  <c r="DW435" i="2"/>
  <c r="EP435" i="2" s="1"/>
  <c r="DV435" i="2"/>
  <c r="DU435" i="2"/>
  <c r="DT435" i="2"/>
  <c r="EM435" i="2" s="1"/>
  <c r="DS435" i="2"/>
  <c r="EL435" i="2" s="1"/>
  <c r="DR435" i="2"/>
  <c r="DQ435" i="2"/>
  <c r="DP435" i="2"/>
  <c r="FT434" i="2"/>
  <c r="FS434" i="2"/>
  <c r="GL434" i="2" s="1"/>
  <c r="FQ434" i="2"/>
  <c r="GJ434" i="2" s="1"/>
  <c r="FP434" i="2"/>
  <c r="GI434" i="2" s="1"/>
  <c r="FO434" i="2"/>
  <c r="FN434" i="2"/>
  <c r="FM434" i="2"/>
  <c r="FL434" i="2"/>
  <c r="FK434" i="2"/>
  <c r="FJ434" i="2"/>
  <c r="FI434" i="2"/>
  <c r="GB434" i="2" s="1"/>
  <c r="FH434" i="2"/>
  <c r="FG434" i="2"/>
  <c r="FF434" i="2"/>
  <c r="FY434" i="2" s="1"/>
  <c r="FE434" i="2"/>
  <c r="FX434" i="2" s="1"/>
  <c r="FD434" i="2"/>
  <c r="FC434" i="2"/>
  <c r="FB434" i="2"/>
  <c r="EH434" i="2"/>
  <c r="EG434" i="2"/>
  <c r="EZ434" i="2" s="1"/>
  <c r="EE434" i="2"/>
  <c r="EX434" i="2" s="1"/>
  <c r="ED434" i="2"/>
  <c r="EW434" i="2" s="1"/>
  <c r="EC434" i="2"/>
  <c r="EB434" i="2"/>
  <c r="EA434" i="2"/>
  <c r="DZ434" i="2"/>
  <c r="DY434" i="2"/>
  <c r="DX434" i="2"/>
  <c r="DW434" i="2"/>
  <c r="EP434" i="2" s="1"/>
  <c r="DV434" i="2"/>
  <c r="DU434" i="2"/>
  <c r="DT434" i="2"/>
  <c r="EM434" i="2" s="1"/>
  <c r="DS434" i="2"/>
  <c r="EL434" i="2" s="1"/>
  <c r="DR434" i="2"/>
  <c r="DQ434" i="2"/>
  <c r="DP434" i="2"/>
  <c r="FT433" i="2"/>
  <c r="FS433" i="2"/>
  <c r="GL433" i="2" s="1"/>
  <c r="FQ433" i="2"/>
  <c r="GJ433" i="2" s="1"/>
  <c r="FP433" i="2"/>
  <c r="GI433" i="2" s="1"/>
  <c r="FO433" i="2"/>
  <c r="FN433" i="2"/>
  <c r="FM433" i="2"/>
  <c r="FL433" i="2"/>
  <c r="FK433" i="2"/>
  <c r="FJ433" i="2"/>
  <c r="FI433" i="2"/>
  <c r="GB433" i="2" s="1"/>
  <c r="FH433" i="2"/>
  <c r="FG433" i="2"/>
  <c r="FF433" i="2"/>
  <c r="FY433" i="2" s="1"/>
  <c r="FE433" i="2"/>
  <c r="FX433" i="2" s="1"/>
  <c r="FD433" i="2"/>
  <c r="FC433" i="2"/>
  <c r="FB433" i="2"/>
  <c r="EH433" i="2"/>
  <c r="EG433" i="2"/>
  <c r="EZ433" i="2" s="1"/>
  <c r="EE433" i="2"/>
  <c r="EX433" i="2" s="1"/>
  <c r="ED433" i="2"/>
  <c r="EW433" i="2" s="1"/>
  <c r="EC433" i="2"/>
  <c r="EB433" i="2"/>
  <c r="EA433" i="2"/>
  <c r="DZ433" i="2"/>
  <c r="DY433" i="2"/>
  <c r="DX433" i="2"/>
  <c r="DW433" i="2"/>
  <c r="EP433" i="2" s="1"/>
  <c r="DV433" i="2"/>
  <c r="DU433" i="2"/>
  <c r="DT433" i="2"/>
  <c r="EM433" i="2" s="1"/>
  <c r="DS433" i="2"/>
  <c r="EL433" i="2" s="1"/>
  <c r="DR433" i="2"/>
  <c r="DQ433" i="2"/>
  <c r="DP433" i="2"/>
  <c r="FT432" i="2"/>
  <c r="FS432" i="2"/>
  <c r="GL432" i="2" s="1"/>
  <c r="FQ432" i="2"/>
  <c r="GJ432" i="2" s="1"/>
  <c r="FP432" i="2"/>
  <c r="GI432" i="2" s="1"/>
  <c r="FO432" i="2"/>
  <c r="FN432" i="2"/>
  <c r="FM432" i="2"/>
  <c r="FL432" i="2"/>
  <c r="FK432" i="2"/>
  <c r="FJ432" i="2"/>
  <c r="FI432" i="2"/>
  <c r="GB432" i="2" s="1"/>
  <c r="FH432" i="2"/>
  <c r="FG432" i="2"/>
  <c r="FF432" i="2"/>
  <c r="FY432" i="2" s="1"/>
  <c r="FE432" i="2"/>
  <c r="FX432" i="2" s="1"/>
  <c r="FD432" i="2"/>
  <c r="FC432" i="2"/>
  <c r="FB432" i="2"/>
  <c r="EH432" i="2"/>
  <c r="EG432" i="2"/>
  <c r="EZ432" i="2" s="1"/>
  <c r="EE432" i="2"/>
  <c r="EX432" i="2" s="1"/>
  <c r="ED432" i="2"/>
  <c r="EW432" i="2" s="1"/>
  <c r="EC432" i="2"/>
  <c r="EB432" i="2"/>
  <c r="EA432" i="2"/>
  <c r="DZ432" i="2"/>
  <c r="DY432" i="2"/>
  <c r="DX432" i="2"/>
  <c r="DW432" i="2"/>
  <c r="EP432" i="2" s="1"/>
  <c r="DV432" i="2"/>
  <c r="DU432" i="2"/>
  <c r="DT432" i="2"/>
  <c r="EM432" i="2" s="1"/>
  <c r="DS432" i="2"/>
  <c r="EL432" i="2" s="1"/>
  <c r="DR432" i="2"/>
  <c r="DQ432" i="2"/>
  <c r="DP432" i="2"/>
  <c r="FT431" i="2"/>
  <c r="FS431" i="2"/>
  <c r="GL431" i="2" s="1"/>
  <c r="FQ431" i="2"/>
  <c r="GJ431" i="2" s="1"/>
  <c r="FP431" i="2"/>
  <c r="GI431" i="2" s="1"/>
  <c r="FO431" i="2"/>
  <c r="FN431" i="2"/>
  <c r="FM431" i="2"/>
  <c r="FL431" i="2"/>
  <c r="FK431" i="2"/>
  <c r="FJ431" i="2"/>
  <c r="FI431" i="2"/>
  <c r="GB431" i="2" s="1"/>
  <c r="FH431" i="2"/>
  <c r="FG431" i="2"/>
  <c r="FF431" i="2"/>
  <c r="FY431" i="2" s="1"/>
  <c r="FE431" i="2"/>
  <c r="FX431" i="2" s="1"/>
  <c r="FD431" i="2"/>
  <c r="FC431" i="2"/>
  <c r="FB431" i="2"/>
  <c r="EH431" i="2"/>
  <c r="EG431" i="2"/>
  <c r="EZ431" i="2" s="1"/>
  <c r="EE431" i="2"/>
  <c r="EX431" i="2" s="1"/>
  <c r="ED431" i="2"/>
  <c r="EW431" i="2" s="1"/>
  <c r="EC431" i="2"/>
  <c r="EB431" i="2"/>
  <c r="EA431" i="2"/>
  <c r="DZ431" i="2"/>
  <c r="DY431" i="2"/>
  <c r="DX431" i="2"/>
  <c r="DW431" i="2"/>
  <c r="EP431" i="2" s="1"/>
  <c r="DV431" i="2"/>
  <c r="DU431" i="2"/>
  <c r="DT431" i="2"/>
  <c r="EM431" i="2" s="1"/>
  <c r="DS431" i="2"/>
  <c r="EL431" i="2" s="1"/>
  <c r="DR431" i="2"/>
  <c r="DQ431" i="2"/>
  <c r="DP431" i="2"/>
  <c r="FT430" i="2"/>
  <c r="FS430" i="2"/>
  <c r="GL430" i="2" s="1"/>
  <c r="FQ430" i="2"/>
  <c r="GJ430" i="2" s="1"/>
  <c r="FP430" i="2"/>
  <c r="GI430" i="2" s="1"/>
  <c r="FO430" i="2"/>
  <c r="FN430" i="2"/>
  <c r="FM430" i="2"/>
  <c r="FL430" i="2"/>
  <c r="FK430" i="2"/>
  <c r="FJ430" i="2"/>
  <c r="FI430" i="2"/>
  <c r="GB430" i="2" s="1"/>
  <c r="FH430" i="2"/>
  <c r="FG430" i="2"/>
  <c r="FF430" i="2"/>
  <c r="FY430" i="2" s="1"/>
  <c r="FE430" i="2"/>
  <c r="FX430" i="2" s="1"/>
  <c r="FD430" i="2"/>
  <c r="FC430" i="2"/>
  <c r="FB430" i="2"/>
  <c r="EH430" i="2"/>
  <c r="EG430" i="2"/>
  <c r="EZ430" i="2" s="1"/>
  <c r="EE430" i="2"/>
  <c r="EX430" i="2" s="1"/>
  <c r="ED430" i="2"/>
  <c r="EW430" i="2" s="1"/>
  <c r="EC430" i="2"/>
  <c r="EB430" i="2"/>
  <c r="EA430" i="2"/>
  <c r="DZ430" i="2"/>
  <c r="DY430" i="2"/>
  <c r="DX430" i="2"/>
  <c r="DW430" i="2"/>
  <c r="EP430" i="2" s="1"/>
  <c r="DV430" i="2"/>
  <c r="DU430" i="2"/>
  <c r="DT430" i="2"/>
  <c r="EM430" i="2" s="1"/>
  <c r="DS430" i="2"/>
  <c r="EL430" i="2" s="1"/>
  <c r="DR430" i="2"/>
  <c r="DQ430" i="2"/>
  <c r="DP430" i="2"/>
  <c r="FT429" i="2"/>
  <c r="FS429" i="2"/>
  <c r="GL429" i="2" s="1"/>
  <c r="FQ429" i="2"/>
  <c r="GJ429" i="2" s="1"/>
  <c r="FP429" i="2"/>
  <c r="GI429" i="2" s="1"/>
  <c r="FO429" i="2"/>
  <c r="FN429" i="2"/>
  <c r="FM429" i="2"/>
  <c r="FL429" i="2"/>
  <c r="FK429" i="2"/>
  <c r="FJ429" i="2"/>
  <c r="FI429" i="2"/>
  <c r="GB429" i="2" s="1"/>
  <c r="FH429" i="2"/>
  <c r="FG429" i="2"/>
  <c r="FF429" i="2"/>
  <c r="FY429" i="2" s="1"/>
  <c r="FE429" i="2"/>
  <c r="FX429" i="2" s="1"/>
  <c r="FD429" i="2"/>
  <c r="FC429" i="2"/>
  <c r="FB429" i="2"/>
  <c r="EH429" i="2"/>
  <c r="EG429" i="2"/>
  <c r="EZ429" i="2" s="1"/>
  <c r="EE429" i="2"/>
  <c r="EX429" i="2" s="1"/>
  <c r="ED429" i="2"/>
  <c r="EW429" i="2" s="1"/>
  <c r="EC429" i="2"/>
  <c r="EB429" i="2"/>
  <c r="EA429" i="2"/>
  <c r="DZ429" i="2"/>
  <c r="DY429" i="2"/>
  <c r="DX429" i="2"/>
  <c r="DW429" i="2"/>
  <c r="EP429" i="2" s="1"/>
  <c r="DV429" i="2"/>
  <c r="DU429" i="2"/>
  <c r="DT429" i="2"/>
  <c r="EM429" i="2" s="1"/>
  <c r="DS429" i="2"/>
  <c r="EL429" i="2" s="1"/>
  <c r="DR429" i="2"/>
  <c r="DQ429" i="2"/>
  <c r="DP429" i="2"/>
  <c r="FT428" i="2"/>
  <c r="FS428" i="2"/>
  <c r="GL428" i="2" s="1"/>
  <c r="FQ428" i="2"/>
  <c r="GJ428" i="2" s="1"/>
  <c r="FP428" i="2"/>
  <c r="GI428" i="2" s="1"/>
  <c r="FO428" i="2"/>
  <c r="FN428" i="2"/>
  <c r="FM428" i="2"/>
  <c r="FL428" i="2"/>
  <c r="FK428" i="2"/>
  <c r="FJ428" i="2"/>
  <c r="FI428" i="2"/>
  <c r="GB428" i="2" s="1"/>
  <c r="FH428" i="2"/>
  <c r="FG428" i="2"/>
  <c r="FF428" i="2"/>
  <c r="FY428" i="2" s="1"/>
  <c r="FE428" i="2"/>
  <c r="FX428" i="2" s="1"/>
  <c r="FD428" i="2"/>
  <c r="FC428" i="2"/>
  <c r="FB428" i="2"/>
  <c r="EH428" i="2"/>
  <c r="EG428" i="2"/>
  <c r="EZ428" i="2" s="1"/>
  <c r="EE428" i="2"/>
  <c r="EX428" i="2" s="1"/>
  <c r="ED428" i="2"/>
  <c r="EW428" i="2" s="1"/>
  <c r="EC428" i="2"/>
  <c r="EB428" i="2"/>
  <c r="EA428" i="2"/>
  <c r="DZ428" i="2"/>
  <c r="DY428" i="2"/>
  <c r="DX428" i="2"/>
  <c r="DW428" i="2"/>
  <c r="EP428" i="2" s="1"/>
  <c r="DV428" i="2"/>
  <c r="DU428" i="2"/>
  <c r="DT428" i="2"/>
  <c r="EM428" i="2" s="1"/>
  <c r="DS428" i="2"/>
  <c r="EL428" i="2" s="1"/>
  <c r="DR428" i="2"/>
  <c r="DQ428" i="2"/>
  <c r="DP428" i="2"/>
  <c r="FT427" i="2"/>
  <c r="FS427" i="2"/>
  <c r="GL427" i="2" s="1"/>
  <c r="FQ427" i="2"/>
  <c r="GJ427" i="2" s="1"/>
  <c r="FP427" i="2"/>
  <c r="GI427" i="2" s="1"/>
  <c r="FO427" i="2"/>
  <c r="FN427" i="2"/>
  <c r="FM427" i="2"/>
  <c r="FL427" i="2"/>
  <c r="FK427" i="2"/>
  <c r="FJ427" i="2"/>
  <c r="FI427" i="2"/>
  <c r="GB427" i="2" s="1"/>
  <c r="FH427" i="2"/>
  <c r="FG427" i="2"/>
  <c r="FF427" i="2"/>
  <c r="FY427" i="2" s="1"/>
  <c r="FE427" i="2"/>
  <c r="FX427" i="2" s="1"/>
  <c r="FD427" i="2"/>
  <c r="FC427" i="2"/>
  <c r="FB427" i="2"/>
  <c r="EH427" i="2"/>
  <c r="EG427" i="2"/>
  <c r="EZ427" i="2" s="1"/>
  <c r="EE427" i="2"/>
  <c r="EX427" i="2" s="1"/>
  <c r="ED427" i="2"/>
  <c r="EW427" i="2" s="1"/>
  <c r="EC427" i="2"/>
  <c r="EB427" i="2"/>
  <c r="EA427" i="2"/>
  <c r="DZ427" i="2"/>
  <c r="DY427" i="2"/>
  <c r="DX427" i="2"/>
  <c r="DW427" i="2"/>
  <c r="EP427" i="2" s="1"/>
  <c r="DV427" i="2"/>
  <c r="DU427" i="2"/>
  <c r="DT427" i="2"/>
  <c r="EM427" i="2" s="1"/>
  <c r="DS427" i="2"/>
  <c r="EL427" i="2" s="1"/>
  <c r="DR427" i="2"/>
  <c r="DQ427" i="2"/>
  <c r="DP427" i="2"/>
  <c r="FT426" i="2"/>
  <c r="FS426" i="2"/>
  <c r="GL426" i="2" s="1"/>
  <c r="FQ426" i="2"/>
  <c r="GJ426" i="2" s="1"/>
  <c r="FP426" i="2"/>
  <c r="GI426" i="2" s="1"/>
  <c r="FO426" i="2"/>
  <c r="FN426" i="2"/>
  <c r="FM426" i="2"/>
  <c r="FL426" i="2"/>
  <c r="FK426" i="2"/>
  <c r="FJ426" i="2"/>
  <c r="FI426" i="2"/>
  <c r="GB426" i="2" s="1"/>
  <c r="FH426" i="2"/>
  <c r="FG426" i="2"/>
  <c r="FF426" i="2"/>
  <c r="FY426" i="2" s="1"/>
  <c r="FE426" i="2"/>
  <c r="FX426" i="2" s="1"/>
  <c r="FD426" i="2"/>
  <c r="FC426" i="2"/>
  <c r="FB426" i="2"/>
  <c r="EH426" i="2"/>
  <c r="EG426" i="2"/>
  <c r="EZ426" i="2" s="1"/>
  <c r="EE426" i="2"/>
  <c r="EX426" i="2" s="1"/>
  <c r="ED426" i="2"/>
  <c r="EW426" i="2" s="1"/>
  <c r="EC426" i="2"/>
  <c r="EB426" i="2"/>
  <c r="EA426" i="2"/>
  <c r="DZ426" i="2"/>
  <c r="DY426" i="2"/>
  <c r="DX426" i="2"/>
  <c r="DW426" i="2"/>
  <c r="EP426" i="2" s="1"/>
  <c r="DV426" i="2"/>
  <c r="DU426" i="2"/>
  <c r="DT426" i="2"/>
  <c r="EM426" i="2" s="1"/>
  <c r="DS426" i="2"/>
  <c r="EL426" i="2" s="1"/>
  <c r="DR426" i="2"/>
  <c r="DQ426" i="2"/>
  <c r="DP426" i="2"/>
  <c r="FT425" i="2"/>
  <c r="FS425" i="2"/>
  <c r="GL425" i="2" s="1"/>
  <c r="FQ425" i="2"/>
  <c r="GJ425" i="2" s="1"/>
  <c r="FP425" i="2"/>
  <c r="GI425" i="2" s="1"/>
  <c r="FO425" i="2"/>
  <c r="FN425" i="2"/>
  <c r="FM425" i="2"/>
  <c r="FL425" i="2"/>
  <c r="FK425" i="2"/>
  <c r="FJ425" i="2"/>
  <c r="FI425" i="2"/>
  <c r="GB425" i="2" s="1"/>
  <c r="FH425" i="2"/>
  <c r="FG425" i="2"/>
  <c r="FF425" i="2"/>
  <c r="FY425" i="2" s="1"/>
  <c r="FE425" i="2"/>
  <c r="FX425" i="2" s="1"/>
  <c r="FD425" i="2"/>
  <c r="FC425" i="2"/>
  <c r="FB425" i="2"/>
  <c r="EH425" i="2"/>
  <c r="EG425" i="2"/>
  <c r="EZ425" i="2" s="1"/>
  <c r="EE425" i="2"/>
  <c r="EX425" i="2" s="1"/>
  <c r="ED425" i="2"/>
  <c r="EW425" i="2" s="1"/>
  <c r="EC425" i="2"/>
  <c r="EB425" i="2"/>
  <c r="EA425" i="2"/>
  <c r="DZ425" i="2"/>
  <c r="DY425" i="2"/>
  <c r="DX425" i="2"/>
  <c r="DW425" i="2"/>
  <c r="EP425" i="2" s="1"/>
  <c r="DV425" i="2"/>
  <c r="DU425" i="2"/>
  <c r="DT425" i="2"/>
  <c r="EM425" i="2" s="1"/>
  <c r="DS425" i="2"/>
  <c r="EL425" i="2" s="1"/>
  <c r="DR425" i="2"/>
  <c r="DQ425" i="2"/>
  <c r="DP425" i="2"/>
  <c r="FT424" i="2"/>
  <c r="FS424" i="2"/>
  <c r="GL424" i="2" s="1"/>
  <c r="FQ424" i="2"/>
  <c r="GJ424" i="2" s="1"/>
  <c r="FP424" i="2"/>
  <c r="GI424" i="2" s="1"/>
  <c r="FO424" i="2"/>
  <c r="FN424" i="2"/>
  <c r="FM424" i="2"/>
  <c r="FL424" i="2"/>
  <c r="FK424" i="2"/>
  <c r="FJ424" i="2"/>
  <c r="FI424" i="2"/>
  <c r="GB424" i="2" s="1"/>
  <c r="FH424" i="2"/>
  <c r="FG424" i="2"/>
  <c r="FF424" i="2"/>
  <c r="FY424" i="2" s="1"/>
  <c r="FE424" i="2"/>
  <c r="FX424" i="2" s="1"/>
  <c r="FD424" i="2"/>
  <c r="FC424" i="2"/>
  <c r="FB424" i="2"/>
  <c r="EH424" i="2"/>
  <c r="EG424" i="2"/>
  <c r="EZ424" i="2" s="1"/>
  <c r="EE424" i="2"/>
  <c r="EX424" i="2" s="1"/>
  <c r="ED424" i="2"/>
  <c r="EW424" i="2" s="1"/>
  <c r="EC424" i="2"/>
  <c r="EB424" i="2"/>
  <c r="EA424" i="2"/>
  <c r="DZ424" i="2"/>
  <c r="DY424" i="2"/>
  <c r="DX424" i="2"/>
  <c r="DW424" i="2"/>
  <c r="EP424" i="2" s="1"/>
  <c r="DV424" i="2"/>
  <c r="DU424" i="2"/>
  <c r="DT424" i="2"/>
  <c r="EM424" i="2" s="1"/>
  <c r="DS424" i="2"/>
  <c r="EL424" i="2" s="1"/>
  <c r="DR424" i="2"/>
  <c r="DQ424" i="2"/>
  <c r="DP424" i="2"/>
  <c r="FT423" i="2"/>
  <c r="FS423" i="2"/>
  <c r="GL423" i="2" s="1"/>
  <c r="FQ423" i="2"/>
  <c r="GJ423" i="2" s="1"/>
  <c r="FP423" i="2"/>
  <c r="GI423" i="2" s="1"/>
  <c r="FO423" i="2"/>
  <c r="FN423" i="2"/>
  <c r="FM423" i="2"/>
  <c r="FL423" i="2"/>
  <c r="FK423" i="2"/>
  <c r="FJ423" i="2"/>
  <c r="FI423" i="2"/>
  <c r="GB423" i="2" s="1"/>
  <c r="FH423" i="2"/>
  <c r="FG423" i="2"/>
  <c r="FF423" i="2"/>
  <c r="FY423" i="2" s="1"/>
  <c r="FE423" i="2"/>
  <c r="FX423" i="2" s="1"/>
  <c r="FD423" i="2"/>
  <c r="FC423" i="2"/>
  <c r="FB423" i="2"/>
  <c r="EH423" i="2"/>
  <c r="EG423" i="2"/>
  <c r="EZ423" i="2" s="1"/>
  <c r="EE423" i="2"/>
  <c r="EX423" i="2" s="1"/>
  <c r="ED423" i="2"/>
  <c r="EW423" i="2" s="1"/>
  <c r="EC423" i="2"/>
  <c r="EB423" i="2"/>
  <c r="EA423" i="2"/>
  <c r="DZ423" i="2"/>
  <c r="DY423" i="2"/>
  <c r="DX423" i="2"/>
  <c r="DW423" i="2"/>
  <c r="EP423" i="2" s="1"/>
  <c r="DV423" i="2"/>
  <c r="DU423" i="2"/>
  <c r="DT423" i="2"/>
  <c r="EM423" i="2" s="1"/>
  <c r="DS423" i="2"/>
  <c r="EL423" i="2" s="1"/>
  <c r="DR423" i="2"/>
  <c r="DQ423" i="2"/>
  <c r="DP423" i="2"/>
  <c r="FT422" i="2"/>
  <c r="FS422" i="2"/>
  <c r="GL422" i="2" s="1"/>
  <c r="FQ422" i="2"/>
  <c r="GJ422" i="2" s="1"/>
  <c r="FP422" i="2"/>
  <c r="GI422" i="2" s="1"/>
  <c r="FO422" i="2"/>
  <c r="FN422" i="2"/>
  <c r="FM422" i="2"/>
  <c r="FL422" i="2"/>
  <c r="FK422" i="2"/>
  <c r="FJ422" i="2"/>
  <c r="FI422" i="2"/>
  <c r="GB422" i="2" s="1"/>
  <c r="FH422" i="2"/>
  <c r="FG422" i="2"/>
  <c r="FF422" i="2"/>
  <c r="FY422" i="2" s="1"/>
  <c r="FE422" i="2"/>
  <c r="FX422" i="2" s="1"/>
  <c r="FD422" i="2"/>
  <c r="FC422" i="2"/>
  <c r="FB422" i="2"/>
  <c r="EH422" i="2"/>
  <c r="EG422" i="2"/>
  <c r="EZ422" i="2" s="1"/>
  <c r="EE422" i="2"/>
  <c r="EX422" i="2" s="1"/>
  <c r="ED422" i="2"/>
  <c r="EW422" i="2" s="1"/>
  <c r="EC422" i="2"/>
  <c r="EB422" i="2"/>
  <c r="EA422" i="2"/>
  <c r="DZ422" i="2"/>
  <c r="DY422" i="2"/>
  <c r="DX422" i="2"/>
  <c r="DW422" i="2"/>
  <c r="EP422" i="2" s="1"/>
  <c r="DV422" i="2"/>
  <c r="DU422" i="2"/>
  <c r="DT422" i="2"/>
  <c r="EM422" i="2" s="1"/>
  <c r="DS422" i="2"/>
  <c r="EL422" i="2" s="1"/>
  <c r="DR422" i="2"/>
  <c r="DQ422" i="2"/>
  <c r="DP422" i="2"/>
  <c r="FT379" i="2"/>
  <c r="FS379" i="2"/>
  <c r="GL379" i="2" s="1"/>
  <c r="FQ379" i="2"/>
  <c r="GJ379" i="2" s="1"/>
  <c r="FP379" i="2"/>
  <c r="GI379" i="2" s="1"/>
  <c r="FO379" i="2"/>
  <c r="FN379" i="2"/>
  <c r="FM379" i="2"/>
  <c r="FL379" i="2"/>
  <c r="FK379" i="2"/>
  <c r="FJ379" i="2"/>
  <c r="FI379" i="2"/>
  <c r="GB379" i="2" s="1"/>
  <c r="FH379" i="2"/>
  <c r="FG379" i="2"/>
  <c r="FF379" i="2"/>
  <c r="FY379" i="2" s="1"/>
  <c r="FE379" i="2"/>
  <c r="FX379" i="2" s="1"/>
  <c r="FD379" i="2"/>
  <c r="FC379" i="2"/>
  <c r="FB379" i="2"/>
  <c r="EH379" i="2"/>
  <c r="EG379" i="2"/>
  <c r="EZ379" i="2" s="1"/>
  <c r="EE379" i="2"/>
  <c r="EX379" i="2" s="1"/>
  <c r="ED379" i="2"/>
  <c r="EW379" i="2" s="1"/>
  <c r="EC379" i="2"/>
  <c r="EB379" i="2"/>
  <c r="EA379" i="2"/>
  <c r="DZ379" i="2"/>
  <c r="DY379" i="2"/>
  <c r="DX379" i="2"/>
  <c r="DW379" i="2"/>
  <c r="EP379" i="2" s="1"/>
  <c r="DV379" i="2"/>
  <c r="DU379" i="2"/>
  <c r="DT379" i="2"/>
  <c r="EM379" i="2" s="1"/>
  <c r="DS379" i="2"/>
  <c r="EL379" i="2" s="1"/>
  <c r="DR379" i="2"/>
  <c r="DQ379" i="2"/>
  <c r="DP379" i="2"/>
  <c r="FT421" i="2"/>
  <c r="FS421" i="2"/>
  <c r="GL421" i="2" s="1"/>
  <c r="FQ421" i="2"/>
  <c r="GJ421" i="2" s="1"/>
  <c r="FP421" i="2"/>
  <c r="GI421" i="2" s="1"/>
  <c r="FO421" i="2"/>
  <c r="FN421" i="2"/>
  <c r="FM421" i="2"/>
  <c r="FL421" i="2"/>
  <c r="FK421" i="2"/>
  <c r="FJ421" i="2"/>
  <c r="FI421" i="2"/>
  <c r="GB421" i="2" s="1"/>
  <c r="FH421" i="2"/>
  <c r="FG421" i="2"/>
  <c r="FF421" i="2"/>
  <c r="FY421" i="2" s="1"/>
  <c r="FE421" i="2"/>
  <c r="FX421" i="2" s="1"/>
  <c r="FD421" i="2"/>
  <c r="FC421" i="2"/>
  <c r="FB421" i="2"/>
  <c r="EH421" i="2"/>
  <c r="EG421" i="2"/>
  <c r="EZ421" i="2" s="1"/>
  <c r="EE421" i="2"/>
  <c r="EX421" i="2" s="1"/>
  <c r="ED421" i="2"/>
  <c r="EW421" i="2" s="1"/>
  <c r="EC421" i="2"/>
  <c r="EB421" i="2"/>
  <c r="EA421" i="2"/>
  <c r="DZ421" i="2"/>
  <c r="DY421" i="2"/>
  <c r="DX421" i="2"/>
  <c r="DW421" i="2"/>
  <c r="EP421" i="2" s="1"/>
  <c r="DV421" i="2"/>
  <c r="DU421" i="2"/>
  <c r="DT421" i="2"/>
  <c r="EM421" i="2" s="1"/>
  <c r="DS421" i="2"/>
  <c r="EL421" i="2" s="1"/>
  <c r="DR421" i="2"/>
  <c r="DQ421" i="2"/>
  <c r="DP421" i="2"/>
  <c r="FT420" i="2"/>
  <c r="FS420" i="2"/>
  <c r="GL420" i="2" s="1"/>
  <c r="FQ420" i="2"/>
  <c r="GJ420" i="2" s="1"/>
  <c r="FP420" i="2"/>
  <c r="GI420" i="2" s="1"/>
  <c r="FO420" i="2"/>
  <c r="FN420" i="2"/>
  <c r="FM420" i="2"/>
  <c r="FL420" i="2"/>
  <c r="FK420" i="2"/>
  <c r="FJ420" i="2"/>
  <c r="FI420" i="2"/>
  <c r="GB420" i="2" s="1"/>
  <c r="FH420" i="2"/>
  <c r="FG420" i="2"/>
  <c r="FF420" i="2"/>
  <c r="FY420" i="2" s="1"/>
  <c r="FE420" i="2"/>
  <c r="FX420" i="2" s="1"/>
  <c r="FD420" i="2"/>
  <c r="FC420" i="2"/>
  <c r="FB420" i="2"/>
  <c r="EH420" i="2"/>
  <c r="EG420" i="2"/>
  <c r="EZ420" i="2" s="1"/>
  <c r="EE420" i="2"/>
  <c r="EX420" i="2" s="1"/>
  <c r="ED420" i="2"/>
  <c r="EW420" i="2" s="1"/>
  <c r="EC420" i="2"/>
  <c r="EB420" i="2"/>
  <c r="EA420" i="2"/>
  <c r="DZ420" i="2"/>
  <c r="DY420" i="2"/>
  <c r="DX420" i="2"/>
  <c r="DW420" i="2"/>
  <c r="EP420" i="2" s="1"/>
  <c r="DV420" i="2"/>
  <c r="DU420" i="2"/>
  <c r="DT420" i="2"/>
  <c r="EM420" i="2" s="1"/>
  <c r="DS420" i="2"/>
  <c r="EL420" i="2" s="1"/>
  <c r="DR420" i="2"/>
  <c r="DQ420" i="2"/>
  <c r="DP420" i="2"/>
  <c r="FT419" i="2"/>
  <c r="FS419" i="2"/>
  <c r="GL419" i="2" s="1"/>
  <c r="FQ419" i="2"/>
  <c r="GJ419" i="2" s="1"/>
  <c r="FP419" i="2"/>
  <c r="GI419" i="2" s="1"/>
  <c r="FO419" i="2"/>
  <c r="FN419" i="2"/>
  <c r="FM419" i="2"/>
  <c r="FL419" i="2"/>
  <c r="FK419" i="2"/>
  <c r="FJ419" i="2"/>
  <c r="FI419" i="2"/>
  <c r="GB419" i="2" s="1"/>
  <c r="FH419" i="2"/>
  <c r="FG419" i="2"/>
  <c r="FF419" i="2"/>
  <c r="FY419" i="2" s="1"/>
  <c r="FE419" i="2"/>
  <c r="FX419" i="2" s="1"/>
  <c r="FD419" i="2"/>
  <c r="FC419" i="2"/>
  <c r="FB419" i="2"/>
  <c r="EH419" i="2"/>
  <c r="EG419" i="2"/>
  <c r="EZ419" i="2" s="1"/>
  <c r="EE419" i="2"/>
  <c r="EX419" i="2" s="1"/>
  <c r="ED419" i="2"/>
  <c r="EW419" i="2" s="1"/>
  <c r="EC419" i="2"/>
  <c r="EB419" i="2"/>
  <c r="EA419" i="2"/>
  <c r="DZ419" i="2"/>
  <c r="DY419" i="2"/>
  <c r="DX419" i="2"/>
  <c r="DW419" i="2"/>
  <c r="EP419" i="2" s="1"/>
  <c r="DV419" i="2"/>
  <c r="DU419" i="2"/>
  <c r="DT419" i="2"/>
  <c r="EM419" i="2" s="1"/>
  <c r="DS419" i="2"/>
  <c r="EL419" i="2" s="1"/>
  <c r="DR419" i="2"/>
  <c r="DQ419" i="2"/>
  <c r="DP419" i="2"/>
  <c r="FT418" i="2"/>
  <c r="FS418" i="2"/>
  <c r="GL418" i="2" s="1"/>
  <c r="FQ418" i="2"/>
  <c r="GJ418" i="2" s="1"/>
  <c r="FP418" i="2"/>
  <c r="GI418" i="2" s="1"/>
  <c r="FO418" i="2"/>
  <c r="FN418" i="2"/>
  <c r="FM418" i="2"/>
  <c r="FL418" i="2"/>
  <c r="FK418" i="2"/>
  <c r="FJ418" i="2"/>
  <c r="FI418" i="2"/>
  <c r="GB418" i="2" s="1"/>
  <c r="FH418" i="2"/>
  <c r="FG418" i="2"/>
  <c r="FF418" i="2"/>
  <c r="FY418" i="2" s="1"/>
  <c r="FE418" i="2"/>
  <c r="FX418" i="2" s="1"/>
  <c r="FD418" i="2"/>
  <c r="FC418" i="2"/>
  <c r="FB418" i="2"/>
  <c r="EH418" i="2"/>
  <c r="EG418" i="2"/>
  <c r="EZ418" i="2" s="1"/>
  <c r="EE418" i="2"/>
  <c r="EX418" i="2" s="1"/>
  <c r="ED418" i="2"/>
  <c r="EW418" i="2" s="1"/>
  <c r="EC418" i="2"/>
  <c r="EB418" i="2"/>
  <c r="EA418" i="2"/>
  <c r="DZ418" i="2"/>
  <c r="DY418" i="2"/>
  <c r="DX418" i="2"/>
  <c r="DW418" i="2"/>
  <c r="EP418" i="2" s="1"/>
  <c r="DV418" i="2"/>
  <c r="DU418" i="2"/>
  <c r="DT418" i="2"/>
  <c r="EM418" i="2" s="1"/>
  <c r="DS418" i="2"/>
  <c r="EL418" i="2" s="1"/>
  <c r="DR418" i="2"/>
  <c r="DQ418" i="2"/>
  <c r="DP418" i="2"/>
  <c r="FT417" i="2"/>
  <c r="FS417" i="2"/>
  <c r="GL417" i="2" s="1"/>
  <c r="FQ417" i="2"/>
  <c r="GJ417" i="2" s="1"/>
  <c r="FP417" i="2"/>
  <c r="GI417" i="2" s="1"/>
  <c r="FO417" i="2"/>
  <c r="FN417" i="2"/>
  <c r="FM417" i="2"/>
  <c r="FL417" i="2"/>
  <c r="FK417" i="2"/>
  <c r="FJ417" i="2"/>
  <c r="FI417" i="2"/>
  <c r="GB417" i="2" s="1"/>
  <c r="FH417" i="2"/>
  <c r="FG417" i="2"/>
  <c r="FF417" i="2"/>
  <c r="FY417" i="2" s="1"/>
  <c r="FE417" i="2"/>
  <c r="FX417" i="2" s="1"/>
  <c r="FD417" i="2"/>
  <c r="FC417" i="2"/>
  <c r="FB417" i="2"/>
  <c r="EH417" i="2"/>
  <c r="EG417" i="2"/>
  <c r="EZ417" i="2" s="1"/>
  <c r="EE417" i="2"/>
  <c r="EX417" i="2" s="1"/>
  <c r="ED417" i="2"/>
  <c r="EW417" i="2" s="1"/>
  <c r="EC417" i="2"/>
  <c r="EB417" i="2"/>
  <c r="EA417" i="2"/>
  <c r="DZ417" i="2"/>
  <c r="DY417" i="2"/>
  <c r="DX417" i="2"/>
  <c r="DW417" i="2"/>
  <c r="EP417" i="2" s="1"/>
  <c r="DV417" i="2"/>
  <c r="DU417" i="2"/>
  <c r="DT417" i="2"/>
  <c r="EM417" i="2" s="1"/>
  <c r="DS417" i="2"/>
  <c r="EL417" i="2" s="1"/>
  <c r="DR417" i="2"/>
  <c r="DQ417" i="2"/>
  <c r="DP417" i="2"/>
  <c r="FT416" i="2"/>
  <c r="FS416" i="2"/>
  <c r="GL416" i="2" s="1"/>
  <c r="FQ416" i="2"/>
  <c r="GJ416" i="2" s="1"/>
  <c r="FP416" i="2"/>
  <c r="GI416" i="2" s="1"/>
  <c r="FO416" i="2"/>
  <c r="FN416" i="2"/>
  <c r="FM416" i="2"/>
  <c r="FL416" i="2"/>
  <c r="FK416" i="2"/>
  <c r="FJ416" i="2"/>
  <c r="FI416" i="2"/>
  <c r="GB416" i="2" s="1"/>
  <c r="FH416" i="2"/>
  <c r="FG416" i="2"/>
  <c r="FF416" i="2"/>
  <c r="FY416" i="2" s="1"/>
  <c r="FE416" i="2"/>
  <c r="FX416" i="2" s="1"/>
  <c r="FD416" i="2"/>
  <c r="FC416" i="2"/>
  <c r="FB416" i="2"/>
  <c r="EH416" i="2"/>
  <c r="EG416" i="2"/>
  <c r="EZ416" i="2" s="1"/>
  <c r="EE416" i="2"/>
  <c r="EX416" i="2" s="1"/>
  <c r="ED416" i="2"/>
  <c r="EW416" i="2" s="1"/>
  <c r="EC416" i="2"/>
  <c r="EB416" i="2"/>
  <c r="EA416" i="2"/>
  <c r="DZ416" i="2"/>
  <c r="DY416" i="2"/>
  <c r="DX416" i="2"/>
  <c r="DW416" i="2"/>
  <c r="EP416" i="2" s="1"/>
  <c r="DV416" i="2"/>
  <c r="DU416" i="2"/>
  <c r="DT416" i="2"/>
  <c r="EM416" i="2" s="1"/>
  <c r="DS416" i="2"/>
  <c r="EL416" i="2" s="1"/>
  <c r="DR416" i="2"/>
  <c r="DQ416" i="2"/>
  <c r="DP416" i="2"/>
  <c r="FT415" i="2"/>
  <c r="FS415" i="2"/>
  <c r="GL415" i="2" s="1"/>
  <c r="FQ415" i="2"/>
  <c r="GJ415" i="2" s="1"/>
  <c r="FP415" i="2"/>
  <c r="GI415" i="2" s="1"/>
  <c r="FO415" i="2"/>
  <c r="FN415" i="2"/>
  <c r="FM415" i="2"/>
  <c r="FL415" i="2"/>
  <c r="FK415" i="2"/>
  <c r="FJ415" i="2"/>
  <c r="FI415" i="2"/>
  <c r="GB415" i="2" s="1"/>
  <c r="FH415" i="2"/>
  <c r="FG415" i="2"/>
  <c r="FF415" i="2"/>
  <c r="FY415" i="2" s="1"/>
  <c r="FE415" i="2"/>
  <c r="FX415" i="2" s="1"/>
  <c r="FD415" i="2"/>
  <c r="FC415" i="2"/>
  <c r="FB415" i="2"/>
  <c r="EH415" i="2"/>
  <c r="EG415" i="2"/>
  <c r="EZ415" i="2" s="1"/>
  <c r="EE415" i="2"/>
  <c r="EX415" i="2" s="1"/>
  <c r="ED415" i="2"/>
  <c r="EW415" i="2" s="1"/>
  <c r="EC415" i="2"/>
  <c r="EB415" i="2"/>
  <c r="EA415" i="2"/>
  <c r="DZ415" i="2"/>
  <c r="DY415" i="2"/>
  <c r="DX415" i="2"/>
  <c r="DW415" i="2"/>
  <c r="EP415" i="2" s="1"/>
  <c r="DV415" i="2"/>
  <c r="DU415" i="2"/>
  <c r="DT415" i="2"/>
  <c r="EM415" i="2" s="1"/>
  <c r="DS415" i="2"/>
  <c r="EL415" i="2" s="1"/>
  <c r="DR415" i="2"/>
  <c r="DQ415" i="2"/>
  <c r="DP415" i="2"/>
  <c r="FT414" i="2"/>
  <c r="FS414" i="2"/>
  <c r="GL414" i="2" s="1"/>
  <c r="FQ414" i="2"/>
  <c r="GJ414" i="2" s="1"/>
  <c r="FP414" i="2"/>
  <c r="GI414" i="2" s="1"/>
  <c r="FO414" i="2"/>
  <c r="FN414" i="2"/>
  <c r="FM414" i="2"/>
  <c r="FL414" i="2"/>
  <c r="FK414" i="2"/>
  <c r="FJ414" i="2"/>
  <c r="FI414" i="2"/>
  <c r="GB414" i="2" s="1"/>
  <c r="FH414" i="2"/>
  <c r="FG414" i="2"/>
  <c r="FF414" i="2"/>
  <c r="FY414" i="2" s="1"/>
  <c r="FE414" i="2"/>
  <c r="FX414" i="2" s="1"/>
  <c r="FD414" i="2"/>
  <c r="FC414" i="2"/>
  <c r="FB414" i="2"/>
  <c r="EH414" i="2"/>
  <c r="EG414" i="2"/>
  <c r="EZ414" i="2" s="1"/>
  <c r="EE414" i="2"/>
  <c r="EX414" i="2" s="1"/>
  <c r="ED414" i="2"/>
  <c r="EW414" i="2" s="1"/>
  <c r="EC414" i="2"/>
  <c r="EB414" i="2"/>
  <c r="EA414" i="2"/>
  <c r="DZ414" i="2"/>
  <c r="DY414" i="2"/>
  <c r="DX414" i="2"/>
  <c r="DW414" i="2"/>
  <c r="EP414" i="2" s="1"/>
  <c r="DV414" i="2"/>
  <c r="DU414" i="2"/>
  <c r="DT414" i="2"/>
  <c r="EM414" i="2" s="1"/>
  <c r="DS414" i="2"/>
  <c r="EL414" i="2" s="1"/>
  <c r="DR414" i="2"/>
  <c r="DQ414" i="2"/>
  <c r="DP414" i="2"/>
  <c r="FT413" i="2"/>
  <c r="FS413" i="2"/>
  <c r="GL413" i="2" s="1"/>
  <c r="FQ413" i="2"/>
  <c r="GJ413" i="2" s="1"/>
  <c r="FP413" i="2"/>
  <c r="GI413" i="2" s="1"/>
  <c r="FO413" i="2"/>
  <c r="FN413" i="2"/>
  <c r="FM413" i="2"/>
  <c r="FL413" i="2"/>
  <c r="FK413" i="2"/>
  <c r="FJ413" i="2"/>
  <c r="FI413" i="2"/>
  <c r="GB413" i="2" s="1"/>
  <c r="FH413" i="2"/>
  <c r="FG413" i="2"/>
  <c r="FF413" i="2"/>
  <c r="FY413" i="2" s="1"/>
  <c r="FE413" i="2"/>
  <c r="FX413" i="2" s="1"/>
  <c r="FD413" i="2"/>
  <c r="FC413" i="2"/>
  <c r="FB413" i="2"/>
  <c r="EH413" i="2"/>
  <c r="EG413" i="2"/>
  <c r="EZ413" i="2" s="1"/>
  <c r="EE413" i="2"/>
  <c r="EX413" i="2" s="1"/>
  <c r="ED413" i="2"/>
  <c r="EW413" i="2" s="1"/>
  <c r="EC413" i="2"/>
  <c r="EB413" i="2"/>
  <c r="EA413" i="2"/>
  <c r="DZ413" i="2"/>
  <c r="DY413" i="2"/>
  <c r="DX413" i="2"/>
  <c r="DW413" i="2"/>
  <c r="EP413" i="2" s="1"/>
  <c r="DV413" i="2"/>
  <c r="DU413" i="2"/>
  <c r="DT413" i="2"/>
  <c r="EM413" i="2" s="1"/>
  <c r="DS413" i="2"/>
  <c r="EL413" i="2" s="1"/>
  <c r="DR413" i="2"/>
  <c r="DQ413" i="2"/>
  <c r="DP413" i="2"/>
  <c r="FT412" i="2"/>
  <c r="FS412" i="2"/>
  <c r="GL412" i="2" s="1"/>
  <c r="FQ412" i="2"/>
  <c r="GJ412" i="2" s="1"/>
  <c r="FP412" i="2"/>
  <c r="GI412" i="2" s="1"/>
  <c r="FO412" i="2"/>
  <c r="FN412" i="2"/>
  <c r="FM412" i="2"/>
  <c r="FL412" i="2"/>
  <c r="FK412" i="2"/>
  <c r="FJ412" i="2"/>
  <c r="FI412" i="2"/>
  <c r="GB412" i="2" s="1"/>
  <c r="FH412" i="2"/>
  <c r="FG412" i="2"/>
  <c r="FF412" i="2"/>
  <c r="FY412" i="2" s="1"/>
  <c r="FE412" i="2"/>
  <c r="FX412" i="2" s="1"/>
  <c r="FD412" i="2"/>
  <c r="FC412" i="2"/>
  <c r="FB412" i="2"/>
  <c r="EH412" i="2"/>
  <c r="EG412" i="2"/>
  <c r="EZ412" i="2" s="1"/>
  <c r="EE412" i="2"/>
  <c r="EX412" i="2" s="1"/>
  <c r="ED412" i="2"/>
  <c r="EW412" i="2" s="1"/>
  <c r="EC412" i="2"/>
  <c r="EB412" i="2"/>
  <c r="EA412" i="2"/>
  <c r="DZ412" i="2"/>
  <c r="DY412" i="2"/>
  <c r="DX412" i="2"/>
  <c r="DW412" i="2"/>
  <c r="EP412" i="2" s="1"/>
  <c r="DV412" i="2"/>
  <c r="DU412" i="2"/>
  <c r="DT412" i="2"/>
  <c r="EM412" i="2" s="1"/>
  <c r="DS412" i="2"/>
  <c r="EL412" i="2" s="1"/>
  <c r="DR412" i="2"/>
  <c r="DQ412" i="2"/>
  <c r="DP412" i="2"/>
  <c r="FT411" i="2"/>
  <c r="FS411" i="2"/>
  <c r="GL411" i="2" s="1"/>
  <c r="FQ411" i="2"/>
  <c r="GJ411" i="2" s="1"/>
  <c r="FP411" i="2"/>
  <c r="GI411" i="2" s="1"/>
  <c r="FO411" i="2"/>
  <c r="FN411" i="2"/>
  <c r="FM411" i="2"/>
  <c r="FL411" i="2"/>
  <c r="FK411" i="2"/>
  <c r="FJ411" i="2"/>
  <c r="FI411" i="2"/>
  <c r="GB411" i="2" s="1"/>
  <c r="FH411" i="2"/>
  <c r="FG411" i="2"/>
  <c r="FF411" i="2"/>
  <c r="FY411" i="2" s="1"/>
  <c r="FE411" i="2"/>
  <c r="FX411" i="2" s="1"/>
  <c r="FD411" i="2"/>
  <c r="FC411" i="2"/>
  <c r="FB411" i="2"/>
  <c r="EH411" i="2"/>
  <c r="EG411" i="2"/>
  <c r="EZ411" i="2" s="1"/>
  <c r="EE411" i="2"/>
  <c r="EX411" i="2" s="1"/>
  <c r="ED411" i="2"/>
  <c r="EW411" i="2" s="1"/>
  <c r="EC411" i="2"/>
  <c r="EB411" i="2"/>
  <c r="EA411" i="2"/>
  <c r="DZ411" i="2"/>
  <c r="DY411" i="2"/>
  <c r="DX411" i="2"/>
  <c r="DW411" i="2"/>
  <c r="EP411" i="2" s="1"/>
  <c r="DV411" i="2"/>
  <c r="DU411" i="2"/>
  <c r="DT411" i="2"/>
  <c r="EM411" i="2" s="1"/>
  <c r="DS411" i="2"/>
  <c r="EL411" i="2" s="1"/>
  <c r="DR411" i="2"/>
  <c r="DQ411" i="2"/>
  <c r="DP411" i="2"/>
  <c r="FT450" i="2"/>
  <c r="FS450" i="2"/>
  <c r="GL450" i="2" s="1"/>
  <c r="FQ450" i="2"/>
  <c r="GJ450" i="2" s="1"/>
  <c r="FP450" i="2"/>
  <c r="GI450" i="2" s="1"/>
  <c r="FO450" i="2"/>
  <c r="FN450" i="2"/>
  <c r="FM450" i="2"/>
  <c r="FL450" i="2"/>
  <c r="FK450" i="2"/>
  <c r="FJ450" i="2"/>
  <c r="FI450" i="2"/>
  <c r="GB450" i="2" s="1"/>
  <c r="FH450" i="2"/>
  <c r="FG450" i="2"/>
  <c r="FF450" i="2"/>
  <c r="FY450" i="2" s="1"/>
  <c r="FE450" i="2"/>
  <c r="FX450" i="2" s="1"/>
  <c r="FD450" i="2"/>
  <c r="FC450" i="2"/>
  <c r="FB450" i="2"/>
  <c r="EH450" i="2"/>
  <c r="EG450" i="2"/>
  <c r="EZ450" i="2" s="1"/>
  <c r="EE450" i="2"/>
  <c r="EX450" i="2" s="1"/>
  <c r="ED450" i="2"/>
  <c r="EW450" i="2" s="1"/>
  <c r="EC450" i="2"/>
  <c r="EB450" i="2"/>
  <c r="EA450" i="2"/>
  <c r="DZ450" i="2"/>
  <c r="DY450" i="2"/>
  <c r="DX450" i="2"/>
  <c r="DW450" i="2"/>
  <c r="EP450" i="2" s="1"/>
  <c r="DV450" i="2"/>
  <c r="DU450" i="2"/>
  <c r="DT450" i="2"/>
  <c r="EM450" i="2" s="1"/>
  <c r="DS450" i="2"/>
  <c r="EL450" i="2" s="1"/>
  <c r="DR450" i="2"/>
  <c r="DQ450" i="2"/>
  <c r="DP450" i="2"/>
  <c r="FT410" i="2"/>
  <c r="FS410" i="2"/>
  <c r="GL410" i="2" s="1"/>
  <c r="FQ410" i="2"/>
  <c r="GJ410" i="2" s="1"/>
  <c r="FP410" i="2"/>
  <c r="GI410" i="2" s="1"/>
  <c r="FO410" i="2"/>
  <c r="FN410" i="2"/>
  <c r="FM410" i="2"/>
  <c r="FL410" i="2"/>
  <c r="FK410" i="2"/>
  <c r="FJ410" i="2"/>
  <c r="FI410" i="2"/>
  <c r="GB410" i="2" s="1"/>
  <c r="FH410" i="2"/>
  <c r="FG410" i="2"/>
  <c r="FF410" i="2"/>
  <c r="FY410" i="2" s="1"/>
  <c r="FE410" i="2"/>
  <c r="FX410" i="2" s="1"/>
  <c r="FD410" i="2"/>
  <c r="FC410" i="2"/>
  <c r="FB410" i="2"/>
  <c r="EH410" i="2"/>
  <c r="EG410" i="2"/>
  <c r="EZ410" i="2" s="1"/>
  <c r="EE410" i="2"/>
  <c r="EX410" i="2" s="1"/>
  <c r="ED410" i="2"/>
  <c r="EW410" i="2" s="1"/>
  <c r="EC410" i="2"/>
  <c r="EB410" i="2"/>
  <c r="EA410" i="2"/>
  <c r="DZ410" i="2"/>
  <c r="DY410" i="2"/>
  <c r="DX410" i="2"/>
  <c r="DW410" i="2"/>
  <c r="EP410" i="2" s="1"/>
  <c r="DV410" i="2"/>
  <c r="DU410" i="2"/>
  <c r="DT410" i="2"/>
  <c r="EM410" i="2" s="1"/>
  <c r="DS410" i="2"/>
  <c r="EL410" i="2" s="1"/>
  <c r="DR410" i="2"/>
  <c r="DQ410" i="2"/>
  <c r="DP410" i="2"/>
  <c r="FT409" i="2"/>
  <c r="FS409" i="2"/>
  <c r="GL409" i="2" s="1"/>
  <c r="FQ409" i="2"/>
  <c r="GJ409" i="2" s="1"/>
  <c r="FP409" i="2"/>
  <c r="GI409" i="2" s="1"/>
  <c r="FO409" i="2"/>
  <c r="FN409" i="2"/>
  <c r="FM409" i="2"/>
  <c r="FL409" i="2"/>
  <c r="FK409" i="2"/>
  <c r="FJ409" i="2"/>
  <c r="FI409" i="2"/>
  <c r="GB409" i="2" s="1"/>
  <c r="FH409" i="2"/>
  <c r="FG409" i="2"/>
  <c r="FF409" i="2"/>
  <c r="FY409" i="2" s="1"/>
  <c r="FE409" i="2"/>
  <c r="FX409" i="2" s="1"/>
  <c r="FD409" i="2"/>
  <c r="FC409" i="2"/>
  <c r="FB409" i="2"/>
  <c r="EH409" i="2"/>
  <c r="EG409" i="2"/>
  <c r="EZ409" i="2" s="1"/>
  <c r="EE409" i="2"/>
  <c r="EX409" i="2" s="1"/>
  <c r="ED409" i="2"/>
  <c r="EW409" i="2" s="1"/>
  <c r="EC409" i="2"/>
  <c r="EB409" i="2"/>
  <c r="EA409" i="2"/>
  <c r="DZ409" i="2"/>
  <c r="DY409" i="2"/>
  <c r="DX409" i="2"/>
  <c r="DW409" i="2"/>
  <c r="EP409" i="2" s="1"/>
  <c r="DV409" i="2"/>
  <c r="DU409" i="2"/>
  <c r="DT409" i="2"/>
  <c r="EM409" i="2" s="1"/>
  <c r="DS409" i="2"/>
  <c r="EL409" i="2" s="1"/>
  <c r="DR409" i="2"/>
  <c r="DQ409" i="2"/>
  <c r="DP409" i="2"/>
  <c r="FT408" i="2"/>
  <c r="FS408" i="2"/>
  <c r="GL408" i="2" s="1"/>
  <c r="FQ408" i="2"/>
  <c r="GJ408" i="2" s="1"/>
  <c r="FP408" i="2"/>
  <c r="GI408" i="2" s="1"/>
  <c r="FO408" i="2"/>
  <c r="FN408" i="2"/>
  <c r="FM408" i="2"/>
  <c r="FL408" i="2"/>
  <c r="FK408" i="2"/>
  <c r="FJ408" i="2"/>
  <c r="FI408" i="2"/>
  <c r="GB408" i="2" s="1"/>
  <c r="FH408" i="2"/>
  <c r="FG408" i="2"/>
  <c r="FF408" i="2"/>
  <c r="FY408" i="2" s="1"/>
  <c r="FE408" i="2"/>
  <c r="FX408" i="2" s="1"/>
  <c r="FD408" i="2"/>
  <c r="FC408" i="2"/>
  <c r="FB408" i="2"/>
  <c r="EH408" i="2"/>
  <c r="EG408" i="2"/>
  <c r="EZ408" i="2" s="1"/>
  <c r="EE408" i="2"/>
  <c r="EX408" i="2" s="1"/>
  <c r="ED408" i="2"/>
  <c r="EW408" i="2" s="1"/>
  <c r="EC408" i="2"/>
  <c r="EB408" i="2"/>
  <c r="EA408" i="2"/>
  <c r="DZ408" i="2"/>
  <c r="DY408" i="2"/>
  <c r="DX408" i="2"/>
  <c r="DW408" i="2"/>
  <c r="EP408" i="2" s="1"/>
  <c r="DV408" i="2"/>
  <c r="DU408" i="2"/>
  <c r="DT408" i="2"/>
  <c r="EM408" i="2" s="1"/>
  <c r="DS408" i="2"/>
  <c r="EL408" i="2" s="1"/>
  <c r="DR408" i="2"/>
  <c r="DQ408" i="2"/>
  <c r="DP408" i="2"/>
  <c r="FT407" i="2"/>
  <c r="FS407" i="2"/>
  <c r="GL407" i="2" s="1"/>
  <c r="FQ407" i="2"/>
  <c r="GJ407" i="2" s="1"/>
  <c r="FP407" i="2"/>
  <c r="GI407" i="2" s="1"/>
  <c r="FO407" i="2"/>
  <c r="FN407" i="2"/>
  <c r="FM407" i="2"/>
  <c r="FL407" i="2"/>
  <c r="FK407" i="2"/>
  <c r="FJ407" i="2"/>
  <c r="FI407" i="2"/>
  <c r="GB407" i="2" s="1"/>
  <c r="FH407" i="2"/>
  <c r="FG407" i="2"/>
  <c r="FF407" i="2"/>
  <c r="FY407" i="2" s="1"/>
  <c r="FE407" i="2"/>
  <c r="FX407" i="2" s="1"/>
  <c r="FD407" i="2"/>
  <c r="FC407" i="2"/>
  <c r="FB407" i="2"/>
  <c r="EH407" i="2"/>
  <c r="EG407" i="2"/>
  <c r="EZ407" i="2" s="1"/>
  <c r="EE407" i="2"/>
  <c r="EX407" i="2" s="1"/>
  <c r="ED407" i="2"/>
  <c r="EW407" i="2" s="1"/>
  <c r="EC407" i="2"/>
  <c r="EB407" i="2"/>
  <c r="EA407" i="2"/>
  <c r="DZ407" i="2"/>
  <c r="DY407" i="2"/>
  <c r="DX407" i="2"/>
  <c r="DW407" i="2"/>
  <c r="EP407" i="2" s="1"/>
  <c r="DV407" i="2"/>
  <c r="DU407" i="2"/>
  <c r="DT407" i="2"/>
  <c r="EM407" i="2" s="1"/>
  <c r="DS407" i="2"/>
  <c r="EL407" i="2" s="1"/>
  <c r="DR407" i="2"/>
  <c r="DQ407" i="2"/>
  <c r="DP407" i="2"/>
  <c r="FT406" i="2"/>
  <c r="FS406" i="2"/>
  <c r="GL406" i="2" s="1"/>
  <c r="FQ406" i="2"/>
  <c r="GJ406" i="2" s="1"/>
  <c r="FP406" i="2"/>
  <c r="GI406" i="2" s="1"/>
  <c r="FO406" i="2"/>
  <c r="FN406" i="2"/>
  <c r="FM406" i="2"/>
  <c r="FL406" i="2"/>
  <c r="FK406" i="2"/>
  <c r="FJ406" i="2"/>
  <c r="FI406" i="2"/>
  <c r="GB406" i="2" s="1"/>
  <c r="FH406" i="2"/>
  <c r="FG406" i="2"/>
  <c r="FF406" i="2"/>
  <c r="FY406" i="2" s="1"/>
  <c r="FE406" i="2"/>
  <c r="FX406" i="2" s="1"/>
  <c r="FD406" i="2"/>
  <c r="FC406" i="2"/>
  <c r="FB406" i="2"/>
  <c r="EH406" i="2"/>
  <c r="EG406" i="2"/>
  <c r="EZ406" i="2" s="1"/>
  <c r="EE406" i="2"/>
  <c r="EX406" i="2" s="1"/>
  <c r="ED406" i="2"/>
  <c r="EW406" i="2" s="1"/>
  <c r="EC406" i="2"/>
  <c r="EB406" i="2"/>
  <c r="EA406" i="2"/>
  <c r="DZ406" i="2"/>
  <c r="DY406" i="2"/>
  <c r="DX406" i="2"/>
  <c r="DW406" i="2"/>
  <c r="EP406" i="2" s="1"/>
  <c r="DV406" i="2"/>
  <c r="DU406" i="2"/>
  <c r="DT406" i="2"/>
  <c r="EM406" i="2" s="1"/>
  <c r="DS406" i="2"/>
  <c r="EL406" i="2" s="1"/>
  <c r="DR406" i="2"/>
  <c r="DQ406" i="2"/>
  <c r="DP406" i="2"/>
  <c r="FT405" i="2"/>
  <c r="FS405" i="2"/>
  <c r="GL405" i="2" s="1"/>
  <c r="FQ405" i="2"/>
  <c r="GJ405" i="2" s="1"/>
  <c r="FP405" i="2"/>
  <c r="GI405" i="2" s="1"/>
  <c r="FO405" i="2"/>
  <c r="FN405" i="2"/>
  <c r="FM405" i="2"/>
  <c r="FL405" i="2"/>
  <c r="FK405" i="2"/>
  <c r="FJ405" i="2"/>
  <c r="FI405" i="2"/>
  <c r="GB405" i="2" s="1"/>
  <c r="FH405" i="2"/>
  <c r="FG405" i="2"/>
  <c r="FF405" i="2"/>
  <c r="FY405" i="2" s="1"/>
  <c r="FE405" i="2"/>
  <c r="FX405" i="2" s="1"/>
  <c r="FD405" i="2"/>
  <c r="FC405" i="2"/>
  <c r="FB405" i="2"/>
  <c r="EH405" i="2"/>
  <c r="EG405" i="2"/>
  <c r="EZ405" i="2" s="1"/>
  <c r="EE405" i="2"/>
  <c r="EX405" i="2" s="1"/>
  <c r="ED405" i="2"/>
  <c r="EW405" i="2" s="1"/>
  <c r="EC405" i="2"/>
  <c r="EB405" i="2"/>
  <c r="EA405" i="2"/>
  <c r="DZ405" i="2"/>
  <c r="DY405" i="2"/>
  <c r="DX405" i="2"/>
  <c r="DW405" i="2"/>
  <c r="EP405" i="2" s="1"/>
  <c r="DV405" i="2"/>
  <c r="DU405" i="2"/>
  <c r="DT405" i="2"/>
  <c r="EM405" i="2" s="1"/>
  <c r="DS405" i="2"/>
  <c r="EL405" i="2" s="1"/>
  <c r="DR405" i="2"/>
  <c r="DQ405" i="2"/>
  <c r="DP405" i="2"/>
  <c r="FT404" i="2"/>
  <c r="FS404" i="2"/>
  <c r="GL404" i="2" s="1"/>
  <c r="FQ404" i="2"/>
  <c r="GJ404" i="2" s="1"/>
  <c r="FP404" i="2"/>
  <c r="GI404" i="2" s="1"/>
  <c r="FO404" i="2"/>
  <c r="FN404" i="2"/>
  <c r="FM404" i="2"/>
  <c r="FL404" i="2"/>
  <c r="FK404" i="2"/>
  <c r="FJ404" i="2"/>
  <c r="FI404" i="2"/>
  <c r="GB404" i="2" s="1"/>
  <c r="FH404" i="2"/>
  <c r="FG404" i="2"/>
  <c r="FF404" i="2"/>
  <c r="FY404" i="2" s="1"/>
  <c r="FE404" i="2"/>
  <c r="FX404" i="2" s="1"/>
  <c r="FD404" i="2"/>
  <c r="FC404" i="2"/>
  <c r="FB404" i="2"/>
  <c r="EH404" i="2"/>
  <c r="EG404" i="2"/>
  <c r="EZ404" i="2" s="1"/>
  <c r="EE404" i="2"/>
  <c r="EX404" i="2" s="1"/>
  <c r="ED404" i="2"/>
  <c r="EW404" i="2" s="1"/>
  <c r="EC404" i="2"/>
  <c r="EB404" i="2"/>
  <c r="EA404" i="2"/>
  <c r="DZ404" i="2"/>
  <c r="DY404" i="2"/>
  <c r="DX404" i="2"/>
  <c r="DW404" i="2"/>
  <c r="EP404" i="2" s="1"/>
  <c r="DV404" i="2"/>
  <c r="DU404" i="2"/>
  <c r="DT404" i="2"/>
  <c r="EM404" i="2" s="1"/>
  <c r="DS404" i="2"/>
  <c r="EL404" i="2" s="1"/>
  <c r="DR404" i="2"/>
  <c r="DQ404" i="2"/>
  <c r="DP404" i="2"/>
  <c r="FT403" i="2"/>
  <c r="FS403" i="2"/>
  <c r="GL403" i="2" s="1"/>
  <c r="FQ403" i="2"/>
  <c r="GJ403" i="2" s="1"/>
  <c r="FP403" i="2"/>
  <c r="GI403" i="2" s="1"/>
  <c r="FO403" i="2"/>
  <c r="FN403" i="2"/>
  <c r="FM403" i="2"/>
  <c r="FL403" i="2"/>
  <c r="FK403" i="2"/>
  <c r="FJ403" i="2"/>
  <c r="FI403" i="2"/>
  <c r="GB403" i="2" s="1"/>
  <c r="FH403" i="2"/>
  <c r="FG403" i="2"/>
  <c r="FF403" i="2"/>
  <c r="FY403" i="2" s="1"/>
  <c r="FE403" i="2"/>
  <c r="FX403" i="2" s="1"/>
  <c r="FD403" i="2"/>
  <c r="FC403" i="2"/>
  <c r="FB403" i="2"/>
  <c r="EH403" i="2"/>
  <c r="EG403" i="2"/>
  <c r="EZ403" i="2" s="1"/>
  <c r="EE403" i="2"/>
  <c r="EX403" i="2" s="1"/>
  <c r="ED403" i="2"/>
  <c r="EW403" i="2" s="1"/>
  <c r="EC403" i="2"/>
  <c r="EB403" i="2"/>
  <c r="EA403" i="2"/>
  <c r="DZ403" i="2"/>
  <c r="DY403" i="2"/>
  <c r="DX403" i="2"/>
  <c r="DW403" i="2"/>
  <c r="EP403" i="2" s="1"/>
  <c r="DV403" i="2"/>
  <c r="DU403" i="2"/>
  <c r="DT403" i="2"/>
  <c r="EM403" i="2" s="1"/>
  <c r="DS403" i="2"/>
  <c r="EL403" i="2" s="1"/>
  <c r="DR403" i="2"/>
  <c r="DQ403" i="2"/>
  <c r="DP403" i="2"/>
  <c r="FT402" i="2"/>
  <c r="FS402" i="2"/>
  <c r="GL402" i="2" s="1"/>
  <c r="FQ402" i="2"/>
  <c r="GJ402" i="2" s="1"/>
  <c r="FP402" i="2"/>
  <c r="GI402" i="2" s="1"/>
  <c r="FO402" i="2"/>
  <c r="FN402" i="2"/>
  <c r="FM402" i="2"/>
  <c r="FL402" i="2"/>
  <c r="FK402" i="2"/>
  <c r="FJ402" i="2"/>
  <c r="FI402" i="2"/>
  <c r="GB402" i="2" s="1"/>
  <c r="FH402" i="2"/>
  <c r="FG402" i="2"/>
  <c r="FF402" i="2"/>
  <c r="FY402" i="2" s="1"/>
  <c r="FE402" i="2"/>
  <c r="FX402" i="2" s="1"/>
  <c r="FD402" i="2"/>
  <c r="FC402" i="2"/>
  <c r="FB402" i="2"/>
  <c r="EH402" i="2"/>
  <c r="EG402" i="2"/>
  <c r="EZ402" i="2" s="1"/>
  <c r="EE402" i="2"/>
  <c r="EX402" i="2" s="1"/>
  <c r="ED402" i="2"/>
  <c r="EW402" i="2" s="1"/>
  <c r="EC402" i="2"/>
  <c r="EB402" i="2"/>
  <c r="EA402" i="2"/>
  <c r="DZ402" i="2"/>
  <c r="DY402" i="2"/>
  <c r="DX402" i="2"/>
  <c r="DW402" i="2"/>
  <c r="EP402" i="2" s="1"/>
  <c r="DV402" i="2"/>
  <c r="DU402" i="2"/>
  <c r="DT402" i="2"/>
  <c r="EM402" i="2" s="1"/>
  <c r="DS402" i="2"/>
  <c r="EL402" i="2" s="1"/>
  <c r="DR402" i="2"/>
  <c r="DQ402" i="2"/>
  <c r="DP402" i="2"/>
  <c r="FT401" i="2"/>
  <c r="FS401" i="2"/>
  <c r="GL401" i="2" s="1"/>
  <c r="FQ401" i="2"/>
  <c r="GJ401" i="2" s="1"/>
  <c r="FP401" i="2"/>
  <c r="GI401" i="2" s="1"/>
  <c r="FO401" i="2"/>
  <c r="FN401" i="2"/>
  <c r="FM401" i="2"/>
  <c r="FL401" i="2"/>
  <c r="FK401" i="2"/>
  <c r="FJ401" i="2"/>
  <c r="FI401" i="2"/>
  <c r="GB401" i="2" s="1"/>
  <c r="FH401" i="2"/>
  <c r="FG401" i="2"/>
  <c r="FF401" i="2"/>
  <c r="FY401" i="2" s="1"/>
  <c r="FE401" i="2"/>
  <c r="FX401" i="2" s="1"/>
  <c r="FD401" i="2"/>
  <c r="FC401" i="2"/>
  <c r="FB401" i="2"/>
  <c r="EH401" i="2"/>
  <c r="EG401" i="2"/>
  <c r="EZ401" i="2" s="1"/>
  <c r="EE401" i="2"/>
  <c r="EX401" i="2" s="1"/>
  <c r="ED401" i="2"/>
  <c r="EW401" i="2" s="1"/>
  <c r="EC401" i="2"/>
  <c r="EB401" i="2"/>
  <c r="EA401" i="2"/>
  <c r="DZ401" i="2"/>
  <c r="DY401" i="2"/>
  <c r="DX401" i="2"/>
  <c r="DW401" i="2"/>
  <c r="EP401" i="2" s="1"/>
  <c r="DV401" i="2"/>
  <c r="DU401" i="2"/>
  <c r="DT401" i="2"/>
  <c r="EM401" i="2" s="1"/>
  <c r="DS401" i="2"/>
  <c r="EL401" i="2" s="1"/>
  <c r="DR401" i="2"/>
  <c r="DQ401" i="2"/>
  <c r="DP401" i="2"/>
  <c r="FT400" i="2"/>
  <c r="FS400" i="2"/>
  <c r="GL400" i="2" s="1"/>
  <c r="FQ400" i="2"/>
  <c r="GJ400" i="2" s="1"/>
  <c r="FP400" i="2"/>
  <c r="GI400" i="2" s="1"/>
  <c r="FO400" i="2"/>
  <c r="FN400" i="2"/>
  <c r="FM400" i="2"/>
  <c r="FL400" i="2"/>
  <c r="FK400" i="2"/>
  <c r="FJ400" i="2"/>
  <c r="FI400" i="2"/>
  <c r="GB400" i="2" s="1"/>
  <c r="FH400" i="2"/>
  <c r="FG400" i="2"/>
  <c r="FF400" i="2"/>
  <c r="FY400" i="2" s="1"/>
  <c r="FE400" i="2"/>
  <c r="FX400" i="2" s="1"/>
  <c r="FD400" i="2"/>
  <c r="FC400" i="2"/>
  <c r="FB400" i="2"/>
  <c r="EH400" i="2"/>
  <c r="EG400" i="2"/>
  <c r="EZ400" i="2" s="1"/>
  <c r="EE400" i="2"/>
  <c r="EX400" i="2" s="1"/>
  <c r="ED400" i="2"/>
  <c r="EW400" i="2" s="1"/>
  <c r="EC400" i="2"/>
  <c r="EB400" i="2"/>
  <c r="EA400" i="2"/>
  <c r="DZ400" i="2"/>
  <c r="DY400" i="2"/>
  <c r="DX400" i="2"/>
  <c r="DW400" i="2"/>
  <c r="EP400" i="2" s="1"/>
  <c r="DV400" i="2"/>
  <c r="DU400" i="2"/>
  <c r="DT400" i="2"/>
  <c r="EM400" i="2" s="1"/>
  <c r="DS400" i="2"/>
  <c r="EL400" i="2" s="1"/>
  <c r="DR400" i="2"/>
  <c r="DQ400" i="2"/>
  <c r="DP400" i="2"/>
  <c r="FT399" i="2"/>
  <c r="FS399" i="2"/>
  <c r="GL399" i="2" s="1"/>
  <c r="FQ399" i="2"/>
  <c r="GJ399" i="2" s="1"/>
  <c r="FP399" i="2"/>
  <c r="GI399" i="2" s="1"/>
  <c r="FO399" i="2"/>
  <c r="FN399" i="2"/>
  <c r="FM399" i="2"/>
  <c r="FL399" i="2"/>
  <c r="FK399" i="2"/>
  <c r="FJ399" i="2"/>
  <c r="FI399" i="2"/>
  <c r="GB399" i="2" s="1"/>
  <c r="FH399" i="2"/>
  <c r="FG399" i="2"/>
  <c r="FF399" i="2"/>
  <c r="FY399" i="2" s="1"/>
  <c r="FE399" i="2"/>
  <c r="FX399" i="2" s="1"/>
  <c r="FD399" i="2"/>
  <c r="FC399" i="2"/>
  <c r="FB399" i="2"/>
  <c r="EH399" i="2"/>
  <c r="EG399" i="2"/>
  <c r="EZ399" i="2" s="1"/>
  <c r="EE399" i="2"/>
  <c r="EX399" i="2" s="1"/>
  <c r="ED399" i="2"/>
  <c r="EW399" i="2" s="1"/>
  <c r="EC399" i="2"/>
  <c r="EB399" i="2"/>
  <c r="EA399" i="2"/>
  <c r="DZ399" i="2"/>
  <c r="DY399" i="2"/>
  <c r="DX399" i="2"/>
  <c r="DW399" i="2"/>
  <c r="EP399" i="2" s="1"/>
  <c r="DV399" i="2"/>
  <c r="DU399" i="2"/>
  <c r="DT399" i="2"/>
  <c r="EM399" i="2" s="1"/>
  <c r="DS399" i="2"/>
  <c r="EL399" i="2" s="1"/>
  <c r="DR399" i="2"/>
  <c r="DQ399" i="2"/>
  <c r="DP399" i="2"/>
  <c r="FT398" i="2"/>
  <c r="FS398" i="2"/>
  <c r="GL398" i="2" s="1"/>
  <c r="FQ398" i="2"/>
  <c r="GJ398" i="2" s="1"/>
  <c r="FO398" i="2"/>
  <c r="FN398" i="2"/>
  <c r="FM398" i="2"/>
  <c r="FL398" i="2"/>
  <c r="FK398" i="2"/>
  <c r="FJ398" i="2"/>
  <c r="FI398" i="2"/>
  <c r="GB398" i="2" s="1"/>
  <c r="FH398" i="2"/>
  <c r="FG398" i="2"/>
  <c r="FF398" i="2"/>
  <c r="FY398" i="2" s="1"/>
  <c r="FE398" i="2"/>
  <c r="FX398" i="2" s="1"/>
  <c r="FD398" i="2"/>
  <c r="FC398" i="2"/>
  <c r="FB398" i="2"/>
  <c r="EH398" i="2"/>
  <c r="EG398" i="2"/>
  <c r="EZ398" i="2" s="1"/>
  <c r="EE398" i="2"/>
  <c r="EX398" i="2" s="1"/>
  <c r="EC398" i="2"/>
  <c r="EB398" i="2"/>
  <c r="EA398" i="2"/>
  <c r="DZ398" i="2"/>
  <c r="DY398" i="2"/>
  <c r="DX398" i="2"/>
  <c r="DW398" i="2"/>
  <c r="EP398" i="2" s="1"/>
  <c r="DV398" i="2"/>
  <c r="DU398" i="2"/>
  <c r="DT398" i="2"/>
  <c r="EM398" i="2" s="1"/>
  <c r="DS398" i="2"/>
  <c r="EL398" i="2" s="1"/>
  <c r="DR398" i="2"/>
  <c r="DQ398" i="2"/>
  <c r="DP398" i="2"/>
  <c r="FT397" i="2"/>
  <c r="FS397" i="2"/>
  <c r="GL397" i="2" s="1"/>
  <c r="FQ397" i="2"/>
  <c r="GJ397" i="2" s="1"/>
  <c r="FP397" i="2"/>
  <c r="GI397" i="2" s="1"/>
  <c r="FO397" i="2"/>
  <c r="FN397" i="2"/>
  <c r="FM397" i="2"/>
  <c r="FL397" i="2"/>
  <c r="FK397" i="2"/>
  <c r="FJ397" i="2"/>
  <c r="FI397" i="2"/>
  <c r="GB397" i="2" s="1"/>
  <c r="FH397" i="2"/>
  <c r="FG397" i="2"/>
  <c r="FF397" i="2"/>
  <c r="FY397" i="2" s="1"/>
  <c r="FE397" i="2"/>
  <c r="FX397" i="2" s="1"/>
  <c r="FD397" i="2"/>
  <c r="FC397" i="2"/>
  <c r="FB397" i="2"/>
  <c r="EH397" i="2"/>
  <c r="EG397" i="2"/>
  <c r="EZ397" i="2" s="1"/>
  <c r="EE397" i="2"/>
  <c r="EX397" i="2" s="1"/>
  <c r="ED397" i="2"/>
  <c r="EW397" i="2" s="1"/>
  <c r="EC397" i="2"/>
  <c r="EB397" i="2"/>
  <c r="EA397" i="2"/>
  <c r="DZ397" i="2"/>
  <c r="DY397" i="2"/>
  <c r="DX397" i="2"/>
  <c r="DW397" i="2"/>
  <c r="EP397" i="2" s="1"/>
  <c r="DV397" i="2"/>
  <c r="DU397" i="2"/>
  <c r="DT397" i="2"/>
  <c r="EM397" i="2" s="1"/>
  <c r="DS397" i="2"/>
  <c r="EL397" i="2" s="1"/>
  <c r="DR397" i="2"/>
  <c r="DQ397" i="2"/>
  <c r="DP397" i="2"/>
  <c r="FT396" i="2"/>
  <c r="FS396" i="2"/>
  <c r="GL396" i="2" s="1"/>
  <c r="FQ396" i="2"/>
  <c r="GJ396" i="2" s="1"/>
  <c r="FP396" i="2"/>
  <c r="GI396" i="2" s="1"/>
  <c r="FO396" i="2"/>
  <c r="FN396" i="2"/>
  <c r="FM396" i="2"/>
  <c r="FL396" i="2"/>
  <c r="FK396" i="2"/>
  <c r="FJ396" i="2"/>
  <c r="FI396" i="2"/>
  <c r="GB396" i="2" s="1"/>
  <c r="FH396" i="2"/>
  <c r="FG396" i="2"/>
  <c r="FF396" i="2"/>
  <c r="FY396" i="2" s="1"/>
  <c r="FE396" i="2"/>
  <c r="FX396" i="2" s="1"/>
  <c r="FD396" i="2"/>
  <c r="FC396" i="2"/>
  <c r="FB396" i="2"/>
  <c r="EH396" i="2"/>
  <c r="EG396" i="2"/>
  <c r="EZ396" i="2" s="1"/>
  <c r="EE396" i="2"/>
  <c r="EX396" i="2" s="1"/>
  <c r="ED396" i="2"/>
  <c r="EW396" i="2" s="1"/>
  <c r="EC396" i="2"/>
  <c r="EB396" i="2"/>
  <c r="EA396" i="2"/>
  <c r="DZ396" i="2"/>
  <c r="DY396" i="2"/>
  <c r="DX396" i="2"/>
  <c r="DW396" i="2"/>
  <c r="EP396" i="2" s="1"/>
  <c r="DV396" i="2"/>
  <c r="DU396" i="2"/>
  <c r="DT396" i="2"/>
  <c r="EM396" i="2" s="1"/>
  <c r="DS396" i="2"/>
  <c r="EL396" i="2" s="1"/>
  <c r="DR396" i="2"/>
  <c r="DQ396" i="2"/>
  <c r="DP396" i="2"/>
  <c r="FT395" i="2"/>
  <c r="FS395" i="2"/>
  <c r="GL395" i="2" s="1"/>
  <c r="FQ395" i="2"/>
  <c r="GJ395" i="2" s="1"/>
  <c r="FP395" i="2"/>
  <c r="GI395" i="2" s="1"/>
  <c r="FO395" i="2"/>
  <c r="FN395" i="2"/>
  <c r="FM395" i="2"/>
  <c r="FL395" i="2"/>
  <c r="FK395" i="2"/>
  <c r="FJ395" i="2"/>
  <c r="FI395" i="2"/>
  <c r="GB395" i="2" s="1"/>
  <c r="FH395" i="2"/>
  <c r="FG395" i="2"/>
  <c r="FF395" i="2"/>
  <c r="FY395" i="2" s="1"/>
  <c r="FE395" i="2"/>
  <c r="FX395" i="2" s="1"/>
  <c r="FD395" i="2"/>
  <c r="FC395" i="2"/>
  <c r="FB395" i="2"/>
  <c r="EH395" i="2"/>
  <c r="EG395" i="2"/>
  <c r="EZ395" i="2" s="1"/>
  <c r="EE395" i="2"/>
  <c r="EX395" i="2" s="1"/>
  <c r="ED395" i="2"/>
  <c r="EW395" i="2" s="1"/>
  <c r="EC395" i="2"/>
  <c r="EB395" i="2"/>
  <c r="EA395" i="2"/>
  <c r="DZ395" i="2"/>
  <c r="DY395" i="2"/>
  <c r="DX395" i="2"/>
  <c r="DW395" i="2"/>
  <c r="EP395" i="2" s="1"/>
  <c r="DV395" i="2"/>
  <c r="DU395" i="2"/>
  <c r="DT395" i="2"/>
  <c r="EM395" i="2" s="1"/>
  <c r="DS395" i="2"/>
  <c r="EL395" i="2" s="1"/>
  <c r="DR395" i="2"/>
  <c r="DQ395" i="2"/>
  <c r="DP395" i="2"/>
  <c r="FT378" i="2"/>
  <c r="FS378" i="2"/>
  <c r="GL378" i="2" s="1"/>
  <c r="FQ378" i="2"/>
  <c r="GJ378" i="2" s="1"/>
  <c r="FP378" i="2"/>
  <c r="GI378" i="2" s="1"/>
  <c r="FO378" i="2"/>
  <c r="FN378" i="2"/>
  <c r="FM378" i="2"/>
  <c r="FL378" i="2"/>
  <c r="FK378" i="2"/>
  <c r="FJ378" i="2"/>
  <c r="FI378" i="2"/>
  <c r="GB378" i="2" s="1"/>
  <c r="FH378" i="2"/>
  <c r="FG378" i="2"/>
  <c r="FF378" i="2"/>
  <c r="FY378" i="2" s="1"/>
  <c r="FE378" i="2"/>
  <c r="FX378" i="2" s="1"/>
  <c r="FD378" i="2"/>
  <c r="FC378" i="2"/>
  <c r="FB378" i="2"/>
  <c r="EH378" i="2"/>
  <c r="EG378" i="2"/>
  <c r="EZ378" i="2" s="1"/>
  <c r="EE378" i="2"/>
  <c r="EX378" i="2" s="1"/>
  <c r="ED378" i="2"/>
  <c r="EW378" i="2" s="1"/>
  <c r="EC378" i="2"/>
  <c r="EB378" i="2"/>
  <c r="EA378" i="2"/>
  <c r="DZ378" i="2"/>
  <c r="DY378" i="2"/>
  <c r="DX378" i="2"/>
  <c r="DW378" i="2"/>
  <c r="EP378" i="2" s="1"/>
  <c r="DV378" i="2"/>
  <c r="DU378" i="2"/>
  <c r="DT378" i="2"/>
  <c r="EM378" i="2" s="1"/>
  <c r="DS378" i="2"/>
  <c r="EL378" i="2" s="1"/>
  <c r="DR378" i="2"/>
  <c r="DQ378" i="2"/>
  <c r="DP378" i="2"/>
  <c r="FT377" i="2"/>
  <c r="FS377" i="2"/>
  <c r="GL377" i="2" s="1"/>
  <c r="FQ377" i="2"/>
  <c r="GJ377" i="2" s="1"/>
  <c r="FP377" i="2"/>
  <c r="GI377" i="2" s="1"/>
  <c r="FO377" i="2"/>
  <c r="FN377" i="2"/>
  <c r="FM377" i="2"/>
  <c r="FL377" i="2"/>
  <c r="FK377" i="2"/>
  <c r="FJ377" i="2"/>
  <c r="FI377" i="2"/>
  <c r="GB377" i="2" s="1"/>
  <c r="FH377" i="2"/>
  <c r="FG377" i="2"/>
  <c r="FF377" i="2"/>
  <c r="FY377" i="2" s="1"/>
  <c r="FE377" i="2"/>
  <c r="FX377" i="2" s="1"/>
  <c r="FD377" i="2"/>
  <c r="FC377" i="2"/>
  <c r="FB377" i="2"/>
  <c r="EH377" i="2"/>
  <c r="EG377" i="2"/>
  <c r="EZ377" i="2" s="1"/>
  <c r="EE377" i="2"/>
  <c r="EX377" i="2" s="1"/>
  <c r="ED377" i="2"/>
  <c r="EW377" i="2" s="1"/>
  <c r="EC377" i="2"/>
  <c r="EB377" i="2"/>
  <c r="EA377" i="2"/>
  <c r="DZ377" i="2"/>
  <c r="DY377" i="2"/>
  <c r="DX377" i="2"/>
  <c r="DW377" i="2"/>
  <c r="EP377" i="2" s="1"/>
  <c r="DV377" i="2"/>
  <c r="DU377" i="2"/>
  <c r="DT377" i="2"/>
  <c r="EM377" i="2" s="1"/>
  <c r="DS377" i="2"/>
  <c r="EL377" i="2" s="1"/>
  <c r="DR377" i="2"/>
  <c r="DQ377" i="2"/>
  <c r="DP377" i="2"/>
  <c r="FT394" i="2"/>
  <c r="FS394" i="2"/>
  <c r="GL394" i="2" s="1"/>
  <c r="FQ394" i="2"/>
  <c r="GJ394" i="2" s="1"/>
  <c r="FP394" i="2"/>
  <c r="GI394" i="2" s="1"/>
  <c r="FO394" i="2"/>
  <c r="FN394" i="2"/>
  <c r="FM394" i="2"/>
  <c r="FL394" i="2"/>
  <c r="FK394" i="2"/>
  <c r="FJ394" i="2"/>
  <c r="FI394" i="2"/>
  <c r="GB394" i="2" s="1"/>
  <c r="FH394" i="2"/>
  <c r="FG394" i="2"/>
  <c r="FF394" i="2"/>
  <c r="FY394" i="2" s="1"/>
  <c r="FE394" i="2"/>
  <c r="FX394" i="2" s="1"/>
  <c r="FD394" i="2"/>
  <c r="FC394" i="2"/>
  <c r="FB394" i="2"/>
  <c r="EH394" i="2"/>
  <c r="EG394" i="2"/>
  <c r="EZ394" i="2" s="1"/>
  <c r="EE394" i="2"/>
  <c r="EX394" i="2" s="1"/>
  <c r="ED394" i="2"/>
  <c r="EW394" i="2" s="1"/>
  <c r="EC394" i="2"/>
  <c r="EB394" i="2"/>
  <c r="EA394" i="2"/>
  <c r="DZ394" i="2"/>
  <c r="DY394" i="2"/>
  <c r="DX394" i="2"/>
  <c r="DW394" i="2"/>
  <c r="EP394" i="2" s="1"/>
  <c r="DV394" i="2"/>
  <c r="DU394" i="2"/>
  <c r="DT394" i="2"/>
  <c r="EM394" i="2" s="1"/>
  <c r="DS394" i="2"/>
  <c r="EL394" i="2" s="1"/>
  <c r="DR394" i="2"/>
  <c r="DQ394" i="2"/>
  <c r="DP394" i="2"/>
  <c r="FT393" i="2"/>
  <c r="FS393" i="2"/>
  <c r="GL393" i="2" s="1"/>
  <c r="FQ393" i="2"/>
  <c r="GJ393" i="2" s="1"/>
  <c r="FP393" i="2"/>
  <c r="GI393" i="2" s="1"/>
  <c r="FO393" i="2"/>
  <c r="FN393" i="2"/>
  <c r="FM393" i="2"/>
  <c r="FL393" i="2"/>
  <c r="FK393" i="2"/>
  <c r="FJ393" i="2"/>
  <c r="FI393" i="2"/>
  <c r="GB393" i="2" s="1"/>
  <c r="FH393" i="2"/>
  <c r="FG393" i="2"/>
  <c r="FF393" i="2"/>
  <c r="FY393" i="2" s="1"/>
  <c r="FE393" i="2"/>
  <c r="FX393" i="2" s="1"/>
  <c r="FD393" i="2"/>
  <c r="FC393" i="2"/>
  <c r="FB393" i="2"/>
  <c r="EH393" i="2"/>
  <c r="EG393" i="2"/>
  <c r="EZ393" i="2" s="1"/>
  <c r="EE393" i="2"/>
  <c r="EX393" i="2" s="1"/>
  <c r="ED393" i="2"/>
  <c r="EW393" i="2" s="1"/>
  <c r="EC393" i="2"/>
  <c r="EB393" i="2"/>
  <c r="EA393" i="2"/>
  <c r="DZ393" i="2"/>
  <c r="DY393" i="2"/>
  <c r="DX393" i="2"/>
  <c r="DW393" i="2"/>
  <c r="EP393" i="2" s="1"/>
  <c r="DV393" i="2"/>
  <c r="DU393" i="2"/>
  <c r="DT393" i="2"/>
  <c r="EM393" i="2" s="1"/>
  <c r="DS393" i="2"/>
  <c r="EL393" i="2" s="1"/>
  <c r="DR393" i="2"/>
  <c r="DQ393" i="2"/>
  <c r="DP393" i="2"/>
  <c r="FT392" i="2"/>
  <c r="FS392" i="2"/>
  <c r="GL392" i="2" s="1"/>
  <c r="FQ392" i="2"/>
  <c r="GJ392" i="2" s="1"/>
  <c r="FP392" i="2"/>
  <c r="GI392" i="2" s="1"/>
  <c r="FO392" i="2"/>
  <c r="FN392" i="2"/>
  <c r="FM392" i="2"/>
  <c r="FL392" i="2"/>
  <c r="FK392" i="2"/>
  <c r="FJ392" i="2"/>
  <c r="FI392" i="2"/>
  <c r="GB392" i="2" s="1"/>
  <c r="FH392" i="2"/>
  <c r="FG392" i="2"/>
  <c r="FF392" i="2"/>
  <c r="FY392" i="2" s="1"/>
  <c r="FE392" i="2"/>
  <c r="FX392" i="2" s="1"/>
  <c r="FD392" i="2"/>
  <c r="FC392" i="2"/>
  <c r="FB392" i="2"/>
  <c r="EH392" i="2"/>
  <c r="EG392" i="2"/>
  <c r="EZ392" i="2" s="1"/>
  <c r="EE392" i="2"/>
  <c r="EX392" i="2" s="1"/>
  <c r="ED392" i="2"/>
  <c r="EW392" i="2" s="1"/>
  <c r="EC392" i="2"/>
  <c r="EB392" i="2"/>
  <c r="EA392" i="2"/>
  <c r="DZ392" i="2"/>
  <c r="DY392" i="2"/>
  <c r="DX392" i="2"/>
  <c r="DW392" i="2"/>
  <c r="EP392" i="2" s="1"/>
  <c r="DV392" i="2"/>
  <c r="DU392" i="2"/>
  <c r="DT392" i="2"/>
  <c r="EM392" i="2" s="1"/>
  <c r="DS392" i="2"/>
  <c r="EL392" i="2" s="1"/>
  <c r="DR392" i="2"/>
  <c r="DQ392" i="2"/>
  <c r="DP392" i="2"/>
  <c r="FT376" i="2"/>
  <c r="FS376" i="2"/>
  <c r="GL376" i="2" s="1"/>
  <c r="FQ376" i="2"/>
  <c r="GJ376" i="2" s="1"/>
  <c r="FP376" i="2"/>
  <c r="GI376" i="2" s="1"/>
  <c r="FO376" i="2"/>
  <c r="FN376" i="2"/>
  <c r="FM376" i="2"/>
  <c r="FL376" i="2"/>
  <c r="FK376" i="2"/>
  <c r="FJ376" i="2"/>
  <c r="FI376" i="2"/>
  <c r="GB376" i="2" s="1"/>
  <c r="FH376" i="2"/>
  <c r="FG376" i="2"/>
  <c r="FF376" i="2"/>
  <c r="FY376" i="2" s="1"/>
  <c r="FE376" i="2"/>
  <c r="FX376" i="2" s="1"/>
  <c r="FD376" i="2"/>
  <c r="FC376" i="2"/>
  <c r="FB376" i="2"/>
  <c r="EH376" i="2"/>
  <c r="EG376" i="2"/>
  <c r="EZ376" i="2" s="1"/>
  <c r="EE376" i="2"/>
  <c r="EX376" i="2" s="1"/>
  <c r="ED376" i="2"/>
  <c r="EW376" i="2" s="1"/>
  <c r="EC376" i="2"/>
  <c r="EB376" i="2"/>
  <c r="EA376" i="2"/>
  <c r="DZ376" i="2"/>
  <c r="DY376" i="2"/>
  <c r="DX376" i="2"/>
  <c r="DW376" i="2"/>
  <c r="EP376" i="2" s="1"/>
  <c r="DV376" i="2"/>
  <c r="DU376" i="2"/>
  <c r="DT376" i="2"/>
  <c r="EM376" i="2" s="1"/>
  <c r="DS376" i="2"/>
  <c r="EL376" i="2" s="1"/>
  <c r="DR376" i="2"/>
  <c r="DQ376" i="2"/>
  <c r="DP376" i="2"/>
  <c r="FT391" i="2"/>
  <c r="FS391" i="2"/>
  <c r="GL391" i="2" s="1"/>
  <c r="FQ391" i="2"/>
  <c r="GJ391" i="2" s="1"/>
  <c r="FP391" i="2"/>
  <c r="GI391" i="2" s="1"/>
  <c r="FO391" i="2"/>
  <c r="FN391" i="2"/>
  <c r="FM391" i="2"/>
  <c r="FL391" i="2"/>
  <c r="FK391" i="2"/>
  <c r="FJ391" i="2"/>
  <c r="FI391" i="2"/>
  <c r="GB391" i="2" s="1"/>
  <c r="FH391" i="2"/>
  <c r="FG391" i="2"/>
  <c r="FF391" i="2"/>
  <c r="FY391" i="2" s="1"/>
  <c r="FE391" i="2"/>
  <c r="FX391" i="2" s="1"/>
  <c r="FD391" i="2"/>
  <c r="FC391" i="2"/>
  <c r="FB391" i="2"/>
  <c r="EH391" i="2"/>
  <c r="EG391" i="2"/>
  <c r="EZ391" i="2" s="1"/>
  <c r="EE391" i="2"/>
  <c r="EX391" i="2" s="1"/>
  <c r="ED391" i="2"/>
  <c r="EW391" i="2" s="1"/>
  <c r="EC391" i="2"/>
  <c r="EB391" i="2"/>
  <c r="EA391" i="2"/>
  <c r="DZ391" i="2"/>
  <c r="DY391" i="2"/>
  <c r="DX391" i="2"/>
  <c r="DW391" i="2"/>
  <c r="EP391" i="2" s="1"/>
  <c r="DV391" i="2"/>
  <c r="DU391" i="2"/>
  <c r="DT391" i="2"/>
  <c r="EM391" i="2" s="1"/>
  <c r="DS391" i="2"/>
  <c r="EL391" i="2" s="1"/>
  <c r="DR391" i="2"/>
  <c r="DQ391" i="2"/>
  <c r="DP391" i="2"/>
  <c r="FT390" i="2"/>
  <c r="FS390" i="2"/>
  <c r="GL390" i="2" s="1"/>
  <c r="FQ390" i="2"/>
  <c r="GJ390" i="2" s="1"/>
  <c r="FP390" i="2"/>
  <c r="GI390" i="2" s="1"/>
  <c r="FO390" i="2"/>
  <c r="FN390" i="2"/>
  <c r="FM390" i="2"/>
  <c r="FL390" i="2"/>
  <c r="FK390" i="2"/>
  <c r="FJ390" i="2"/>
  <c r="FI390" i="2"/>
  <c r="GB390" i="2" s="1"/>
  <c r="FH390" i="2"/>
  <c r="FG390" i="2"/>
  <c r="FF390" i="2"/>
  <c r="FY390" i="2" s="1"/>
  <c r="FE390" i="2"/>
  <c r="FX390" i="2" s="1"/>
  <c r="FD390" i="2"/>
  <c r="FC390" i="2"/>
  <c r="FB390" i="2"/>
  <c r="EH390" i="2"/>
  <c r="EG390" i="2"/>
  <c r="EZ390" i="2" s="1"/>
  <c r="EE390" i="2"/>
  <c r="EX390" i="2" s="1"/>
  <c r="ED390" i="2"/>
  <c r="EW390" i="2" s="1"/>
  <c r="EC390" i="2"/>
  <c r="EB390" i="2"/>
  <c r="EA390" i="2"/>
  <c r="DZ390" i="2"/>
  <c r="DY390" i="2"/>
  <c r="DX390" i="2"/>
  <c r="DW390" i="2"/>
  <c r="EP390" i="2" s="1"/>
  <c r="DV390" i="2"/>
  <c r="DU390" i="2"/>
  <c r="DT390" i="2"/>
  <c r="EM390" i="2" s="1"/>
  <c r="DS390" i="2"/>
  <c r="EL390" i="2" s="1"/>
  <c r="DR390" i="2"/>
  <c r="DQ390" i="2"/>
  <c r="DP390" i="2"/>
  <c r="FT389" i="2"/>
  <c r="FS389" i="2"/>
  <c r="GL389" i="2" s="1"/>
  <c r="FQ389" i="2"/>
  <c r="GJ389" i="2" s="1"/>
  <c r="FP389" i="2"/>
  <c r="GI389" i="2" s="1"/>
  <c r="FO389" i="2"/>
  <c r="FN389" i="2"/>
  <c r="FM389" i="2"/>
  <c r="FL389" i="2"/>
  <c r="FK389" i="2"/>
  <c r="FJ389" i="2"/>
  <c r="FI389" i="2"/>
  <c r="GB389" i="2" s="1"/>
  <c r="FH389" i="2"/>
  <c r="FG389" i="2"/>
  <c r="FF389" i="2"/>
  <c r="FY389" i="2" s="1"/>
  <c r="FE389" i="2"/>
  <c r="FX389" i="2" s="1"/>
  <c r="FD389" i="2"/>
  <c r="FC389" i="2"/>
  <c r="FB389" i="2"/>
  <c r="EH389" i="2"/>
  <c r="EG389" i="2"/>
  <c r="EZ389" i="2" s="1"/>
  <c r="EE389" i="2"/>
  <c r="EX389" i="2" s="1"/>
  <c r="EC389" i="2"/>
  <c r="EB389" i="2"/>
  <c r="EA389" i="2"/>
  <c r="DZ389" i="2"/>
  <c r="DY389" i="2"/>
  <c r="DX389" i="2"/>
  <c r="DW389" i="2"/>
  <c r="EP389" i="2" s="1"/>
  <c r="DV389" i="2"/>
  <c r="DU389" i="2"/>
  <c r="DT389" i="2"/>
  <c r="EM389" i="2" s="1"/>
  <c r="DS389" i="2"/>
  <c r="EL389" i="2" s="1"/>
  <c r="DR389" i="2"/>
  <c r="DQ389" i="2"/>
  <c r="DP389" i="2"/>
  <c r="FT388" i="2"/>
  <c r="FS388" i="2"/>
  <c r="GL388" i="2" s="1"/>
  <c r="FQ388" i="2"/>
  <c r="GJ388" i="2" s="1"/>
  <c r="FP388" i="2"/>
  <c r="GI388" i="2" s="1"/>
  <c r="FO388" i="2"/>
  <c r="FN388" i="2"/>
  <c r="FM388" i="2"/>
  <c r="FL388" i="2"/>
  <c r="FK388" i="2"/>
  <c r="FJ388" i="2"/>
  <c r="FI388" i="2"/>
  <c r="GB388" i="2" s="1"/>
  <c r="FH388" i="2"/>
  <c r="FG388" i="2"/>
  <c r="FF388" i="2"/>
  <c r="FY388" i="2" s="1"/>
  <c r="FE388" i="2"/>
  <c r="FX388" i="2" s="1"/>
  <c r="FD388" i="2"/>
  <c r="FC388" i="2"/>
  <c r="FB388" i="2"/>
  <c r="EH388" i="2"/>
  <c r="EG388" i="2"/>
  <c r="EZ388" i="2" s="1"/>
  <c r="EE388" i="2"/>
  <c r="EX388" i="2" s="1"/>
  <c r="ED388" i="2"/>
  <c r="EW388" i="2" s="1"/>
  <c r="EC388" i="2"/>
  <c r="EB388" i="2"/>
  <c r="EA388" i="2"/>
  <c r="DZ388" i="2"/>
  <c r="DY388" i="2"/>
  <c r="DX388" i="2"/>
  <c r="DW388" i="2"/>
  <c r="EP388" i="2" s="1"/>
  <c r="DV388" i="2"/>
  <c r="DU388" i="2"/>
  <c r="DT388" i="2"/>
  <c r="EM388" i="2" s="1"/>
  <c r="DS388" i="2"/>
  <c r="EL388" i="2" s="1"/>
  <c r="DR388" i="2"/>
  <c r="DQ388" i="2"/>
  <c r="DP388" i="2"/>
  <c r="FT344" i="2"/>
  <c r="FS344" i="2"/>
  <c r="GL344" i="2" s="1"/>
  <c r="FQ344" i="2"/>
  <c r="GJ344" i="2" s="1"/>
  <c r="FP344" i="2"/>
  <c r="GI344" i="2" s="1"/>
  <c r="FO344" i="2"/>
  <c r="FN344" i="2"/>
  <c r="FM344" i="2"/>
  <c r="FL344" i="2"/>
  <c r="FK344" i="2"/>
  <c r="FJ344" i="2"/>
  <c r="FI344" i="2"/>
  <c r="GB344" i="2" s="1"/>
  <c r="FH344" i="2"/>
  <c r="FG344" i="2"/>
  <c r="FF344" i="2"/>
  <c r="FY344" i="2" s="1"/>
  <c r="FE344" i="2"/>
  <c r="FX344" i="2" s="1"/>
  <c r="FD344" i="2"/>
  <c r="FC344" i="2"/>
  <c r="FB344" i="2"/>
  <c r="FT280" i="2"/>
  <c r="FS280" i="2"/>
  <c r="GL280" i="2" s="1"/>
  <c r="FQ280" i="2"/>
  <c r="GJ280" i="2" s="1"/>
  <c r="FP280" i="2"/>
  <c r="GI280" i="2" s="1"/>
  <c r="FO280" i="2"/>
  <c r="FN280" i="2"/>
  <c r="FM280" i="2"/>
  <c r="FL280" i="2"/>
  <c r="FK280" i="2"/>
  <c r="FJ280" i="2"/>
  <c r="FI280" i="2"/>
  <c r="GB280" i="2" s="1"/>
  <c r="FH280" i="2"/>
  <c r="FG280" i="2"/>
  <c r="FF280" i="2"/>
  <c r="FY280" i="2" s="1"/>
  <c r="FE280" i="2"/>
  <c r="FX280" i="2" s="1"/>
  <c r="FD280" i="2"/>
  <c r="FC280" i="2"/>
  <c r="FB280" i="2"/>
  <c r="EH280" i="2"/>
  <c r="EG280" i="2"/>
  <c r="EZ280" i="2" s="1"/>
  <c r="EE280" i="2"/>
  <c r="EX280" i="2" s="1"/>
  <c r="ED280" i="2"/>
  <c r="EW280" i="2" s="1"/>
  <c r="EC280" i="2"/>
  <c r="EB280" i="2"/>
  <c r="EA280" i="2"/>
  <c r="DZ280" i="2"/>
  <c r="DY280" i="2"/>
  <c r="DX280" i="2"/>
  <c r="DW280" i="2"/>
  <c r="EP280" i="2" s="1"/>
  <c r="DV280" i="2"/>
  <c r="DU280" i="2"/>
  <c r="DT280" i="2"/>
  <c r="EM280" i="2" s="1"/>
  <c r="DS280" i="2"/>
  <c r="EL280" i="2" s="1"/>
  <c r="DR280" i="2"/>
  <c r="DQ280" i="2"/>
  <c r="DP280" i="2"/>
  <c r="FT225" i="2"/>
  <c r="FS225" i="2"/>
  <c r="GL225" i="2" s="1"/>
  <c r="FQ225" i="2"/>
  <c r="GJ225" i="2" s="1"/>
  <c r="FP225" i="2"/>
  <c r="GI225" i="2" s="1"/>
  <c r="FO225" i="2"/>
  <c r="FN225" i="2"/>
  <c r="FM225" i="2"/>
  <c r="FL225" i="2"/>
  <c r="FK225" i="2"/>
  <c r="FJ225" i="2"/>
  <c r="FI225" i="2"/>
  <c r="GB225" i="2" s="1"/>
  <c r="FH225" i="2"/>
  <c r="FG225" i="2"/>
  <c r="FF225" i="2"/>
  <c r="FY225" i="2" s="1"/>
  <c r="FE225" i="2"/>
  <c r="FX225" i="2" s="1"/>
  <c r="FD225" i="2"/>
  <c r="FC225" i="2"/>
  <c r="FB225" i="2"/>
  <c r="EH225" i="2"/>
  <c r="EG225" i="2"/>
  <c r="EZ225" i="2" s="1"/>
  <c r="EE225" i="2"/>
  <c r="EX225" i="2" s="1"/>
  <c r="ED225" i="2"/>
  <c r="EW225" i="2" s="1"/>
  <c r="EC225" i="2"/>
  <c r="EB225" i="2"/>
  <c r="EA225" i="2"/>
  <c r="DZ225" i="2"/>
  <c r="DY225" i="2"/>
  <c r="DX225" i="2"/>
  <c r="DW225" i="2"/>
  <c r="EP225" i="2" s="1"/>
  <c r="DV225" i="2"/>
  <c r="DU225" i="2"/>
  <c r="DT225" i="2"/>
  <c r="EM225" i="2" s="1"/>
  <c r="DS225" i="2"/>
  <c r="EL225" i="2" s="1"/>
  <c r="DR225" i="2"/>
  <c r="DQ225" i="2"/>
  <c r="DP225" i="2"/>
  <c r="FT127" i="2"/>
  <c r="FS127" i="2"/>
  <c r="GL127" i="2" s="1"/>
  <c r="FQ127" i="2"/>
  <c r="GJ127" i="2" s="1"/>
  <c r="FP127" i="2"/>
  <c r="GI127" i="2" s="1"/>
  <c r="FO127" i="2"/>
  <c r="FN127" i="2"/>
  <c r="FM127" i="2"/>
  <c r="FL127" i="2"/>
  <c r="FK127" i="2"/>
  <c r="FJ127" i="2"/>
  <c r="FI127" i="2"/>
  <c r="GB127" i="2" s="1"/>
  <c r="FH127" i="2"/>
  <c r="FG127" i="2"/>
  <c r="FF127" i="2"/>
  <c r="FY127" i="2" s="1"/>
  <c r="FE127" i="2"/>
  <c r="FX127" i="2" s="1"/>
  <c r="FD127" i="2"/>
  <c r="FC127" i="2"/>
  <c r="FB127" i="2"/>
  <c r="EH127" i="2"/>
  <c r="EG127" i="2"/>
  <c r="EZ127" i="2" s="1"/>
  <c r="EE127" i="2"/>
  <c r="EX127" i="2" s="1"/>
  <c r="ED127" i="2"/>
  <c r="EW127" i="2" s="1"/>
  <c r="EC127" i="2"/>
  <c r="EB127" i="2"/>
  <c r="EA127" i="2"/>
  <c r="DZ127" i="2"/>
  <c r="DY127" i="2"/>
  <c r="DX127" i="2"/>
  <c r="DW127" i="2"/>
  <c r="EP127" i="2" s="1"/>
  <c r="DV127" i="2"/>
  <c r="DU127" i="2"/>
  <c r="DT127" i="2"/>
  <c r="EM127" i="2" s="1"/>
  <c r="DS127" i="2"/>
  <c r="EL127" i="2" s="1"/>
  <c r="DR127" i="2"/>
  <c r="DQ127" i="2"/>
  <c r="DP127" i="2"/>
  <c r="FT279" i="2"/>
  <c r="FS279" i="2"/>
  <c r="GL279" i="2" s="1"/>
  <c r="FQ279" i="2"/>
  <c r="GJ279" i="2" s="1"/>
  <c r="FP279" i="2"/>
  <c r="GI279" i="2" s="1"/>
  <c r="FO279" i="2"/>
  <c r="FN279" i="2"/>
  <c r="FM279" i="2"/>
  <c r="FL279" i="2"/>
  <c r="FK279" i="2"/>
  <c r="FJ279" i="2"/>
  <c r="FI279" i="2"/>
  <c r="GB279" i="2" s="1"/>
  <c r="FH279" i="2"/>
  <c r="FG279" i="2"/>
  <c r="FF279" i="2"/>
  <c r="FY279" i="2" s="1"/>
  <c r="FE279" i="2"/>
  <c r="FX279" i="2" s="1"/>
  <c r="FD279" i="2"/>
  <c r="FC279" i="2"/>
  <c r="FB279" i="2"/>
  <c r="EH279" i="2"/>
  <c r="EG279" i="2"/>
  <c r="EZ279" i="2" s="1"/>
  <c r="EE279" i="2"/>
  <c r="EX279" i="2" s="1"/>
  <c r="ED279" i="2"/>
  <c r="EW279" i="2" s="1"/>
  <c r="EC279" i="2"/>
  <c r="EB279" i="2"/>
  <c r="EA279" i="2"/>
  <c r="DZ279" i="2"/>
  <c r="DY279" i="2"/>
  <c r="DX279" i="2"/>
  <c r="DW279" i="2"/>
  <c r="EP279" i="2" s="1"/>
  <c r="DV279" i="2"/>
  <c r="DU279" i="2"/>
  <c r="DT279" i="2"/>
  <c r="EM279" i="2" s="1"/>
  <c r="DS279" i="2"/>
  <c r="EL279" i="2" s="1"/>
  <c r="DR279" i="2"/>
  <c r="DQ279" i="2"/>
  <c r="DP279" i="2"/>
  <c r="FT87" i="2"/>
  <c r="FS87" i="2"/>
  <c r="GL87" i="2" s="1"/>
  <c r="FQ87" i="2"/>
  <c r="GJ87" i="2" s="1"/>
  <c r="FP87" i="2"/>
  <c r="GI87" i="2" s="1"/>
  <c r="FO87" i="2"/>
  <c r="FN87" i="2"/>
  <c r="FM87" i="2"/>
  <c r="FL87" i="2"/>
  <c r="FK87" i="2"/>
  <c r="FJ87" i="2"/>
  <c r="FI87" i="2"/>
  <c r="GB87" i="2" s="1"/>
  <c r="FH87" i="2"/>
  <c r="FG87" i="2"/>
  <c r="FF87" i="2"/>
  <c r="FY87" i="2" s="1"/>
  <c r="FE87" i="2"/>
  <c r="FX87" i="2" s="1"/>
  <c r="FD87" i="2"/>
  <c r="FC87" i="2"/>
  <c r="FB87" i="2"/>
  <c r="EH87" i="2"/>
  <c r="EG87" i="2"/>
  <c r="EZ87" i="2" s="1"/>
  <c r="EE87" i="2"/>
  <c r="EX87" i="2" s="1"/>
  <c r="ED87" i="2"/>
  <c r="EW87" i="2" s="1"/>
  <c r="EC87" i="2"/>
  <c r="EB87" i="2"/>
  <c r="EA87" i="2"/>
  <c r="DZ87" i="2"/>
  <c r="DY87" i="2"/>
  <c r="DX87" i="2"/>
  <c r="DW87" i="2"/>
  <c r="EP87" i="2" s="1"/>
  <c r="DV87" i="2"/>
  <c r="DU87" i="2"/>
  <c r="DT87" i="2"/>
  <c r="EM87" i="2" s="1"/>
  <c r="DS87" i="2"/>
  <c r="EL87" i="2" s="1"/>
  <c r="DR87" i="2"/>
  <c r="DQ87" i="2"/>
  <c r="DP87" i="2"/>
  <c r="FT82" i="2"/>
  <c r="FS82" i="2"/>
  <c r="GL82" i="2" s="1"/>
  <c r="FQ82" i="2"/>
  <c r="GJ82" i="2" s="1"/>
  <c r="FP82" i="2"/>
  <c r="GI82" i="2" s="1"/>
  <c r="FO82" i="2"/>
  <c r="FN82" i="2"/>
  <c r="FM82" i="2"/>
  <c r="FL82" i="2"/>
  <c r="FK82" i="2"/>
  <c r="FJ82" i="2"/>
  <c r="FI82" i="2"/>
  <c r="GB82" i="2" s="1"/>
  <c r="FH82" i="2"/>
  <c r="FG82" i="2"/>
  <c r="FF82" i="2"/>
  <c r="FY82" i="2" s="1"/>
  <c r="FE82" i="2"/>
  <c r="FX82" i="2" s="1"/>
  <c r="FD82" i="2"/>
  <c r="FC82" i="2"/>
  <c r="FB82" i="2"/>
  <c r="EH82" i="2"/>
  <c r="EG82" i="2"/>
  <c r="EZ82" i="2" s="1"/>
  <c r="EE82" i="2"/>
  <c r="EX82" i="2" s="1"/>
  <c r="ED82" i="2"/>
  <c r="EW82" i="2" s="1"/>
  <c r="EC82" i="2"/>
  <c r="EB82" i="2"/>
  <c r="EA82" i="2"/>
  <c r="DZ82" i="2"/>
  <c r="DY82" i="2"/>
  <c r="DX82" i="2"/>
  <c r="DW82" i="2"/>
  <c r="EP82" i="2" s="1"/>
  <c r="DV82" i="2"/>
  <c r="DU82" i="2"/>
  <c r="DT82" i="2"/>
  <c r="EM82" i="2" s="1"/>
  <c r="DS82" i="2"/>
  <c r="EL82" i="2" s="1"/>
  <c r="DR82" i="2"/>
  <c r="DQ82" i="2"/>
  <c r="DP82" i="2"/>
  <c r="FT613" i="2"/>
  <c r="FS613" i="2"/>
  <c r="GL613" i="2" s="1"/>
  <c r="FQ613" i="2"/>
  <c r="GJ613" i="2" s="1"/>
  <c r="FP613" i="2"/>
  <c r="GI613" i="2" s="1"/>
  <c r="FO613" i="2"/>
  <c r="FN613" i="2"/>
  <c r="FM613" i="2"/>
  <c r="FL613" i="2"/>
  <c r="FK613" i="2"/>
  <c r="FJ613" i="2"/>
  <c r="FI613" i="2"/>
  <c r="GB613" i="2" s="1"/>
  <c r="FH613" i="2"/>
  <c r="FG613" i="2"/>
  <c r="FF613" i="2"/>
  <c r="FY613" i="2" s="1"/>
  <c r="FE613" i="2"/>
  <c r="FX613" i="2" s="1"/>
  <c r="FD613" i="2"/>
  <c r="FC613" i="2"/>
  <c r="FB613" i="2"/>
  <c r="EH613" i="2"/>
  <c r="EG613" i="2"/>
  <c r="EZ613" i="2" s="1"/>
  <c r="EE613" i="2"/>
  <c r="EX613" i="2" s="1"/>
  <c r="ED613" i="2"/>
  <c r="EW613" i="2" s="1"/>
  <c r="EC613" i="2"/>
  <c r="EB613" i="2"/>
  <c r="EA613" i="2"/>
  <c r="DZ613" i="2"/>
  <c r="DY613" i="2"/>
  <c r="DX613" i="2"/>
  <c r="DW613" i="2"/>
  <c r="EP613" i="2" s="1"/>
  <c r="DV613" i="2"/>
  <c r="DU613" i="2"/>
  <c r="DT613" i="2"/>
  <c r="EM613" i="2" s="1"/>
  <c r="DS613" i="2"/>
  <c r="EL613" i="2" s="1"/>
  <c r="DR613" i="2"/>
  <c r="DQ613" i="2"/>
  <c r="DP613" i="2"/>
  <c r="FT612" i="2"/>
  <c r="FS612" i="2"/>
  <c r="GL612" i="2" s="1"/>
  <c r="FQ612" i="2"/>
  <c r="GJ612" i="2" s="1"/>
  <c r="FP612" i="2"/>
  <c r="GI612" i="2" s="1"/>
  <c r="FO612" i="2"/>
  <c r="FN612" i="2"/>
  <c r="FM612" i="2"/>
  <c r="FL612" i="2"/>
  <c r="FK612" i="2"/>
  <c r="FJ612" i="2"/>
  <c r="FI612" i="2"/>
  <c r="GB612" i="2" s="1"/>
  <c r="FH612" i="2"/>
  <c r="FG612" i="2"/>
  <c r="FF612" i="2"/>
  <c r="FY612" i="2" s="1"/>
  <c r="FE612" i="2"/>
  <c r="FX612" i="2" s="1"/>
  <c r="FD612" i="2"/>
  <c r="FC612" i="2"/>
  <c r="FB612" i="2"/>
  <c r="EH612" i="2"/>
  <c r="EG612" i="2"/>
  <c r="EZ612" i="2" s="1"/>
  <c r="EE612" i="2"/>
  <c r="EX612" i="2" s="1"/>
  <c r="ED612" i="2"/>
  <c r="EW612" i="2" s="1"/>
  <c r="EC612" i="2"/>
  <c r="EB612" i="2"/>
  <c r="EA612" i="2"/>
  <c r="DZ612" i="2"/>
  <c r="DY612" i="2"/>
  <c r="DX612" i="2"/>
  <c r="DW612" i="2"/>
  <c r="EP612" i="2" s="1"/>
  <c r="DV612" i="2"/>
  <c r="DU612" i="2"/>
  <c r="DT612" i="2"/>
  <c r="EM612" i="2" s="1"/>
  <c r="DS612" i="2"/>
  <c r="EL612" i="2" s="1"/>
  <c r="DR612" i="2"/>
  <c r="DQ612" i="2"/>
  <c r="DP612" i="2"/>
  <c r="FT611" i="2"/>
  <c r="FS611" i="2"/>
  <c r="GL611" i="2" s="1"/>
  <c r="FQ611" i="2"/>
  <c r="GJ611" i="2" s="1"/>
  <c r="FP611" i="2"/>
  <c r="GI611" i="2" s="1"/>
  <c r="FO611" i="2"/>
  <c r="FN611" i="2"/>
  <c r="FM611" i="2"/>
  <c r="FL611" i="2"/>
  <c r="FK611" i="2"/>
  <c r="FJ611" i="2"/>
  <c r="FI611" i="2"/>
  <c r="GB611" i="2" s="1"/>
  <c r="FH611" i="2"/>
  <c r="FG611" i="2"/>
  <c r="FF611" i="2"/>
  <c r="FY611" i="2" s="1"/>
  <c r="FE611" i="2"/>
  <c r="FX611" i="2" s="1"/>
  <c r="FD611" i="2"/>
  <c r="FC611" i="2"/>
  <c r="FB611" i="2"/>
  <c r="EH611" i="2"/>
  <c r="EG611" i="2"/>
  <c r="EZ611" i="2" s="1"/>
  <c r="EE611" i="2"/>
  <c r="EX611" i="2" s="1"/>
  <c r="ED611" i="2"/>
  <c r="EW611" i="2" s="1"/>
  <c r="EC611" i="2"/>
  <c r="EB611" i="2"/>
  <c r="EA611" i="2"/>
  <c r="DZ611" i="2"/>
  <c r="DY611" i="2"/>
  <c r="DX611" i="2"/>
  <c r="DW611" i="2"/>
  <c r="EP611" i="2" s="1"/>
  <c r="DV611" i="2"/>
  <c r="DU611" i="2"/>
  <c r="DT611" i="2"/>
  <c r="EM611" i="2" s="1"/>
  <c r="DS611" i="2"/>
  <c r="EL611" i="2" s="1"/>
  <c r="DR611" i="2"/>
  <c r="DQ611" i="2"/>
  <c r="DP611" i="2"/>
  <c r="FT513" i="2"/>
  <c r="FS513" i="2"/>
  <c r="GL513" i="2" s="1"/>
  <c r="FQ513" i="2"/>
  <c r="GJ513" i="2" s="1"/>
  <c r="FP513" i="2"/>
  <c r="GI513" i="2" s="1"/>
  <c r="FO513" i="2"/>
  <c r="FN513" i="2"/>
  <c r="FM513" i="2"/>
  <c r="FL513" i="2"/>
  <c r="FK513" i="2"/>
  <c r="FI513" i="2"/>
  <c r="GB513" i="2" s="1"/>
  <c r="FH513" i="2"/>
  <c r="FG513" i="2"/>
  <c r="FF513" i="2"/>
  <c r="FY513" i="2" s="1"/>
  <c r="FE513" i="2"/>
  <c r="FX513" i="2" s="1"/>
  <c r="FD513" i="2"/>
  <c r="FC513" i="2"/>
  <c r="FB513" i="2"/>
  <c r="EH513" i="2"/>
  <c r="EG513" i="2"/>
  <c r="EZ513" i="2" s="1"/>
  <c r="EE513" i="2"/>
  <c r="EX513" i="2" s="1"/>
  <c r="ED513" i="2"/>
  <c r="EW513" i="2" s="1"/>
  <c r="EC513" i="2"/>
  <c r="EB513" i="2"/>
  <c r="EA513" i="2"/>
  <c r="DZ513" i="2"/>
  <c r="DY513" i="2"/>
  <c r="DW513" i="2"/>
  <c r="EP513" i="2" s="1"/>
  <c r="DV513" i="2"/>
  <c r="DU513" i="2"/>
  <c r="DT513" i="2"/>
  <c r="EM513" i="2" s="1"/>
  <c r="DS513" i="2"/>
  <c r="EL513" i="2" s="1"/>
  <c r="DR513" i="2"/>
  <c r="DQ513" i="2"/>
  <c r="DP513" i="2"/>
  <c r="FT610" i="2"/>
  <c r="FS610" i="2"/>
  <c r="GL610" i="2" s="1"/>
  <c r="FQ610" i="2"/>
  <c r="GJ610" i="2" s="1"/>
  <c r="FP610" i="2"/>
  <c r="GI610" i="2" s="1"/>
  <c r="FO610" i="2"/>
  <c r="FN610" i="2"/>
  <c r="FM610" i="2"/>
  <c r="FL610" i="2"/>
  <c r="FK610" i="2"/>
  <c r="FJ610" i="2"/>
  <c r="FI610" i="2"/>
  <c r="GB610" i="2" s="1"/>
  <c r="FH610" i="2"/>
  <c r="FG610" i="2"/>
  <c r="FF610" i="2"/>
  <c r="FY610" i="2" s="1"/>
  <c r="FE610" i="2"/>
  <c r="FX610" i="2" s="1"/>
  <c r="FD610" i="2"/>
  <c r="FC610" i="2"/>
  <c r="FB610" i="2"/>
  <c r="EH610" i="2"/>
  <c r="EG610" i="2"/>
  <c r="EZ610" i="2" s="1"/>
  <c r="EE610" i="2"/>
  <c r="EX610" i="2" s="1"/>
  <c r="ED610" i="2"/>
  <c r="EW610" i="2" s="1"/>
  <c r="EC610" i="2"/>
  <c r="EB610" i="2"/>
  <c r="EA610" i="2"/>
  <c r="DZ610" i="2"/>
  <c r="DY610" i="2"/>
  <c r="DX610" i="2"/>
  <c r="DW610" i="2"/>
  <c r="EP610" i="2" s="1"/>
  <c r="DV610" i="2"/>
  <c r="DU610" i="2"/>
  <c r="DT610" i="2"/>
  <c r="EM610" i="2" s="1"/>
  <c r="DS610" i="2"/>
  <c r="EL610" i="2" s="1"/>
  <c r="DR610" i="2"/>
  <c r="DQ610" i="2"/>
  <c r="DP610" i="2"/>
  <c r="FT609" i="2"/>
  <c r="FS609" i="2"/>
  <c r="GL609" i="2" s="1"/>
  <c r="FQ609" i="2"/>
  <c r="GJ609" i="2" s="1"/>
  <c r="FP609" i="2"/>
  <c r="GI609" i="2" s="1"/>
  <c r="FO609" i="2"/>
  <c r="FN609" i="2"/>
  <c r="FM609" i="2"/>
  <c r="FL609" i="2"/>
  <c r="FK609" i="2"/>
  <c r="FJ609" i="2"/>
  <c r="FI609" i="2"/>
  <c r="GB609" i="2" s="1"/>
  <c r="FH609" i="2"/>
  <c r="FG609" i="2"/>
  <c r="FF609" i="2"/>
  <c r="FY609" i="2" s="1"/>
  <c r="FE609" i="2"/>
  <c r="FX609" i="2" s="1"/>
  <c r="FD609" i="2"/>
  <c r="FC609" i="2"/>
  <c r="FB609" i="2"/>
  <c r="EH609" i="2"/>
  <c r="EG609" i="2"/>
  <c r="EZ609" i="2" s="1"/>
  <c r="EE609" i="2"/>
  <c r="EX609" i="2" s="1"/>
  <c r="ED609" i="2"/>
  <c r="EW609" i="2" s="1"/>
  <c r="EC609" i="2"/>
  <c r="EB609" i="2"/>
  <c r="EA609" i="2"/>
  <c r="DZ609" i="2"/>
  <c r="DY609" i="2"/>
  <c r="DX609" i="2"/>
  <c r="DW609" i="2"/>
  <c r="EP609" i="2" s="1"/>
  <c r="DV609" i="2"/>
  <c r="DU609" i="2"/>
  <c r="DT609" i="2"/>
  <c r="EM609" i="2" s="1"/>
  <c r="DS609" i="2"/>
  <c r="EL609" i="2" s="1"/>
  <c r="DR609" i="2"/>
  <c r="DQ609" i="2"/>
  <c r="DP609" i="2"/>
  <c r="FT512" i="2"/>
  <c r="FS512" i="2"/>
  <c r="GL512" i="2" s="1"/>
  <c r="FQ512" i="2"/>
  <c r="GJ512" i="2" s="1"/>
  <c r="FP512" i="2"/>
  <c r="GI512" i="2" s="1"/>
  <c r="FO512" i="2"/>
  <c r="FN512" i="2"/>
  <c r="FM512" i="2"/>
  <c r="FL512" i="2"/>
  <c r="FK512" i="2"/>
  <c r="FJ512" i="2"/>
  <c r="FI512" i="2"/>
  <c r="GB512" i="2" s="1"/>
  <c r="FH512" i="2"/>
  <c r="FG512" i="2"/>
  <c r="FF512" i="2"/>
  <c r="FY512" i="2" s="1"/>
  <c r="FE512" i="2"/>
  <c r="FX512" i="2" s="1"/>
  <c r="FD512" i="2"/>
  <c r="FC512" i="2"/>
  <c r="FB512" i="2"/>
  <c r="EH512" i="2"/>
  <c r="EG512" i="2"/>
  <c r="EZ512" i="2" s="1"/>
  <c r="EE512" i="2"/>
  <c r="EX512" i="2" s="1"/>
  <c r="ED512" i="2"/>
  <c r="EW512" i="2" s="1"/>
  <c r="EC512" i="2"/>
  <c r="EB512" i="2"/>
  <c r="EA512" i="2"/>
  <c r="DZ512" i="2"/>
  <c r="DY512" i="2"/>
  <c r="DX512" i="2"/>
  <c r="DW512" i="2"/>
  <c r="EP512" i="2" s="1"/>
  <c r="DV512" i="2"/>
  <c r="DU512" i="2"/>
  <c r="DT512" i="2"/>
  <c r="EM512" i="2" s="1"/>
  <c r="DS512" i="2"/>
  <c r="EL512" i="2" s="1"/>
  <c r="DR512" i="2"/>
  <c r="DQ512" i="2"/>
  <c r="DP512" i="2"/>
  <c r="FT608" i="2"/>
  <c r="FS608" i="2"/>
  <c r="GL608" i="2" s="1"/>
  <c r="FQ608" i="2"/>
  <c r="GJ608" i="2" s="1"/>
  <c r="FP608" i="2"/>
  <c r="GI608" i="2" s="1"/>
  <c r="FO608" i="2"/>
  <c r="FN608" i="2"/>
  <c r="FM608" i="2"/>
  <c r="FL608" i="2"/>
  <c r="FK608" i="2"/>
  <c r="FJ608" i="2"/>
  <c r="FI608" i="2"/>
  <c r="GB608" i="2" s="1"/>
  <c r="FH608" i="2"/>
  <c r="FG608" i="2"/>
  <c r="FF608" i="2"/>
  <c r="FY608" i="2" s="1"/>
  <c r="FE608" i="2"/>
  <c r="FX608" i="2" s="1"/>
  <c r="FD608" i="2"/>
  <c r="FC608" i="2"/>
  <c r="FB608" i="2"/>
  <c r="EH608" i="2"/>
  <c r="EG608" i="2"/>
  <c r="EZ608" i="2" s="1"/>
  <c r="EE608" i="2"/>
  <c r="EX608" i="2" s="1"/>
  <c r="ED608" i="2"/>
  <c r="EW608" i="2" s="1"/>
  <c r="EC608" i="2"/>
  <c r="EB608" i="2"/>
  <c r="EA608" i="2"/>
  <c r="DZ608" i="2"/>
  <c r="DY608" i="2"/>
  <c r="DX608" i="2"/>
  <c r="DW608" i="2"/>
  <c r="EP608" i="2" s="1"/>
  <c r="DV608" i="2"/>
  <c r="DU608" i="2"/>
  <c r="DT608" i="2"/>
  <c r="EM608" i="2" s="1"/>
  <c r="DS608" i="2"/>
  <c r="EL608" i="2" s="1"/>
  <c r="DR608" i="2"/>
  <c r="DQ608" i="2"/>
  <c r="DP608" i="2"/>
  <c r="FT607" i="2"/>
  <c r="FS607" i="2"/>
  <c r="GL607" i="2" s="1"/>
  <c r="FQ607" i="2"/>
  <c r="GJ607" i="2" s="1"/>
  <c r="FP607" i="2"/>
  <c r="GI607" i="2" s="1"/>
  <c r="FO607" i="2"/>
  <c r="FN607" i="2"/>
  <c r="FM607" i="2"/>
  <c r="FL607" i="2"/>
  <c r="FK607" i="2"/>
  <c r="FJ607" i="2"/>
  <c r="FI607" i="2"/>
  <c r="GB607" i="2" s="1"/>
  <c r="FH607" i="2"/>
  <c r="FG607" i="2"/>
  <c r="FF607" i="2"/>
  <c r="FY607" i="2" s="1"/>
  <c r="FE607" i="2"/>
  <c r="FX607" i="2" s="1"/>
  <c r="FD607" i="2"/>
  <c r="FC607" i="2"/>
  <c r="FB607" i="2"/>
  <c r="EH607" i="2"/>
  <c r="EG607" i="2"/>
  <c r="EZ607" i="2" s="1"/>
  <c r="EE607" i="2"/>
  <c r="EX607" i="2" s="1"/>
  <c r="ED607" i="2"/>
  <c r="EW607" i="2" s="1"/>
  <c r="EC607" i="2"/>
  <c r="EB607" i="2"/>
  <c r="EA607" i="2"/>
  <c r="DZ607" i="2"/>
  <c r="DY607" i="2"/>
  <c r="DX607" i="2"/>
  <c r="DW607" i="2"/>
  <c r="EP607" i="2" s="1"/>
  <c r="DV607" i="2"/>
  <c r="DU607" i="2"/>
  <c r="DT607" i="2"/>
  <c r="EM607" i="2" s="1"/>
  <c r="DS607" i="2"/>
  <c r="EL607" i="2" s="1"/>
  <c r="DR607" i="2"/>
  <c r="DQ607" i="2"/>
  <c r="DP607" i="2"/>
  <c r="FT552" i="2"/>
  <c r="FS552" i="2"/>
  <c r="GL552" i="2" s="1"/>
  <c r="FQ552" i="2"/>
  <c r="GJ552" i="2" s="1"/>
  <c r="FP552" i="2"/>
  <c r="GI552" i="2" s="1"/>
  <c r="FO552" i="2"/>
  <c r="FN552" i="2"/>
  <c r="FM552" i="2"/>
  <c r="FL552" i="2"/>
  <c r="FK552" i="2"/>
  <c r="FJ552" i="2"/>
  <c r="FI552" i="2"/>
  <c r="GB552" i="2" s="1"/>
  <c r="FH552" i="2"/>
  <c r="FG552" i="2"/>
  <c r="FF552" i="2"/>
  <c r="FY552" i="2" s="1"/>
  <c r="FE552" i="2"/>
  <c r="FX552" i="2" s="1"/>
  <c r="FD552" i="2"/>
  <c r="FC552" i="2"/>
  <c r="FB552" i="2"/>
  <c r="EH552" i="2"/>
  <c r="EG552" i="2"/>
  <c r="EZ552" i="2" s="1"/>
  <c r="EE552" i="2"/>
  <c r="EX552" i="2" s="1"/>
  <c r="ED552" i="2"/>
  <c r="EW552" i="2" s="1"/>
  <c r="EC552" i="2"/>
  <c r="EB552" i="2"/>
  <c r="EA552" i="2"/>
  <c r="DZ552" i="2"/>
  <c r="DY552" i="2"/>
  <c r="DX552" i="2"/>
  <c r="DW552" i="2"/>
  <c r="EP552" i="2" s="1"/>
  <c r="DV552" i="2"/>
  <c r="DU552" i="2"/>
  <c r="DT552" i="2"/>
  <c r="EM552" i="2" s="1"/>
  <c r="DS552" i="2"/>
  <c r="EL552" i="2" s="1"/>
  <c r="DR552" i="2"/>
  <c r="DQ552" i="2"/>
  <c r="DP552" i="2"/>
  <c r="FT511" i="2"/>
  <c r="FS511" i="2"/>
  <c r="GL511" i="2" s="1"/>
  <c r="FQ511" i="2"/>
  <c r="GJ511" i="2" s="1"/>
  <c r="FP511" i="2"/>
  <c r="GI511" i="2" s="1"/>
  <c r="FO511" i="2"/>
  <c r="FN511" i="2"/>
  <c r="FM511" i="2"/>
  <c r="FL511" i="2"/>
  <c r="FK511" i="2"/>
  <c r="FJ511" i="2"/>
  <c r="FI511" i="2"/>
  <c r="GB511" i="2" s="1"/>
  <c r="FH511" i="2"/>
  <c r="FG511" i="2"/>
  <c r="FF511" i="2"/>
  <c r="FY511" i="2" s="1"/>
  <c r="FE511" i="2"/>
  <c r="FX511" i="2" s="1"/>
  <c r="FD511" i="2"/>
  <c r="FC511" i="2"/>
  <c r="FB511" i="2"/>
  <c r="EH511" i="2"/>
  <c r="EG511" i="2"/>
  <c r="EZ511" i="2" s="1"/>
  <c r="EE511" i="2"/>
  <c r="EX511" i="2" s="1"/>
  <c r="ED511" i="2"/>
  <c r="EW511" i="2" s="1"/>
  <c r="EC511" i="2"/>
  <c r="EB511" i="2"/>
  <c r="EA511" i="2"/>
  <c r="DZ511" i="2"/>
  <c r="DY511" i="2"/>
  <c r="DX511" i="2"/>
  <c r="DW511" i="2"/>
  <c r="EP511" i="2" s="1"/>
  <c r="DV511" i="2"/>
  <c r="DU511" i="2"/>
  <c r="DT511" i="2"/>
  <c r="EM511" i="2" s="1"/>
  <c r="DS511" i="2"/>
  <c r="EL511" i="2" s="1"/>
  <c r="DR511" i="2"/>
  <c r="DQ511" i="2"/>
  <c r="DP511" i="2"/>
  <c r="FT510" i="2"/>
  <c r="FS510" i="2"/>
  <c r="GL510" i="2" s="1"/>
  <c r="FQ510" i="2"/>
  <c r="GJ510" i="2" s="1"/>
  <c r="FP510" i="2"/>
  <c r="GI510" i="2" s="1"/>
  <c r="FO510" i="2"/>
  <c r="FN510" i="2"/>
  <c r="FM510" i="2"/>
  <c r="FL510" i="2"/>
  <c r="FK510" i="2"/>
  <c r="FJ510" i="2"/>
  <c r="FI510" i="2"/>
  <c r="GB510" i="2" s="1"/>
  <c r="FH510" i="2"/>
  <c r="FG510" i="2"/>
  <c r="FF510" i="2"/>
  <c r="FY510" i="2" s="1"/>
  <c r="FE510" i="2"/>
  <c r="FX510" i="2" s="1"/>
  <c r="FD510" i="2"/>
  <c r="FC510" i="2"/>
  <c r="FB510" i="2"/>
  <c r="EH510" i="2"/>
  <c r="EG510" i="2"/>
  <c r="EZ510" i="2" s="1"/>
  <c r="EE510" i="2"/>
  <c r="EX510" i="2" s="1"/>
  <c r="ED510" i="2"/>
  <c r="EW510" i="2" s="1"/>
  <c r="EC510" i="2"/>
  <c r="EB510" i="2"/>
  <c r="EA510" i="2"/>
  <c r="DZ510" i="2"/>
  <c r="DY510" i="2"/>
  <c r="DX510" i="2"/>
  <c r="DW510" i="2"/>
  <c r="EP510" i="2" s="1"/>
  <c r="DV510" i="2"/>
  <c r="DU510" i="2"/>
  <c r="DT510" i="2"/>
  <c r="EM510" i="2" s="1"/>
  <c r="DS510" i="2"/>
  <c r="EL510" i="2" s="1"/>
  <c r="DR510" i="2"/>
  <c r="DQ510" i="2"/>
  <c r="DP510" i="2"/>
  <c r="FT509" i="2"/>
  <c r="FS509" i="2"/>
  <c r="GL509" i="2" s="1"/>
  <c r="FQ509" i="2"/>
  <c r="GJ509" i="2" s="1"/>
  <c r="FP509" i="2"/>
  <c r="GI509" i="2" s="1"/>
  <c r="FO509" i="2"/>
  <c r="FN509" i="2"/>
  <c r="FM509" i="2"/>
  <c r="FL509" i="2"/>
  <c r="FK509" i="2"/>
  <c r="FJ509" i="2"/>
  <c r="FI509" i="2"/>
  <c r="GB509" i="2" s="1"/>
  <c r="FH509" i="2"/>
  <c r="FG509" i="2"/>
  <c r="FF509" i="2"/>
  <c r="FY509" i="2" s="1"/>
  <c r="FE509" i="2"/>
  <c r="FX509" i="2" s="1"/>
  <c r="FD509" i="2"/>
  <c r="FC509" i="2"/>
  <c r="FB509" i="2"/>
  <c r="EH509" i="2"/>
  <c r="EG509" i="2"/>
  <c r="EZ509" i="2" s="1"/>
  <c r="EE509" i="2"/>
  <c r="EX509" i="2" s="1"/>
  <c r="ED509" i="2"/>
  <c r="EW509" i="2" s="1"/>
  <c r="EC509" i="2"/>
  <c r="EB509" i="2"/>
  <c r="EA509" i="2"/>
  <c r="DZ509" i="2"/>
  <c r="DY509" i="2"/>
  <c r="DX509" i="2"/>
  <c r="DW509" i="2"/>
  <c r="EP509" i="2" s="1"/>
  <c r="DV509" i="2"/>
  <c r="DU509" i="2"/>
  <c r="DT509" i="2"/>
  <c r="EM509" i="2" s="1"/>
  <c r="DS509" i="2"/>
  <c r="EL509" i="2" s="1"/>
  <c r="DR509" i="2"/>
  <c r="DQ509" i="2"/>
  <c r="DP509" i="2"/>
  <c r="FT606" i="2"/>
  <c r="FS606" i="2"/>
  <c r="GL606" i="2" s="1"/>
  <c r="FQ606" i="2"/>
  <c r="GJ606" i="2" s="1"/>
  <c r="FP606" i="2"/>
  <c r="GI606" i="2" s="1"/>
  <c r="FO606" i="2"/>
  <c r="FN606" i="2"/>
  <c r="FM606" i="2"/>
  <c r="FL606" i="2"/>
  <c r="FK606" i="2"/>
  <c r="FJ606" i="2"/>
  <c r="FI606" i="2"/>
  <c r="GB606" i="2" s="1"/>
  <c r="FH606" i="2"/>
  <c r="FG606" i="2"/>
  <c r="FF606" i="2"/>
  <c r="FY606" i="2" s="1"/>
  <c r="FE606" i="2"/>
  <c r="FX606" i="2" s="1"/>
  <c r="FD606" i="2"/>
  <c r="FC606" i="2"/>
  <c r="FB606" i="2"/>
  <c r="EH606" i="2"/>
  <c r="EG606" i="2"/>
  <c r="EZ606" i="2" s="1"/>
  <c r="EE606" i="2"/>
  <c r="EX606" i="2" s="1"/>
  <c r="ED606" i="2"/>
  <c r="EW606" i="2" s="1"/>
  <c r="EC606" i="2"/>
  <c r="EB606" i="2"/>
  <c r="EA606" i="2"/>
  <c r="DZ606" i="2"/>
  <c r="DY606" i="2"/>
  <c r="DX606" i="2"/>
  <c r="DW606" i="2"/>
  <c r="EP606" i="2" s="1"/>
  <c r="DV606" i="2"/>
  <c r="DU606" i="2"/>
  <c r="DT606" i="2"/>
  <c r="EM606" i="2" s="1"/>
  <c r="DS606" i="2"/>
  <c r="EL606" i="2" s="1"/>
  <c r="DR606" i="2"/>
  <c r="DQ606" i="2"/>
  <c r="DP606" i="2"/>
  <c r="FT484" i="2"/>
  <c r="FS484" i="2"/>
  <c r="GL484" i="2" s="1"/>
  <c r="FQ484" i="2"/>
  <c r="GJ484" i="2" s="1"/>
  <c r="FP484" i="2"/>
  <c r="GI484" i="2" s="1"/>
  <c r="FO484" i="2"/>
  <c r="FN484" i="2"/>
  <c r="FM484" i="2"/>
  <c r="FL484" i="2"/>
  <c r="FK484" i="2"/>
  <c r="FJ484" i="2"/>
  <c r="FI484" i="2"/>
  <c r="GB484" i="2" s="1"/>
  <c r="FH484" i="2"/>
  <c r="FG484" i="2"/>
  <c r="FF484" i="2"/>
  <c r="FY484" i="2" s="1"/>
  <c r="FE484" i="2"/>
  <c r="FX484" i="2" s="1"/>
  <c r="FD484" i="2"/>
  <c r="FC484" i="2"/>
  <c r="FB484" i="2"/>
  <c r="EH484" i="2"/>
  <c r="EG484" i="2"/>
  <c r="EZ484" i="2" s="1"/>
  <c r="EE484" i="2"/>
  <c r="EX484" i="2" s="1"/>
  <c r="ED484" i="2"/>
  <c r="EW484" i="2" s="1"/>
  <c r="EC484" i="2"/>
  <c r="EB484" i="2"/>
  <c r="EA484" i="2"/>
  <c r="DX484" i="2"/>
  <c r="DW484" i="2"/>
  <c r="EP484" i="2" s="1"/>
  <c r="DV484" i="2"/>
  <c r="DU484" i="2"/>
  <c r="DT484" i="2"/>
  <c r="EM484" i="2" s="1"/>
  <c r="DS484" i="2"/>
  <c r="EL484" i="2" s="1"/>
  <c r="DR484" i="2"/>
  <c r="DQ484" i="2"/>
  <c r="DP484" i="2"/>
  <c r="FT483" i="2"/>
  <c r="FS483" i="2"/>
  <c r="GL483" i="2" s="1"/>
  <c r="FQ483" i="2"/>
  <c r="GJ483" i="2" s="1"/>
  <c r="FP483" i="2"/>
  <c r="GI483" i="2" s="1"/>
  <c r="FO483" i="2"/>
  <c r="FN483" i="2"/>
  <c r="FM483" i="2"/>
  <c r="FL483" i="2"/>
  <c r="FK483" i="2"/>
  <c r="FI483" i="2"/>
  <c r="GB483" i="2" s="1"/>
  <c r="FH483" i="2"/>
  <c r="FG483" i="2"/>
  <c r="FF483" i="2"/>
  <c r="FY483" i="2" s="1"/>
  <c r="FE483" i="2"/>
  <c r="FX483" i="2" s="1"/>
  <c r="FD483" i="2"/>
  <c r="FC483" i="2"/>
  <c r="FB483" i="2"/>
  <c r="EH483" i="2"/>
  <c r="EG483" i="2"/>
  <c r="EZ483" i="2" s="1"/>
  <c r="EE483" i="2"/>
  <c r="EX483" i="2" s="1"/>
  <c r="ED483" i="2"/>
  <c r="EW483" i="2" s="1"/>
  <c r="EC483" i="2"/>
  <c r="EB483" i="2"/>
  <c r="EA483" i="2"/>
  <c r="DZ483" i="2"/>
  <c r="DY483" i="2"/>
  <c r="DW483" i="2"/>
  <c r="EP483" i="2" s="1"/>
  <c r="DV483" i="2"/>
  <c r="DU483" i="2"/>
  <c r="DT483" i="2"/>
  <c r="EM483" i="2" s="1"/>
  <c r="DS483" i="2"/>
  <c r="EL483" i="2" s="1"/>
  <c r="DR483" i="2"/>
  <c r="DQ483" i="2"/>
  <c r="DP483" i="2"/>
  <c r="FT501" i="2"/>
  <c r="FS501" i="2"/>
  <c r="GL501" i="2" s="1"/>
  <c r="FQ501" i="2"/>
  <c r="GJ501" i="2" s="1"/>
  <c r="FP501" i="2"/>
  <c r="GI501" i="2" s="1"/>
  <c r="FO501" i="2"/>
  <c r="FN501" i="2"/>
  <c r="FM501" i="2"/>
  <c r="FL501" i="2"/>
  <c r="FK501" i="2"/>
  <c r="FJ501" i="2"/>
  <c r="FI501" i="2"/>
  <c r="GB501" i="2" s="1"/>
  <c r="FH501" i="2"/>
  <c r="FG501" i="2"/>
  <c r="FF501" i="2"/>
  <c r="FY501" i="2" s="1"/>
  <c r="FE501" i="2"/>
  <c r="FX501" i="2" s="1"/>
  <c r="FD501" i="2"/>
  <c r="FC501" i="2"/>
  <c r="FB501" i="2"/>
  <c r="EH501" i="2"/>
  <c r="EG501" i="2"/>
  <c r="EZ501" i="2" s="1"/>
  <c r="EE501" i="2"/>
  <c r="EX501" i="2" s="1"/>
  <c r="ED501" i="2"/>
  <c r="EW501" i="2" s="1"/>
  <c r="EC501" i="2"/>
  <c r="EB501" i="2"/>
  <c r="EA501" i="2"/>
  <c r="DZ501" i="2"/>
  <c r="DY501" i="2"/>
  <c r="DX501" i="2"/>
  <c r="DW501" i="2"/>
  <c r="EP501" i="2" s="1"/>
  <c r="DV501" i="2"/>
  <c r="DU501" i="2"/>
  <c r="DT501" i="2"/>
  <c r="EM501" i="2" s="1"/>
  <c r="DS501" i="2"/>
  <c r="EL501" i="2" s="1"/>
  <c r="DR501" i="2"/>
  <c r="DQ501" i="2"/>
  <c r="DP501" i="2"/>
  <c r="FT482" i="2"/>
  <c r="FS482" i="2"/>
  <c r="GL482" i="2" s="1"/>
  <c r="FQ482" i="2"/>
  <c r="GJ482" i="2" s="1"/>
  <c r="FP482" i="2"/>
  <c r="GI482" i="2" s="1"/>
  <c r="FO482" i="2"/>
  <c r="FN482" i="2"/>
  <c r="FM482" i="2"/>
  <c r="FL482" i="2"/>
  <c r="FK482" i="2"/>
  <c r="FJ482" i="2"/>
  <c r="FI482" i="2"/>
  <c r="GB482" i="2" s="1"/>
  <c r="FH482" i="2"/>
  <c r="FG482" i="2"/>
  <c r="FF482" i="2"/>
  <c r="FY482" i="2" s="1"/>
  <c r="FE482" i="2"/>
  <c r="FX482" i="2" s="1"/>
  <c r="FD482" i="2"/>
  <c r="FC482" i="2"/>
  <c r="FB482" i="2"/>
  <c r="EH482" i="2"/>
  <c r="EG482" i="2"/>
  <c r="EZ482" i="2" s="1"/>
  <c r="EE482" i="2"/>
  <c r="EX482" i="2" s="1"/>
  <c r="ED482" i="2"/>
  <c r="EW482" i="2" s="1"/>
  <c r="EC482" i="2"/>
  <c r="EB482" i="2"/>
  <c r="EA482" i="2"/>
  <c r="DZ482" i="2"/>
  <c r="DY482" i="2"/>
  <c r="DX482" i="2"/>
  <c r="DW482" i="2"/>
  <c r="EP482" i="2" s="1"/>
  <c r="DV482" i="2"/>
  <c r="DU482" i="2"/>
  <c r="DT482" i="2"/>
  <c r="EM482" i="2" s="1"/>
  <c r="DS482" i="2"/>
  <c r="EL482" i="2" s="1"/>
  <c r="DR482" i="2"/>
  <c r="DQ482" i="2"/>
  <c r="DP482" i="2"/>
  <c r="FT465" i="2"/>
  <c r="FS465" i="2"/>
  <c r="GL465" i="2" s="1"/>
  <c r="FQ465" i="2"/>
  <c r="GJ465" i="2" s="1"/>
  <c r="FP465" i="2"/>
  <c r="GI465" i="2" s="1"/>
  <c r="FO465" i="2"/>
  <c r="FN465" i="2"/>
  <c r="FM465" i="2"/>
  <c r="FJ465" i="2"/>
  <c r="FI465" i="2"/>
  <c r="GB465" i="2" s="1"/>
  <c r="FH465" i="2"/>
  <c r="FG465" i="2"/>
  <c r="FF465" i="2"/>
  <c r="FY465" i="2" s="1"/>
  <c r="FE465" i="2"/>
  <c r="FX465" i="2" s="1"/>
  <c r="FD465" i="2"/>
  <c r="FC465" i="2"/>
  <c r="FB465" i="2"/>
  <c r="EH465" i="2"/>
  <c r="EG465" i="2"/>
  <c r="EZ465" i="2" s="1"/>
  <c r="EE465" i="2"/>
  <c r="EX465" i="2" s="1"/>
  <c r="ED465" i="2"/>
  <c r="EW465" i="2" s="1"/>
  <c r="EC465" i="2"/>
  <c r="EB465" i="2"/>
  <c r="EA465" i="2"/>
  <c r="DX465" i="2"/>
  <c r="DW465" i="2"/>
  <c r="EP465" i="2" s="1"/>
  <c r="DV465" i="2"/>
  <c r="DU465" i="2"/>
  <c r="DT465" i="2"/>
  <c r="EM465" i="2" s="1"/>
  <c r="DS465" i="2"/>
  <c r="EL465" i="2" s="1"/>
  <c r="DR465" i="2"/>
  <c r="DQ465" i="2"/>
  <c r="DP465" i="2"/>
  <c r="FT464" i="2"/>
  <c r="FS464" i="2"/>
  <c r="GL464" i="2" s="1"/>
  <c r="FQ464" i="2"/>
  <c r="GJ464" i="2" s="1"/>
  <c r="FP464" i="2"/>
  <c r="GI464" i="2" s="1"/>
  <c r="FO464" i="2"/>
  <c r="FN464" i="2"/>
  <c r="FM464" i="2"/>
  <c r="FJ464" i="2"/>
  <c r="FI464" i="2"/>
  <c r="GB464" i="2" s="1"/>
  <c r="FH464" i="2"/>
  <c r="FG464" i="2"/>
  <c r="FF464" i="2"/>
  <c r="FY464" i="2" s="1"/>
  <c r="FE464" i="2"/>
  <c r="FX464" i="2" s="1"/>
  <c r="FD464" i="2"/>
  <c r="FC464" i="2"/>
  <c r="FB464" i="2"/>
  <c r="EH464" i="2"/>
  <c r="EG464" i="2"/>
  <c r="EZ464" i="2" s="1"/>
  <c r="EE464" i="2"/>
  <c r="EX464" i="2" s="1"/>
  <c r="ED464" i="2"/>
  <c r="EW464" i="2" s="1"/>
  <c r="EC464" i="2"/>
  <c r="EB464" i="2"/>
  <c r="EA464" i="2"/>
  <c r="DX464" i="2"/>
  <c r="DW464" i="2"/>
  <c r="EP464" i="2" s="1"/>
  <c r="DV464" i="2"/>
  <c r="DU464" i="2"/>
  <c r="DT464" i="2"/>
  <c r="EM464" i="2" s="1"/>
  <c r="DS464" i="2"/>
  <c r="EL464" i="2" s="1"/>
  <c r="DR464" i="2"/>
  <c r="DQ464" i="2"/>
  <c r="DP464" i="2"/>
  <c r="FT387" i="2"/>
  <c r="FS387" i="2"/>
  <c r="GL387" i="2" s="1"/>
  <c r="FQ387" i="2"/>
  <c r="GJ387" i="2" s="1"/>
  <c r="FP387" i="2"/>
  <c r="GI387" i="2" s="1"/>
  <c r="FO387" i="2"/>
  <c r="FN387" i="2"/>
  <c r="FM387" i="2"/>
  <c r="FL387" i="2"/>
  <c r="FK387" i="2"/>
  <c r="FJ387" i="2"/>
  <c r="FI387" i="2"/>
  <c r="GB387" i="2" s="1"/>
  <c r="FH387" i="2"/>
  <c r="FG387" i="2"/>
  <c r="FF387" i="2"/>
  <c r="FY387" i="2" s="1"/>
  <c r="FE387" i="2"/>
  <c r="FX387" i="2" s="1"/>
  <c r="FD387" i="2"/>
  <c r="FC387" i="2"/>
  <c r="FB387" i="2"/>
  <c r="EH387" i="2"/>
  <c r="EG387" i="2"/>
  <c r="EZ387" i="2" s="1"/>
  <c r="EE387" i="2"/>
  <c r="EX387" i="2" s="1"/>
  <c r="ED387" i="2"/>
  <c r="EW387" i="2" s="1"/>
  <c r="EC387" i="2"/>
  <c r="EB387" i="2"/>
  <c r="EA387" i="2"/>
  <c r="DZ387" i="2"/>
  <c r="DY387" i="2"/>
  <c r="DX387" i="2"/>
  <c r="DW387" i="2"/>
  <c r="EP387" i="2" s="1"/>
  <c r="DV387" i="2"/>
  <c r="DU387" i="2"/>
  <c r="DT387" i="2"/>
  <c r="EM387" i="2" s="1"/>
  <c r="DS387" i="2"/>
  <c r="EL387" i="2" s="1"/>
  <c r="DR387" i="2"/>
  <c r="DQ387" i="2"/>
  <c r="DP387" i="2"/>
  <c r="FT481" i="2"/>
  <c r="FS481" i="2"/>
  <c r="GL481" i="2" s="1"/>
  <c r="FQ481" i="2"/>
  <c r="GJ481" i="2" s="1"/>
  <c r="FP481" i="2"/>
  <c r="GI481" i="2" s="1"/>
  <c r="FO481" i="2"/>
  <c r="FN481" i="2"/>
  <c r="FM481" i="2"/>
  <c r="FL481" i="2"/>
  <c r="FK481" i="2"/>
  <c r="FJ481" i="2"/>
  <c r="FI481" i="2"/>
  <c r="GB481" i="2" s="1"/>
  <c r="FH481" i="2"/>
  <c r="FG481" i="2"/>
  <c r="FF481" i="2"/>
  <c r="FY481" i="2" s="1"/>
  <c r="FE481" i="2"/>
  <c r="FX481" i="2" s="1"/>
  <c r="FD481" i="2"/>
  <c r="FC481" i="2"/>
  <c r="FB481" i="2"/>
  <c r="EH481" i="2"/>
  <c r="EG481" i="2"/>
  <c r="EZ481" i="2" s="1"/>
  <c r="EE481" i="2"/>
  <c r="EX481" i="2" s="1"/>
  <c r="ED481" i="2"/>
  <c r="EW481" i="2" s="1"/>
  <c r="EC481" i="2"/>
  <c r="EB481" i="2"/>
  <c r="EA481" i="2"/>
  <c r="DZ481" i="2"/>
  <c r="DY481" i="2"/>
  <c r="DX481" i="2"/>
  <c r="DW481" i="2"/>
  <c r="EP481" i="2" s="1"/>
  <c r="DV481" i="2"/>
  <c r="DU481" i="2"/>
  <c r="DT481" i="2"/>
  <c r="EM481" i="2" s="1"/>
  <c r="DS481" i="2"/>
  <c r="EL481" i="2" s="1"/>
  <c r="DR481" i="2"/>
  <c r="DQ481" i="2"/>
  <c r="DP481" i="2"/>
  <c r="FT480" i="2"/>
  <c r="FS480" i="2"/>
  <c r="GL480" i="2" s="1"/>
  <c r="FQ480" i="2"/>
  <c r="GJ480" i="2" s="1"/>
  <c r="FP480" i="2"/>
  <c r="GI480" i="2" s="1"/>
  <c r="FO480" i="2"/>
  <c r="FN480" i="2"/>
  <c r="FM480" i="2"/>
  <c r="FL480" i="2"/>
  <c r="FK480" i="2"/>
  <c r="FJ480" i="2"/>
  <c r="FI480" i="2"/>
  <c r="GB480" i="2" s="1"/>
  <c r="FH480" i="2"/>
  <c r="FG480" i="2"/>
  <c r="FF480" i="2"/>
  <c r="FY480" i="2" s="1"/>
  <c r="FE480" i="2"/>
  <c r="FX480" i="2" s="1"/>
  <c r="FD480" i="2"/>
  <c r="FC480" i="2"/>
  <c r="FB480" i="2"/>
  <c r="EH480" i="2"/>
  <c r="EG480" i="2"/>
  <c r="EZ480" i="2" s="1"/>
  <c r="EE480" i="2"/>
  <c r="EX480" i="2" s="1"/>
  <c r="ED480" i="2"/>
  <c r="EW480" i="2" s="1"/>
  <c r="EC480" i="2"/>
  <c r="EB480" i="2"/>
  <c r="EA480" i="2"/>
  <c r="DZ480" i="2"/>
  <c r="DY480" i="2"/>
  <c r="DX480" i="2"/>
  <c r="DW480" i="2"/>
  <c r="EP480" i="2" s="1"/>
  <c r="DV480" i="2"/>
  <c r="DU480" i="2"/>
  <c r="DT480" i="2"/>
  <c r="EM480" i="2" s="1"/>
  <c r="DS480" i="2"/>
  <c r="EL480" i="2" s="1"/>
  <c r="DR480" i="2"/>
  <c r="DQ480" i="2"/>
  <c r="DP480" i="2"/>
  <c r="FT479" i="2"/>
  <c r="FS479" i="2"/>
  <c r="GL479" i="2" s="1"/>
  <c r="FQ479" i="2"/>
  <c r="GJ479" i="2" s="1"/>
  <c r="FP479" i="2"/>
  <c r="GI479" i="2" s="1"/>
  <c r="FO479" i="2"/>
  <c r="FN479" i="2"/>
  <c r="FM479" i="2"/>
  <c r="FL479" i="2"/>
  <c r="FK479" i="2"/>
  <c r="FJ479" i="2"/>
  <c r="FI479" i="2"/>
  <c r="GB479" i="2" s="1"/>
  <c r="FH479" i="2"/>
  <c r="FG479" i="2"/>
  <c r="FF479" i="2"/>
  <c r="FY479" i="2" s="1"/>
  <c r="FE479" i="2"/>
  <c r="FX479" i="2" s="1"/>
  <c r="FD479" i="2"/>
  <c r="FC479" i="2"/>
  <c r="FB479" i="2"/>
  <c r="EH479" i="2"/>
  <c r="EG479" i="2"/>
  <c r="EZ479" i="2" s="1"/>
  <c r="EE479" i="2"/>
  <c r="EX479" i="2" s="1"/>
  <c r="ED479" i="2"/>
  <c r="EW479" i="2" s="1"/>
  <c r="EC479" i="2"/>
  <c r="EB479" i="2"/>
  <c r="EA479" i="2"/>
  <c r="DZ479" i="2"/>
  <c r="DY479" i="2"/>
  <c r="DX479" i="2"/>
  <c r="DW479" i="2"/>
  <c r="EP479" i="2" s="1"/>
  <c r="DV479" i="2"/>
  <c r="DU479" i="2"/>
  <c r="DT479" i="2"/>
  <c r="EM479" i="2" s="1"/>
  <c r="DS479" i="2"/>
  <c r="EL479" i="2" s="1"/>
  <c r="DR479" i="2"/>
  <c r="DQ479" i="2"/>
  <c r="DP479" i="2"/>
  <c r="FT478" i="2"/>
  <c r="FS478" i="2"/>
  <c r="GL478" i="2" s="1"/>
  <c r="FQ478" i="2"/>
  <c r="GJ478" i="2" s="1"/>
  <c r="FP478" i="2"/>
  <c r="GI478" i="2" s="1"/>
  <c r="FO478" i="2"/>
  <c r="FN478" i="2"/>
  <c r="FM478" i="2"/>
  <c r="FL478" i="2"/>
  <c r="FK478" i="2"/>
  <c r="FJ478" i="2"/>
  <c r="FI478" i="2"/>
  <c r="GB478" i="2" s="1"/>
  <c r="FH478" i="2"/>
  <c r="FG478" i="2"/>
  <c r="FF478" i="2"/>
  <c r="FY478" i="2" s="1"/>
  <c r="FE478" i="2"/>
  <c r="FX478" i="2" s="1"/>
  <c r="FD478" i="2"/>
  <c r="FC478" i="2"/>
  <c r="FB478" i="2"/>
  <c r="EH478" i="2"/>
  <c r="EG478" i="2"/>
  <c r="EZ478" i="2" s="1"/>
  <c r="EE478" i="2"/>
  <c r="EX478" i="2" s="1"/>
  <c r="ED478" i="2"/>
  <c r="EW478" i="2" s="1"/>
  <c r="EC478" i="2"/>
  <c r="EB478" i="2"/>
  <c r="EA478" i="2"/>
  <c r="DZ478" i="2"/>
  <c r="DY478" i="2"/>
  <c r="DX478" i="2"/>
  <c r="DW478" i="2"/>
  <c r="EP478" i="2" s="1"/>
  <c r="DV478" i="2"/>
  <c r="DU478" i="2"/>
  <c r="DT478" i="2"/>
  <c r="EM478" i="2" s="1"/>
  <c r="DS478" i="2"/>
  <c r="EL478" i="2" s="1"/>
  <c r="DR478" i="2"/>
  <c r="DQ478" i="2"/>
  <c r="DP478" i="2"/>
  <c r="FT469" i="2"/>
  <c r="FS469" i="2"/>
  <c r="GL469" i="2" s="1"/>
  <c r="FQ469" i="2"/>
  <c r="GJ469" i="2" s="1"/>
  <c r="FP469" i="2"/>
  <c r="GI469" i="2" s="1"/>
  <c r="FO469" i="2"/>
  <c r="FN469" i="2"/>
  <c r="FM469" i="2"/>
  <c r="FL469" i="2"/>
  <c r="FK469" i="2"/>
  <c r="FJ469" i="2"/>
  <c r="FI469" i="2"/>
  <c r="GB469" i="2" s="1"/>
  <c r="FH469" i="2"/>
  <c r="FG469" i="2"/>
  <c r="FF469" i="2"/>
  <c r="FY469" i="2" s="1"/>
  <c r="FE469" i="2"/>
  <c r="FX469" i="2" s="1"/>
  <c r="FD469" i="2"/>
  <c r="FC469" i="2"/>
  <c r="FB469" i="2"/>
  <c r="EH469" i="2"/>
  <c r="EG469" i="2"/>
  <c r="EZ469" i="2" s="1"/>
  <c r="EE469" i="2"/>
  <c r="EX469" i="2" s="1"/>
  <c r="ED469" i="2"/>
  <c r="EW469" i="2" s="1"/>
  <c r="EC469" i="2"/>
  <c r="EB469" i="2"/>
  <c r="EA469" i="2"/>
  <c r="DZ469" i="2"/>
  <c r="DY469" i="2"/>
  <c r="DX469" i="2"/>
  <c r="DW469" i="2"/>
  <c r="EP469" i="2" s="1"/>
  <c r="DV469" i="2"/>
  <c r="DU469" i="2"/>
  <c r="DT469" i="2"/>
  <c r="EM469" i="2" s="1"/>
  <c r="DS469" i="2"/>
  <c r="EL469" i="2" s="1"/>
  <c r="DR469" i="2"/>
  <c r="DQ469" i="2"/>
  <c r="DP469" i="2"/>
  <c r="FT477" i="2"/>
  <c r="FS477" i="2"/>
  <c r="GL477" i="2" s="1"/>
  <c r="FQ477" i="2"/>
  <c r="GJ477" i="2" s="1"/>
  <c r="FP477" i="2"/>
  <c r="GI477" i="2" s="1"/>
  <c r="FO477" i="2"/>
  <c r="FN477" i="2"/>
  <c r="FM477" i="2"/>
  <c r="FL477" i="2"/>
  <c r="FK477" i="2"/>
  <c r="FJ477" i="2"/>
  <c r="FI477" i="2"/>
  <c r="GB477" i="2" s="1"/>
  <c r="FH477" i="2"/>
  <c r="FG477" i="2"/>
  <c r="FF477" i="2"/>
  <c r="FY477" i="2" s="1"/>
  <c r="FE477" i="2"/>
  <c r="FX477" i="2" s="1"/>
  <c r="FD477" i="2"/>
  <c r="FC477" i="2"/>
  <c r="FB477" i="2"/>
  <c r="EH477" i="2"/>
  <c r="EG477" i="2"/>
  <c r="EZ477" i="2" s="1"/>
  <c r="EE477" i="2"/>
  <c r="EX477" i="2" s="1"/>
  <c r="ED477" i="2"/>
  <c r="EW477" i="2" s="1"/>
  <c r="EC477" i="2"/>
  <c r="EB477" i="2"/>
  <c r="EA477" i="2"/>
  <c r="DZ477" i="2"/>
  <c r="DY477" i="2"/>
  <c r="DX477" i="2"/>
  <c r="DW477" i="2"/>
  <c r="EP477" i="2" s="1"/>
  <c r="DV477" i="2"/>
  <c r="DU477" i="2"/>
  <c r="DT477" i="2"/>
  <c r="EM477" i="2" s="1"/>
  <c r="DS477" i="2"/>
  <c r="EL477" i="2" s="1"/>
  <c r="DR477" i="2"/>
  <c r="DQ477" i="2"/>
  <c r="DP477" i="2"/>
  <c r="FT463" i="2"/>
  <c r="FS463" i="2"/>
  <c r="GL463" i="2" s="1"/>
  <c r="FQ463" i="2"/>
  <c r="GJ463" i="2" s="1"/>
  <c r="FP463" i="2"/>
  <c r="GI463" i="2" s="1"/>
  <c r="FO463" i="2"/>
  <c r="FN463" i="2"/>
  <c r="FM463" i="2"/>
  <c r="FL463" i="2"/>
  <c r="FK463" i="2"/>
  <c r="FJ463" i="2"/>
  <c r="FI463" i="2"/>
  <c r="GB463" i="2" s="1"/>
  <c r="FH463" i="2"/>
  <c r="FG463" i="2"/>
  <c r="FF463" i="2"/>
  <c r="FY463" i="2" s="1"/>
  <c r="FE463" i="2"/>
  <c r="FX463" i="2" s="1"/>
  <c r="FD463" i="2"/>
  <c r="FC463" i="2"/>
  <c r="FB463" i="2"/>
  <c r="EH463" i="2"/>
  <c r="EG463" i="2"/>
  <c r="EZ463" i="2" s="1"/>
  <c r="EE463" i="2"/>
  <c r="EX463" i="2" s="1"/>
  <c r="ED463" i="2"/>
  <c r="EW463" i="2" s="1"/>
  <c r="EC463" i="2"/>
  <c r="EB463" i="2"/>
  <c r="EA463" i="2"/>
  <c r="DX463" i="2"/>
  <c r="DW463" i="2"/>
  <c r="EP463" i="2" s="1"/>
  <c r="DV463" i="2"/>
  <c r="DU463" i="2"/>
  <c r="DT463" i="2"/>
  <c r="EM463" i="2" s="1"/>
  <c r="DS463" i="2"/>
  <c r="EL463" i="2" s="1"/>
  <c r="DR463" i="2"/>
  <c r="DQ463" i="2"/>
  <c r="DP463" i="2"/>
  <c r="FT462" i="2"/>
  <c r="FS462" i="2"/>
  <c r="GL462" i="2" s="1"/>
  <c r="FQ462" i="2"/>
  <c r="GJ462" i="2" s="1"/>
  <c r="FP462" i="2"/>
  <c r="GI462" i="2" s="1"/>
  <c r="FO462" i="2"/>
  <c r="FN462" i="2"/>
  <c r="FM462" i="2"/>
  <c r="FL462" i="2"/>
  <c r="FK462" i="2"/>
  <c r="FJ462" i="2"/>
  <c r="FI462" i="2"/>
  <c r="GB462" i="2" s="1"/>
  <c r="FH462" i="2"/>
  <c r="FG462" i="2"/>
  <c r="FF462" i="2"/>
  <c r="FY462" i="2" s="1"/>
  <c r="FE462" i="2"/>
  <c r="FX462" i="2" s="1"/>
  <c r="FD462" i="2"/>
  <c r="FC462" i="2"/>
  <c r="FB462" i="2"/>
  <c r="EH462" i="2"/>
  <c r="EG462" i="2"/>
  <c r="EZ462" i="2" s="1"/>
  <c r="EE462" i="2"/>
  <c r="EX462" i="2" s="1"/>
  <c r="ED462" i="2"/>
  <c r="EW462" i="2" s="1"/>
  <c r="EC462" i="2"/>
  <c r="EB462" i="2"/>
  <c r="EA462" i="2"/>
  <c r="DZ462" i="2"/>
  <c r="DY462" i="2"/>
  <c r="DX462" i="2"/>
  <c r="DW462" i="2"/>
  <c r="EP462" i="2" s="1"/>
  <c r="DV462" i="2"/>
  <c r="DU462" i="2"/>
  <c r="DT462" i="2"/>
  <c r="EM462" i="2" s="1"/>
  <c r="DS462" i="2"/>
  <c r="EL462" i="2" s="1"/>
  <c r="DR462" i="2"/>
  <c r="DQ462" i="2"/>
  <c r="DP462" i="2"/>
  <c r="FT621" i="2"/>
  <c r="FS621" i="2"/>
  <c r="GL621" i="2" s="1"/>
  <c r="FQ621" i="2"/>
  <c r="GJ621" i="2" s="1"/>
  <c r="FP621" i="2"/>
  <c r="GI621" i="2" s="1"/>
  <c r="FO621" i="2"/>
  <c r="FN621" i="2"/>
  <c r="FM621" i="2"/>
  <c r="FL621" i="2"/>
  <c r="FK621" i="2"/>
  <c r="FJ621" i="2"/>
  <c r="FI621" i="2"/>
  <c r="GB621" i="2" s="1"/>
  <c r="FH621" i="2"/>
  <c r="FG621" i="2"/>
  <c r="FF621" i="2"/>
  <c r="FY621" i="2" s="1"/>
  <c r="FE621" i="2"/>
  <c r="FX621" i="2" s="1"/>
  <c r="FD621" i="2"/>
  <c r="FC621" i="2"/>
  <c r="FB621" i="2"/>
  <c r="EH621" i="2"/>
  <c r="EG621" i="2"/>
  <c r="EZ621" i="2" s="1"/>
  <c r="EE621" i="2"/>
  <c r="EX621" i="2" s="1"/>
  <c r="ED621" i="2"/>
  <c r="EW621" i="2" s="1"/>
  <c r="EC621" i="2"/>
  <c r="EB621" i="2"/>
  <c r="EA621" i="2"/>
  <c r="DX621" i="2"/>
  <c r="DW621" i="2"/>
  <c r="EP621" i="2" s="1"/>
  <c r="DV621" i="2"/>
  <c r="DU621" i="2"/>
  <c r="DT621" i="2"/>
  <c r="EM621" i="2" s="1"/>
  <c r="DS621" i="2"/>
  <c r="EL621" i="2" s="1"/>
  <c r="DR621" i="2"/>
  <c r="DQ621" i="2"/>
  <c r="DP621" i="2"/>
  <c r="FT356" i="2"/>
  <c r="FS356" i="2"/>
  <c r="GL356" i="2" s="1"/>
  <c r="FQ356" i="2"/>
  <c r="GJ356" i="2" s="1"/>
  <c r="FP356" i="2"/>
  <c r="GI356" i="2" s="1"/>
  <c r="FO356" i="2"/>
  <c r="FN356" i="2"/>
  <c r="FM356" i="2"/>
  <c r="FL356" i="2"/>
  <c r="FK356" i="2"/>
  <c r="FJ356" i="2"/>
  <c r="FI356" i="2"/>
  <c r="GB356" i="2" s="1"/>
  <c r="FH356" i="2"/>
  <c r="FG356" i="2"/>
  <c r="FF356" i="2"/>
  <c r="FY356" i="2" s="1"/>
  <c r="FE356" i="2"/>
  <c r="FX356" i="2" s="1"/>
  <c r="FD356" i="2"/>
  <c r="FC356" i="2"/>
  <c r="FB356" i="2"/>
  <c r="EH356" i="2"/>
  <c r="EG356" i="2"/>
  <c r="EZ356" i="2" s="1"/>
  <c r="EE356" i="2"/>
  <c r="EX356" i="2" s="1"/>
  <c r="ED356" i="2"/>
  <c r="EW356" i="2" s="1"/>
  <c r="EC356" i="2"/>
  <c r="EB356" i="2"/>
  <c r="EA356" i="2"/>
  <c r="DZ356" i="2"/>
  <c r="DY356" i="2"/>
  <c r="DX356" i="2"/>
  <c r="DW356" i="2"/>
  <c r="EP356" i="2" s="1"/>
  <c r="DV356" i="2"/>
  <c r="DU356" i="2"/>
  <c r="DT356" i="2"/>
  <c r="EM356" i="2" s="1"/>
  <c r="DS356" i="2"/>
  <c r="EL356" i="2" s="1"/>
  <c r="DR356" i="2"/>
  <c r="DQ356" i="2"/>
  <c r="DP356" i="2"/>
  <c r="FT355" i="2"/>
  <c r="FS355" i="2"/>
  <c r="GL355" i="2" s="1"/>
  <c r="FQ355" i="2"/>
  <c r="GJ355" i="2" s="1"/>
  <c r="FP355" i="2"/>
  <c r="GI355" i="2" s="1"/>
  <c r="FO355" i="2"/>
  <c r="FN355" i="2"/>
  <c r="FM355" i="2"/>
  <c r="FL355" i="2"/>
  <c r="FK355" i="2"/>
  <c r="FJ355" i="2"/>
  <c r="FI355" i="2"/>
  <c r="GB355" i="2" s="1"/>
  <c r="FH355" i="2"/>
  <c r="FG355" i="2"/>
  <c r="FF355" i="2"/>
  <c r="FY355" i="2" s="1"/>
  <c r="FE355" i="2"/>
  <c r="FX355" i="2" s="1"/>
  <c r="FD355" i="2"/>
  <c r="FC355" i="2"/>
  <c r="FB355" i="2"/>
  <c r="EH355" i="2"/>
  <c r="EG355" i="2"/>
  <c r="EZ355" i="2" s="1"/>
  <c r="EE355" i="2"/>
  <c r="EX355" i="2" s="1"/>
  <c r="ED355" i="2"/>
  <c r="EW355" i="2" s="1"/>
  <c r="EC355" i="2"/>
  <c r="EB355" i="2"/>
  <c r="EA355" i="2"/>
  <c r="DZ355" i="2"/>
  <c r="DY355" i="2"/>
  <c r="DX355" i="2"/>
  <c r="DW355" i="2"/>
  <c r="EP355" i="2" s="1"/>
  <c r="DV355" i="2"/>
  <c r="DU355" i="2"/>
  <c r="DT355" i="2"/>
  <c r="EM355" i="2" s="1"/>
  <c r="DS355" i="2"/>
  <c r="EL355" i="2" s="1"/>
  <c r="DR355" i="2"/>
  <c r="DQ355" i="2"/>
  <c r="DP355" i="2"/>
  <c r="FT354" i="2"/>
  <c r="FS354" i="2"/>
  <c r="GL354" i="2" s="1"/>
  <c r="FQ354" i="2"/>
  <c r="GJ354" i="2" s="1"/>
  <c r="FP354" i="2"/>
  <c r="GI354" i="2" s="1"/>
  <c r="FO354" i="2"/>
  <c r="FN354" i="2"/>
  <c r="FM354" i="2"/>
  <c r="FL354" i="2"/>
  <c r="FK354" i="2"/>
  <c r="FJ354" i="2"/>
  <c r="FI354" i="2"/>
  <c r="GB354" i="2" s="1"/>
  <c r="FH354" i="2"/>
  <c r="FG354" i="2"/>
  <c r="FF354" i="2"/>
  <c r="FY354" i="2" s="1"/>
  <c r="FE354" i="2"/>
  <c r="FX354" i="2" s="1"/>
  <c r="FD354" i="2"/>
  <c r="FC354" i="2"/>
  <c r="FB354" i="2"/>
  <c r="EH354" i="2"/>
  <c r="EG354" i="2"/>
  <c r="EZ354" i="2" s="1"/>
  <c r="EE354" i="2"/>
  <c r="EX354" i="2" s="1"/>
  <c r="ED354" i="2"/>
  <c r="EW354" i="2" s="1"/>
  <c r="EC354" i="2"/>
  <c r="EB354" i="2"/>
  <c r="EA354" i="2"/>
  <c r="DZ354" i="2"/>
  <c r="DY354" i="2"/>
  <c r="DX354" i="2"/>
  <c r="DW354" i="2"/>
  <c r="EP354" i="2" s="1"/>
  <c r="DV354" i="2"/>
  <c r="DU354" i="2"/>
  <c r="DT354" i="2"/>
  <c r="EM354" i="2" s="1"/>
  <c r="DS354" i="2"/>
  <c r="EL354" i="2" s="1"/>
  <c r="DR354" i="2"/>
  <c r="DQ354" i="2"/>
  <c r="DP354" i="2"/>
  <c r="FT353" i="2"/>
  <c r="FS353" i="2"/>
  <c r="GL353" i="2" s="1"/>
  <c r="FQ353" i="2"/>
  <c r="GJ353" i="2" s="1"/>
  <c r="FP353" i="2"/>
  <c r="GI353" i="2" s="1"/>
  <c r="FO353" i="2"/>
  <c r="FN353" i="2"/>
  <c r="FM353" i="2"/>
  <c r="FL353" i="2"/>
  <c r="FK353" i="2"/>
  <c r="FJ353" i="2"/>
  <c r="FI353" i="2"/>
  <c r="GB353" i="2" s="1"/>
  <c r="FH353" i="2"/>
  <c r="FG353" i="2"/>
  <c r="FF353" i="2"/>
  <c r="FY353" i="2" s="1"/>
  <c r="FE353" i="2"/>
  <c r="FX353" i="2" s="1"/>
  <c r="FD353" i="2"/>
  <c r="FC353" i="2"/>
  <c r="FB353" i="2"/>
  <c r="EH353" i="2"/>
  <c r="EG353" i="2"/>
  <c r="EZ353" i="2" s="1"/>
  <c r="EE353" i="2"/>
  <c r="EX353" i="2" s="1"/>
  <c r="ED353" i="2"/>
  <c r="EW353" i="2" s="1"/>
  <c r="EC353" i="2"/>
  <c r="EB353" i="2"/>
  <c r="EA353" i="2"/>
  <c r="DZ353" i="2"/>
  <c r="DY353" i="2"/>
  <c r="DX353" i="2"/>
  <c r="DW353" i="2"/>
  <c r="EP353" i="2" s="1"/>
  <c r="DV353" i="2"/>
  <c r="DU353" i="2"/>
  <c r="DT353" i="2"/>
  <c r="EM353" i="2" s="1"/>
  <c r="DS353" i="2"/>
  <c r="EL353" i="2" s="1"/>
  <c r="DR353" i="2"/>
  <c r="DQ353" i="2"/>
  <c r="DP353" i="2"/>
  <c r="FT352" i="2"/>
  <c r="FS352" i="2"/>
  <c r="GL352" i="2" s="1"/>
  <c r="FQ352" i="2"/>
  <c r="GJ352" i="2" s="1"/>
  <c r="FP352" i="2"/>
  <c r="GI352" i="2" s="1"/>
  <c r="FO352" i="2"/>
  <c r="FN352" i="2"/>
  <c r="FM352" i="2"/>
  <c r="FL352" i="2"/>
  <c r="FK352" i="2"/>
  <c r="FJ352" i="2"/>
  <c r="FI352" i="2"/>
  <c r="GB352" i="2" s="1"/>
  <c r="FH352" i="2"/>
  <c r="FG352" i="2"/>
  <c r="FF352" i="2"/>
  <c r="FY352" i="2" s="1"/>
  <c r="FE352" i="2"/>
  <c r="FX352" i="2" s="1"/>
  <c r="FD352" i="2"/>
  <c r="FC352" i="2"/>
  <c r="FB352" i="2"/>
  <c r="EH352" i="2"/>
  <c r="EG352" i="2"/>
  <c r="EZ352" i="2" s="1"/>
  <c r="EE352" i="2"/>
  <c r="EX352" i="2" s="1"/>
  <c r="ED352" i="2"/>
  <c r="EW352" i="2" s="1"/>
  <c r="EC352" i="2"/>
  <c r="EB352" i="2"/>
  <c r="EA352" i="2"/>
  <c r="DZ352" i="2"/>
  <c r="DY352" i="2"/>
  <c r="DX352" i="2"/>
  <c r="DW352" i="2"/>
  <c r="EP352" i="2" s="1"/>
  <c r="DV352" i="2"/>
  <c r="DU352" i="2"/>
  <c r="DT352" i="2"/>
  <c r="EM352" i="2" s="1"/>
  <c r="DS352" i="2"/>
  <c r="EL352" i="2" s="1"/>
  <c r="DR352" i="2"/>
  <c r="DQ352" i="2"/>
  <c r="DP352" i="2"/>
  <c r="FT351" i="2"/>
  <c r="FS351" i="2"/>
  <c r="GL351" i="2" s="1"/>
  <c r="FQ351" i="2"/>
  <c r="GJ351" i="2" s="1"/>
  <c r="FP351" i="2"/>
  <c r="GI351" i="2" s="1"/>
  <c r="FO351" i="2"/>
  <c r="FN351" i="2"/>
  <c r="FM351" i="2"/>
  <c r="FL351" i="2"/>
  <c r="FK351" i="2"/>
  <c r="FJ351" i="2"/>
  <c r="FI351" i="2"/>
  <c r="GB351" i="2" s="1"/>
  <c r="FH351" i="2"/>
  <c r="FG351" i="2"/>
  <c r="FF351" i="2"/>
  <c r="FY351" i="2" s="1"/>
  <c r="FE351" i="2"/>
  <c r="FX351" i="2" s="1"/>
  <c r="FD351" i="2"/>
  <c r="FC351" i="2"/>
  <c r="FB351" i="2"/>
  <c r="EH351" i="2"/>
  <c r="EG351" i="2"/>
  <c r="EZ351" i="2" s="1"/>
  <c r="EE351" i="2"/>
  <c r="EX351" i="2" s="1"/>
  <c r="ED351" i="2"/>
  <c r="EW351" i="2" s="1"/>
  <c r="EC351" i="2"/>
  <c r="EB351" i="2"/>
  <c r="EA351" i="2"/>
  <c r="DZ351" i="2"/>
  <c r="DY351" i="2"/>
  <c r="DX351" i="2"/>
  <c r="DW351" i="2"/>
  <c r="EP351" i="2" s="1"/>
  <c r="DV351" i="2"/>
  <c r="DU351" i="2"/>
  <c r="DT351" i="2"/>
  <c r="EM351" i="2" s="1"/>
  <c r="DS351" i="2"/>
  <c r="EL351" i="2" s="1"/>
  <c r="DR351" i="2"/>
  <c r="DQ351" i="2"/>
  <c r="DP351" i="2"/>
  <c r="FT350" i="2"/>
  <c r="FS350" i="2"/>
  <c r="GL350" i="2" s="1"/>
  <c r="FQ350" i="2"/>
  <c r="GJ350" i="2" s="1"/>
  <c r="FP350" i="2"/>
  <c r="GI350" i="2" s="1"/>
  <c r="FO350" i="2"/>
  <c r="FN350" i="2"/>
  <c r="FM350" i="2"/>
  <c r="FL350" i="2"/>
  <c r="FK350" i="2"/>
  <c r="FJ350" i="2"/>
  <c r="FI350" i="2"/>
  <c r="GB350" i="2" s="1"/>
  <c r="FH350" i="2"/>
  <c r="FG350" i="2"/>
  <c r="FF350" i="2"/>
  <c r="FY350" i="2" s="1"/>
  <c r="FE350" i="2"/>
  <c r="FX350" i="2" s="1"/>
  <c r="FD350" i="2"/>
  <c r="FC350" i="2"/>
  <c r="FB350" i="2"/>
  <c r="EH350" i="2"/>
  <c r="EG350" i="2"/>
  <c r="EZ350" i="2" s="1"/>
  <c r="EE350" i="2"/>
  <c r="EX350" i="2" s="1"/>
  <c r="ED350" i="2"/>
  <c r="EW350" i="2" s="1"/>
  <c r="EC350" i="2"/>
  <c r="EB350" i="2"/>
  <c r="EA350" i="2"/>
  <c r="DZ350" i="2"/>
  <c r="DY350" i="2"/>
  <c r="DX350" i="2"/>
  <c r="DW350" i="2"/>
  <c r="EP350" i="2" s="1"/>
  <c r="DV350" i="2"/>
  <c r="DU350" i="2"/>
  <c r="DT350" i="2"/>
  <c r="EM350" i="2" s="1"/>
  <c r="DS350" i="2"/>
  <c r="EL350" i="2" s="1"/>
  <c r="DR350" i="2"/>
  <c r="DQ350" i="2"/>
  <c r="DP350" i="2"/>
  <c r="FT349" i="2"/>
  <c r="FS349" i="2"/>
  <c r="GL349" i="2" s="1"/>
  <c r="FQ349" i="2"/>
  <c r="GJ349" i="2" s="1"/>
  <c r="FP349" i="2"/>
  <c r="GI349" i="2" s="1"/>
  <c r="FO349" i="2"/>
  <c r="FN349" i="2"/>
  <c r="FM349" i="2"/>
  <c r="FL349" i="2"/>
  <c r="FK349" i="2"/>
  <c r="FJ349" i="2"/>
  <c r="FI349" i="2"/>
  <c r="GB349" i="2" s="1"/>
  <c r="FH349" i="2"/>
  <c r="FG349" i="2"/>
  <c r="FF349" i="2"/>
  <c r="FY349" i="2" s="1"/>
  <c r="FE349" i="2"/>
  <c r="FX349" i="2" s="1"/>
  <c r="FD349" i="2"/>
  <c r="FC349" i="2"/>
  <c r="FB349" i="2"/>
  <c r="EH349" i="2"/>
  <c r="EG349" i="2"/>
  <c r="EZ349" i="2" s="1"/>
  <c r="EE349" i="2"/>
  <c r="EX349" i="2" s="1"/>
  <c r="ED349" i="2"/>
  <c r="EW349" i="2" s="1"/>
  <c r="EC349" i="2"/>
  <c r="EB349" i="2"/>
  <c r="EA349" i="2"/>
  <c r="DZ349" i="2"/>
  <c r="DY349" i="2"/>
  <c r="DX349" i="2"/>
  <c r="DW349" i="2"/>
  <c r="EP349" i="2" s="1"/>
  <c r="DV349" i="2"/>
  <c r="DU349" i="2"/>
  <c r="DT349" i="2"/>
  <c r="EM349" i="2" s="1"/>
  <c r="DS349" i="2"/>
  <c r="EL349" i="2" s="1"/>
  <c r="DR349" i="2"/>
  <c r="DQ349" i="2"/>
  <c r="DP349" i="2"/>
  <c r="FT348" i="2"/>
  <c r="FS348" i="2"/>
  <c r="GL348" i="2" s="1"/>
  <c r="FQ348" i="2"/>
  <c r="GJ348" i="2" s="1"/>
  <c r="FP348" i="2"/>
  <c r="GI348" i="2" s="1"/>
  <c r="FO348" i="2"/>
  <c r="FN348" i="2"/>
  <c r="FM348" i="2"/>
  <c r="FL348" i="2"/>
  <c r="FK348" i="2"/>
  <c r="FJ348" i="2"/>
  <c r="FI348" i="2"/>
  <c r="GB348" i="2" s="1"/>
  <c r="FH348" i="2"/>
  <c r="FG348" i="2"/>
  <c r="FF348" i="2"/>
  <c r="FY348" i="2" s="1"/>
  <c r="FE348" i="2"/>
  <c r="FX348" i="2" s="1"/>
  <c r="FD348" i="2"/>
  <c r="FC348" i="2"/>
  <c r="FB348" i="2"/>
  <c r="EH348" i="2"/>
  <c r="EG348" i="2"/>
  <c r="EZ348" i="2" s="1"/>
  <c r="EE348" i="2"/>
  <c r="EX348" i="2" s="1"/>
  <c r="ED348" i="2"/>
  <c r="EW348" i="2" s="1"/>
  <c r="EC348" i="2"/>
  <c r="EB348" i="2"/>
  <c r="EA348" i="2"/>
  <c r="DZ348" i="2"/>
  <c r="DY348" i="2"/>
  <c r="DX348" i="2"/>
  <c r="DW348" i="2"/>
  <c r="EP348" i="2" s="1"/>
  <c r="DV348" i="2"/>
  <c r="DU348" i="2"/>
  <c r="DT348" i="2"/>
  <c r="EM348" i="2" s="1"/>
  <c r="DS348" i="2"/>
  <c r="EL348" i="2" s="1"/>
  <c r="DR348" i="2"/>
  <c r="DQ348" i="2"/>
  <c r="DP348" i="2"/>
  <c r="FT468" i="2"/>
  <c r="FS468" i="2"/>
  <c r="GL468" i="2" s="1"/>
  <c r="FQ468" i="2"/>
  <c r="GJ468" i="2" s="1"/>
  <c r="FP468" i="2"/>
  <c r="GI468" i="2" s="1"/>
  <c r="FO468" i="2"/>
  <c r="FN468" i="2"/>
  <c r="FM468" i="2"/>
  <c r="FL468" i="2"/>
  <c r="FK468" i="2"/>
  <c r="FJ468" i="2"/>
  <c r="FI468" i="2"/>
  <c r="GB468" i="2" s="1"/>
  <c r="FH468" i="2"/>
  <c r="FG468" i="2"/>
  <c r="FF468" i="2"/>
  <c r="FY468" i="2" s="1"/>
  <c r="FE468" i="2"/>
  <c r="FX468" i="2" s="1"/>
  <c r="FD468" i="2"/>
  <c r="FC468" i="2"/>
  <c r="FB468" i="2"/>
  <c r="EH468" i="2"/>
  <c r="EG468" i="2"/>
  <c r="EZ468" i="2" s="1"/>
  <c r="EE468" i="2"/>
  <c r="EX468" i="2" s="1"/>
  <c r="ED468" i="2"/>
  <c r="EW468" i="2" s="1"/>
  <c r="EC468" i="2"/>
  <c r="EB468" i="2"/>
  <c r="EA468" i="2"/>
  <c r="DZ468" i="2"/>
  <c r="DY468" i="2"/>
  <c r="DX468" i="2"/>
  <c r="DW468" i="2"/>
  <c r="EP468" i="2" s="1"/>
  <c r="DV468" i="2"/>
  <c r="DU468" i="2"/>
  <c r="DT468" i="2"/>
  <c r="EM468" i="2" s="1"/>
  <c r="DS468" i="2"/>
  <c r="EL468" i="2" s="1"/>
  <c r="DR468" i="2"/>
  <c r="DQ468" i="2"/>
  <c r="DP468" i="2"/>
  <c r="FT148" i="2"/>
  <c r="FS148" i="2"/>
  <c r="GL148" i="2" s="1"/>
  <c r="FQ148" i="2"/>
  <c r="GJ148" i="2" s="1"/>
  <c r="FP148" i="2"/>
  <c r="GI148" i="2" s="1"/>
  <c r="FO148" i="2"/>
  <c r="FN148" i="2"/>
  <c r="FM148" i="2"/>
  <c r="FL148" i="2"/>
  <c r="FK148" i="2"/>
  <c r="FJ148" i="2"/>
  <c r="FI148" i="2"/>
  <c r="GB148" i="2" s="1"/>
  <c r="FH148" i="2"/>
  <c r="FG148" i="2"/>
  <c r="FF148" i="2"/>
  <c r="FY148" i="2" s="1"/>
  <c r="FE148" i="2"/>
  <c r="FX148" i="2" s="1"/>
  <c r="FD148" i="2"/>
  <c r="FC148" i="2"/>
  <c r="FB148" i="2"/>
  <c r="EH148" i="2"/>
  <c r="EG148" i="2"/>
  <c r="EZ148" i="2" s="1"/>
  <c r="EE148" i="2"/>
  <c r="EX148" i="2" s="1"/>
  <c r="ED148" i="2"/>
  <c r="EW148" i="2" s="1"/>
  <c r="EC148" i="2"/>
  <c r="EB148" i="2"/>
  <c r="EA148" i="2"/>
  <c r="DZ148" i="2"/>
  <c r="DY148" i="2"/>
  <c r="DX148" i="2"/>
  <c r="DW148" i="2"/>
  <c r="EP148" i="2" s="1"/>
  <c r="DV148" i="2"/>
  <c r="DU148" i="2"/>
  <c r="DT148" i="2"/>
  <c r="EM148" i="2" s="1"/>
  <c r="DS148" i="2"/>
  <c r="EL148" i="2" s="1"/>
  <c r="DR148" i="2"/>
  <c r="DQ148" i="2"/>
  <c r="DP148" i="2"/>
  <c r="FT147" i="2"/>
  <c r="FS147" i="2"/>
  <c r="GL147" i="2" s="1"/>
  <c r="FQ147" i="2"/>
  <c r="GJ147" i="2" s="1"/>
  <c r="FP147" i="2"/>
  <c r="GI147" i="2" s="1"/>
  <c r="FO147" i="2"/>
  <c r="FN147" i="2"/>
  <c r="FM147" i="2"/>
  <c r="FL147" i="2"/>
  <c r="FK147" i="2"/>
  <c r="FJ147" i="2"/>
  <c r="FI147" i="2"/>
  <c r="GB147" i="2" s="1"/>
  <c r="FH147" i="2"/>
  <c r="FG147" i="2"/>
  <c r="FF147" i="2"/>
  <c r="FY147" i="2" s="1"/>
  <c r="FE147" i="2"/>
  <c r="FX147" i="2" s="1"/>
  <c r="FD147" i="2"/>
  <c r="FC147" i="2"/>
  <c r="FB147" i="2"/>
  <c r="EH147" i="2"/>
  <c r="EG147" i="2"/>
  <c r="EZ147" i="2" s="1"/>
  <c r="EE147" i="2"/>
  <c r="EX147" i="2" s="1"/>
  <c r="ED147" i="2"/>
  <c r="EW147" i="2" s="1"/>
  <c r="EC147" i="2"/>
  <c r="EB147" i="2"/>
  <c r="EA147" i="2"/>
  <c r="DZ147" i="2"/>
  <c r="DY147" i="2"/>
  <c r="DX147" i="2"/>
  <c r="DW147" i="2"/>
  <c r="EP147" i="2" s="1"/>
  <c r="DV147" i="2"/>
  <c r="DU147" i="2"/>
  <c r="DT147" i="2"/>
  <c r="EM147" i="2" s="1"/>
  <c r="DS147" i="2"/>
  <c r="EL147" i="2" s="1"/>
  <c r="DR147" i="2"/>
  <c r="DQ147" i="2"/>
  <c r="DP147" i="2"/>
  <c r="FT146" i="2"/>
  <c r="FS146" i="2"/>
  <c r="GL146" i="2" s="1"/>
  <c r="FQ146" i="2"/>
  <c r="GJ146" i="2" s="1"/>
  <c r="FP146" i="2"/>
  <c r="GI146" i="2" s="1"/>
  <c r="FO146" i="2"/>
  <c r="FN146" i="2"/>
  <c r="FM146" i="2"/>
  <c r="FL146" i="2"/>
  <c r="FK146" i="2"/>
  <c r="FJ146" i="2"/>
  <c r="FI146" i="2"/>
  <c r="GB146" i="2" s="1"/>
  <c r="FH146" i="2"/>
  <c r="FG146" i="2"/>
  <c r="FF146" i="2"/>
  <c r="FY146" i="2" s="1"/>
  <c r="FE146" i="2"/>
  <c r="FX146" i="2" s="1"/>
  <c r="FD146" i="2"/>
  <c r="FC146" i="2"/>
  <c r="FB146" i="2"/>
  <c r="EH146" i="2"/>
  <c r="EG146" i="2"/>
  <c r="EZ146" i="2" s="1"/>
  <c r="EE146" i="2"/>
  <c r="EX146" i="2" s="1"/>
  <c r="ED146" i="2"/>
  <c r="EW146" i="2" s="1"/>
  <c r="EC146" i="2"/>
  <c r="EB146" i="2"/>
  <c r="EA146" i="2"/>
  <c r="DZ146" i="2"/>
  <c r="DY146" i="2"/>
  <c r="DX146" i="2"/>
  <c r="DW146" i="2"/>
  <c r="EP146" i="2" s="1"/>
  <c r="DV146" i="2"/>
  <c r="DU146" i="2"/>
  <c r="DT146" i="2"/>
  <c r="EM146" i="2" s="1"/>
  <c r="DS146" i="2"/>
  <c r="EL146" i="2" s="1"/>
  <c r="DR146" i="2"/>
  <c r="DQ146" i="2"/>
  <c r="DP146" i="2"/>
  <c r="FT145" i="2"/>
  <c r="FS145" i="2"/>
  <c r="GL145" i="2" s="1"/>
  <c r="FQ145" i="2"/>
  <c r="GJ145" i="2" s="1"/>
  <c r="FP145" i="2"/>
  <c r="GI145" i="2" s="1"/>
  <c r="FO145" i="2"/>
  <c r="FN145" i="2"/>
  <c r="FM145" i="2"/>
  <c r="FL145" i="2"/>
  <c r="FK145" i="2"/>
  <c r="FJ145" i="2"/>
  <c r="FI145" i="2"/>
  <c r="GB145" i="2" s="1"/>
  <c r="FH145" i="2"/>
  <c r="FG145" i="2"/>
  <c r="FF145" i="2"/>
  <c r="FY145" i="2" s="1"/>
  <c r="FE145" i="2"/>
  <c r="FX145" i="2" s="1"/>
  <c r="FD145" i="2"/>
  <c r="FC145" i="2"/>
  <c r="FB145" i="2"/>
  <c r="FT128" i="2"/>
  <c r="FS128" i="2"/>
  <c r="GL128" i="2" s="1"/>
  <c r="FQ128" i="2"/>
  <c r="GJ128" i="2" s="1"/>
  <c r="FP128" i="2"/>
  <c r="GI128" i="2" s="1"/>
  <c r="FO128" i="2"/>
  <c r="FN128" i="2"/>
  <c r="FM128" i="2"/>
  <c r="FL128" i="2"/>
  <c r="FK128" i="2"/>
  <c r="FJ128" i="2"/>
  <c r="FI128" i="2"/>
  <c r="GB128" i="2" s="1"/>
  <c r="FH128" i="2"/>
  <c r="FG128" i="2"/>
  <c r="FF128" i="2"/>
  <c r="FY128" i="2" s="1"/>
  <c r="FE128" i="2"/>
  <c r="FX128" i="2" s="1"/>
  <c r="FD128" i="2"/>
  <c r="FC128" i="2"/>
  <c r="FB128" i="2"/>
  <c r="EH128" i="2"/>
  <c r="EG128" i="2"/>
  <c r="EZ128" i="2" s="1"/>
  <c r="EE128" i="2"/>
  <c r="EX128" i="2" s="1"/>
  <c r="ED128" i="2"/>
  <c r="EW128" i="2" s="1"/>
  <c r="EC128" i="2"/>
  <c r="EB128" i="2"/>
  <c r="EA128" i="2"/>
  <c r="DZ128" i="2"/>
  <c r="DY128" i="2"/>
  <c r="DX128" i="2"/>
  <c r="DW128" i="2"/>
  <c r="EP128" i="2" s="1"/>
  <c r="DV128" i="2"/>
  <c r="DU128" i="2"/>
  <c r="DT128" i="2"/>
  <c r="EM128" i="2" s="1"/>
  <c r="DS128" i="2"/>
  <c r="EL128" i="2" s="1"/>
  <c r="DR128" i="2"/>
  <c r="DQ128" i="2"/>
  <c r="DP128" i="2"/>
  <c r="FT46" i="2"/>
  <c r="FS46" i="2"/>
  <c r="GL46" i="2" s="1"/>
  <c r="FQ46" i="2"/>
  <c r="GJ46" i="2" s="1"/>
  <c r="FP46" i="2"/>
  <c r="GI46" i="2" s="1"/>
  <c r="FO46" i="2"/>
  <c r="FN46" i="2"/>
  <c r="FM46" i="2"/>
  <c r="FL46" i="2"/>
  <c r="FK46" i="2"/>
  <c r="FJ46" i="2"/>
  <c r="FI46" i="2"/>
  <c r="GB46" i="2" s="1"/>
  <c r="FH46" i="2"/>
  <c r="FG46" i="2"/>
  <c r="FF46" i="2"/>
  <c r="FY46" i="2" s="1"/>
  <c r="FE46" i="2"/>
  <c r="FX46" i="2" s="1"/>
  <c r="FD46" i="2"/>
  <c r="FC46" i="2"/>
  <c r="FB46" i="2"/>
  <c r="EH46" i="2"/>
  <c r="EG46" i="2"/>
  <c r="EZ46" i="2" s="1"/>
  <c r="EE46" i="2"/>
  <c r="EX46" i="2" s="1"/>
  <c r="ED46" i="2"/>
  <c r="EW46" i="2" s="1"/>
  <c r="EC46" i="2"/>
  <c r="EB46" i="2"/>
  <c r="EA46" i="2"/>
  <c r="DZ46" i="2"/>
  <c r="DY46" i="2"/>
  <c r="DX46" i="2"/>
  <c r="DW46" i="2"/>
  <c r="EP46" i="2" s="1"/>
  <c r="DV46" i="2"/>
  <c r="DU46" i="2"/>
  <c r="DT46" i="2"/>
  <c r="EM46" i="2" s="1"/>
  <c r="DS46" i="2"/>
  <c r="EL46" i="2" s="1"/>
  <c r="DR46" i="2"/>
  <c r="DQ46" i="2"/>
  <c r="DP46" i="2"/>
  <c r="EH48" i="2"/>
  <c r="EG48" i="2"/>
  <c r="EZ48" i="2" s="1"/>
  <c r="EE48" i="2"/>
  <c r="EX48" i="2" s="1"/>
  <c r="ED48" i="2"/>
  <c r="EW48" i="2" s="1"/>
  <c r="EC48" i="2"/>
  <c r="EB48" i="2"/>
  <c r="EA48" i="2"/>
  <c r="DZ48" i="2"/>
  <c r="DY48" i="2"/>
  <c r="DX48" i="2"/>
  <c r="DW48" i="2"/>
  <c r="EP48" i="2" s="1"/>
  <c r="DV48" i="2"/>
  <c r="DU48" i="2"/>
  <c r="DT48" i="2"/>
  <c r="EM48" i="2" s="1"/>
  <c r="DS48" i="2"/>
  <c r="EL48" i="2" s="1"/>
  <c r="DR48" i="2"/>
  <c r="DQ48" i="2"/>
  <c r="DP48" i="2"/>
  <c r="FT278" i="2"/>
  <c r="FS278" i="2"/>
  <c r="GL278" i="2" s="1"/>
  <c r="FQ278" i="2"/>
  <c r="GJ278" i="2" s="1"/>
  <c r="FP278" i="2"/>
  <c r="GI278" i="2" s="1"/>
  <c r="FO278" i="2"/>
  <c r="FN278" i="2"/>
  <c r="FM278" i="2"/>
  <c r="FL278" i="2"/>
  <c r="FK278" i="2"/>
  <c r="FJ278" i="2"/>
  <c r="FI278" i="2"/>
  <c r="GB278" i="2" s="1"/>
  <c r="FH278" i="2"/>
  <c r="FG278" i="2"/>
  <c r="FF278" i="2"/>
  <c r="FY278" i="2" s="1"/>
  <c r="FE278" i="2"/>
  <c r="FX278" i="2" s="1"/>
  <c r="FD278" i="2"/>
  <c r="FC278" i="2"/>
  <c r="FB278" i="2"/>
  <c r="FT277" i="2"/>
  <c r="FS277" i="2"/>
  <c r="GL277" i="2" s="1"/>
  <c r="FQ277" i="2"/>
  <c r="GJ277" i="2" s="1"/>
  <c r="FP277" i="2"/>
  <c r="GI277" i="2" s="1"/>
  <c r="FO277" i="2"/>
  <c r="FN277" i="2"/>
  <c r="FM277" i="2"/>
  <c r="FL277" i="2"/>
  <c r="FK277" i="2"/>
  <c r="FJ277" i="2"/>
  <c r="FI277" i="2"/>
  <c r="GB277" i="2" s="1"/>
  <c r="FH277" i="2"/>
  <c r="FG277" i="2"/>
  <c r="FF277" i="2"/>
  <c r="FY277" i="2" s="1"/>
  <c r="FE277" i="2"/>
  <c r="FX277" i="2" s="1"/>
  <c r="FD277" i="2"/>
  <c r="FC277" i="2"/>
  <c r="FB277" i="2"/>
  <c r="FT276" i="2"/>
  <c r="FS276" i="2"/>
  <c r="GL276" i="2" s="1"/>
  <c r="FQ276" i="2"/>
  <c r="GJ276" i="2" s="1"/>
  <c r="FP276" i="2"/>
  <c r="GI276" i="2" s="1"/>
  <c r="FO276" i="2"/>
  <c r="FN276" i="2"/>
  <c r="FM276" i="2"/>
  <c r="FL276" i="2"/>
  <c r="FK276" i="2"/>
  <c r="FJ276" i="2"/>
  <c r="FI276" i="2"/>
  <c r="GB276" i="2" s="1"/>
  <c r="FH276" i="2"/>
  <c r="FG276" i="2"/>
  <c r="FF276" i="2"/>
  <c r="FY276" i="2" s="1"/>
  <c r="FE276" i="2"/>
  <c r="FX276" i="2" s="1"/>
  <c r="FD276" i="2"/>
  <c r="FC276" i="2"/>
  <c r="FB276" i="2"/>
  <c r="EH276" i="2"/>
  <c r="EG276" i="2"/>
  <c r="EZ276" i="2" s="1"/>
  <c r="EE276" i="2"/>
  <c r="EX276" i="2" s="1"/>
  <c r="ED276" i="2"/>
  <c r="EW276" i="2" s="1"/>
  <c r="EC276" i="2"/>
  <c r="EB276" i="2"/>
  <c r="EA276" i="2"/>
  <c r="DZ276" i="2"/>
  <c r="DY276" i="2"/>
  <c r="DX276" i="2"/>
  <c r="DW276" i="2"/>
  <c r="EP276" i="2" s="1"/>
  <c r="DV276" i="2"/>
  <c r="DU276" i="2"/>
  <c r="DT276" i="2"/>
  <c r="EM276" i="2" s="1"/>
  <c r="DS276" i="2"/>
  <c r="EL276" i="2" s="1"/>
  <c r="DR276" i="2"/>
  <c r="DQ276" i="2"/>
  <c r="DP276" i="2"/>
  <c r="FT275" i="2"/>
  <c r="FS275" i="2"/>
  <c r="GL275" i="2" s="1"/>
  <c r="FQ275" i="2"/>
  <c r="GJ275" i="2" s="1"/>
  <c r="FP275" i="2"/>
  <c r="GI275" i="2" s="1"/>
  <c r="FO275" i="2"/>
  <c r="FN275" i="2"/>
  <c r="FM275" i="2"/>
  <c r="FL275" i="2"/>
  <c r="FK275" i="2"/>
  <c r="FJ275" i="2"/>
  <c r="FI275" i="2"/>
  <c r="GB275" i="2" s="1"/>
  <c r="FH275" i="2"/>
  <c r="FG275" i="2"/>
  <c r="FF275" i="2"/>
  <c r="FY275" i="2" s="1"/>
  <c r="FE275" i="2"/>
  <c r="FX275" i="2" s="1"/>
  <c r="FD275" i="2"/>
  <c r="FC275" i="2"/>
  <c r="FB275" i="2"/>
  <c r="EH275" i="2"/>
  <c r="EG275" i="2"/>
  <c r="EZ275" i="2" s="1"/>
  <c r="EE275" i="2"/>
  <c r="EX275" i="2" s="1"/>
  <c r="ED275" i="2"/>
  <c r="EW275" i="2" s="1"/>
  <c r="EC275" i="2"/>
  <c r="EB275" i="2"/>
  <c r="EA275" i="2"/>
  <c r="DZ275" i="2"/>
  <c r="DY275" i="2"/>
  <c r="DX275" i="2"/>
  <c r="DW275" i="2"/>
  <c r="EP275" i="2" s="1"/>
  <c r="DV275" i="2"/>
  <c r="DU275" i="2"/>
  <c r="DT275" i="2"/>
  <c r="EM275" i="2" s="1"/>
  <c r="DS275" i="2"/>
  <c r="EL275" i="2" s="1"/>
  <c r="DR275" i="2"/>
  <c r="DQ275" i="2"/>
  <c r="DP275" i="2"/>
  <c r="FT95" i="2"/>
  <c r="FS95" i="2"/>
  <c r="GL95" i="2" s="1"/>
  <c r="FQ95" i="2"/>
  <c r="GJ95" i="2" s="1"/>
  <c r="FP95" i="2"/>
  <c r="GI95" i="2" s="1"/>
  <c r="FO95" i="2"/>
  <c r="FN95" i="2"/>
  <c r="FM95" i="2"/>
  <c r="FL95" i="2"/>
  <c r="FK95" i="2"/>
  <c r="FJ95" i="2"/>
  <c r="FI95" i="2"/>
  <c r="GB95" i="2" s="1"/>
  <c r="FH95" i="2"/>
  <c r="FG95" i="2"/>
  <c r="FF95" i="2"/>
  <c r="FY95" i="2" s="1"/>
  <c r="FE95" i="2"/>
  <c r="FX95" i="2" s="1"/>
  <c r="FD95" i="2"/>
  <c r="FC95" i="2"/>
  <c r="FB95" i="2"/>
  <c r="EH95" i="2"/>
  <c r="EG95" i="2"/>
  <c r="EZ95" i="2" s="1"/>
  <c r="EE95" i="2"/>
  <c r="EX95" i="2" s="1"/>
  <c r="ED95" i="2"/>
  <c r="EW95" i="2" s="1"/>
  <c r="EC95" i="2"/>
  <c r="EB95" i="2"/>
  <c r="EA95" i="2"/>
  <c r="DZ95" i="2"/>
  <c r="DY95" i="2"/>
  <c r="DX95" i="2"/>
  <c r="DW95" i="2"/>
  <c r="EP95" i="2" s="1"/>
  <c r="DV95" i="2"/>
  <c r="DU95" i="2"/>
  <c r="DT95" i="2"/>
  <c r="EM95" i="2" s="1"/>
  <c r="DS95" i="2"/>
  <c r="EL95" i="2" s="1"/>
  <c r="DR95" i="2"/>
  <c r="DQ95" i="2"/>
  <c r="DP95" i="2"/>
  <c r="FT274" i="2"/>
  <c r="FS274" i="2"/>
  <c r="GL274" i="2" s="1"/>
  <c r="FQ274" i="2"/>
  <c r="GJ274" i="2" s="1"/>
  <c r="FP274" i="2"/>
  <c r="GI274" i="2" s="1"/>
  <c r="FO274" i="2"/>
  <c r="FN274" i="2"/>
  <c r="FM274" i="2"/>
  <c r="FL274" i="2"/>
  <c r="FK274" i="2"/>
  <c r="FJ274" i="2"/>
  <c r="FI274" i="2"/>
  <c r="GB274" i="2" s="1"/>
  <c r="FH274" i="2"/>
  <c r="FG274" i="2"/>
  <c r="FF274" i="2"/>
  <c r="FY274" i="2" s="1"/>
  <c r="FE274" i="2"/>
  <c r="FX274" i="2" s="1"/>
  <c r="FD274" i="2"/>
  <c r="FC274" i="2"/>
  <c r="FB274" i="2"/>
  <c r="FT273" i="2"/>
  <c r="FS273" i="2"/>
  <c r="GL273" i="2" s="1"/>
  <c r="FQ273" i="2"/>
  <c r="GJ273" i="2" s="1"/>
  <c r="FP273" i="2"/>
  <c r="GI273" i="2" s="1"/>
  <c r="FO273" i="2"/>
  <c r="FN273" i="2"/>
  <c r="FM273" i="2"/>
  <c r="FL273" i="2"/>
  <c r="FK273" i="2"/>
  <c r="FJ273" i="2"/>
  <c r="FI273" i="2"/>
  <c r="GB273" i="2" s="1"/>
  <c r="FH273" i="2"/>
  <c r="FG273" i="2"/>
  <c r="FF273" i="2"/>
  <c r="FY273" i="2" s="1"/>
  <c r="FE273" i="2"/>
  <c r="FX273" i="2" s="1"/>
  <c r="FD273" i="2"/>
  <c r="FC273" i="2"/>
  <c r="FB273" i="2"/>
  <c r="FT272" i="2"/>
  <c r="FS272" i="2"/>
  <c r="GL272" i="2" s="1"/>
  <c r="FQ272" i="2"/>
  <c r="GJ272" i="2" s="1"/>
  <c r="FP272" i="2"/>
  <c r="GI272" i="2" s="1"/>
  <c r="FO272" i="2"/>
  <c r="FN272" i="2"/>
  <c r="FM272" i="2"/>
  <c r="FL272" i="2"/>
  <c r="FK272" i="2"/>
  <c r="FJ272" i="2"/>
  <c r="FI272" i="2"/>
  <c r="GB272" i="2" s="1"/>
  <c r="FH272" i="2"/>
  <c r="FG272" i="2"/>
  <c r="FF272" i="2"/>
  <c r="FY272" i="2" s="1"/>
  <c r="FE272" i="2"/>
  <c r="FX272" i="2" s="1"/>
  <c r="FD272" i="2"/>
  <c r="FC272" i="2"/>
  <c r="FB272" i="2"/>
  <c r="EH272" i="2"/>
  <c r="EG272" i="2"/>
  <c r="EZ272" i="2" s="1"/>
  <c r="EE272" i="2"/>
  <c r="EX272" i="2" s="1"/>
  <c r="ED272" i="2"/>
  <c r="EW272" i="2" s="1"/>
  <c r="EC272" i="2"/>
  <c r="EB272" i="2"/>
  <c r="EA272" i="2"/>
  <c r="DZ272" i="2"/>
  <c r="DY272" i="2"/>
  <c r="DX272" i="2"/>
  <c r="DW272" i="2"/>
  <c r="EP272" i="2" s="1"/>
  <c r="DV272" i="2"/>
  <c r="DU272" i="2"/>
  <c r="DT272" i="2"/>
  <c r="EM272" i="2" s="1"/>
  <c r="DS272" i="2"/>
  <c r="EL272" i="2" s="1"/>
  <c r="DR272" i="2"/>
  <c r="DQ272" i="2"/>
  <c r="DP272" i="2"/>
  <c r="FT224" i="2"/>
  <c r="FS224" i="2"/>
  <c r="GL224" i="2" s="1"/>
  <c r="FQ224" i="2"/>
  <c r="GJ224" i="2" s="1"/>
  <c r="FP224" i="2"/>
  <c r="GI224" i="2" s="1"/>
  <c r="FO224" i="2"/>
  <c r="FN224" i="2"/>
  <c r="FM224" i="2"/>
  <c r="FL224" i="2"/>
  <c r="FK224" i="2"/>
  <c r="FJ224" i="2"/>
  <c r="FI224" i="2"/>
  <c r="GB224" i="2" s="1"/>
  <c r="FH224" i="2"/>
  <c r="FG224" i="2"/>
  <c r="FF224" i="2"/>
  <c r="FY224" i="2" s="1"/>
  <c r="FE224" i="2"/>
  <c r="FX224" i="2" s="1"/>
  <c r="FD224" i="2"/>
  <c r="FC224" i="2"/>
  <c r="FB224" i="2"/>
  <c r="EH224" i="2"/>
  <c r="EG224" i="2"/>
  <c r="EZ224" i="2" s="1"/>
  <c r="EE224" i="2"/>
  <c r="EX224" i="2" s="1"/>
  <c r="ED224" i="2"/>
  <c r="EW224" i="2" s="1"/>
  <c r="EC224" i="2"/>
  <c r="EB224" i="2"/>
  <c r="EA224" i="2"/>
  <c r="DZ224" i="2"/>
  <c r="DY224" i="2"/>
  <c r="DX224" i="2"/>
  <c r="DW224" i="2"/>
  <c r="EP224" i="2" s="1"/>
  <c r="DV224" i="2"/>
  <c r="DU224" i="2"/>
  <c r="DT224" i="2"/>
  <c r="EM224" i="2" s="1"/>
  <c r="DS224" i="2"/>
  <c r="EL224" i="2" s="1"/>
  <c r="DR224" i="2"/>
  <c r="DQ224" i="2"/>
  <c r="DP224" i="2"/>
  <c r="FT223" i="2"/>
  <c r="FS223" i="2"/>
  <c r="GL223" i="2" s="1"/>
  <c r="FQ223" i="2"/>
  <c r="GJ223" i="2" s="1"/>
  <c r="FP223" i="2"/>
  <c r="GI223" i="2" s="1"/>
  <c r="FO223" i="2"/>
  <c r="FN223" i="2"/>
  <c r="FM223" i="2"/>
  <c r="FL223" i="2"/>
  <c r="FK223" i="2"/>
  <c r="FJ223" i="2"/>
  <c r="FI223" i="2"/>
  <c r="GB223" i="2" s="1"/>
  <c r="FH223" i="2"/>
  <c r="FG223" i="2"/>
  <c r="FF223" i="2"/>
  <c r="FY223" i="2" s="1"/>
  <c r="FE223" i="2"/>
  <c r="FX223" i="2" s="1"/>
  <c r="FD223" i="2"/>
  <c r="FC223" i="2"/>
  <c r="FB223" i="2"/>
  <c r="EH223" i="2"/>
  <c r="EG223" i="2"/>
  <c r="EZ223" i="2" s="1"/>
  <c r="EE223" i="2"/>
  <c r="EX223" i="2" s="1"/>
  <c r="ED223" i="2"/>
  <c r="EW223" i="2" s="1"/>
  <c r="EC223" i="2"/>
  <c r="EB223" i="2"/>
  <c r="EA223" i="2"/>
  <c r="DZ223" i="2"/>
  <c r="DY223" i="2"/>
  <c r="DX223" i="2"/>
  <c r="DW223" i="2"/>
  <c r="EP223" i="2" s="1"/>
  <c r="DV223" i="2"/>
  <c r="DU223" i="2"/>
  <c r="DT223" i="2"/>
  <c r="EM223" i="2" s="1"/>
  <c r="DS223" i="2"/>
  <c r="EL223" i="2" s="1"/>
  <c r="DR223" i="2"/>
  <c r="DQ223" i="2"/>
  <c r="DP223" i="2"/>
  <c r="FT170" i="2"/>
  <c r="FS170" i="2"/>
  <c r="GL170" i="2" s="1"/>
  <c r="FQ170" i="2"/>
  <c r="GJ170" i="2" s="1"/>
  <c r="FP170" i="2"/>
  <c r="GI170" i="2" s="1"/>
  <c r="FO170" i="2"/>
  <c r="FN170" i="2"/>
  <c r="FM170" i="2"/>
  <c r="FL170" i="2"/>
  <c r="FK170" i="2"/>
  <c r="FJ170" i="2"/>
  <c r="FI170" i="2"/>
  <c r="GB170" i="2" s="1"/>
  <c r="FH170" i="2"/>
  <c r="FG170" i="2"/>
  <c r="FF170" i="2"/>
  <c r="FY170" i="2" s="1"/>
  <c r="FE170" i="2"/>
  <c r="FX170" i="2" s="1"/>
  <c r="FD170" i="2"/>
  <c r="FC170" i="2"/>
  <c r="FB170" i="2"/>
  <c r="EH170" i="2"/>
  <c r="EG170" i="2"/>
  <c r="EZ170" i="2" s="1"/>
  <c r="EE170" i="2"/>
  <c r="EX170" i="2" s="1"/>
  <c r="ED170" i="2"/>
  <c r="EW170" i="2" s="1"/>
  <c r="EC170" i="2"/>
  <c r="EB170" i="2"/>
  <c r="EA170" i="2"/>
  <c r="DZ170" i="2"/>
  <c r="DY170" i="2"/>
  <c r="DX170" i="2"/>
  <c r="DW170" i="2"/>
  <c r="EP170" i="2" s="1"/>
  <c r="DV170" i="2"/>
  <c r="DU170" i="2"/>
  <c r="DT170" i="2"/>
  <c r="EM170" i="2" s="1"/>
  <c r="DS170" i="2"/>
  <c r="EL170" i="2" s="1"/>
  <c r="DR170" i="2"/>
  <c r="DQ170" i="2"/>
  <c r="DP170" i="2"/>
  <c r="FT237" i="2"/>
  <c r="FS237" i="2"/>
  <c r="GL237" i="2" s="1"/>
  <c r="FQ237" i="2"/>
  <c r="GJ237" i="2" s="1"/>
  <c r="FP237" i="2"/>
  <c r="GI237" i="2" s="1"/>
  <c r="FO237" i="2"/>
  <c r="FN237" i="2"/>
  <c r="FM237" i="2"/>
  <c r="FL237" i="2"/>
  <c r="FK237" i="2"/>
  <c r="FJ237" i="2"/>
  <c r="FI237" i="2"/>
  <c r="GB237" i="2" s="1"/>
  <c r="FH237" i="2"/>
  <c r="FG237" i="2"/>
  <c r="FF237" i="2"/>
  <c r="FY237" i="2" s="1"/>
  <c r="FE237" i="2"/>
  <c r="FX237" i="2" s="1"/>
  <c r="FD237" i="2"/>
  <c r="FC237" i="2"/>
  <c r="FB237" i="2"/>
  <c r="EH237" i="2"/>
  <c r="EG237" i="2"/>
  <c r="EZ237" i="2" s="1"/>
  <c r="EE237" i="2"/>
  <c r="EX237" i="2" s="1"/>
  <c r="ED237" i="2"/>
  <c r="EW237" i="2" s="1"/>
  <c r="EC237" i="2"/>
  <c r="EB237" i="2"/>
  <c r="EA237" i="2"/>
  <c r="DZ237" i="2"/>
  <c r="DY237" i="2"/>
  <c r="DX237" i="2"/>
  <c r="DW237" i="2"/>
  <c r="EP237" i="2" s="1"/>
  <c r="DV237" i="2"/>
  <c r="DU237" i="2"/>
  <c r="DT237" i="2"/>
  <c r="EM237" i="2" s="1"/>
  <c r="DS237" i="2"/>
  <c r="EL237" i="2" s="1"/>
  <c r="DR237" i="2"/>
  <c r="DQ237" i="2"/>
  <c r="FT236" i="2"/>
  <c r="FS236" i="2"/>
  <c r="GL236" i="2" s="1"/>
  <c r="FQ236" i="2"/>
  <c r="GJ236" i="2" s="1"/>
  <c r="FP236" i="2"/>
  <c r="GI236" i="2" s="1"/>
  <c r="FO236" i="2"/>
  <c r="FN236" i="2"/>
  <c r="FM236" i="2"/>
  <c r="FL236" i="2"/>
  <c r="FK236" i="2"/>
  <c r="FJ236" i="2"/>
  <c r="FI236" i="2"/>
  <c r="GB236" i="2" s="1"/>
  <c r="FH236" i="2"/>
  <c r="FG236" i="2"/>
  <c r="FF236" i="2"/>
  <c r="FY236" i="2" s="1"/>
  <c r="FE236" i="2"/>
  <c r="FX236" i="2" s="1"/>
  <c r="FD236" i="2"/>
  <c r="FC236" i="2"/>
  <c r="FB236" i="2"/>
  <c r="EH236" i="2"/>
  <c r="EG236" i="2"/>
  <c r="EZ236" i="2" s="1"/>
  <c r="EE236" i="2"/>
  <c r="EX236" i="2" s="1"/>
  <c r="ED236" i="2"/>
  <c r="EW236" i="2" s="1"/>
  <c r="EC236" i="2"/>
  <c r="EB236" i="2"/>
  <c r="EA236" i="2"/>
  <c r="DZ236" i="2"/>
  <c r="DY236" i="2"/>
  <c r="DX236" i="2"/>
  <c r="DW236" i="2"/>
  <c r="EP236" i="2" s="1"/>
  <c r="DV236" i="2"/>
  <c r="DU236" i="2"/>
  <c r="DT236" i="2"/>
  <c r="EM236" i="2" s="1"/>
  <c r="DS236" i="2"/>
  <c r="EL236" i="2" s="1"/>
  <c r="DR236" i="2"/>
  <c r="DQ236" i="2"/>
  <c r="DP236" i="2"/>
  <c r="FT285" i="2"/>
  <c r="FS285" i="2"/>
  <c r="GL285" i="2" s="1"/>
  <c r="FQ285" i="2"/>
  <c r="GJ285" i="2" s="1"/>
  <c r="FP285" i="2"/>
  <c r="GI285" i="2" s="1"/>
  <c r="FO285" i="2"/>
  <c r="FN285" i="2"/>
  <c r="FM285" i="2"/>
  <c r="FL285" i="2"/>
  <c r="FK285" i="2"/>
  <c r="FJ285" i="2"/>
  <c r="FI285" i="2"/>
  <c r="GB285" i="2" s="1"/>
  <c r="FH285" i="2"/>
  <c r="FG285" i="2"/>
  <c r="FF285" i="2"/>
  <c r="FY285" i="2" s="1"/>
  <c r="FE285" i="2"/>
  <c r="FX285" i="2" s="1"/>
  <c r="FD285" i="2"/>
  <c r="FC285" i="2"/>
  <c r="FB285" i="2"/>
  <c r="EH285" i="2"/>
  <c r="EG285" i="2"/>
  <c r="EZ285" i="2" s="1"/>
  <c r="EE285" i="2"/>
  <c r="EX285" i="2" s="1"/>
  <c r="ED285" i="2"/>
  <c r="EW285" i="2" s="1"/>
  <c r="EC285" i="2"/>
  <c r="EB285" i="2"/>
  <c r="EA285" i="2"/>
  <c r="DZ285" i="2"/>
  <c r="DY285" i="2"/>
  <c r="DX285" i="2"/>
  <c r="DW285" i="2"/>
  <c r="EP285" i="2" s="1"/>
  <c r="DV285" i="2"/>
  <c r="DU285" i="2"/>
  <c r="DT285" i="2"/>
  <c r="EM285" i="2" s="1"/>
  <c r="DS285" i="2"/>
  <c r="EL285" i="2" s="1"/>
  <c r="DR285" i="2"/>
  <c r="DQ285" i="2"/>
  <c r="DP285" i="2"/>
  <c r="FT222" i="2"/>
  <c r="FS222" i="2"/>
  <c r="GL222" i="2" s="1"/>
  <c r="FQ222" i="2"/>
  <c r="GJ222" i="2" s="1"/>
  <c r="FP222" i="2"/>
  <c r="GI222" i="2" s="1"/>
  <c r="FO222" i="2"/>
  <c r="FN222" i="2"/>
  <c r="FM222" i="2"/>
  <c r="FL222" i="2"/>
  <c r="FK222" i="2"/>
  <c r="FJ222" i="2"/>
  <c r="FI222" i="2"/>
  <c r="GB222" i="2" s="1"/>
  <c r="FH222" i="2"/>
  <c r="FG222" i="2"/>
  <c r="FF222" i="2"/>
  <c r="FY222" i="2" s="1"/>
  <c r="FE222" i="2"/>
  <c r="FX222" i="2" s="1"/>
  <c r="FD222" i="2"/>
  <c r="FC222" i="2"/>
  <c r="FB222" i="2"/>
  <c r="EH222" i="2"/>
  <c r="EG222" i="2"/>
  <c r="EZ222" i="2" s="1"/>
  <c r="EE222" i="2"/>
  <c r="EX222" i="2" s="1"/>
  <c r="ED222" i="2"/>
  <c r="EW222" i="2" s="1"/>
  <c r="EC222" i="2"/>
  <c r="EB222" i="2"/>
  <c r="EA222" i="2"/>
  <c r="DZ222" i="2"/>
  <c r="DY222" i="2"/>
  <c r="DX222" i="2"/>
  <c r="DW222" i="2"/>
  <c r="EP222" i="2" s="1"/>
  <c r="DV222" i="2"/>
  <c r="DU222" i="2"/>
  <c r="DT222" i="2"/>
  <c r="EM222" i="2" s="1"/>
  <c r="DS222" i="2"/>
  <c r="EL222" i="2" s="1"/>
  <c r="DR222" i="2"/>
  <c r="DQ222" i="2"/>
  <c r="DP222" i="2"/>
  <c r="FT271" i="2"/>
  <c r="FS271" i="2"/>
  <c r="GL271" i="2" s="1"/>
  <c r="FQ271" i="2"/>
  <c r="GJ271" i="2" s="1"/>
  <c r="FP271" i="2"/>
  <c r="GI271" i="2" s="1"/>
  <c r="FO271" i="2"/>
  <c r="FN271" i="2"/>
  <c r="FM271" i="2"/>
  <c r="FL271" i="2"/>
  <c r="FK271" i="2"/>
  <c r="FJ271" i="2"/>
  <c r="FI271" i="2"/>
  <c r="GB271" i="2" s="1"/>
  <c r="FH271" i="2"/>
  <c r="FG271" i="2"/>
  <c r="FF271" i="2"/>
  <c r="FY271" i="2" s="1"/>
  <c r="FE271" i="2"/>
  <c r="FX271" i="2" s="1"/>
  <c r="FD271" i="2"/>
  <c r="FC271" i="2"/>
  <c r="FB271" i="2"/>
  <c r="EH271" i="2"/>
  <c r="EG271" i="2"/>
  <c r="EZ271" i="2" s="1"/>
  <c r="EE271" i="2"/>
  <c r="EX271" i="2" s="1"/>
  <c r="ED271" i="2"/>
  <c r="EW271" i="2" s="1"/>
  <c r="EC271" i="2"/>
  <c r="EB271" i="2"/>
  <c r="EA271" i="2"/>
  <c r="DZ271" i="2"/>
  <c r="DY271" i="2"/>
  <c r="DX271" i="2"/>
  <c r="DW271" i="2"/>
  <c r="EP271" i="2" s="1"/>
  <c r="DV271" i="2"/>
  <c r="DU271" i="2"/>
  <c r="DT271" i="2"/>
  <c r="EM271" i="2" s="1"/>
  <c r="DS271" i="2"/>
  <c r="EL271" i="2" s="1"/>
  <c r="DR271" i="2"/>
  <c r="DQ271" i="2"/>
  <c r="DP271" i="2"/>
  <c r="FT270" i="2"/>
  <c r="FS270" i="2"/>
  <c r="GL270" i="2" s="1"/>
  <c r="FQ270" i="2"/>
  <c r="GJ270" i="2" s="1"/>
  <c r="FP270" i="2"/>
  <c r="GI270" i="2" s="1"/>
  <c r="FO270" i="2"/>
  <c r="FN270" i="2"/>
  <c r="FM270" i="2"/>
  <c r="FL270" i="2"/>
  <c r="FK270" i="2"/>
  <c r="FJ270" i="2"/>
  <c r="FI270" i="2"/>
  <c r="GB270" i="2" s="1"/>
  <c r="FH270" i="2"/>
  <c r="FG270" i="2"/>
  <c r="FF270" i="2"/>
  <c r="FY270" i="2" s="1"/>
  <c r="FE270" i="2"/>
  <c r="FX270" i="2" s="1"/>
  <c r="FD270" i="2"/>
  <c r="FC270" i="2"/>
  <c r="FB270" i="2"/>
  <c r="EH270" i="2"/>
  <c r="EG270" i="2"/>
  <c r="EZ270" i="2" s="1"/>
  <c r="EE270" i="2"/>
  <c r="EX270" i="2" s="1"/>
  <c r="ED270" i="2"/>
  <c r="EW270" i="2" s="1"/>
  <c r="EC270" i="2"/>
  <c r="EB270" i="2"/>
  <c r="EA270" i="2"/>
  <c r="DZ270" i="2"/>
  <c r="DY270" i="2"/>
  <c r="DX270" i="2"/>
  <c r="DW270" i="2"/>
  <c r="EP270" i="2" s="1"/>
  <c r="DV270" i="2"/>
  <c r="DU270" i="2"/>
  <c r="DT270" i="2"/>
  <c r="EM270" i="2" s="1"/>
  <c r="DS270" i="2"/>
  <c r="EL270" i="2" s="1"/>
  <c r="DR270" i="2"/>
  <c r="DQ270" i="2"/>
  <c r="DP270" i="2"/>
  <c r="FT284" i="2"/>
  <c r="FS284" i="2"/>
  <c r="GL284" i="2" s="1"/>
  <c r="FQ284" i="2"/>
  <c r="GJ284" i="2" s="1"/>
  <c r="FP284" i="2"/>
  <c r="GI284" i="2" s="1"/>
  <c r="FO284" i="2"/>
  <c r="FN284" i="2"/>
  <c r="FM284" i="2"/>
  <c r="FL284" i="2"/>
  <c r="FK284" i="2"/>
  <c r="FJ284" i="2"/>
  <c r="FI284" i="2"/>
  <c r="GB284" i="2" s="1"/>
  <c r="FH284" i="2"/>
  <c r="FG284" i="2"/>
  <c r="FF284" i="2"/>
  <c r="FY284" i="2" s="1"/>
  <c r="FE284" i="2"/>
  <c r="FX284" i="2" s="1"/>
  <c r="FD284" i="2"/>
  <c r="FC284" i="2"/>
  <c r="FB284" i="2"/>
  <c r="EH284" i="2"/>
  <c r="EG284" i="2"/>
  <c r="EZ284" i="2" s="1"/>
  <c r="EE284" i="2"/>
  <c r="EX284" i="2" s="1"/>
  <c r="ED284" i="2"/>
  <c r="EW284" i="2" s="1"/>
  <c r="EC284" i="2"/>
  <c r="EB284" i="2"/>
  <c r="EA284" i="2"/>
  <c r="DZ284" i="2"/>
  <c r="DY284" i="2"/>
  <c r="DX284" i="2"/>
  <c r="DW284" i="2"/>
  <c r="EP284" i="2" s="1"/>
  <c r="DV284" i="2"/>
  <c r="DU284" i="2"/>
  <c r="DT284" i="2"/>
  <c r="EM284" i="2" s="1"/>
  <c r="DS284" i="2"/>
  <c r="EL284" i="2" s="1"/>
  <c r="DR284" i="2"/>
  <c r="DQ284" i="2"/>
  <c r="DP284" i="2"/>
  <c r="FT221" i="2"/>
  <c r="FS221" i="2"/>
  <c r="GL221" i="2" s="1"/>
  <c r="FQ221" i="2"/>
  <c r="GJ221" i="2" s="1"/>
  <c r="FP221" i="2"/>
  <c r="GI221" i="2" s="1"/>
  <c r="FO221" i="2"/>
  <c r="FN221" i="2"/>
  <c r="FM221" i="2"/>
  <c r="FL221" i="2"/>
  <c r="FK221" i="2"/>
  <c r="FJ221" i="2"/>
  <c r="FI221" i="2"/>
  <c r="GB221" i="2" s="1"/>
  <c r="FH221" i="2"/>
  <c r="FG221" i="2"/>
  <c r="FF221" i="2"/>
  <c r="FY221" i="2" s="1"/>
  <c r="FE221" i="2"/>
  <c r="FX221" i="2" s="1"/>
  <c r="FD221" i="2"/>
  <c r="FC221" i="2"/>
  <c r="FB221" i="2"/>
  <c r="EH221" i="2"/>
  <c r="EG221" i="2"/>
  <c r="EZ221" i="2" s="1"/>
  <c r="EE221" i="2"/>
  <c r="EX221" i="2" s="1"/>
  <c r="ED221" i="2"/>
  <c r="EW221" i="2" s="1"/>
  <c r="EC221" i="2"/>
  <c r="EB221" i="2"/>
  <c r="EA221" i="2"/>
  <c r="DZ221" i="2"/>
  <c r="DY221" i="2"/>
  <c r="DX221" i="2"/>
  <c r="DW221" i="2"/>
  <c r="EP221" i="2" s="1"/>
  <c r="DV221" i="2"/>
  <c r="DU221" i="2"/>
  <c r="DT221" i="2"/>
  <c r="EM221" i="2" s="1"/>
  <c r="DS221" i="2"/>
  <c r="EL221" i="2" s="1"/>
  <c r="DR221" i="2"/>
  <c r="DQ221" i="2"/>
  <c r="DP221" i="2"/>
  <c r="FT220" i="2"/>
  <c r="FS220" i="2"/>
  <c r="GL220" i="2" s="1"/>
  <c r="FQ220" i="2"/>
  <c r="GJ220" i="2" s="1"/>
  <c r="FP220" i="2"/>
  <c r="GI220" i="2" s="1"/>
  <c r="FO220" i="2"/>
  <c r="FN220" i="2"/>
  <c r="FM220" i="2"/>
  <c r="FL220" i="2"/>
  <c r="FK220" i="2"/>
  <c r="FJ220" i="2"/>
  <c r="FI220" i="2"/>
  <c r="GB220" i="2" s="1"/>
  <c r="FH220" i="2"/>
  <c r="FG220" i="2"/>
  <c r="FF220" i="2"/>
  <c r="FY220" i="2" s="1"/>
  <c r="FE220" i="2"/>
  <c r="FX220" i="2" s="1"/>
  <c r="FD220" i="2"/>
  <c r="FC220" i="2"/>
  <c r="FB220" i="2"/>
  <c r="EH220" i="2"/>
  <c r="EG220" i="2"/>
  <c r="EZ220" i="2" s="1"/>
  <c r="EE220" i="2"/>
  <c r="EX220" i="2" s="1"/>
  <c r="EC220" i="2"/>
  <c r="EB220" i="2"/>
  <c r="EA220" i="2"/>
  <c r="DZ220" i="2"/>
  <c r="DY220" i="2"/>
  <c r="DX220" i="2"/>
  <c r="DW220" i="2"/>
  <c r="EP220" i="2" s="1"/>
  <c r="DV220" i="2"/>
  <c r="DU220" i="2"/>
  <c r="DT220" i="2"/>
  <c r="EM220" i="2" s="1"/>
  <c r="DS220" i="2"/>
  <c r="EL220" i="2" s="1"/>
  <c r="DR220" i="2"/>
  <c r="DQ220" i="2"/>
  <c r="DP220" i="2"/>
  <c r="FT269" i="2"/>
  <c r="FS269" i="2"/>
  <c r="GL269" i="2" s="1"/>
  <c r="FQ269" i="2"/>
  <c r="GJ269" i="2" s="1"/>
  <c r="FP269" i="2"/>
  <c r="GI269" i="2" s="1"/>
  <c r="FO269" i="2"/>
  <c r="FN269" i="2"/>
  <c r="FM269" i="2"/>
  <c r="FL269" i="2"/>
  <c r="FK269" i="2"/>
  <c r="FJ269" i="2"/>
  <c r="FI269" i="2"/>
  <c r="GB269" i="2" s="1"/>
  <c r="FH269" i="2"/>
  <c r="FG269" i="2"/>
  <c r="FF269" i="2"/>
  <c r="FY269" i="2" s="1"/>
  <c r="FE269" i="2"/>
  <c r="FX269" i="2" s="1"/>
  <c r="FD269" i="2"/>
  <c r="FC269" i="2"/>
  <c r="FB269" i="2"/>
  <c r="EH269" i="2"/>
  <c r="EG269" i="2"/>
  <c r="EZ269" i="2" s="1"/>
  <c r="EE269" i="2"/>
  <c r="EX269" i="2" s="1"/>
  <c r="ED269" i="2"/>
  <c r="EW269" i="2" s="1"/>
  <c r="EC269" i="2"/>
  <c r="EB269" i="2"/>
  <c r="EA269" i="2"/>
  <c r="DZ269" i="2"/>
  <c r="DY269" i="2"/>
  <c r="DX269" i="2"/>
  <c r="DW269" i="2"/>
  <c r="EP269" i="2" s="1"/>
  <c r="DV269" i="2"/>
  <c r="DU269" i="2"/>
  <c r="DT269" i="2"/>
  <c r="EM269" i="2" s="1"/>
  <c r="DS269" i="2"/>
  <c r="EL269" i="2" s="1"/>
  <c r="DR269" i="2"/>
  <c r="DQ269" i="2"/>
  <c r="DP269" i="2"/>
  <c r="FT283" i="2"/>
  <c r="FS283" i="2"/>
  <c r="GL283" i="2" s="1"/>
  <c r="FQ283" i="2"/>
  <c r="GJ283" i="2" s="1"/>
  <c r="FP283" i="2"/>
  <c r="GI283" i="2" s="1"/>
  <c r="FO283" i="2"/>
  <c r="FN283" i="2"/>
  <c r="FM283" i="2"/>
  <c r="FL283" i="2"/>
  <c r="FK283" i="2"/>
  <c r="FJ283" i="2"/>
  <c r="FI283" i="2"/>
  <c r="GB283" i="2" s="1"/>
  <c r="FH283" i="2"/>
  <c r="FG283" i="2"/>
  <c r="FF283" i="2"/>
  <c r="FY283" i="2" s="1"/>
  <c r="FE283" i="2"/>
  <c r="FX283" i="2" s="1"/>
  <c r="FD283" i="2"/>
  <c r="FC283" i="2"/>
  <c r="FB283" i="2"/>
  <c r="EH283" i="2"/>
  <c r="EG283" i="2"/>
  <c r="EZ283" i="2" s="1"/>
  <c r="EE283" i="2"/>
  <c r="EX283" i="2" s="1"/>
  <c r="ED283" i="2"/>
  <c r="EW283" i="2" s="1"/>
  <c r="EC283" i="2"/>
  <c r="EB283" i="2"/>
  <c r="EA283" i="2"/>
  <c r="DZ283" i="2"/>
  <c r="DY283" i="2"/>
  <c r="DX283" i="2"/>
  <c r="DW283" i="2"/>
  <c r="EP283" i="2" s="1"/>
  <c r="DV283" i="2"/>
  <c r="DU283" i="2"/>
  <c r="DT283" i="2"/>
  <c r="EM283" i="2" s="1"/>
  <c r="DS283" i="2"/>
  <c r="EL283" i="2" s="1"/>
  <c r="DR283" i="2"/>
  <c r="DQ283" i="2"/>
  <c r="DP283" i="2"/>
  <c r="FT219" i="2"/>
  <c r="FS219" i="2"/>
  <c r="GL219" i="2" s="1"/>
  <c r="FQ219" i="2"/>
  <c r="GJ219" i="2" s="1"/>
  <c r="FP219" i="2"/>
  <c r="GI219" i="2" s="1"/>
  <c r="FO219" i="2"/>
  <c r="FN219" i="2"/>
  <c r="FM219" i="2"/>
  <c r="FL219" i="2"/>
  <c r="FK219" i="2"/>
  <c r="FJ219" i="2"/>
  <c r="FI219" i="2"/>
  <c r="GB219" i="2" s="1"/>
  <c r="FH219" i="2"/>
  <c r="FG219" i="2"/>
  <c r="FF219" i="2"/>
  <c r="FY219" i="2" s="1"/>
  <c r="FE219" i="2"/>
  <c r="FX219" i="2" s="1"/>
  <c r="FD219" i="2"/>
  <c r="FC219" i="2"/>
  <c r="FB219" i="2"/>
  <c r="EH219" i="2"/>
  <c r="EG219" i="2"/>
  <c r="EZ219" i="2" s="1"/>
  <c r="ED219" i="2"/>
  <c r="EW219" i="2" s="1"/>
  <c r="EC219" i="2"/>
  <c r="EB219" i="2"/>
  <c r="EA219" i="2"/>
  <c r="DZ219" i="2"/>
  <c r="DY219" i="2"/>
  <c r="DX219" i="2"/>
  <c r="DW219" i="2"/>
  <c r="EP219" i="2" s="1"/>
  <c r="DV219" i="2"/>
  <c r="DU219" i="2"/>
  <c r="DT219" i="2"/>
  <c r="EM219" i="2" s="1"/>
  <c r="DS219" i="2"/>
  <c r="EL219" i="2" s="1"/>
  <c r="DR219" i="2"/>
  <c r="DQ219" i="2"/>
  <c r="DP219" i="2"/>
  <c r="FT191" i="2"/>
  <c r="FS191" i="2"/>
  <c r="GL191" i="2" s="1"/>
  <c r="FQ191" i="2"/>
  <c r="GJ191" i="2" s="1"/>
  <c r="FP191" i="2"/>
  <c r="GI191" i="2" s="1"/>
  <c r="FO191" i="2"/>
  <c r="FN191" i="2"/>
  <c r="FM191" i="2"/>
  <c r="FL191" i="2"/>
  <c r="FK191" i="2"/>
  <c r="FJ191" i="2"/>
  <c r="FI191" i="2"/>
  <c r="GB191" i="2" s="1"/>
  <c r="FH191" i="2"/>
  <c r="FG191" i="2"/>
  <c r="FF191" i="2"/>
  <c r="FY191" i="2" s="1"/>
  <c r="FE191" i="2"/>
  <c r="FX191" i="2" s="1"/>
  <c r="FD191" i="2"/>
  <c r="FC191" i="2"/>
  <c r="FB191" i="2"/>
  <c r="EH191" i="2"/>
  <c r="EG191" i="2"/>
  <c r="EZ191" i="2" s="1"/>
  <c r="EE191" i="2"/>
  <c r="EX191" i="2" s="1"/>
  <c r="ED191" i="2"/>
  <c r="EW191" i="2" s="1"/>
  <c r="EC191" i="2"/>
  <c r="EB191" i="2"/>
  <c r="EA191" i="2"/>
  <c r="DZ191" i="2"/>
  <c r="DY191" i="2"/>
  <c r="DX191" i="2"/>
  <c r="DW191" i="2"/>
  <c r="EP191" i="2" s="1"/>
  <c r="DV191" i="2"/>
  <c r="DU191" i="2"/>
  <c r="DT191" i="2"/>
  <c r="EM191" i="2" s="1"/>
  <c r="DS191" i="2"/>
  <c r="EL191" i="2" s="1"/>
  <c r="DR191" i="2"/>
  <c r="DQ191" i="2"/>
  <c r="DP191" i="2"/>
  <c r="FT201" i="2"/>
  <c r="FS201" i="2"/>
  <c r="GL201" i="2" s="1"/>
  <c r="FQ201" i="2"/>
  <c r="GJ201" i="2" s="1"/>
  <c r="FP201" i="2"/>
  <c r="GI201" i="2" s="1"/>
  <c r="FO201" i="2"/>
  <c r="FN201" i="2"/>
  <c r="FM201" i="2"/>
  <c r="FL201" i="2"/>
  <c r="FK201" i="2"/>
  <c r="FJ201" i="2"/>
  <c r="FI201" i="2"/>
  <c r="GB201" i="2" s="1"/>
  <c r="FH201" i="2"/>
  <c r="FG201" i="2"/>
  <c r="FF201" i="2"/>
  <c r="FY201" i="2" s="1"/>
  <c r="FE201" i="2"/>
  <c r="FX201" i="2" s="1"/>
  <c r="FD201" i="2"/>
  <c r="FC201" i="2"/>
  <c r="FB201" i="2"/>
  <c r="EH201" i="2"/>
  <c r="EG201" i="2"/>
  <c r="EZ201" i="2" s="1"/>
  <c r="EE201" i="2"/>
  <c r="EX201" i="2" s="1"/>
  <c r="ED201" i="2"/>
  <c r="EW201" i="2" s="1"/>
  <c r="EC201" i="2"/>
  <c r="EB201" i="2"/>
  <c r="EA201" i="2"/>
  <c r="DZ201" i="2"/>
  <c r="DY201" i="2"/>
  <c r="DX201" i="2"/>
  <c r="DW201" i="2"/>
  <c r="EP201" i="2" s="1"/>
  <c r="DV201" i="2"/>
  <c r="DU201" i="2"/>
  <c r="DT201" i="2"/>
  <c r="EM201" i="2" s="1"/>
  <c r="DS201" i="2"/>
  <c r="EL201" i="2" s="1"/>
  <c r="DR201" i="2"/>
  <c r="DQ201" i="2"/>
  <c r="DP201" i="2"/>
  <c r="FT257" i="2"/>
  <c r="FS257" i="2"/>
  <c r="GL257" i="2" s="1"/>
  <c r="FQ257" i="2"/>
  <c r="GJ257" i="2" s="1"/>
  <c r="FP257" i="2"/>
  <c r="GI257" i="2" s="1"/>
  <c r="FO257" i="2"/>
  <c r="FN257" i="2"/>
  <c r="FM257" i="2"/>
  <c r="FL257" i="2"/>
  <c r="FK257" i="2"/>
  <c r="FJ257" i="2"/>
  <c r="FI257" i="2"/>
  <c r="GB257" i="2" s="1"/>
  <c r="FH257" i="2"/>
  <c r="FG257" i="2"/>
  <c r="FF257" i="2"/>
  <c r="FY257" i="2" s="1"/>
  <c r="FE257" i="2"/>
  <c r="FX257" i="2" s="1"/>
  <c r="FD257" i="2"/>
  <c r="FC257" i="2"/>
  <c r="FB257" i="2"/>
  <c r="EH257" i="2"/>
  <c r="EG257" i="2"/>
  <c r="EZ257" i="2" s="1"/>
  <c r="EE257" i="2"/>
  <c r="EX257" i="2" s="1"/>
  <c r="ED257" i="2"/>
  <c r="EW257" i="2" s="1"/>
  <c r="EC257" i="2"/>
  <c r="EB257" i="2"/>
  <c r="EA257" i="2"/>
  <c r="DZ257" i="2"/>
  <c r="DY257" i="2"/>
  <c r="DX257" i="2"/>
  <c r="DW257" i="2"/>
  <c r="EP257" i="2" s="1"/>
  <c r="DV257" i="2"/>
  <c r="DU257" i="2"/>
  <c r="DT257" i="2"/>
  <c r="EM257" i="2" s="1"/>
  <c r="DS257" i="2"/>
  <c r="EL257" i="2" s="1"/>
  <c r="DR257" i="2"/>
  <c r="DQ257" i="2"/>
  <c r="DP257" i="2"/>
  <c r="FT175" i="2"/>
  <c r="FS175" i="2"/>
  <c r="GL175" i="2" s="1"/>
  <c r="FQ175" i="2"/>
  <c r="GJ175" i="2" s="1"/>
  <c r="FP175" i="2"/>
  <c r="GI175" i="2" s="1"/>
  <c r="FO175" i="2"/>
  <c r="FN175" i="2"/>
  <c r="FM175" i="2"/>
  <c r="FL175" i="2"/>
  <c r="FK175" i="2"/>
  <c r="FJ175" i="2"/>
  <c r="FI175" i="2"/>
  <c r="GB175" i="2" s="1"/>
  <c r="FH175" i="2"/>
  <c r="FG175" i="2"/>
  <c r="FF175" i="2"/>
  <c r="FY175" i="2" s="1"/>
  <c r="FE175" i="2"/>
  <c r="FX175" i="2" s="1"/>
  <c r="FD175" i="2"/>
  <c r="FC175" i="2"/>
  <c r="FB175" i="2"/>
  <c r="EH175" i="2"/>
  <c r="EG175" i="2"/>
  <c r="EZ175" i="2" s="1"/>
  <c r="EE175" i="2"/>
  <c r="EX175" i="2" s="1"/>
  <c r="ED175" i="2"/>
  <c r="EW175" i="2" s="1"/>
  <c r="EC175" i="2"/>
  <c r="EB175" i="2"/>
  <c r="EA175" i="2"/>
  <c r="DZ175" i="2"/>
  <c r="DY175" i="2"/>
  <c r="DX175" i="2"/>
  <c r="DW175" i="2"/>
  <c r="EP175" i="2" s="1"/>
  <c r="DV175" i="2"/>
  <c r="DU175" i="2"/>
  <c r="DT175" i="2"/>
  <c r="EM175" i="2" s="1"/>
  <c r="DS175" i="2"/>
  <c r="EL175" i="2" s="1"/>
  <c r="DR175" i="2"/>
  <c r="DQ175" i="2"/>
  <c r="DP175" i="2"/>
  <c r="FT173" i="2"/>
  <c r="FS173" i="2"/>
  <c r="GL173" i="2" s="1"/>
  <c r="FQ173" i="2"/>
  <c r="GJ173" i="2" s="1"/>
  <c r="FP173" i="2"/>
  <c r="GI173" i="2" s="1"/>
  <c r="FO173" i="2"/>
  <c r="FN173" i="2"/>
  <c r="FM173" i="2"/>
  <c r="FL173" i="2"/>
  <c r="FK173" i="2"/>
  <c r="FJ173" i="2"/>
  <c r="FI173" i="2"/>
  <c r="GB173" i="2" s="1"/>
  <c r="FH173" i="2"/>
  <c r="FG173" i="2"/>
  <c r="FF173" i="2"/>
  <c r="FY173" i="2" s="1"/>
  <c r="FE173" i="2"/>
  <c r="FX173" i="2" s="1"/>
  <c r="FD173" i="2"/>
  <c r="FC173" i="2"/>
  <c r="FB173" i="2"/>
  <c r="EH173" i="2"/>
  <c r="EG173" i="2"/>
  <c r="EZ173" i="2" s="1"/>
  <c r="EE173" i="2"/>
  <c r="EX173" i="2" s="1"/>
  <c r="ED173" i="2"/>
  <c r="EW173" i="2" s="1"/>
  <c r="EC173" i="2"/>
  <c r="EB173" i="2"/>
  <c r="EA173" i="2"/>
  <c r="DZ173" i="2"/>
  <c r="DY173" i="2"/>
  <c r="DX173" i="2"/>
  <c r="DW173" i="2"/>
  <c r="EP173" i="2" s="1"/>
  <c r="DV173" i="2"/>
  <c r="DU173" i="2"/>
  <c r="DT173" i="2"/>
  <c r="EM173" i="2" s="1"/>
  <c r="DS173" i="2"/>
  <c r="EL173" i="2" s="1"/>
  <c r="DR173" i="2"/>
  <c r="DQ173" i="2"/>
  <c r="DP173" i="2"/>
  <c r="FT248" i="2"/>
  <c r="FS248" i="2"/>
  <c r="GL248" i="2" s="1"/>
  <c r="FQ248" i="2"/>
  <c r="GJ248" i="2" s="1"/>
  <c r="FP248" i="2"/>
  <c r="GI248" i="2" s="1"/>
  <c r="FO248" i="2"/>
  <c r="FN248" i="2"/>
  <c r="FM248" i="2"/>
  <c r="FL248" i="2"/>
  <c r="FK248" i="2"/>
  <c r="FJ248" i="2"/>
  <c r="FI248" i="2"/>
  <c r="GB248" i="2" s="1"/>
  <c r="FH248" i="2"/>
  <c r="FG248" i="2"/>
  <c r="FF248" i="2"/>
  <c r="FY248" i="2" s="1"/>
  <c r="FE248" i="2"/>
  <c r="FX248" i="2" s="1"/>
  <c r="FD248" i="2"/>
  <c r="FC248" i="2"/>
  <c r="FB248" i="2"/>
  <c r="EH248" i="2"/>
  <c r="EG248" i="2"/>
  <c r="EZ248" i="2" s="1"/>
  <c r="EE248" i="2"/>
  <c r="EX248" i="2" s="1"/>
  <c r="ED248" i="2"/>
  <c r="EW248" i="2" s="1"/>
  <c r="EC248" i="2"/>
  <c r="EB248" i="2"/>
  <c r="EA248" i="2"/>
  <c r="DZ248" i="2"/>
  <c r="DY248" i="2"/>
  <c r="DX248" i="2"/>
  <c r="DW248" i="2"/>
  <c r="EP248" i="2" s="1"/>
  <c r="DV248" i="2"/>
  <c r="DU248" i="2"/>
  <c r="DT248" i="2"/>
  <c r="EM248" i="2" s="1"/>
  <c r="DS248" i="2"/>
  <c r="EL248" i="2" s="1"/>
  <c r="DR248" i="2"/>
  <c r="DQ248" i="2"/>
  <c r="DP248" i="2"/>
  <c r="FT168" i="2"/>
  <c r="FS168" i="2"/>
  <c r="GL168" i="2" s="1"/>
  <c r="FQ168" i="2"/>
  <c r="GJ168" i="2" s="1"/>
  <c r="FP168" i="2"/>
  <c r="GI168" i="2" s="1"/>
  <c r="FO168" i="2"/>
  <c r="FN168" i="2"/>
  <c r="FM168" i="2"/>
  <c r="FL168" i="2"/>
  <c r="FK168" i="2"/>
  <c r="FJ168" i="2"/>
  <c r="FI168" i="2"/>
  <c r="GB168" i="2" s="1"/>
  <c r="FH168" i="2"/>
  <c r="FG168" i="2"/>
  <c r="FF168" i="2"/>
  <c r="FY168" i="2" s="1"/>
  <c r="FE168" i="2"/>
  <c r="FX168" i="2" s="1"/>
  <c r="FD168" i="2"/>
  <c r="FC168" i="2"/>
  <c r="FB168" i="2"/>
  <c r="EH168" i="2"/>
  <c r="EG168" i="2"/>
  <c r="EZ168" i="2" s="1"/>
  <c r="EE168" i="2"/>
  <c r="EX168" i="2" s="1"/>
  <c r="ED168" i="2"/>
  <c r="EW168" i="2" s="1"/>
  <c r="EC168" i="2"/>
  <c r="EB168" i="2"/>
  <c r="EA168" i="2"/>
  <c r="DZ168" i="2"/>
  <c r="DY168" i="2"/>
  <c r="DX168" i="2"/>
  <c r="DW168" i="2"/>
  <c r="EP168" i="2" s="1"/>
  <c r="DV168" i="2"/>
  <c r="DU168" i="2"/>
  <c r="DT168" i="2"/>
  <c r="EM168" i="2" s="1"/>
  <c r="DS168" i="2"/>
  <c r="EL168" i="2" s="1"/>
  <c r="DR168" i="2"/>
  <c r="DQ168" i="2"/>
  <c r="DP168" i="2"/>
  <c r="FT247" i="2"/>
  <c r="FS247" i="2"/>
  <c r="GL247" i="2" s="1"/>
  <c r="FQ247" i="2"/>
  <c r="GJ247" i="2" s="1"/>
  <c r="FP247" i="2"/>
  <c r="GI247" i="2" s="1"/>
  <c r="FO247" i="2"/>
  <c r="FN247" i="2"/>
  <c r="FM247" i="2"/>
  <c r="FL247" i="2"/>
  <c r="FK247" i="2"/>
  <c r="FJ247" i="2"/>
  <c r="FI247" i="2"/>
  <c r="GB247" i="2" s="1"/>
  <c r="FH247" i="2"/>
  <c r="FG247" i="2"/>
  <c r="FF247" i="2"/>
  <c r="FY247" i="2" s="1"/>
  <c r="FE247" i="2"/>
  <c r="FX247" i="2" s="1"/>
  <c r="FD247" i="2"/>
  <c r="FC247" i="2"/>
  <c r="FB247" i="2"/>
  <c r="EH247" i="2"/>
  <c r="EG247" i="2"/>
  <c r="EZ247" i="2" s="1"/>
  <c r="EE247" i="2"/>
  <c r="EX247" i="2" s="1"/>
  <c r="ED247" i="2"/>
  <c r="EW247" i="2" s="1"/>
  <c r="EC247" i="2"/>
  <c r="EB247" i="2"/>
  <c r="EA247" i="2"/>
  <c r="DZ247" i="2"/>
  <c r="DY247" i="2"/>
  <c r="DX247" i="2"/>
  <c r="DW247" i="2"/>
  <c r="EP247" i="2" s="1"/>
  <c r="DV247" i="2"/>
  <c r="DU247" i="2"/>
  <c r="DT247" i="2"/>
  <c r="EM247" i="2" s="1"/>
  <c r="DS247" i="2"/>
  <c r="EL247" i="2" s="1"/>
  <c r="DR247" i="2"/>
  <c r="DQ247" i="2"/>
  <c r="DP247" i="2"/>
  <c r="FT114" i="2"/>
  <c r="FS114" i="2"/>
  <c r="GL114" i="2" s="1"/>
  <c r="FQ114" i="2"/>
  <c r="GJ114" i="2" s="1"/>
  <c r="FP114" i="2"/>
  <c r="GI114" i="2" s="1"/>
  <c r="FO114" i="2"/>
  <c r="FN114" i="2"/>
  <c r="FM114" i="2"/>
  <c r="FL114" i="2"/>
  <c r="FK114" i="2"/>
  <c r="FJ114" i="2"/>
  <c r="FI114" i="2"/>
  <c r="GB114" i="2" s="1"/>
  <c r="FH114" i="2"/>
  <c r="FG114" i="2"/>
  <c r="FF114" i="2"/>
  <c r="FY114" i="2" s="1"/>
  <c r="FE114" i="2"/>
  <c r="FX114" i="2" s="1"/>
  <c r="FD114" i="2"/>
  <c r="FC114" i="2"/>
  <c r="FB114" i="2"/>
  <c r="EH114" i="2"/>
  <c r="EG114" i="2"/>
  <c r="EZ114" i="2" s="1"/>
  <c r="EE114" i="2"/>
  <c r="EX114" i="2" s="1"/>
  <c r="ED114" i="2"/>
  <c r="EW114" i="2" s="1"/>
  <c r="EC114" i="2"/>
  <c r="EB114" i="2"/>
  <c r="EA114" i="2"/>
  <c r="DZ114" i="2"/>
  <c r="DY114" i="2"/>
  <c r="DX114" i="2"/>
  <c r="DW114" i="2"/>
  <c r="EP114" i="2" s="1"/>
  <c r="DV114" i="2"/>
  <c r="DU114" i="2"/>
  <c r="DT114" i="2"/>
  <c r="EM114" i="2" s="1"/>
  <c r="DS114" i="2"/>
  <c r="EL114" i="2" s="1"/>
  <c r="DR114" i="2"/>
  <c r="DQ114" i="2"/>
  <c r="DP114" i="2"/>
  <c r="FT113" i="2"/>
  <c r="FS113" i="2"/>
  <c r="GL113" i="2" s="1"/>
  <c r="FQ113" i="2"/>
  <c r="GJ113" i="2" s="1"/>
  <c r="FP113" i="2"/>
  <c r="GI113" i="2" s="1"/>
  <c r="FO113" i="2"/>
  <c r="FN113" i="2"/>
  <c r="FM113" i="2"/>
  <c r="FL113" i="2"/>
  <c r="FK113" i="2"/>
  <c r="FJ113" i="2"/>
  <c r="FI113" i="2"/>
  <c r="GB113" i="2" s="1"/>
  <c r="FH113" i="2"/>
  <c r="FG113" i="2"/>
  <c r="FF113" i="2"/>
  <c r="FY113" i="2" s="1"/>
  <c r="FE113" i="2"/>
  <c r="FX113" i="2" s="1"/>
  <c r="FD113" i="2"/>
  <c r="FC113" i="2"/>
  <c r="FB113" i="2"/>
  <c r="EH113" i="2"/>
  <c r="EG113" i="2"/>
  <c r="EZ113" i="2" s="1"/>
  <c r="EE113" i="2"/>
  <c r="EX113" i="2" s="1"/>
  <c r="ED113" i="2"/>
  <c r="EW113" i="2" s="1"/>
  <c r="EC113" i="2"/>
  <c r="EB113" i="2"/>
  <c r="EA113" i="2"/>
  <c r="DZ113" i="2"/>
  <c r="DY113" i="2"/>
  <c r="DX113" i="2"/>
  <c r="DW113" i="2"/>
  <c r="EP113" i="2" s="1"/>
  <c r="DV113" i="2"/>
  <c r="DU113" i="2"/>
  <c r="DT113" i="2"/>
  <c r="EM113" i="2" s="1"/>
  <c r="DS113" i="2"/>
  <c r="EL113" i="2" s="1"/>
  <c r="DR113" i="2"/>
  <c r="DQ113" i="2"/>
  <c r="DP113" i="2"/>
  <c r="FT121" i="2"/>
  <c r="FS121" i="2"/>
  <c r="GL121" i="2" s="1"/>
  <c r="FQ121" i="2"/>
  <c r="GJ121" i="2" s="1"/>
  <c r="FP121" i="2"/>
  <c r="GI121" i="2" s="1"/>
  <c r="FO121" i="2"/>
  <c r="FN121" i="2"/>
  <c r="FM121" i="2"/>
  <c r="FL121" i="2"/>
  <c r="FK121" i="2"/>
  <c r="FJ121" i="2"/>
  <c r="FI121" i="2"/>
  <c r="GB121" i="2" s="1"/>
  <c r="FH121" i="2"/>
  <c r="FG121" i="2"/>
  <c r="FF121" i="2"/>
  <c r="FY121" i="2" s="1"/>
  <c r="FE121" i="2"/>
  <c r="FX121" i="2" s="1"/>
  <c r="FD121" i="2"/>
  <c r="FC121" i="2"/>
  <c r="FB121" i="2"/>
  <c r="EH121" i="2"/>
  <c r="EG121" i="2"/>
  <c r="EZ121" i="2" s="1"/>
  <c r="EE121" i="2"/>
  <c r="EX121" i="2" s="1"/>
  <c r="ED121" i="2"/>
  <c r="EW121" i="2" s="1"/>
  <c r="EC121" i="2"/>
  <c r="EB121" i="2"/>
  <c r="EA121" i="2"/>
  <c r="DZ121" i="2"/>
  <c r="DY121" i="2"/>
  <c r="DX121" i="2"/>
  <c r="DW121" i="2"/>
  <c r="EP121" i="2" s="1"/>
  <c r="DV121" i="2"/>
  <c r="DU121" i="2"/>
  <c r="DT121" i="2"/>
  <c r="EM121" i="2" s="1"/>
  <c r="DS121" i="2"/>
  <c r="EL121" i="2" s="1"/>
  <c r="DR121" i="2"/>
  <c r="DQ121" i="2"/>
  <c r="DP121" i="2"/>
  <c r="FT120" i="2"/>
  <c r="FS120" i="2"/>
  <c r="GL120" i="2" s="1"/>
  <c r="FQ120" i="2"/>
  <c r="GJ120" i="2" s="1"/>
  <c r="FP120" i="2"/>
  <c r="GI120" i="2" s="1"/>
  <c r="FO120" i="2"/>
  <c r="FN120" i="2"/>
  <c r="FM120" i="2"/>
  <c r="FL120" i="2"/>
  <c r="FK120" i="2"/>
  <c r="FJ120" i="2"/>
  <c r="FI120" i="2"/>
  <c r="GB120" i="2" s="1"/>
  <c r="FH120" i="2"/>
  <c r="FG120" i="2"/>
  <c r="FF120" i="2"/>
  <c r="FY120" i="2" s="1"/>
  <c r="FE120" i="2"/>
  <c r="FX120" i="2" s="1"/>
  <c r="FD120" i="2"/>
  <c r="FC120" i="2"/>
  <c r="FB120" i="2"/>
  <c r="FT110" i="2"/>
  <c r="FS110" i="2"/>
  <c r="GL110" i="2" s="1"/>
  <c r="FQ110" i="2"/>
  <c r="GJ110" i="2" s="1"/>
  <c r="FP110" i="2"/>
  <c r="GI110" i="2" s="1"/>
  <c r="FO110" i="2"/>
  <c r="FN110" i="2"/>
  <c r="FM110" i="2"/>
  <c r="FL110" i="2"/>
  <c r="FK110" i="2"/>
  <c r="FJ110" i="2"/>
  <c r="FI110" i="2"/>
  <c r="GB110" i="2" s="1"/>
  <c r="FH110" i="2"/>
  <c r="FG110" i="2"/>
  <c r="FF110" i="2"/>
  <c r="FY110" i="2" s="1"/>
  <c r="FE110" i="2"/>
  <c r="FX110" i="2" s="1"/>
  <c r="FD110" i="2"/>
  <c r="FC110" i="2"/>
  <c r="FB110" i="2"/>
  <c r="EH110" i="2"/>
  <c r="EG110" i="2"/>
  <c r="EZ110" i="2" s="1"/>
  <c r="EE110" i="2"/>
  <c r="EX110" i="2" s="1"/>
  <c r="ED110" i="2"/>
  <c r="EW110" i="2" s="1"/>
  <c r="EC110" i="2"/>
  <c r="EB110" i="2"/>
  <c r="EA110" i="2"/>
  <c r="DZ110" i="2"/>
  <c r="DY110" i="2"/>
  <c r="DX110" i="2"/>
  <c r="DW110" i="2"/>
  <c r="EP110" i="2" s="1"/>
  <c r="DV110" i="2"/>
  <c r="DU110" i="2"/>
  <c r="DT110" i="2"/>
  <c r="EM110" i="2" s="1"/>
  <c r="DS110" i="2"/>
  <c r="EL110" i="2" s="1"/>
  <c r="DR110" i="2"/>
  <c r="DQ110" i="2"/>
  <c r="DP110" i="2"/>
  <c r="FT109" i="2"/>
  <c r="FS109" i="2"/>
  <c r="GL109" i="2" s="1"/>
  <c r="FQ109" i="2"/>
  <c r="GJ109" i="2" s="1"/>
  <c r="FP109" i="2"/>
  <c r="GI109" i="2" s="1"/>
  <c r="FO109" i="2"/>
  <c r="FN109" i="2"/>
  <c r="FM109" i="2"/>
  <c r="FL109" i="2"/>
  <c r="FK109" i="2"/>
  <c r="FJ109" i="2"/>
  <c r="FI109" i="2"/>
  <c r="GB109" i="2" s="1"/>
  <c r="FH109" i="2"/>
  <c r="FG109" i="2"/>
  <c r="FF109" i="2"/>
  <c r="FY109" i="2" s="1"/>
  <c r="FE109" i="2"/>
  <c r="FX109" i="2" s="1"/>
  <c r="FD109" i="2"/>
  <c r="FC109" i="2"/>
  <c r="FB109" i="2"/>
  <c r="EH109" i="2"/>
  <c r="EG109" i="2"/>
  <c r="EZ109" i="2" s="1"/>
  <c r="EE109" i="2"/>
  <c r="EX109" i="2" s="1"/>
  <c r="ED109" i="2"/>
  <c r="EW109" i="2" s="1"/>
  <c r="EC109" i="2"/>
  <c r="EB109" i="2"/>
  <c r="EA109" i="2"/>
  <c r="DZ109" i="2"/>
  <c r="DY109" i="2"/>
  <c r="DX109" i="2"/>
  <c r="DW109" i="2"/>
  <c r="EP109" i="2" s="1"/>
  <c r="DV109" i="2"/>
  <c r="DU109" i="2"/>
  <c r="DT109" i="2"/>
  <c r="EM109" i="2" s="1"/>
  <c r="DS109" i="2"/>
  <c r="EL109" i="2" s="1"/>
  <c r="DR109" i="2"/>
  <c r="DQ109" i="2"/>
  <c r="DP109" i="2"/>
  <c r="FT111" i="2"/>
  <c r="FS111" i="2"/>
  <c r="GL111" i="2" s="1"/>
  <c r="FQ111" i="2"/>
  <c r="GJ111" i="2" s="1"/>
  <c r="FP111" i="2"/>
  <c r="GI111" i="2" s="1"/>
  <c r="FO111" i="2"/>
  <c r="FN111" i="2"/>
  <c r="FM111" i="2"/>
  <c r="FL111" i="2"/>
  <c r="FK111" i="2"/>
  <c r="FJ111" i="2"/>
  <c r="FI111" i="2"/>
  <c r="GB111" i="2" s="1"/>
  <c r="FH111" i="2"/>
  <c r="FG111" i="2"/>
  <c r="FF111" i="2"/>
  <c r="FY111" i="2" s="1"/>
  <c r="FE111" i="2"/>
  <c r="FX111" i="2" s="1"/>
  <c r="FD111" i="2"/>
  <c r="FC111" i="2"/>
  <c r="FB111" i="2"/>
  <c r="EH111" i="2"/>
  <c r="EG111" i="2"/>
  <c r="EZ111" i="2" s="1"/>
  <c r="ED111" i="2"/>
  <c r="EW111" i="2" s="1"/>
  <c r="EC111" i="2"/>
  <c r="EB111" i="2"/>
  <c r="EA111" i="2"/>
  <c r="DZ111" i="2"/>
  <c r="DY111" i="2"/>
  <c r="DX111" i="2"/>
  <c r="DW111" i="2"/>
  <c r="EP111" i="2" s="1"/>
  <c r="DV111" i="2"/>
  <c r="DU111" i="2"/>
  <c r="DT111" i="2"/>
  <c r="EM111" i="2" s="1"/>
  <c r="DS111" i="2"/>
  <c r="EL111" i="2" s="1"/>
  <c r="DR111" i="2"/>
  <c r="DQ111" i="2"/>
  <c r="DP111" i="2"/>
  <c r="FT107" i="2"/>
  <c r="FS107" i="2"/>
  <c r="GL107" i="2" s="1"/>
  <c r="FQ107" i="2"/>
  <c r="GJ107" i="2" s="1"/>
  <c r="FP107" i="2"/>
  <c r="GI107" i="2" s="1"/>
  <c r="FO107" i="2"/>
  <c r="FN107" i="2"/>
  <c r="FM107" i="2"/>
  <c r="FL107" i="2"/>
  <c r="FK107" i="2"/>
  <c r="FJ107" i="2"/>
  <c r="FI107" i="2"/>
  <c r="GB107" i="2" s="1"/>
  <c r="FH107" i="2"/>
  <c r="FG107" i="2"/>
  <c r="FF107" i="2"/>
  <c r="FY107" i="2" s="1"/>
  <c r="FE107" i="2"/>
  <c r="FX107" i="2" s="1"/>
  <c r="FD107" i="2"/>
  <c r="FC107" i="2"/>
  <c r="FB107" i="2"/>
  <c r="EH107" i="2"/>
  <c r="EG107" i="2"/>
  <c r="EZ107" i="2" s="1"/>
  <c r="EE107" i="2"/>
  <c r="EX107" i="2" s="1"/>
  <c r="ED107" i="2"/>
  <c r="EW107" i="2" s="1"/>
  <c r="EC107" i="2"/>
  <c r="EB107" i="2"/>
  <c r="EA107" i="2"/>
  <c r="DZ107" i="2"/>
  <c r="DY107" i="2"/>
  <c r="DX107" i="2"/>
  <c r="DW107" i="2"/>
  <c r="EP107" i="2" s="1"/>
  <c r="DV107" i="2"/>
  <c r="DU107" i="2"/>
  <c r="DT107" i="2"/>
  <c r="EM107" i="2" s="1"/>
  <c r="DS107" i="2"/>
  <c r="EL107" i="2" s="1"/>
  <c r="DR107" i="2"/>
  <c r="DQ107" i="2"/>
  <c r="DP107" i="2"/>
  <c r="FT106" i="2"/>
  <c r="FS106" i="2"/>
  <c r="GL106" i="2" s="1"/>
  <c r="FQ106" i="2"/>
  <c r="GJ106" i="2" s="1"/>
  <c r="FP106" i="2"/>
  <c r="GI106" i="2" s="1"/>
  <c r="FO106" i="2"/>
  <c r="FN106" i="2"/>
  <c r="FM106" i="2"/>
  <c r="FL106" i="2"/>
  <c r="FK106" i="2"/>
  <c r="FJ106" i="2"/>
  <c r="FI106" i="2"/>
  <c r="GB106" i="2" s="1"/>
  <c r="FH106" i="2"/>
  <c r="FG106" i="2"/>
  <c r="FF106" i="2"/>
  <c r="FY106" i="2" s="1"/>
  <c r="FE106" i="2"/>
  <c r="FX106" i="2" s="1"/>
  <c r="FD106" i="2"/>
  <c r="FC106" i="2"/>
  <c r="FB106" i="2"/>
  <c r="EH106" i="2"/>
  <c r="EG106" i="2"/>
  <c r="EZ106" i="2" s="1"/>
  <c r="EE106" i="2"/>
  <c r="EX106" i="2" s="1"/>
  <c r="ED106" i="2"/>
  <c r="EW106" i="2" s="1"/>
  <c r="EC106" i="2"/>
  <c r="EB106" i="2"/>
  <c r="EA106" i="2"/>
  <c r="DZ106" i="2"/>
  <c r="DY106" i="2"/>
  <c r="DX106" i="2"/>
  <c r="DW106" i="2"/>
  <c r="EP106" i="2" s="1"/>
  <c r="DV106" i="2"/>
  <c r="DU106" i="2"/>
  <c r="DT106" i="2"/>
  <c r="EM106" i="2" s="1"/>
  <c r="DS106" i="2"/>
  <c r="EL106" i="2" s="1"/>
  <c r="DR106" i="2"/>
  <c r="DQ106" i="2"/>
  <c r="DP106" i="2"/>
  <c r="FT246" i="2"/>
  <c r="FS246" i="2"/>
  <c r="GL246" i="2" s="1"/>
  <c r="FQ246" i="2"/>
  <c r="GJ246" i="2" s="1"/>
  <c r="FP246" i="2"/>
  <c r="GI246" i="2" s="1"/>
  <c r="FO246" i="2"/>
  <c r="FN246" i="2"/>
  <c r="FM246" i="2"/>
  <c r="FL246" i="2"/>
  <c r="FK246" i="2"/>
  <c r="FJ246" i="2"/>
  <c r="FI246" i="2"/>
  <c r="GB246" i="2" s="1"/>
  <c r="FH246" i="2"/>
  <c r="FG246" i="2"/>
  <c r="FF246" i="2"/>
  <c r="FY246" i="2" s="1"/>
  <c r="FE246" i="2"/>
  <c r="FX246" i="2" s="1"/>
  <c r="FD246" i="2"/>
  <c r="FC246" i="2"/>
  <c r="FB246" i="2"/>
  <c r="EH246" i="2"/>
  <c r="EG246" i="2"/>
  <c r="EZ246" i="2" s="1"/>
  <c r="EE246" i="2"/>
  <c r="EX246" i="2" s="1"/>
  <c r="ED246" i="2"/>
  <c r="EW246" i="2" s="1"/>
  <c r="EC246" i="2"/>
  <c r="EB246" i="2"/>
  <c r="EA246" i="2"/>
  <c r="DZ246" i="2"/>
  <c r="DY246" i="2"/>
  <c r="DX246" i="2"/>
  <c r="DW246" i="2"/>
  <c r="EP246" i="2" s="1"/>
  <c r="DV246" i="2"/>
  <c r="DU246" i="2"/>
  <c r="DT246" i="2"/>
  <c r="EM246" i="2" s="1"/>
  <c r="DS246" i="2"/>
  <c r="EL246" i="2" s="1"/>
  <c r="DR246" i="2"/>
  <c r="DQ246" i="2"/>
  <c r="DP246" i="2"/>
  <c r="FT605" i="2"/>
  <c r="FS605" i="2"/>
  <c r="GL605" i="2" s="1"/>
  <c r="FQ605" i="2"/>
  <c r="GJ605" i="2" s="1"/>
  <c r="FP605" i="2"/>
  <c r="GI605" i="2" s="1"/>
  <c r="FO605" i="2"/>
  <c r="FN605" i="2"/>
  <c r="FM605" i="2"/>
  <c r="FL605" i="2"/>
  <c r="FK605" i="2"/>
  <c r="FJ605" i="2"/>
  <c r="FI605" i="2"/>
  <c r="GB605" i="2" s="1"/>
  <c r="FH605" i="2"/>
  <c r="FG605" i="2"/>
  <c r="FF605" i="2"/>
  <c r="FY605" i="2" s="1"/>
  <c r="FE605" i="2"/>
  <c r="FX605" i="2" s="1"/>
  <c r="FD605" i="2"/>
  <c r="FC605" i="2"/>
  <c r="FB605" i="2"/>
  <c r="EH605" i="2"/>
  <c r="EG605" i="2"/>
  <c r="EZ605" i="2" s="1"/>
  <c r="EE605" i="2"/>
  <c r="EX605" i="2" s="1"/>
  <c r="ED605" i="2"/>
  <c r="EW605" i="2" s="1"/>
  <c r="EC605" i="2"/>
  <c r="EB605" i="2"/>
  <c r="EA605" i="2"/>
  <c r="DZ605" i="2"/>
  <c r="DY605" i="2"/>
  <c r="DX605" i="2"/>
  <c r="DW605" i="2"/>
  <c r="EP605" i="2" s="1"/>
  <c r="DV605" i="2"/>
  <c r="DU605" i="2"/>
  <c r="DT605" i="2"/>
  <c r="EM605" i="2" s="1"/>
  <c r="DS605" i="2"/>
  <c r="EL605" i="2" s="1"/>
  <c r="DR605" i="2"/>
  <c r="DQ605" i="2"/>
  <c r="DP605" i="2"/>
  <c r="FT604" i="2"/>
  <c r="FS604" i="2"/>
  <c r="GL604" i="2" s="1"/>
  <c r="FQ604" i="2"/>
  <c r="GJ604" i="2" s="1"/>
  <c r="FP604" i="2"/>
  <c r="GI604" i="2" s="1"/>
  <c r="FO604" i="2"/>
  <c r="FN604" i="2"/>
  <c r="FM604" i="2"/>
  <c r="FL604" i="2"/>
  <c r="FK604" i="2"/>
  <c r="FJ604" i="2"/>
  <c r="FI604" i="2"/>
  <c r="GB604" i="2" s="1"/>
  <c r="FH604" i="2"/>
  <c r="FG604" i="2"/>
  <c r="FF604" i="2"/>
  <c r="FY604" i="2" s="1"/>
  <c r="FE604" i="2"/>
  <c r="FX604" i="2" s="1"/>
  <c r="FD604" i="2"/>
  <c r="FC604" i="2"/>
  <c r="FB604" i="2"/>
  <c r="EH604" i="2"/>
  <c r="EG604" i="2"/>
  <c r="EZ604" i="2" s="1"/>
  <c r="EE604" i="2"/>
  <c r="EX604" i="2" s="1"/>
  <c r="ED604" i="2"/>
  <c r="EW604" i="2" s="1"/>
  <c r="EC604" i="2"/>
  <c r="EB604" i="2"/>
  <c r="EA604" i="2"/>
  <c r="DZ604" i="2"/>
  <c r="DY604" i="2"/>
  <c r="DX604" i="2"/>
  <c r="DW604" i="2"/>
  <c r="EP604" i="2" s="1"/>
  <c r="DV604" i="2"/>
  <c r="DU604" i="2"/>
  <c r="DT604" i="2"/>
  <c r="EM604" i="2" s="1"/>
  <c r="DS604" i="2"/>
  <c r="EL604" i="2" s="1"/>
  <c r="DR604" i="2"/>
  <c r="DQ604" i="2"/>
  <c r="DP604" i="2"/>
  <c r="FT603" i="2"/>
  <c r="FS603" i="2"/>
  <c r="GL603" i="2" s="1"/>
  <c r="FQ603" i="2"/>
  <c r="GJ603" i="2" s="1"/>
  <c r="FP603" i="2"/>
  <c r="GI603" i="2" s="1"/>
  <c r="FO603" i="2"/>
  <c r="FN603" i="2"/>
  <c r="FM603" i="2"/>
  <c r="FL603" i="2"/>
  <c r="FK603" i="2"/>
  <c r="FJ603" i="2"/>
  <c r="FI603" i="2"/>
  <c r="GB603" i="2" s="1"/>
  <c r="FH603" i="2"/>
  <c r="FG603" i="2"/>
  <c r="FF603" i="2"/>
  <c r="FY603" i="2" s="1"/>
  <c r="FE603" i="2"/>
  <c r="FX603" i="2" s="1"/>
  <c r="FD603" i="2"/>
  <c r="FC603" i="2"/>
  <c r="FB603" i="2"/>
  <c r="EH603" i="2"/>
  <c r="EG603" i="2"/>
  <c r="EZ603" i="2" s="1"/>
  <c r="EE603" i="2"/>
  <c r="EX603" i="2" s="1"/>
  <c r="ED603" i="2"/>
  <c r="EW603" i="2" s="1"/>
  <c r="EC603" i="2"/>
  <c r="EB603" i="2"/>
  <c r="EA603" i="2"/>
  <c r="DZ603" i="2"/>
  <c r="DY603" i="2"/>
  <c r="DX603" i="2"/>
  <c r="DW603" i="2"/>
  <c r="EP603" i="2" s="1"/>
  <c r="DV603" i="2"/>
  <c r="DU603" i="2"/>
  <c r="DT603" i="2"/>
  <c r="EM603" i="2" s="1"/>
  <c r="DS603" i="2"/>
  <c r="EL603" i="2" s="1"/>
  <c r="DR603" i="2"/>
  <c r="DQ603" i="2"/>
  <c r="DP603" i="2"/>
  <c r="FT551" i="2"/>
  <c r="FS551" i="2"/>
  <c r="GL551" i="2" s="1"/>
  <c r="FQ551" i="2"/>
  <c r="GJ551" i="2" s="1"/>
  <c r="FP551" i="2"/>
  <c r="GI551" i="2" s="1"/>
  <c r="FO551" i="2"/>
  <c r="FN551" i="2"/>
  <c r="FM551" i="2"/>
  <c r="FL551" i="2"/>
  <c r="FK551" i="2"/>
  <c r="FJ551" i="2"/>
  <c r="FI551" i="2"/>
  <c r="GB551" i="2" s="1"/>
  <c r="FH551" i="2"/>
  <c r="FG551" i="2"/>
  <c r="FF551" i="2"/>
  <c r="FY551" i="2" s="1"/>
  <c r="FE551" i="2"/>
  <c r="FX551" i="2" s="1"/>
  <c r="FD551" i="2"/>
  <c r="FC551" i="2"/>
  <c r="FB551" i="2"/>
  <c r="EH551" i="2"/>
  <c r="EG551" i="2"/>
  <c r="EZ551" i="2" s="1"/>
  <c r="EE551" i="2"/>
  <c r="EX551" i="2" s="1"/>
  <c r="ED551" i="2"/>
  <c r="EW551" i="2" s="1"/>
  <c r="EC551" i="2"/>
  <c r="EB551" i="2"/>
  <c r="EA551" i="2"/>
  <c r="DZ551" i="2"/>
  <c r="DY551" i="2"/>
  <c r="DX551" i="2"/>
  <c r="DW551" i="2"/>
  <c r="EP551" i="2" s="1"/>
  <c r="DV551" i="2"/>
  <c r="DU551" i="2"/>
  <c r="DT551" i="2"/>
  <c r="EM551" i="2" s="1"/>
  <c r="DS551" i="2"/>
  <c r="EL551" i="2" s="1"/>
  <c r="DR551" i="2"/>
  <c r="DQ551" i="2"/>
  <c r="DP551" i="2"/>
  <c r="FT602" i="2"/>
  <c r="FS602" i="2"/>
  <c r="GL602" i="2" s="1"/>
  <c r="FQ602" i="2"/>
  <c r="GJ602" i="2" s="1"/>
  <c r="FP602" i="2"/>
  <c r="GI602" i="2" s="1"/>
  <c r="FO602" i="2"/>
  <c r="FN602" i="2"/>
  <c r="FM602" i="2"/>
  <c r="FL602" i="2"/>
  <c r="FK602" i="2"/>
  <c r="FJ602" i="2"/>
  <c r="FI602" i="2"/>
  <c r="GB602" i="2" s="1"/>
  <c r="FH602" i="2"/>
  <c r="FG602" i="2"/>
  <c r="FF602" i="2"/>
  <c r="FY602" i="2" s="1"/>
  <c r="FE602" i="2"/>
  <c r="FX602" i="2" s="1"/>
  <c r="FD602" i="2"/>
  <c r="FC602" i="2"/>
  <c r="FB602" i="2"/>
  <c r="EH602" i="2"/>
  <c r="EG602" i="2"/>
  <c r="EZ602" i="2" s="1"/>
  <c r="EE602" i="2"/>
  <c r="EX602" i="2" s="1"/>
  <c r="ED602" i="2"/>
  <c r="EW602" i="2" s="1"/>
  <c r="EC602" i="2"/>
  <c r="EB602" i="2"/>
  <c r="EA602" i="2"/>
  <c r="DZ602" i="2"/>
  <c r="DY602" i="2"/>
  <c r="DX602" i="2"/>
  <c r="DW602" i="2"/>
  <c r="EP602" i="2" s="1"/>
  <c r="DV602" i="2"/>
  <c r="DU602" i="2"/>
  <c r="DT602" i="2"/>
  <c r="EM602" i="2" s="1"/>
  <c r="DS602" i="2"/>
  <c r="EL602" i="2" s="1"/>
  <c r="DR602" i="2"/>
  <c r="DQ602" i="2"/>
  <c r="DP602" i="2"/>
  <c r="FT550" i="2"/>
  <c r="FS550" i="2"/>
  <c r="GL550" i="2" s="1"/>
  <c r="FQ550" i="2"/>
  <c r="GJ550" i="2" s="1"/>
  <c r="FP550" i="2"/>
  <c r="GI550" i="2" s="1"/>
  <c r="FO550" i="2"/>
  <c r="FN550" i="2"/>
  <c r="FM550" i="2"/>
  <c r="FL550" i="2"/>
  <c r="FK550" i="2"/>
  <c r="FJ550" i="2"/>
  <c r="FI550" i="2"/>
  <c r="GB550" i="2" s="1"/>
  <c r="FH550" i="2"/>
  <c r="FG550" i="2"/>
  <c r="FF550" i="2"/>
  <c r="FY550" i="2" s="1"/>
  <c r="FE550" i="2"/>
  <c r="FX550" i="2" s="1"/>
  <c r="FD550" i="2"/>
  <c r="FC550" i="2"/>
  <c r="FB550" i="2"/>
  <c r="EH550" i="2"/>
  <c r="EG550" i="2"/>
  <c r="EZ550" i="2" s="1"/>
  <c r="EE550" i="2"/>
  <c r="EX550" i="2" s="1"/>
  <c r="ED550" i="2"/>
  <c r="EW550" i="2" s="1"/>
  <c r="EC550" i="2"/>
  <c r="EB550" i="2"/>
  <c r="EA550" i="2"/>
  <c r="DZ550" i="2"/>
  <c r="DY550" i="2"/>
  <c r="DX550" i="2"/>
  <c r="DW550" i="2"/>
  <c r="EP550" i="2" s="1"/>
  <c r="DV550" i="2"/>
  <c r="DU550" i="2"/>
  <c r="DT550" i="2"/>
  <c r="EM550" i="2" s="1"/>
  <c r="DS550" i="2"/>
  <c r="EL550" i="2" s="1"/>
  <c r="DR550" i="2"/>
  <c r="DQ550" i="2"/>
  <c r="DP550" i="2"/>
  <c r="FT268" i="2"/>
  <c r="FS268" i="2"/>
  <c r="GL268" i="2" s="1"/>
  <c r="FQ268" i="2"/>
  <c r="GJ268" i="2" s="1"/>
  <c r="FP268" i="2"/>
  <c r="GI268" i="2" s="1"/>
  <c r="FO268" i="2"/>
  <c r="FN268" i="2"/>
  <c r="FM268" i="2"/>
  <c r="FL268" i="2"/>
  <c r="FK268" i="2"/>
  <c r="FJ268" i="2"/>
  <c r="FI268" i="2"/>
  <c r="GB268" i="2" s="1"/>
  <c r="FH268" i="2"/>
  <c r="FG268" i="2"/>
  <c r="FF268" i="2"/>
  <c r="FY268" i="2" s="1"/>
  <c r="FE268" i="2"/>
  <c r="FX268" i="2" s="1"/>
  <c r="FD268" i="2"/>
  <c r="FC268" i="2"/>
  <c r="FB268" i="2"/>
  <c r="EH268" i="2"/>
  <c r="EG268" i="2"/>
  <c r="EZ268" i="2" s="1"/>
  <c r="EE268" i="2"/>
  <c r="EX268" i="2" s="1"/>
  <c r="ED268" i="2"/>
  <c r="EW268" i="2" s="1"/>
  <c r="EC268" i="2"/>
  <c r="EB268" i="2"/>
  <c r="EA268" i="2"/>
  <c r="DZ268" i="2"/>
  <c r="DY268" i="2"/>
  <c r="DX268" i="2"/>
  <c r="DW268" i="2"/>
  <c r="EP268" i="2" s="1"/>
  <c r="DV268" i="2"/>
  <c r="DU268" i="2"/>
  <c r="DT268" i="2"/>
  <c r="EM268" i="2" s="1"/>
  <c r="DS268" i="2"/>
  <c r="EL268" i="2" s="1"/>
  <c r="DR268" i="2"/>
  <c r="DQ268" i="2"/>
  <c r="DP268" i="2"/>
  <c r="FT216" i="2"/>
  <c r="FS216" i="2"/>
  <c r="GL216" i="2" s="1"/>
  <c r="FQ216" i="2"/>
  <c r="GJ216" i="2" s="1"/>
  <c r="FP216" i="2"/>
  <c r="GI216" i="2" s="1"/>
  <c r="FO216" i="2"/>
  <c r="FN216" i="2"/>
  <c r="FM216" i="2"/>
  <c r="FL216" i="2"/>
  <c r="FK216" i="2"/>
  <c r="FJ216" i="2"/>
  <c r="FI216" i="2"/>
  <c r="GB216" i="2" s="1"/>
  <c r="FH216" i="2"/>
  <c r="FG216" i="2"/>
  <c r="FF216" i="2"/>
  <c r="FY216" i="2" s="1"/>
  <c r="FE216" i="2"/>
  <c r="FX216" i="2" s="1"/>
  <c r="FD216" i="2"/>
  <c r="FC216" i="2"/>
  <c r="FB216" i="2"/>
  <c r="FT105" i="2"/>
  <c r="FS105" i="2"/>
  <c r="GL105" i="2" s="1"/>
  <c r="FQ105" i="2"/>
  <c r="GJ105" i="2" s="1"/>
  <c r="FP105" i="2"/>
  <c r="GI105" i="2" s="1"/>
  <c r="FO105" i="2"/>
  <c r="FN105" i="2"/>
  <c r="FM105" i="2"/>
  <c r="FL105" i="2"/>
  <c r="FK105" i="2"/>
  <c r="FJ105" i="2"/>
  <c r="FI105" i="2"/>
  <c r="GB105" i="2" s="1"/>
  <c r="FH105" i="2"/>
  <c r="FG105" i="2"/>
  <c r="FF105" i="2"/>
  <c r="FY105" i="2" s="1"/>
  <c r="FE105" i="2"/>
  <c r="FX105" i="2" s="1"/>
  <c r="FD105" i="2"/>
  <c r="FC105" i="2"/>
  <c r="FB105" i="2"/>
  <c r="EH105" i="2"/>
  <c r="EG105" i="2"/>
  <c r="EZ105" i="2" s="1"/>
  <c r="EE105" i="2"/>
  <c r="EX105" i="2" s="1"/>
  <c r="ED105" i="2"/>
  <c r="EW105" i="2" s="1"/>
  <c r="EC105" i="2"/>
  <c r="EB105" i="2"/>
  <c r="EA105" i="2"/>
  <c r="DZ105" i="2"/>
  <c r="DY105" i="2"/>
  <c r="DX105" i="2"/>
  <c r="DW105" i="2"/>
  <c r="EP105" i="2" s="1"/>
  <c r="DV105" i="2"/>
  <c r="DU105" i="2"/>
  <c r="DT105" i="2"/>
  <c r="EM105" i="2" s="1"/>
  <c r="DS105" i="2"/>
  <c r="EL105" i="2" s="1"/>
  <c r="DR105" i="2"/>
  <c r="DQ105" i="2"/>
  <c r="DP105" i="2"/>
  <c r="FT104" i="2"/>
  <c r="FS104" i="2"/>
  <c r="GL104" i="2" s="1"/>
  <c r="FQ104" i="2"/>
  <c r="GJ104" i="2" s="1"/>
  <c r="FP104" i="2"/>
  <c r="GI104" i="2" s="1"/>
  <c r="FO104" i="2"/>
  <c r="FN104" i="2"/>
  <c r="FM104" i="2"/>
  <c r="FL104" i="2"/>
  <c r="FK104" i="2"/>
  <c r="FJ104" i="2"/>
  <c r="FI104" i="2"/>
  <c r="GB104" i="2" s="1"/>
  <c r="FH104" i="2"/>
  <c r="FG104" i="2"/>
  <c r="FF104" i="2"/>
  <c r="FY104" i="2" s="1"/>
  <c r="FE104" i="2"/>
  <c r="FX104" i="2" s="1"/>
  <c r="FD104" i="2"/>
  <c r="FC104" i="2"/>
  <c r="FB104" i="2"/>
  <c r="EH104" i="2"/>
  <c r="EG104" i="2"/>
  <c r="EZ104" i="2" s="1"/>
  <c r="EE104" i="2"/>
  <c r="EX104" i="2" s="1"/>
  <c r="ED104" i="2"/>
  <c r="EW104" i="2" s="1"/>
  <c r="EC104" i="2"/>
  <c r="EB104" i="2"/>
  <c r="EA104" i="2"/>
  <c r="DZ104" i="2"/>
  <c r="DY104" i="2"/>
  <c r="DX104" i="2"/>
  <c r="DW104" i="2"/>
  <c r="EP104" i="2" s="1"/>
  <c r="DV104" i="2"/>
  <c r="DU104" i="2"/>
  <c r="DT104" i="2"/>
  <c r="EM104" i="2" s="1"/>
  <c r="DS104" i="2"/>
  <c r="EL104" i="2" s="1"/>
  <c r="DR104" i="2"/>
  <c r="DQ104" i="2"/>
  <c r="DP104" i="2"/>
  <c r="FT267" i="2"/>
  <c r="FS267" i="2"/>
  <c r="GL267" i="2" s="1"/>
  <c r="FQ267" i="2"/>
  <c r="GJ267" i="2" s="1"/>
  <c r="FP267" i="2"/>
  <c r="GI267" i="2" s="1"/>
  <c r="FO267" i="2"/>
  <c r="FN267" i="2"/>
  <c r="FM267" i="2"/>
  <c r="FL267" i="2"/>
  <c r="FK267" i="2"/>
  <c r="FJ267" i="2"/>
  <c r="FI267" i="2"/>
  <c r="GB267" i="2" s="1"/>
  <c r="FH267" i="2"/>
  <c r="FG267" i="2"/>
  <c r="FF267" i="2"/>
  <c r="FY267" i="2" s="1"/>
  <c r="FE267" i="2"/>
  <c r="FX267" i="2" s="1"/>
  <c r="FD267" i="2"/>
  <c r="FC267" i="2"/>
  <c r="FB267" i="2"/>
  <c r="EH267" i="2"/>
  <c r="EG267" i="2"/>
  <c r="EZ267" i="2" s="1"/>
  <c r="EE267" i="2"/>
  <c r="EX267" i="2" s="1"/>
  <c r="ED267" i="2"/>
  <c r="EW267" i="2" s="1"/>
  <c r="EC267" i="2"/>
  <c r="EB267" i="2"/>
  <c r="EA267" i="2"/>
  <c r="DZ267" i="2"/>
  <c r="DY267" i="2"/>
  <c r="DX267" i="2"/>
  <c r="DW267" i="2"/>
  <c r="EP267" i="2" s="1"/>
  <c r="DV267" i="2"/>
  <c r="DU267" i="2"/>
  <c r="DT267" i="2"/>
  <c r="EM267" i="2" s="1"/>
  <c r="DS267" i="2"/>
  <c r="EL267" i="2" s="1"/>
  <c r="DR267" i="2"/>
  <c r="DQ267" i="2"/>
  <c r="DP267" i="2"/>
  <c r="FT126" i="2"/>
  <c r="FS126" i="2"/>
  <c r="GL126" i="2" s="1"/>
  <c r="FQ126" i="2"/>
  <c r="GJ126" i="2" s="1"/>
  <c r="FP126" i="2"/>
  <c r="GI126" i="2" s="1"/>
  <c r="FO126" i="2"/>
  <c r="FN126" i="2"/>
  <c r="FM126" i="2"/>
  <c r="FL126" i="2"/>
  <c r="FK126" i="2"/>
  <c r="FJ126" i="2"/>
  <c r="FI126" i="2"/>
  <c r="GB126" i="2" s="1"/>
  <c r="FH126" i="2"/>
  <c r="FG126" i="2"/>
  <c r="FF126" i="2"/>
  <c r="FY126" i="2" s="1"/>
  <c r="FE126" i="2"/>
  <c r="FX126" i="2" s="1"/>
  <c r="FD126" i="2"/>
  <c r="FC126" i="2"/>
  <c r="FB126" i="2"/>
  <c r="EH126" i="2"/>
  <c r="EG126" i="2"/>
  <c r="EZ126" i="2" s="1"/>
  <c r="EE126" i="2"/>
  <c r="EX126" i="2" s="1"/>
  <c r="ED126" i="2"/>
  <c r="EW126" i="2" s="1"/>
  <c r="EC126" i="2"/>
  <c r="EB126" i="2"/>
  <c r="EA126" i="2"/>
  <c r="DZ126" i="2"/>
  <c r="DY126" i="2"/>
  <c r="DX126" i="2"/>
  <c r="DW126" i="2"/>
  <c r="EP126" i="2" s="1"/>
  <c r="DV126" i="2"/>
  <c r="DU126" i="2"/>
  <c r="DT126" i="2"/>
  <c r="EM126" i="2" s="1"/>
  <c r="DS126" i="2"/>
  <c r="EL126" i="2" s="1"/>
  <c r="DR126" i="2"/>
  <c r="DQ126" i="2"/>
  <c r="DP126" i="2"/>
  <c r="FT94" i="2"/>
  <c r="FS94" i="2"/>
  <c r="GL94" i="2" s="1"/>
  <c r="FQ94" i="2"/>
  <c r="GJ94" i="2" s="1"/>
  <c r="FP94" i="2"/>
  <c r="GI94" i="2" s="1"/>
  <c r="FO94" i="2"/>
  <c r="FN94" i="2"/>
  <c r="FM94" i="2"/>
  <c r="FL94" i="2"/>
  <c r="FK94" i="2"/>
  <c r="FJ94" i="2"/>
  <c r="FI94" i="2"/>
  <c r="GB94" i="2" s="1"/>
  <c r="FH94" i="2"/>
  <c r="FG94" i="2"/>
  <c r="FF94" i="2"/>
  <c r="FY94" i="2" s="1"/>
  <c r="FE94" i="2"/>
  <c r="FX94" i="2" s="1"/>
  <c r="FD94" i="2"/>
  <c r="FC94" i="2"/>
  <c r="FB94" i="2"/>
  <c r="EH94" i="2"/>
  <c r="EG94" i="2"/>
  <c r="EZ94" i="2" s="1"/>
  <c r="EE94" i="2"/>
  <c r="EX94" i="2" s="1"/>
  <c r="ED94" i="2"/>
  <c r="EW94" i="2" s="1"/>
  <c r="EC94" i="2"/>
  <c r="EB94" i="2"/>
  <c r="EA94" i="2"/>
  <c r="DZ94" i="2"/>
  <c r="DY94" i="2"/>
  <c r="DX94" i="2"/>
  <c r="DW94" i="2"/>
  <c r="EP94" i="2" s="1"/>
  <c r="DV94" i="2"/>
  <c r="DU94" i="2"/>
  <c r="DT94" i="2"/>
  <c r="EM94" i="2" s="1"/>
  <c r="DS94" i="2"/>
  <c r="EL94" i="2" s="1"/>
  <c r="DR94" i="2"/>
  <c r="DQ94" i="2"/>
  <c r="DP94" i="2"/>
  <c r="FT266" i="2"/>
  <c r="FS266" i="2"/>
  <c r="GL266" i="2" s="1"/>
  <c r="FQ266" i="2"/>
  <c r="GJ266" i="2" s="1"/>
  <c r="FP266" i="2"/>
  <c r="GI266" i="2" s="1"/>
  <c r="FO266" i="2"/>
  <c r="FN266" i="2"/>
  <c r="FM266" i="2"/>
  <c r="FL266" i="2"/>
  <c r="FK266" i="2"/>
  <c r="FJ266" i="2"/>
  <c r="FI266" i="2"/>
  <c r="GB266" i="2" s="1"/>
  <c r="FH266" i="2"/>
  <c r="FG266" i="2"/>
  <c r="FF266" i="2"/>
  <c r="FY266" i="2" s="1"/>
  <c r="FE266" i="2"/>
  <c r="FX266" i="2" s="1"/>
  <c r="FD266" i="2"/>
  <c r="FC266" i="2"/>
  <c r="FB266" i="2"/>
  <c r="EH266" i="2"/>
  <c r="EG266" i="2"/>
  <c r="EZ266" i="2" s="1"/>
  <c r="EE266" i="2"/>
  <c r="EX266" i="2" s="1"/>
  <c r="ED266" i="2"/>
  <c r="EW266" i="2" s="1"/>
  <c r="EC266" i="2"/>
  <c r="EB266" i="2"/>
  <c r="EA266" i="2"/>
  <c r="DZ266" i="2"/>
  <c r="DY266" i="2"/>
  <c r="DX266" i="2"/>
  <c r="DW266" i="2"/>
  <c r="EP266" i="2" s="1"/>
  <c r="DV266" i="2"/>
  <c r="DU266" i="2"/>
  <c r="DT266" i="2"/>
  <c r="EM266" i="2" s="1"/>
  <c r="DS266" i="2"/>
  <c r="EL266" i="2" s="1"/>
  <c r="DR266" i="2"/>
  <c r="DQ266" i="2"/>
  <c r="DP266" i="2"/>
  <c r="FT215" i="2"/>
  <c r="FS215" i="2"/>
  <c r="GL215" i="2" s="1"/>
  <c r="FQ215" i="2"/>
  <c r="GJ215" i="2" s="1"/>
  <c r="FP215" i="2"/>
  <c r="GI215" i="2" s="1"/>
  <c r="FO215" i="2"/>
  <c r="FN215" i="2"/>
  <c r="FM215" i="2"/>
  <c r="FL215" i="2"/>
  <c r="FK215" i="2"/>
  <c r="FJ215" i="2"/>
  <c r="FI215" i="2"/>
  <c r="GB215" i="2" s="1"/>
  <c r="FH215" i="2"/>
  <c r="FG215" i="2"/>
  <c r="FF215" i="2"/>
  <c r="FY215" i="2" s="1"/>
  <c r="FE215" i="2"/>
  <c r="FX215" i="2" s="1"/>
  <c r="FD215" i="2"/>
  <c r="FC215" i="2"/>
  <c r="FB215" i="2"/>
  <c r="FT256" i="2"/>
  <c r="FS256" i="2"/>
  <c r="GL256" i="2" s="1"/>
  <c r="FQ256" i="2"/>
  <c r="GJ256" i="2" s="1"/>
  <c r="FP256" i="2"/>
  <c r="GI256" i="2" s="1"/>
  <c r="FO256" i="2"/>
  <c r="FN256" i="2"/>
  <c r="FM256" i="2"/>
  <c r="FL256" i="2"/>
  <c r="FK256" i="2"/>
  <c r="FJ256" i="2"/>
  <c r="FI256" i="2"/>
  <c r="GB256" i="2" s="1"/>
  <c r="FH256" i="2"/>
  <c r="FG256" i="2"/>
  <c r="FF256" i="2"/>
  <c r="FY256" i="2" s="1"/>
  <c r="FE256" i="2"/>
  <c r="FX256" i="2" s="1"/>
  <c r="FD256" i="2"/>
  <c r="FC256" i="2"/>
  <c r="FB256" i="2"/>
  <c r="FT86" i="2"/>
  <c r="FS86" i="2"/>
  <c r="GL86" i="2" s="1"/>
  <c r="FQ86" i="2"/>
  <c r="GJ86" i="2" s="1"/>
  <c r="FP86" i="2"/>
  <c r="GI86" i="2" s="1"/>
  <c r="FO86" i="2"/>
  <c r="FN86" i="2"/>
  <c r="FM86" i="2"/>
  <c r="FL86" i="2"/>
  <c r="FK86" i="2"/>
  <c r="FJ86" i="2"/>
  <c r="FI86" i="2"/>
  <c r="GB86" i="2" s="1"/>
  <c r="FH86" i="2"/>
  <c r="FG86" i="2"/>
  <c r="FF86" i="2"/>
  <c r="FY86" i="2" s="1"/>
  <c r="FE86" i="2"/>
  <c r="FX86" i="2" s="1"/>
  <c r="FD86" i="2"/>
  <c r="FC86" i="2"/>
  <c r="FB86" i="2"/>
  <c r="FT265" i="2"/>
  <c r="FS265" i="2"/>
  <c r="GL265" i="2" s="1"/>
  <c r="FQ265" i="2"/>
  <c r="GJ265" i="2" s="1"/>
  <c r="FP265" i="2"/>
  <c r="GI265" i="2" s="1"/>
  <c r="FO265" i="2"/>
  <c r="FN265" i="2"/>
  <c r="FM265" i="2"/>
  <c r="FL265" i="2"/>
  <c r="FK265" i="2"/>
  <c r="FJ265" i="2"/>
  <c r="FI265" i="2"/>
  <c r="GB265" i="2" s="1"/>
  <c r="FH265" i="2"/>
  <c r="FG265" i="2"/>
  <c r="FF265" i="2"/>
  <c r="FY265" i="2" s="1"/>
  <c r="FE265" i="2"/>
  <c r="FX265" i="2" s="1"/>
  <c r="FD265" i="2"/>
  <c r="FC265" i="2"/>
  <c r="FB265" i="2"/>
  <c r="EH265" i="2"/>
  <c r="EG265" i="2"/>
  <c r="EZ265" i="2" s="1"/>
  <c r="EE265" i="2"/>
  <c r="EX265" i="2" s="1"/>
  <c r="ED265" i="2"/>
  <c r="EW265" i="2" s="1"/>
  <c r="EC265" i="2"/>
  <c r="EB265" i="2"/>
  <c r="EA265" i="2"/>
  <c r="DZ265" i="2"/>
  <c r="DY265" i="2"/>
  <c r="DX265" i="2"/>
  <c r="DW265" i="2"/>
  <c r="EP265" i="2" s="1"/>
  <c r="DV265" i="2"/>
  <c r="DU265" i="2"/>
  <c r="DT265" i="2"/>
  <c r="EM265" i="2" s="1"/>
  <c r="DS265" i="2"/>
  <c r="EL265" i="2" s="1"/>
  <c r="DR265" i="2"/>
  <c r="DQ265" i="2"/>
  <c r="DP265" i="2"/>
  <c r="FT85" i="2"/>
  <c r="FS85" i="2"/>
  <c r="GL85" i="2" s="1"/>
  <c r="FQ85" i="2"/>
  <c r="GJ85" i="2" s="1"/>
  <c r="FP85" i="2"/>
  <c r="GI85" i="2" s="1"/>
  <c r="FO85" i="2"/>
  <c r="FN85" i="2"/>
  <c r="FM85" i="2"/>
  <c r="FL85" i="2"/>
  <c r="FK85" i="2"/>
  <c r="FJ85" i="2"/>
  <c r="FI85" i="2"/>
  <c r="GB85" i="2" s="1"/>
  <c r="FH85" i="2"/>
  <c r="FG85" i="2"/>
  <c r="FF85" i="2"/>
  <c r="FY85" i="2" s="1"/>
  <c r="FE85" i="2"/>
  <c r="FX85" i="2" s="1"/>
  <c r="FD85" i="2"/>
  <c r="FC85" i="2"/>
  <c r="FB85" i="2"/>
  <c r="EH85" i="2"/>
  <c r="EG85" i="2"/>
  <c r="EZ85" i="2" s="1"/>
  <c r="EE85" i="2"/>
  <c r="EX85" i="2" s="1"/>
  <c r="ED85" i="2"/>
  <c r="EW85" i="2" s="1"/>
  <c r="EC85" i="2"/>
  <c r="EB85" i="2"/>
  <c r="EA85" i="2"/>
  <c r="DZ85" i="2"/>
  <c r="DY85" i="2"/>
  <c r="DX85" i="2"/>
  <c r="DW85" i="2"/>
  <c r="EP85" i="2" s="1"/>
  <c r="DV85" i="2"/>
  <c r="DU85" i="2"/>
  <c r="DT85" i="2"/>
  <c r="EM85" i="2" s="1"/>
  <c r="DS85" i="2"/>
  <c r="EL85" i="2" s="1"/>
  <c r="DR85" i="2"/>
  <c r="DQ85" i="2"/>
  <c r="DP85" i="2"/>
  <c r="FT84" i="2"/>
  <c r="FS84" i="2"/>
  <c r="GL84" i="2" s="1"/>
  <c r="FQ84" i="2"/>
  <c r="GJ84" i="2" s="1"/>
  <c r="FP84" i="2"/>
  <c r="GI84" i="2" s="1"/>
  <c r="FO84" i="2"/>
  <c r="FN84" i="2"/>
  <c r="FM84" i="2"/>
  <c r="FL84" i="2"/>
  <c r="FK84" i="2"/>
  <c r="FJ84" i="2"/>
  <c r="FI84" i="2"/>
  <c r="GB84" i="2" s="1"/>
  <c r="FH84" i="2"/>
  <c r="FG84" i="2"/>
  <c r="FF84" i="2"/>
  <c r="FY84" i="2" s="1"/>
  <c r="FE84" i="2"/>
  <c r="FX84" i="2" s="1"/>
  <c r="FD84" i="2"/>
  <c r="FC84" i="2"/>
  <c r="FB84" i="2"/>
  <c r="EH84" i="2"/>
  <c r="EG84" i="2"/>
  <c r="EZ84" i="2" s="1"/>
  <c r="EE84" i="2"/>
  <c r="EX84" i="2" s="1"/>
  <c r="ED84" i="2"/>
  <c r="EW84" i="2" s="1"/>
  <c r="EC84" i="2"/>
  <c r="EB84" i="2"/>
  <c r="EA84" i="2"/>
  <c r="DZ84" i="2"/>
  <c r="DY84" i="2"/>
  <c r="DX84" i="2"/>
  <c r="DW84" i="2"/>
  <c r="EP84" i="2" s="1"/>
  <c r="DV84" i="2"/>
  <c r="DU84" i="2"/>
  <c r="DT84" i="2"/>
  <c r="EM84" i="2" s="1"/>
  <c r="DS84" i="2"/>
  <c r="EL84" i="2" s="1"/>
  <c r="DR84" i="2"/>
  <c r="DQ84" i="2"/>
  <c r="DP84" i="2"/>
  <c r="FT19" i="2"/>
  <c r="FS19" i="2"/>
  <c r="GL19" i="2" s="1"/>
  <c r="FQ19" i="2"/>
  <c r="GJ19" i="2" s="1"/>
  <c r="FP19" i="2"/>
  <c r="GI19" i="2" s="1"/>
  <c r="FO19" i="2"/>
  <c r="FN19" i="2"/>
  <c r="FM19" i="2"/>
  <c r="FL19" i="2"/>
  <c r="FK19" i="2"/>
  <c r="FJ19" i="2"/>
  <c r="FI19" i="2"/>
  <c r="GB19" i="2" s="1"/>
  <c r="FH19" i="2"/>
  <c r="FG19" i="2"/>
  <c r="FF19" i="2"/>
  <c r="FY19" i="2" s="1"/>
  <c r="FE19" i="2"/>
  <c r="FX19" i="2" s="1"/>
  <c r="FD19" i="2"/>
  <c r="FC19" i="2"/>
  <c r="FB19" i="2"/>
  <c r="EH19" i="2"/>
  <c r="EG19" i="2"/>
  <c r="EZ19" i="2" s="1"/>
  <c r="EE19" i="2"/>
  <c r="EX19" i="2" s="1"/>
  <c r="ED19" i="2"/>
  <c r="EW19" i="2" s="1"/>
  <c r="EC19" i="2"/>
  <c r="EB19" i="2"/>
  <c r="EA19" i="2"/>
  <c r="DZ19" i="2"/>
  <c r="DY19" i="2"/>
  <c r="DX19" i="2"/>
  <c r="DW19" i="2"/>
  <c r="EP19" i="2" s="1"/>
  <c r="DV19" i="2"/>
  <c r="DU19" i="2"/>
  <c r="DT19" i="2"/>
  <c r="EM19" i="2" s="1"/>
  <c r="DS19" i="2"/>
  <c r="EL19" i="2" s="1"/>
  <c r="DR19" i="2"/>
  <c r="DQ19" i="2"/>
  <c r="DP19" i="2"/>
  <c r="FT18" i="2"/>
  <c r="FS18" i="2"/>
  <c r="GL18" i="2" s="1"/>
  <c r="FQ18" i="2"/>
  <c r="GJ18" i="2" s="1"/>
  <c r="FP18" i="2"/>
  <c r="GI18" i="2" s="1"/>
  <c r="FO18" i="2"/>
  <c r="FN18" i="2"/>
  <c r="FM18" i="2"/>
  <c r="FL18" i="2"/>
  <c r="FK18" i="2"/>
  <c r="FJ18" i="2"/>
  <c r="FI18" i="2"/>
  <c r="GB18" i="2" s="1"/>
  <c r="FH18" i="2"/>
  <c r="FG18" i="2"/>
  <c r="FF18" i="2"/>
  <c r="FY18" i="2" s="1"/>
  <c r="FE18" i="2"/>
  <c r="FX18" i="2" s="1"/>
  <c r="FD18" i="2"/>
  <c r="FC18" i="2"/>
  <c r="FB18" i="2"/>
  <c r="EG18" i="2"/>
  <c r="EZ18" i="2" s="1"/>
  <c r="EE18" i="2"/>
  <c r="EX18" i="2" s="1"/>
  <c r="ED18" i="2"/>
  <c r="EW18" i="2" s="1"/>
  <c r="EC18" i="2"/>
  <c r="EB18" i="2"/>
  <c r="EA18" i="2"/>
  <c r="DZ18" i="2"/>
  <c r="DY18" i="2"/>
  <c r="DV18" i="2"/>
  <c r="DU18" i="2"/>
  <c r="DT18" i="2"/>
  <c r="EM18" i="2" s="1"/>
  <c r="DS18" i="2"/>
  <c r="EL18" i="2" s="1"/>
  <c r="DR18" i="2"/>
  <c r="DQ18" i="2"/>
  <c r="FT17" i="2"/>
  <c r="FS17" i="2"/>
  <c r="GL17" i="2" s="1"/>
  <c r="FQ17" i="2"/>
  <c r="GJ17" i="2" s="1"/>
  <c r="FP17" i="2"/>
  <c r="GI17" i="2" s="1"/>
  <c r="FO17" i="2"/>
  <c r="FN17" i="2"/>
  <c r="FM17" i="2"/>
  <c r="FL17" i="2"/>
  <c r="FK17" i="2"/>
  <c r="FJ17" i="2"/>
  <c r="FI17" i="2"/>
  <c r="GB17" i="2" s="1"/>
  <c r="FH17" i="2"/>
  <c r="FG17" i="2"/>
  <c r="FF17" i="2"/>
  <c r="FY17" i="2" s="1"/>
  <c r="FE17" i="2"/>
  <c r="FX17" i="2" s="1"/>
  <c r="FD17" i="2"/>
  <c r="FC17" i="2"/>
  <c r="FB17" i="2"/>
  <c r="EH17" i="2"/>
  <c r="EG17" i="2"/>
  <c r="EZ17" i="2" s="1"/>
  <c r="EE17" i="2"/>
  <c r="EX17" i="2" s="1"/>
  <c r="ED17" i="2"/>
  <c r="EW17" i="2" s="1"/>
  <c r="EC17" i="2"/>
  <c r="EB17" i="2"/>
  <c r="EA17" i="2"/>
  <c r="DZ17" i="2"/>
  <c r="DY17" i="2"/>
  <c r="DX17" i="2"/>
  <c r="DW17" i="2"/>
  <c r="EP17" i="2" s="1"/>
  <c r="DV17" i="2"/>
  <c r="DU17" i="2"/>
  <c r="DT17" i="2"/>
  <c r="EM17" i="2" s="1"/>
  <c r="DS17" i="2"/>
  <c r="EL17" i="2" s="1"/>
  <c r="DR17" i="2"/>
  <c r="DQ17" i="2"/>
  <c r="DP17" i="2"/>
  <c r="FT16" i="2"/>
  <c r="FS16" i="2"/>
  <c r="GL16" i="2" s="1"/>
  <c r="FQ16" i="2"/>
  <c r="GJ16" i="2" s="1"/>
  <c r="FP16" i="2"/>
  <c r="GI16" i="2" s="1"/>
  <c r="FO16" i="2"/>
  <c r="FN16" i="2"/>
  <c r="FM16" i="2"/>
  <c r="FL16" i="2"/>
  <c r="FK16" i="2"/>
  <c r="FJ16" i="2"/>
  <c r="FI16" i="2"/>
  <c r="GB16" i="2" s="1"/>
  <c r="FH16" i="2"/>
  <c r="FG16" i="2"/>
  <c r="FF16" i="2"/>
  <c r="FY16" i="2" s="1"/>
  <c r="FE16" i="2"/>
  <c r="FX16" i="2" s="1"/>
  <c r="FD16" i="2"/>
  <c r="FC16" i="2"/>
  <c r="FB16" i="2"/>
  <c r="FT15" i="2"/>
  <c r="FS15" i="2"/>
  <c r="GL15" i="2" s="1"/>
  <c r="FQ15" i="2"/>
  <c r="GJ15" i="2" s="1"/>
  <c r="FP15" i="2"/>
  <c r="GI15" i="2" s="1"/>
  <c r="FO15" i="2"/>
  <c r="FN15" i="2"/>
  <c r="FM15" i="2"/>
  <c r="FL15" i="2"/>
  <c r="FK15" i="2"/>
  <c r="FJ15" i="2"/>
  <c r="FI15" i="2"/>
  <c r="GB15" i="2" s="1"/>
  <c r="FH15" i="2"/>
  <c r="FG15" i="2"/>
  <c r="FF15" i="2"/>
  <c r="FY15" i="2" s="1"/>
  <c r="FE15" i="2"/>
  <c r="FX15" i="2" s="1"/>
  <c r="FD15" i="2"/>
  <c r="FC15" i="2"/>
  <c r="FB15" i="2"/>
  <c r="FT235" i="2"/>
  <c r="FS235" i="2"/>
  <c r="GL235" i="2" s="1"/>
  <c r="FQ235" i="2"/>
  <c r="GJ235" i="2" s="1"/>
  <c r="FP235" i="2"/>
  <c r="GI235" i="2" s="1"/>
  <c r="FO235" i="2"/>
  <c r="FN235" i="2"/>
  <c r="FM235" i="2"/>
  <c r="FL235" i="2"/>
  <c r="FK235" i="2"/>
  <c r="FJ235" i="2"/>
  <c r="FI235" i="2"/>
  <c r="GB235" i="2" s="1"/>
  <c r="FH235" i="2"/>
  <c r="FG235" i="2"/>
  <c r="FF235" i="2"/>
  <c r="FY235" i="2" s="1"/>
  <c r="FE235" i="2"/>
  <c r="FX235" i="2" s="1"/>
  <c r="FD235" i="2"/>
  <c r="FC235" i="2"/>
  <c r="FB235" i="2"/>
  <c r="FT234" i="2"/>
  <c r="FS234" i="2"/>
  <c r="GL234" i="2" s="1"/>
  <c r="FQ234" i="2"/>
  <c r="GJ234" i="2" s="1"/>
  <c r="FP234" i="2"/>
  <c r="GI234" i="2" s="1"/>
  <c r="FO234" i="2"/>
  <c r="FN234" i="2"/>
  <c r="FM234" i="2"/>
  <c r="FL234" i="2"/>
  <c r="FK234" i="2"/>
  <c r="FJ234" i="2"/>
  <c r="FI234" i="2"/>
  <c r="GB234" i="2" s="1"/>
  <c r="FH234" i="2"/>
  <c r="FG234" i="2"/>
  <c r="FF234" i="2"/>
  <c r="FY234" i="2" s="1"/>
  <c r="FE234" i="2"/>
  <c r="FX234" i="2" s="1"/>
  <c r="FD234" i="2"/>
  <c r="FC234" i="2"/>
  <c r="FB234" i="2"/>
  <c r="FT214" i="2"/>
  <c r="FS214" i="2"/>
  <c r="GL214" i="2" s="1"/>
  <c r="FQ214" i="2"/>
  <c r="GJ214" i="2" s="1"/>
  <c r="FP214" i="2"/>
  <c r="GI214" i="2" s="1"/>
  <c r="FO214" i="2"/>
  <c r="FN214" i="2"/>
  <c r="FM214" i="2"/>
  <c r="FL214" i="2"/>
  <c r="FK214" i="2"/>
  <c r="FJ214" i="2"/>
  <c r="FI214" i="2"/>
  <c r="GB214" i="2" s="1"/>
  <c r="FH214" i="2"/>
  <c r="FG214" i="2"/>
  <c r="FF214" i="2"/>
  <c r="FY214" i="2" s="1"/>
  <c r="FE214" i="2"/>
  <c r="FX214" i="2" s="1"/>
  <c r="FD214" i="2"/>
  <c r="FC214" i="2"/>
  <c r="FB214" i="2"/>
  <c r="EH214" i="2"/>
  <c r="EG214" i="2"/>
  <c r="EZ214" i="2" s="1"/>
  <c r="EE214" i="2"/>
  <c r="EX214" i="2" s="1"/>
  <c r="ED214" i="2"/>
  <c r="EW214" i="2" s="1"/>
  <c r="EC214" i="2"/>
  <c r="EB214" i="2"/>
  <c r="EA214" i="2"/>
  <c r="DZ214" i="2"/>
  <c r="DY214" i="2"/>
  <c r="DX214" i="2"/>
  <c r="DW214" i="2"/>
  <c r="EP214" i="2" s="1"/>
  <c r="DV214" i="2"/>
  <c r="DU214" i="2"/>
  <c r="DT214" i="2"/>
  <c r="EM214" i="2" s="1"/>
  <c r="DS214" i="2"/>
  <c r="EL214" i="2" s="1"/>
  <c r="DR214" i="2"/>
  <c r="DQ214" i="2"/>
  <c r="DP214" i="2"/>
  <c r="FT213" i="2"/>
  <c r="FS213" i="2"/>
  <c r="GL213" i="2" s="1"/>
  <c r="FQ213" i="2"/>
  <c r="GJ213" i="2" s="1"/>
  <c r="FP213" i="2"/>
  <c r="GI213" i="2" s="1"/>
  <c r="FO213" i="2"/>
  <c r="FN213" i="2"/>
  <c r="FM213" i="2"/>
  <c r="FL213" i="2"/>
  <c r="FK213" i="2"/>
  <c r="FJ213" i="2"/>
  <c r="FI213" i="2"/>
  <c r="GB213" i="2" s="1"/>
  <c r="FH213" i="2"/>
  <c r="FG213" i="2"/>
  <c r="FF213" i="2"/>
  <c r="FY213" i="2" s="1"/>
  <c r="FE213" i="2"/>
  <c r="FX213" i="2" s="1"/>
  <c r="FD213" i="2"/>
  <c r="FC213" i="2"/>
  <c r="FB213" i="2"/>
  <c r="EH213" i="2"/>
  <c r="EG213" i="2"/>
  <c r="EZ213" i="2" s="1"/>
  <c r="EE213" i="2"/>
  <c r="EX213" i="2" s="1"/>
  <c r="ED213" i="2"/>
  <c r="EW213" i="2" s="1"/>
  <c r="EC213" i="2"/>
  <c r="EB213" i="2"/>
  <c r="EA213" i="2"/>
  <c r="DZ213" i="2"/>
  <c r="DY213" i="2"/>
  <c r="DX213" i="2"/>
  <c r="DW213" i="2"/>
  <c r="EP213" i="2" s="1"/>
  <c r="DV213" i="2"/>
  <c r="DU213" i="2"/>
  <c r="DT213" i="2"/>
  <c r="EM213" i="2" s="1"/>
  <c r="DS213" i="2"/>
  <c r="EL213" i="2" s="1"/>
  <c r="DR213" i="2"/>
  <c r="DQ213" i="2"/>
  <c r="DP213" i="2"/>
  <c r="FT233" i="2"/>
  <c r="FS233" i="2"/>
  <c r="GL233" i="2" s="1"/>
  <c r="FQ233" i="2"/>
  <c r="GJ233" i="2" s="1"/>
  <c r="FP233" i="2"/>
  <c r="GI233" i="2" s="1"/>
  <c r="FO233" i="2"/>
  <c r="FN233" i="2"/>
  <c r="FM233" i="2"/>
  <c r="FL233" i="2"/>
  <c r="FK233" i="2"/>
  <c r="FJ233" i="2"/>
  <c r="FI233" i="2"/>
  <c r="GB233" i="2" s="1"/>
  <c r="FH233" i="2"/>
  <c r="FG233" i="2"/>
  <c r="FF233" i="2"/>
  <c r="FY233" i="2" s="1"/>
  <c r="FE233" i="2"/>
  <c r="FX233" i="2" s="1"/>
  <c r="FD233" i="2"/>
  <c r="FC233" i="2"/>
  <c r="FB233" i="2"/>
  <c r="EH233" i="2"/>
  <c r="EG233" i="2"/>
  <c r="EZ233" i="2" s="1"/>
  <c r="EE233" i="2"/>
  <c r="EX233" i="2" s="1"/>
  <c r="ED233" i="2"/>
  <c r="EW233" i="2" s="1"/>
  <c r="EC233" i="2"/>
  <c r="EB233" i="2"/>
  <c r="EA233" i="2"/>
  <c r="DZ233" i="2"/>
  <c r="DY233" i="2"/>
  <c r="DX233" i="2"/>
  <c r="DW233" i="2"/>
  <c r="EP233" i="2" s="1"/>
  <c r="DV233" i="2"/>
  <c r="DU233" i="2"/>
  <c r="DT233" i="2"/>
  <c r="EM233" i="2" s="1"/>
  <c r="DS233" i="2"/>
  <c r="EL233" i="2" s="1"/>
  <c r="DR233" i="2"/>
  <c r="DQ233" i="2"/>
  <c r="DP233" i="2"/>
  <c r="FT232" i="2"/>
  <c r="FS232" i="2"/>
  <c r="GL232" i="2" s="1"/>
  <c r="FQ232" i="2"/>
  <c r="GJ232" i="2" s="1"/>
  <c r="FP232" i="2"/>
  <c r="GI232" i="2" s="1"/>
  <c r="FO232" i="2"/>
  <c r="FN232" i="2"/>
  <c r="FM232" i="2"/>
  <c r="FL232" i="2"/>
  <c r="FK232" i="2"/>
  <c r="FJ232" i="2"/>
  <c r="FI232" i="2"/>
  <c r="GB232" i="2" s="1"/>
  <c r="FH232" i="2"/>
  <c r="FG232" i="2"/>
  <c r="FF232" i="2"/>
  <c r="FY232" i="2" s="1"/>
  <c r="FE232" i="2"/>
  <c r="FX232" i="2" s="1"/>
  <c r="FD232" i="2"/>
  <c r="FC232" i="2"/>
  <c r="FB232" i="2"/>
  <c r="EH232" i="2"/>
  <c r="EG232" i="2"/>
  <c r="EZ232" i="2" s="1"/>
  <c r="EE232" i="2"/>
  <c r="EX232" i="2" s="1"/>
  <c r="ED232" i="2"/>
  <c r="EW232" i="2" s="1"/>
  <c r="EC232" i="2"/>
  <c r="EB232" i="2"/>
  <c r="EA232" i="2"/>
  <c r="DZ232" i="2"/>
  <c r="DY232" i="2"/>
  <c r="DX232" i="2"/>
  <c r="DW232" i="2"/>
  <c r="EP232" i="2" s="1"/>
  <c r="DV232" i="2"/>
  <c r="DU232" i="2"/>
  <c r="DT232" i="2"/>
  <c r="EM232" i="2" s="1"/>
  <c r="DS232" i="2"/>
  <c r="EL232" i="2" s="1"/>
  <c r="DR232" i="2"/>
  <c r="DQ232" i="2"/>
  <c r="DP232" i="2"/>
  <c r="FT264" i="2"/>
  <c r="FS264" i="2"/>
  <c r="GL264" i="2" s="1"/>
  <c r="FQ264" i="2"/>
  <c r="GJ264" i="2" s="1"/>
  <c r="FP264" i="2"/>
  <c r="GI264" i="2" s="1"/>
  <c r="FO264" i="2"/>
  <c r="FN264" i="2"/>
  <c r="FM264" i="2"/>
  <c r="FL264" i="2"/>
  <c r="FK264" i="2"/>
  <c r="FJ264" i="2"/>
  <c r="FI264" i="2"/>
  <c r="GB264" i="2" s="1"/>
  <c r="FH264" i="2"/>
  <c r="FG264" i="2"/>
  <c r="FF264" i="2"/>
  <c r="FY264" i="2" s="1"/>
  <c r="FE264" i="2"/>
  <c r="FX264" i="2" s="1"/>
  <c r="FD264" i="2"/>
  <c r="FC264" i="2"/>
  <c r="FB264" i="2"/>
  <c r="EH264" i="2"/>
  <c r="EG264" i="2"/>
  <c r="EZ264" i="2" s="1"/>
  <c r="EE264" i="2"/>
  <c r="EX264" i="2" s="1"/>
  <c r="ED264" i="2"/>
  <c r="EW264" i="2" s="1"/>
  <c r="EC264" i="2"/>
  <c r="EB264" i="2"/>
  <c r="EA264" i="2"/>
  <c r="DZ264" i="2"/>
  <c r="DY264" i="2"/>
  <c r="DX264" i="2"/>
  <c r="DW264" i="2"/>
  <c r="EP264" i="2" s="1"/>
  <c r="DV264" i="2"/>
  <c r="DU264" i="2"/>
  <c r="DT264" i="2"/>
  <c r="EM264" i="2" s="1"/>
  <c r="DS264" i="2"/>
  <c r="EL264" i="2" s="1"/>
  <c r="DR264" i="2"/>
  <c r="DQ264" i="2"/>
  <c r="DP264" i="2"/>
  <c r="FT231" i="2"/>
  <c r="FS231" i="2"/>
  <c r="GL231" i="2" s="1"/>
  <c r="FQ231" i="2"/>
  <c r="GJ231" i="2" s="1"/>
  <c r="FP231" i="2"/>
  <c r="GI231" i="2" s="1"/>
  <c r="FO231" i="2"/>
  <c r="FN231" i="2"/>
  <c r="FM231" i="2"/>
  <c r="FL231" i="2"/>
  <c r="FK231" i="2"/>
  <c r="FJ231" i="2"/>
  <c r="FI231" i="2"/>
  <c r="GB231" i="2" s="1"/>
  <c r="FH231" i="2"/>
  <c r="FG231" i="2"/>
  <c r="FF231" i="2"/>
  <c r="FY231" i="2" s="1"/>
  <c r="FE231" i="2"/>
  <c r="FX231" i="2" s="1"/>
  <c r="FD231" i="2"/>
  <c r="FC231" i="2"/>
  <c r="FB231" i="2"/>
  <c r="FT282" i="2"/>
  <c r="FS282" i="2"/>
  <c r="GL282" i="2" s="1"/>
  <c r="FQ282" i="2"/>
  <c r="GJ282" i="2" s="1"/>
  <c r="FP282" i="2"/>
  <c r="GI282" i="2" s="1"/>
  <c r="FO282" i="2"/>
  <c r="FN282" i="2"/>
  <c r="FM282" i="2"/>
  <c r="FL282" i="2"/>
  <c r="FK282" i="2"/>
  <c r="FJ282" i="2"/>
  <c r="FI282" i="2"/>
  <c r="GB282" i="2" s="1"/>
  <c r="FH282" i="2"/>
  <c r="FG282" i="2"/>
  <c r="FF282" i="2"/>
  <c r="FY282" i="2" s="1"/>
  <c r="FE282" i="2"/>
  <c r="FX282" i="2" s="1"/>
  <c r="FD282" i="2"/>
  <c r="FC282" i="2"/>
  <c r="FB282" i="2"/>
  <c r="EH282" i="2"/>
  <c r="EG282" i="2"/>
  <c r="EZ282" i="2" s="1"/>
  <c r="EE282" i="2"/>
  <c r="EX282" i="2" s="1"/>
  <c r="ED282" i="2"/>
  <c r="EW282" i="2" s="1"/>
  <c r="EC282" i="2"/>
  <c r="EB282" i="2"/>
  <c r="EA282" i="2"/>
  <c r="DZ282" i="2"/>
  <c r="DY282" i="2"/>
  <c r="DX282" i="2"/>
  <c r="DW282" i="2"/>
  <c r="EP282" i="2" s="1"/>
  <c r="DV282" i="2"/>
  <c r="DU282" i="2"/>
  <c r="DT282" i="2"/>
  <c r="EM282" i="2" s="1"/>
  <c r="DS282" i="2"/>
  <c r="EL282" i="2" s="1"/>
  <c r="DR282" i="2"/>
  <c r="DQ282" i="2"/>
  <c r="DP282" i="2"/>
  <c r="FT281" i="2"/>
  <c r="FS281" i="2"/>
  <c r="GL281" i="2" s="1"/>
  <c r="FQ281" i="2"/>
  <c r="GJ281" i="2" s="1"/>
  <c r="FP281" i="2"/>
  <c r="GI281" i="2" s="1"/>
  <c r="FO281" i="2"/>
  <c r="FN281" i="2"/>
  <c r="FM281" i="2"/>
  <c r="FL281" i="2"/>
  <c r="FK281" i="2"/>
  <c r="FJ281" i="2"/>
  <c r="FI281" i="2"/>
  <c r="GB281" i="2" s="1"/>
  <c r="FH281" i="2"/>
  <c r="FG281" i="2"/>
  <c r="FF281" i="2"/>
  <c r="FY281" i="2" s="1"/>
  <c r="FE281" i="2"/>
  <c r="FX281" i="2" s="1"/>
  <c r="FD281" i="2"/>
  <c r="FC281" i="2"/>
  <c r="FB281" i="2"/>
  <c r="EH281" i="2"/>
  <c r="EG281" i="2"/>
  <c r="EZ281" i="2" s="1"/>
  <c r="EE281" i="2"/>
  <c r="EX281" i="2" s="1"/>
  <c r="ED281" i="2"/>
  <c r="EW281" i="2" s="1"/>
  <c r="EC281" i="2"/>
  <c r="EB281" i="2"/>
  <c r="EA281" i="2"/>
  <c r="DZ281" i="2"/>
  <c r="DY281" i="2"/>
  <c r="DX281" i="2"/>
  <c r="DW281" i="2"/>
  <c r="EP281" i="2" s="1"/>
  <c r="DV281" i="2"/>
  <c r="DU281" i="2"/>
  <c r="DT281" i="2"/>
  <c r="EM281" i="2" s="1"/>
  <c r="DS281" i="2"/>
  <c r="EL281" i="2" s="1"/>
  <c r="DR281" i="2"/>
  <c r="DQ281" i="2"/>
  <c r="DP281" i="2"/>
  <c r="FT103" i="2"/>
  <c r="FS103" i="2"/>
  <c r="GL103" i="2" s="1"/>
  <c r="FQ103" i="2"/>
  <c r="GJ103" i="2" s="1"/>
  <c r="FP103" i="2"/>
  <c r="GI103" i="2" s="1"/>
  <c r="FO103" i="2"/>
  <c r="FN103" i="2"/>
  <c r="FM103" i="2"/>
  <c r="FL103" i="2"/>
  <c r="FK103" i="2"/>
  <c r="FJ103" i="2"/>
  <c r="FI103" i="2"/>
  <c r="GB103" i="2" s="1"/>
  <c r="FH103" i="2"/>
  <c r="FG103" i="2"/>
  <c r="FF103" i="2"/>
  <c r="FY103" i="2" s="1"/>
  <c r="FE103" i="2"/>
  <c r="FX103" i="2" s="1"/>
  <c r="FD103" i="2"/>
  <c r="FC103" i="2"/>
  <c r="FB103" i="2"/>
  <c r="EH103" i="2"/>
  <c r="EG103" i="2"/>
  <c r="EZ103" i="2" s="1"/>
  <c r="EE103" i="2"/>
  <c r="EX103" i="2" s="1"/>
  <c r="ED103" i="2"/>
  <c r="EW103" i="2" s="1"/>
  <c r="EC103" i="2"/>
  <c r="EB103" i="2"/>
  <c r="EA103" i="2"/>
  <c r="DZ103" i="2"/>
  <c r="DY103" i="2"/>
  <c r="DX103" i="2"/>
  <c r="DW103" i="2"/>
  <c r="EP103" i="2" s="1"/>
  <c r="DV103" i="2"/>
  <c r="DU103" i="2"/>
  <c r="DT103" i="2"/>
  <c r="EM103" i="2" s="1"/>
  <c r="DS103" i="2"/>
  <c r="EL103" i="2" s="1"/>
  <c r="DR103" i="2"/>
  <c r="DQ103" i="2"/>
  <c r="DP103" i="2"/>
  <c r="FT119" i="2"/>
  <c r="FS119" i="2"/>
  <c r="GL119" i="2" s="1"/>
  <c r="FQ119" i="2"/>
  <c r="GJ119" i="2" s="1"/>
  <c r="FP119" i="2"/>
  <c r="GI119" i="2" s="1"/>
  <c r="FO119" i="2"/>
  <c r="FN119" i="2"/>
  <c r="FM119" i="2"/>
  <c r="FL119" i="2"/>
  <c r="FK119" i="2"/>
  <c r="FJ119" i="2"/>
  <c r="FI119" i="2"/>
  <c r="GB119" i="2" s="1"/>
  <c r="FH119" i="2"/>
  <c r="FG119" i="2"/>
  <c r="FF119" i="2"/>
  <c r="FY119" i="2" s="1"/>
  <c r="FE119" i="2"/>
  <c r="FX119" i="2" s="1"/>
  <c r="FD119" i="2"/>
  <c r="FC119" i="2"/>
  <c r="FB119" i="2"/>
  <c r="EH119" i="2"/>
  <c r="EG119" i="2"/>
  <c r="EZ119" i="2" s="1"/>
  <c r="EE119" i="2"/>
  <c r="EX119" i="2" s="1"/>
  <c r="ED119" i="2"/>
  <c r="EW119" i="2" s="1"/>
  <c r="EC119" i="2"/>
  <c r="EB119" i="2"/>
  <c r="EA119" i="2"/>
  <c r="DZ119" i="2"/>
  <c r="DY119" i="2"/>
  <c r="DX119" i="2"/>
  <c r="DW119" i="2"/>
  <c r="EP119" i="2" s="1"/>
  <c r="DV119" i="2"/>
  <c r="DU119" i="2"/>
  <c r="DT119" i="2"/>
  <c r="EM119" i="2" s="1"/>
  <c r="DS119" i="2"/>
  <c r="EL119" i="2" s="1"/>
  <c r="DR119" i="2"/>
  <c r="DQ119" i="2"/>
  <c r="DP119" i="2"/>
  <c r="FT118" i="2"/>
  <c r="FS118" i="2"/>
  <c r="GL118" i="2" s="1"/>
  <c r="FQ118" i="2"/>
  <c r="GJ118" i="2" s="1"/>
  <c r="FP118" i="2"/>
  <c r="GI118" i="2" s="1"/>
  <c r="FO118" i="2"/>
  <c r="FN118" i="2"/>
  <c r="FM118" i="2"/>
  <c r="FL118" i="2"/>
  <c r="FK118" i="2"/>
  <c r="FJ118" i="2"/>
  <c r="FI118" i="2"/>
  <c r="GB118" i="2" s="1"/>
  <c r="FH118" i="2"/>
  <c r="FG118" i="2"/>
  <c r="FF118" i="2"/>
  <c r="FY118" i="2" s="1"/>
  <c r="FE118" i="2"/>
  <c r="FX118" i="2" s="1"/>
  <c r="FD118" i="2"/>
  <c r="FC118" i="2"/>
  <c r="FB118" i="2"/>
  <c r="EH118" i="2"/>
  <c r="EG118" i="2"/>
  <c r="EZ118" i="2" s="1"/>
  <c r="EE118" i="2"/>
  <c r="EX118" i="2" s="1"/>
  <c r="ED118" i="2"/>
  <c r="EW118" i="2" s="1"/>
  <c r="EC118" i="2"/>
  <c r="EB118" i="2"/>
  <c r="EA118" i="2"/>
  <c r="DZ118" i="2"/>
  <c r="DY118" i="2"/>
  <c r="DX118" i="2"/>
  <c r="DW118" i="2"/>
  <c r="EP118" i="2" s="1"/>
  <c r="DV118" i="2"/>
  <c r="DU118" i="2"/>
  <c r="DT118" i="2"/>
  <c r="EM118" i="2" s="1"/>
  <c r="DS118" i="2"/>
  <c r="EL118" i="2" s="1"/>
  <c r="DR118" i="2"/>
  <c r="DQ118" i="2"/>
  <c r="DP118" i="2"/>
  <c r="FT133" i="2"/>
  <c r="FS133" i="2"/>
  <c r="GL133" i="2" s="1"/>
  <c r="FQ133" i="2"/>
  <c r="GJ133" i="2" s="1"/>
  <c r="FP133" i="2"/>
  <c r="GI133" i="2" s="1"/>
  <c r="FO133" i="2"/>
  <c r="FN133" i="2"/>
  <c r="FM133" i="2"/>
  <c r="FL133" i="2"/>
  <c r="FK133" i="2"/>
  <c r="FJ133" i="2"/>
  <c r="FI133" i="2"/>
  <c r="GB133" i="2" s="1"/>
  <c r="FH133" i="2"/>
  <c r="FG133" i="2"/>
  <c r="FF133" i="2"/>
  <c r="FY133" i="2" s="1"/>
  <c r="FE133" i="2"/>
  <c r="FX133" i="2" s="1"/>
  <c r="FD133" i="2"/>
  <c r="FC133" i="2"/>
  <c r="FB133" i="2"/>
  <c r="EH133" i="2"/>
  <c r="EG133" i="2"/>
  <c r="EZ133" i="2" s="1"/>
  <c r="EE133" i="2"/>
  <c r="EX133" i="2" s="1"/>
  <c r="ED133" i="2"/>
  <c r="EW133" i="2" s="1"/>
  <c r="EC133" i="2"/>
  <c r="EB133" i="2"/>
  <c r="EA133" i="2"/>
  <c r="DZ133" i="2"/>
  <c r="DY133" i="2"/>
  <c r="DX133" i="2"/>
  <c r="DW133" i="2"/>
  <c r="EP133" i="2" s="1"/>
  <c r="DV133" i="2"/>
  <c r="DU133" i="2"/>
  <c r="DT133" i="2"/>
  <c r="EM133" i="2" s="1"/>
  <c r="DS133" i="2"/>
  <c r="EL133" i="2" s="1"/>
  <c r="DR133" i="2"/>
  <c r="DQ133" i="2"/>
  <c r="DP133" i="2"/>
  <c r="FT132" i="2"/>
  <c r="FS132" i="2"/>
  <c r="GL132" i="2" s="1"/>
  <c r="FQ132" i="2"/>
  <c r="GJ132" i="2" s="1"/>
  <c r="FP132" i="2"/>
  <c r="GI132" i="2" s="1"/>
  <c r="FO132" i="2"/>
  <c r="FN132" i="2"/>
  <c r="FM132" i="2"/>
  <c r="FL132" i="2"/>
  <c r="FK132" i="2"/>
  <c r="FJ132" i="2"/>
  <c r="FI132" i="2"/>
  <c r="GB132" i="2" s="1"/>
  <c r="FH132" i="2"/>
  <c r="FG132" i="2"/>
  <c r="FF132" i="2"/>
  <c r="FY132" i="2" s="1"/>
  <c r="FE132" i="2"/>
  <c r="FX132" i="2" s="1"/>
  <c r="FD132" i="2"/>
  <c r="FC132" i="2"/>
  <c r="FB132" i="2"/>
  <c r="EH132" i="2"/>
  <c r="EG132" i="2"/>
  <c r="EZ132" i="2" s="1"/>
  <c r="EE132" i="2"/>
  <c r="EX132" i="2" s="1"/>
  <c r="ED132" i="2"/>
  <c r="EW132" i="2" s="1"/>
  <c r="EC132" i="2"/>
  <c r="EB132" i="2"/>
  <c r="EA132" i="2"/>
  <c r="DZ132" i="2"/>
  <c r="DY132" i="2"/>
  <c r="DX132" i="2"/>
  <c r="DW132" i="2"/>
  <c r="EP132" i="2" s="1"/>
  <c r="DV132" i="2"/>
  <c r="DU132" i="2"/>
  <c r="DT132" i="2"/>
  <c r="EM132" i="2" s="1"/>
  <c r="DS132" i="2"/>
  <c r="EL132" i="2" s="1"/>
  <c r="DR132" i="2"/>
  <c r="DQ132" i="2"/>
  <c r="DP132" i="2"/>
  <c r="FT125" i="2"/>
  <c r="FS125" i="2"/>
  <c r="GL125" i="2" s="1"/>
  <c r="FQ125" i="2"/>
  <c r="GJ125" i="2" s="1"/>
  <c r="FP125" i="2"/>
  <c r="GI125" i="2" s="1"/>
  <c r="FO125" i="2"/>
  <c r="FN125" i="2"/>
  <c r="FM125" i="2"/>
  <c r="FL125" i="2"/>
  <c r="FK125" i="2"/>
  <c r="FJ125" i="2"/>
  <c r="FI125" i="2"/>
  <c r="GB125" i="2" s="1"/>
  <c r="FH125" i="2"/>
  <c r="FG125" i="2"/>
  <c r="FF125" i="2"/>
  <c r="FY125" i="2" s="1"/>
  <c r="FE125" i="2"/>
  <c r="FX125" i="2" s="1"/>
  <c r="FD125" i="2"/>
  <c r="FC125" i="2"/>
  <c r="FB125" i="2"/>
  <c r="EH125" i="2"/>
  <c r="EG125" i="2"/>
  <c r="EZ125" i="2" s="1"/>
  <c r="EE125" i="2"/>
  <c r="EX125" i="2" s="1"/>
  <c r="ED125" i="2"/>
  <c r="EW125" i="2" s="1"/>
  <c r="EC125" i="2"/>
  <c r="EB125" i="2"/>
  <c r="EA125" i="2"/>
  <c r="DZ125" i="2"/>
  <c r="DY125" i="2"/>
  <c r="DX125" i="2"/>
  <c r="DW125" i="2"/>
  <c r="EP125" i="2" s="1"/>
  <c r="DV125" i="2"/>
  <c r="DU125" i="2"/>
  <c r="DT125" i="2"/>
  <c r="EM125" i="2" s="1"/>
  <c r="DS125" i="2"/>
  <c r="EL125" i="2" s="1"/>
  <c r="DR125" i="2"/>
  <c r="DQ125" i="2"/>
  <c r="DP125" i="2"/>
  <c r="FT263" i="2"/>
  <c r="FS263" i="2"/>
  <c r="GL263" i="2" s="1"/>
  <c r="FQ263" i="2"/>
  <c r="GJ263" i="2" s="1"/>
  <c r="FP263" i="2"/>
  <c r="GI263" i="2" s="1"/>
  <c r="FO263" i="2"/>
  <c r="FN263" i="2"/>
  <c r="FM263" i="2"/>
  <c r="FL263" i="2"/>
  <c r="FK263" i="2"/>
  <c r="FJ263" i="2"/>
  <c r="FI263" i="2"/>
  <c r="GB263" i="2" s="1"/>
  <c r="FH263" i="2"/>
  <c r="FG263" i="2"/>
  <c r="FF263" i="2"/>
  <c r="FY263" i="2" s="1"/>
  <c r="FE263" i="2"/>
  <c r="FX263" i="2" s="1"/>
  <c r="FD263" i="2"/>
  <c r="FC263" i="2"/>
  <c r="FB263" i="2"/>
  <c r="EH263" i="2"/>
  <c r="EG263" i="2"/>
  <c r="EZ263" i="2" s="1"/>
  <c r="EE263" i="2"/>
  <c r="EX263" i="2" s="1"/>
  <c r="ED263" i="2"/>
  <c r="EW263" i="2" s="1"/>
  <c r="EC263" i="2"/>
  <c r="EB263" i="2"/>
  <c r="EA263" i="2"/>
  <c r="DZ263" i="2"/>
  <c r="DY263" i="2"/>
  <c r="DX263" i="2"/>
  <c r="DW263" i="2"/>
  <c r="EP263" i="2" s="1"/>
  <c r="DV263" i="2"/>
  <c r="DU263" i="2"/>
  <c r="DT263" i="2"/>
  <c r="EM263" i="2" s="1"/>
  <c r="DS263" i="2"/>
  <c r="EL263" i="2" s="1"/>
  <c r="DR263" i="2"/>
  <c r="DQ263" i="2"/>
  <c r="DP263" i="2"/>
  <c r="FT262" i="2"/>
  <c r="FS262" i="2"/>
  <c r="GL262" i="2" s="1"/>
  <c r="FQ262" i="2"/>
  <c r="GJ262" i="2" s="1"/>
  <c r="FP262" i="2"/>
  <c r="GI262" i="2" s="1"/>
  <c r="FO262" i="2"/>
  <c r="FN262" i="2"/>
  <c r="FM262" i="2"/>
  <c r="FL262" i="2"/>
  <c r="FK262" i="2"/>
  <c r="FJ262" i="2"/>
  <c r="FI262" i="2"/>
  <c r="GB262" i="2" s="1"/>
  <c r="FH262" i="2"/>
  <c r="FG262" i="2"/>
  <c r="FF262" i="2"/>
  <c r="FY262" i="2" s="1"/>
  <c r="FE262" i="2"/>
  <c r="FX262" i="2" s="1"/>
  <c r="FD262" i="2"/>
  <c r="FC262" i="2"/>
  <c r="FB262" i="2"/>
  <c r="EH262" i="2"/>
  <c r="EG262" i="2"/>
  <c r="EZ262" i="2" s="1"/>
  <c r="EE262" i="2"/>
  <c r="EX262" i="2" s="1"/>
  <c r="ED262" i="2"/>
  <c r="EW262" i="2" s="1"/>
  <c r="EC262" i="2"/>
  <c r="EB262" i="2"/>
  <c r="EA262" i="2"/>
  <c r="DZ262" i="2"/>
  <c r="DY262" i="2"/>
  <c r="DX262" i="2"/>
  <c r="DW262" i="2"/>
  <c r="EP262" i="2" s="1"/>
  <c r="DV262" i="2"/>
  <c r="DU262" i="2"/>
  <c r="DT262" i="2"/>
  <c r="EM262" i="2" s="1"/>
  <c r="DS262" i="2"/>
  <c r="EL262" i="2" s="1"/>
  <c r="DR262" i="2"/>
  <c r="DQ262" i="2"/>
  <c r="DP262" i="2"/>
  <c r="FT261" i="2"/>
  <c r="FS261" i="2"/>
  <c r="GL261" i="2" s="1"/>
  <c r="FQ261" i="2"/>
  <c r="GJ261" i="2" s="1"/>
  <c r="FP261" i="2"/>
  <c r="GI261" i="2" s="1"/>
  <c r="FO261" i="2"/>
  <c r="FN261" i="2"/>
  <c r="FM261" i="2"/>
  <c r="FL261" i="2"/>
  <c r="FK261" i="2"/>
  <c r="FJ261" i="2"/>
  <c r="FI261" i="2"/>
  <c r="GB261" i="2" s="1"/>
  <c r="FH261" i="2"/>
  <c r="FG261" i="2"/>
  <c r="FF261" i="2"/>
  <c r="FY261" i="2" s="1"/>
  <c r="FE261" i="2"/>
  <c r="FX261" i="2" s="1"/>
  <c r="FD261" i="2"/>
  <c r="FC261" i="2"/>
  <c r="FB261" i="2"/>
  <c r="EH261" i="2"/>
  <c r="EG261" i="2"/>
  <c r="EZ261" i="2" s="1"/>
  <c r="EE261" i="2"/>
  <c r="EX261" i="2" s="1"/>
  <c r="ED261" i="2"/>
  <c r="EW261" i="2" s="1"/>
  <c r="EC261" i="2"/>
  <c r="EB261" i="2"/>
  <c r="EA261" i="2"/>
  <c r="DZ261" i="2"/>
  <c r="DY261" i="2"/>
  <c r="DX261" i="2"/>
  <c r="DW261" i="2"/>
  <c r="EP261" i="2" s="1"/>
  <c r="DV261" i="2"/>
  <c r="DU261" i="2"/>
  <c r="DT261" i="2"/>
  <c r="EM261" i="2" s="1"/>
  <c r="DS261" i="2"/>
  <c r="EL261" i="2" s="1"/>
  <c r="DR261" i="2"/>
  <c r="DQ261" i="2"/>
  <c r="DP261" i="2"/>
  <c r="FT252" i="2"/>
  <c r="FS252" i="2"/>
  <c r="GL252" i="2" s="1"/>
  <c r="FQ252" i="2"/>
  <c r="GJ252" i="2" s="1"/>
  <c r="FP252" i="2"/>
  <c r="GI252" i="2" s="1"/>
  <c r="FO252" i="2"/>
  <c r="FN252" i="2"/>
  <c r="FM252" i="2"/>
  <c r="FL252" i="2"/>
  <c r="FK252" i="2"/>
  <c r="FJ252" i="2"/>
  <c r="FI252" i="2"/>
  <c r="GB252" i="2" s="1"/>
  <c r="FH252" i="2"/>
  <c r="FG252" i="2"/>
  <c r="FF252" i="2"/>
  <c r="FY252" i="2" s="1"/>
  <c r="FE252" i="2"/>
  <c r="FX252" i="2" s="1"/>
  <c r="FD252" i="2"/>
  <c r="FC252" i="2"/>
  <c r="FB252" i="2"/>
  <c r="EH252" i="2"/>
  <c r="EG252" i="2"/>
  <c r="EZ252" i="2" s="1"/>
  <c r="EE252" i="2"/>
  <c r="EX252" i="2" s="1"/>
  <c r="ED252" i="2"/>
  <c r="EW252" i="2" s="1"/>
  <c r="EC252" i="2"/>
  <c r="EB252" i="2"/>
  <c r="EA252" i="2"/>
  <c r="DZ252" i="2"/>
  <c r="DY252" i="2"/>
  <c r="DX252" i="2"/>
  <c r="DW252" i="2"/>
  <c r="EP252" i="2" s="1"/>
  <c r="DV252" i="2"/>
  <c r="DU252" i="2"/>
  <c r="DT252" i="2"/>
  <c r="EM252" i="2" s="1"/>
  <c r="DS252" i="2"/>
  <c r="EL252" i="2" s="1"/>
  <c r="DR252" i="2"/>
  <c r="DQ252" i="2"/>
  <c r="DP252" i="2"/>
  <c r="FT245" i="2"/>
  <c r="FS245" i="2"/>
  <c r="GL245" i="2" s="1"/>
  <c r="FQ245" i="2"/>
  <c r="GJ245" i="2" s="1"/>
  <c r="FP245" i="2"/>
  <c r="GI245" i="2" s="1"/>
  <c r="FO245" i="2"/>
  <c r="FN245" i="2"/>
  <c r="FM245" i="2"/>
  <c r="FL245" i="2"/>
  <c r="FK245" i="2"/>
  <c r="FJ245" i="2"/>
  <c r="FI245" i="2"/>
  <c r="GB245" i="2" s="1"/>
  <c r="FH245" i="2"/>
  <c r="FG245" i="2"/>
  <c r="FF245" i="2"/>
  <c r="FY245" i="2" s="1"/>
  <c r="FE245" i="2"/>
  <c r="FX245" i="2" s="1"/>
  <c r="FD245" i="2"/>
  <c r="FC245" i="2"/>
  <c r="FB245" i="2"/>
  <c r="EH245" i="2"/>
  <c r="EG245" i="2"/>
  <c r="EZ245" i="2" s="1"/>
  <c r="EE245" i="2"/>
  <c r="EX245" i="2" s="1"/>
  <c r="ED245" i="2"/>
  <c r="EW245" i="2" s="1"/>
  <c r="EC245" i="2"/>
  <c r="EB245" i="2"/>
  <c r="EA245" i="2"/>
  <c r="DZ245" i="2"/>
  <c r="DY245" i="2"/>
  <c r="DX245" i="2"/>
  <c r="DW245" i="2"/>
  <c r="EP245" i="2" s="1"/>
  <c r="DV245" i="2"/>
  <c r="DU245" i="2"/>
  <c r="DT245" i="2"/>
  <c r="EM245" i="2" s="1"/>
  <c r="DS245" i="2"/>
  <c r="EL245" i="2" s="1"/>
  <c r="DR245" i="2"/>
  <c r="DQ245" i="2"/>
  <c r="DP245" i="2"/>
  <c r="FT228" i="2"/>
  <c r="FS228" i="2"/>
  <c r="GL228" i="2" s="1"/>
  <c r="FQ228" i="2"/>
  <c r="GJ228" i="2" s="1"/>
  <c r="FP228" i="2"/>
  <c r="GI228" i="2" s="1"/>
  <c r="FO228" i="2"/>
  <c r="FN228" i="2"/>
  <c r="FM228" i="2"/>
  <c r="FL228" i="2"/>
  <c r="FK228" i="2"/>
  <c r="FJ228" i="2"/>
  <c r="FI228" i="2"/>
  <c r="GB228" i="2" s="1"/>
  <c r="FH228" i="2"/>
  <c r="FG228" i="2"/>
  <c r="FF228" i="2"/>
  <c r="FY228" i="2" s="1"/>
  <c r="FE228" i="2"/>
  <c r="FX228" i="2" s="1"/>
  <c r="FD228" i="2"/>
  <c r="FC228" i="2"/>
  <c r="FB228" i="2"/>
  <c r="EH228" i="2"/>
  <c r="EG228" i="2"/>
  <c r="EZ228" i="2" s="1"/>
  <c r="EE228" i="2"/>
  <c r="EX228" i="2" s="1"/>
  <c r="ED228" i="2"/>
  <c r="EW228" i="2" s="1"/>
  <c r="EC228" i="2"/>
  <c r="EB228" i="2"/>
  <c r="EA228" i="2"/>
  <c r="DZ228" i="2"/>
  <c r="DY228" i="2"/>
  <c r="DX228" i="2"/>
  <c r="DW228" i="2"/>
  <c r="EP228" i="2" s="1"/>
  <c r="DV228" i="2"/>
  <c r="DU228" i="2"/>
  <c r="DT228" i="2"/>
  <c r="EM228" i="2" s="1"/>
  <c r="DS228" i="2"/>
  <c r="EL228" i="2" s="1"/>
  <c r="DR228" i="2"/>
  <c r="DQ228" i="2"/>
  <c r="DP228" i="2"/>
  <c r="FT212" i="2"/>
  <c r="FS212" i="2"/>
  <c r="GL212" i="2" s="1"/>
  <c r="FQ212" i="2"/>
  <c r="GJ212" i="2" s="1"/>
  <c r="FP212" i="2"/>
  <c r="GI212" i="2" s="1"/>
  <c r="FO212" i="2"/>
  <c r="FN212" i="2"/>
  <c r="FM212" i="2"/>
  <c r="FL212" i="2"/>
  <c r="FK212" i="2"/>
  <c r="FJ212" i="2"/>
  <c r="FI212" i="2"/>
  <c r="GB212" i="2" s="1"/>
  <c r="FH212" i="2"/>
  <c r="FG212" i="2"/>
  <c r="FF212" i="2"/>
  <c r="FY212" i="2" s="1"/>
  <c r="FE212" i="2"/>
  <c r="FX212" i="2" s="1"/>
  <c r="FD212" i="2"/>
  <c r="FC212" i="2"/>
  <c r="FB212" i="2"/>
  <c r="EH212" i="2"/>
  <c r="EG212" i="2"/>
  <c r="EZ212" i="2" s="1"/>
  <c r="EE212" i="2"/>
  <c r="EX212" i="2" s="1"/>
  <c r="ED212" i="2"/>
  <c r="EW212" i="2" s="1"/>
  <c r="EC212" i="2"/>
  <c r="EB212" i="2"/>
  <c r="EA212" i="2"/>
  <c r="DZ212" i="2"/>
  <c r="DY212" i="2"/>
  <c r="DW212" i="2"/>
  <c r="EP212" i="2" s="1"/>
  <c r="DV212" i="2"/>
  <c r="DU212" i="2"/>
  <c r="DT212" i="2"/>
  <c r="EM212" i="2" s="1"/>
  <c r="DS212" i="2"/>
  <c r="EL212" i="2" s="1"/>
  <c r="DR212" i="2"/>
  <c r="DQ212" i="2"/>
  <c r="DP212" i="2"/>
  <c r="FT211" i="2"/>
  <c r="FS211" i="2"/>
  <c r="GL211" i="2" s="1"/>
  <c r="FQ211" i="2"/>
  <c r="GJ211" i="2" s="1"/>
  <c r="FP211" i="2"/>
  <c r="GI211" i="2" s="1"/>
  <c r="FO211" i="2"/>
  <c r="FN211" i="2"/>
  <c r="FM211" i="2"/>
  <c r="FL211" i="2"/>
  <c r="FK211" i="2"/>
  <c r="FJ211" i="2"/>
  <c r="FI211" i="2"/>
  <c r="GB211" i="2" s="1"/>
  <c r="FH211" i="2"/>
  <c r="FG211" i="2"/>
  <c r="FF211" i="2"/>
  <c r="FY211" i="2" s="1"/>
  <c r="FE211" i="2"/>
  <c r="FX211" i="2" s="1"/>
  <c r="FD211" i="2"/>
  <c r="FC211" i="2"/>
  <c r="FB211" i="2"/>
  <c r="FT88" i="2"/>
  <c r="FS88" i="2"/>
  <c r="GL88" i="2" s="1"/>
  <c r="FQ88" i="2"/>
  <c r="GJ88" i="2" s="1"/>
  <c r="FP88" i="2"/>
  <c r="GI88" i="2" s="1"/>
  <c r="FO88" i="2"/>
  <c r="FN88" i="2"/>
  <c r="FM88" i="2"/>
  <c r="FL88" i="2"/>
  <c r="FK88" i="2"/>
  <c r="FJ88" i="2"/>
  <c r="FI88" i="2"/>
  <c r="GB88" i="2" s="1"/>
  <c r="FH88" i="2"/>
  <c r="FG88" i="2"/>
  <c r="FF88" i="2"/>
  <c r="FY88" i="2" s="1"/>
  <c r="FE88" i="2"/>
  <c r="FX88" i="2" s="1"/>
  <c r="FD88" i="2"/>
  <c r="FC88" i="2"/>
  <c r="FB88" i="2"/>
  <c r="EH88" i="2"/>
  <c r="EG88" i="2"/>
  <c r="EZ88" i="2" s="1"/>
  <c r="EE88" i="2"/>
  <c r="EX88" i="2" s="1"/>
  <c r="ED88" i="2"/>
  <c r="EW88" i="2" s="1"/>
  <c r="EC88" i="2"/>
  <c r="EB88" i="2"/>
  <c r="EA88" i="2"/>
  <c r="DZ88" i="2"/>
  <c r="DY88" i="2"/>
  <c r="DX88" i="2"/>
  <c r="DW88" i="2"/>
  <c r="EP88" i="2" s="1"/>
  <c r="DV88" i="2"/>
  <c r="DU88" i="2"/>
  <c r="DT88" i="2"/>
  <c r="EM88" i="2" s="1"/>
  <c r="DS88" i="2"/>
  <c r="EL88" i="2" s="1"/>
  <c r="DR88" i="2"/>
  <c r="DQ88" i="2"/>
  <c r="DP88" i="2"/>
  <c r="FT260" i="2"/>
  <c r="FS260" i="2"/>
  <c r="GL260" i="2" s="1"/>
  <c r="FQ260" i="2"/>
  <c r="GJ260" i="2" s="1"/>
  <c r="FP260" i="2"/>
  <c r="GI260" i="2" s="1"/>
  <c r="FO260" i="2"/>
  <c r="FN260" i="2"/>
  <c r="FM260" i="2"/>
  <c r="FL260" i="2"/>
  <c r="FK260" i="2"/>
  <c r="FJ260" i="2"/>
  <c r="FI260" i="2"/>
  <c r="GB260" i="2" s="1"/>
  <c r="FH260" i="2"/>
  <c r="FG260" i="2"/>
  <c r="FF260" i="2"/>
  <c r="FY260" i="2" s="1"/>
  <c r="FE260" i="2"/>
  <c r="FX260" i="2" s="1"/>
  <c r="FD260" i="2"/>
  <c r="FC260" i="2"/>
  <c r="FB260" i="2"/>
  <c r="FT244" i="2"/>
  <c r="FS244" i="2"/>
  <c r="GL244" i="2" s="1"/>
  <c r="FQ244" i="2"/>
  <c r="GJ244" i="2" s="1"/>
  <c r="FP244" i="2"/>
  <c r="GI244" i="2" s="1"/>
  <c r="FO244" i="2"/>
  <c r="FN244" i="2"/>
  <c r="FM244" i="2"/>
  <c r="FL244" i="2"/>
  <c r="FK244" i="2"/>
  <c r="FJ244" i="2"/>
  <c r="FI244" i="2"/>
  <c r="GB244" i="2" s="1"/>
  <c r="FH244" i="2"/>
  <c r="FG244" i="2"/>
  <c r="FF244" i="2"/>
  <c r="FY244" i="2" s="1"/>
  <c r="FE244" i="2"/>
  <c r="FX244" i="2" s="1"/>
  <c r="FD244" i="2"/>
  <c r="FC244" i="2"/>
  <c r="FB244" i="2"/>
  <c r="FT243" i="2"/>
  <c r="FS243" i="2"/>
  <c r="GL243" i="2" s="1"/>
  <c r="FQ243" i="2"/>
  <c r="GJ243" i="2" s="1"/>
  <c r="FP243" i="2"/>
  <c r="GI243" i="2" s="1"/>
  <c r="FO243" i="2"/>
  <c r="FN243" i="2"/>
  <c r="FM243" i="2"/>
  <c r="FL243" i="2"/>
  <c r="FK243" i="2"/>
  <c r="FJ243" i="2"/>
  <c r="FI243" i="2"/>
  <c r="GB243" i="2" s="1"/>
  <c r="FH243" i="2"/>
  <c r="FG243" i="2"/>
  <c r="FF243" i="2"/>
  <c r="FY243" i="2" s="1"/>
  <c r="FE243" i="2"/>
  <c r="FX243" i="2" s="1"/>
  <c r="FD243" i="2"/>
  <c r="FC243" i="2"/>
  <c r="FB243" i="2"/>
  <c r="FT624" i="2"/>
  <c r="FS624" i="2"/>
  <c r="GL624" i="2" s="1"/>
  <c r="FQ624" i="2"/>
  <c r="GJ624" i="2" s="1"/>
  <c r="FP624" i="2"/>
  <c r="GI624" i="2" s="1"/>
  <c r="FO624" i="2"/>
  <c r="FN624" i="2"/>
  <c r="FM624" i="2"/>
  <c r="FL624" i="2"/>
  <c r="FK624" i="2"/>
  <c r="FJ624" i="2"/>
  <c r="FI624" i="2"/>
  <c r="GB624" i="2" s="1"/>
  <c r="FH624" i="2"/>
  <c r="FG624" i="2"/>
  <c r="FF624" i="2"/>
  <c r="FY624" i="2" s="1"/>
  <c r="FE624" i="2"/>
  <c r="FX624" i="2" s="1"/>
  <c r="FD624" i="2"/>
  <c r="FC624" i="2"/>
  <c r="FB624" i="2"/>
  <c r="FT600" i="2"/>
  <c r="FS600" i="2"/>
  <c r="GL600" i="2" s="1"/>
  <c r="FQ600" i="2"/>
  <c r="GJ600" i="2" s="1"/>
  <c r="FP600" i="2"/>
  <c r="GI600" i="2" s="1"/>
  <c r="FO600" i="2"/>
  <c r="FN600" i="2"/>
  <c r="FM600" i="2"/>
  <c r="FL600" i="2"/>
  <c r="FK600" i="2"/>
  <c r="FJ600" i="2"/>
  <c r="FI600" i="2"/>
  <c r="GB600" i="2" s="1"/>
  <c r="FH600" i="2"/>
  <c r="FG600" i="2"/>
  <c r="FF600" i="2"/>
  <c r="FY600" i="2" s="1"/>
  <c r="FE600" i="2"/>
  <c r="FX600" i="2" s="1"/>
  <c r="FD600" i="2"/>
  <c r="FC600" i="2"/>
  <c r="FB600" i="2"/>
  <c r="EH600" i="2"/>
  <c r="EG600" i="2"/>
  <c r="EZ600" i="2" s="1"/>
  <c r="EE600" i="2"/>
  <c r="EX600" i="2" s="1"/>
  <c r="ED600" i="2"/>
  <c r="EW600" i="2" s="1"/>
  <c r="EC600" i="2"/>
  <c r="EB600" i="2"/>
  <c r="EA600" i="2"/>
  <c r="DZ600" i="2"/>
  <c r="DY600" i="2"/>
  <c r="DX600" i="2"/>
  <c r="DW600" i="2"/>
  <c r="EP600" i="2" s="1"/>
  <c r="DV600" i="2"/>
  <c r="DU600" i="2"/>
  <c r="DT600" i="2"/>
  <c r="EM600" i="2" s="1"/>
  <c r="DS600" i="2"/>
  <c r="EL600" i="2" s="1"/>
  <c r="DR600" i="2"/>
  <c r="DQ600" i="2"/>
  <c r="DP600" i="2"/>
  <c r="FT549" i="2"/>
  <c r="FS549" i="2"/>
  <c r="GL549" i="2" s="1"/>
  <c r="FQ549" i="2"/>
  <c r="GJ549" i="2" s="1"/>
  <c r="FP549" i="2"/>
  <c r="GI549" i="2" s="1"/>
  <c r="FO549" i="2"/>
  <c r="FN549" i="2"/>
  <c r="FM549" i="2"/>
  <c r="FL549" i="2"/>
  <c r="FK549" i="2"/>
  <c r="FJ549" i="2"/>
  <c r="FI549" i="2"/>
  <c r="GB549" i="2" s="1"/>
  <c r="FH549" i="2"/>
  <c r="FG549" i="2"/>
  <c r="FF549" i="2"/>
  <c r="FY549" i="2" s="1"/>
  <c r="FE549" i="2"/>
  <c r="FX549" i="2" s="1"/>
  <c r="FD549" i="2"/>
  <c r="FC549" i="2"/>
  <c r="FB549" i="2"/>
  <c r="EH549" i="2"/>
  <c r="EG549" i="2"/>
  <c r="EZ549" i="2" s="1"/>
  <c r="EE549" i="2"/>
  <c r="EX549" i="2" s="1"/>
  <c r="ED549" i="2"/>
  <c r="EW549" i="2" s="1"/>
  <c r="EC549" i="2"/>
  <c r="EB549" i="2"/>
  <c r="EA549" i="2"/>
  <c r="DZ549" i="2"/>
  <c r="DY549" i="2"/>
  <c r="DX549" i="2"/>
  <c r="DW549" i="2"/>
  <c r="EP549" i="2" s="1"/>
  <c r="DV549" i="2"/>
  <c r="DU549" i="2"/>
  <c r="DT549" i="2"/>
  <c r="EM549" i="2" s="1"/>
  <c r="DS549" i="2"/>
  <c r="EL549" i="2" s="1"/>
  <c r="DR549" i="2"/>
  <c r="DQ549" i="2"/>
  <c r="DP549" i="2"/>
  <c r="FT599" i="2"/>
  <c r="FS599" i="2"/>
  <c r="GL599" i="2" s="1"/>
  <c r="FQ599" i="2"/>
  <c r="GJ599" i="2" s="1"/>
  <c r="FP599" i="2"/>
  <c r="GI599" i="2" s="1"/>
  <c r="FO599" i="2"/>
  <c r="FN599" i="2"/>
  <c r="FM599" i="2"/>
  <c r="FL599" i="2"/>
  <c r="FK599" i="2"/>
  <c r="FJ599" i="2"/>
  <c r="FI599" i="2"/>
  <c r="GB599" i="2" s="1"/>
  <c r="FH599" i="2"/>
  <c r="FG599" i="2"/>
  <c r="FF599" i="2"/>
  <c r="FY599" i="2" s="1"/>
  <c r="FE599" i="2"/>
  <c r="FX599" i="2" s="1"/>
  <c r="FD599" i="2"/>
  <c r="FC599" i="2"/>
  <c r="FB599" i="2"/>
  <c r="EH599" i="2"/>
  <c r="EG599" i="2"/>
  <c r="EZ599" i="2" s="1"/>
  <c r="EE599" i="2"/>
  <c r="EX599" i="2" s="1"/>
  <c r="ED599" i="2"/>
  <c r="EW599" i="2" s="1"/>
  <c r="EC599" i="2"/>
  <c r="EB599" i="2"/>
  <c r="EA599" i="2"/>
  <c r="DZ599" i="2"/>
  <c r="DY599" i="2"/>
  <c r="DX599" i="2"/>
  <c r="DW599" i="2"/>
  <c r="EP599" i="2" s="1"/>
  <c r="DV599" i="2"/>
  <c r="DU599" i="2"/>
  <c r="DT599" i="2"/>
  <c r="EM599" i="2" s="1"/>
  <c r="DS599" i="2"/>
  <c r="EL599" i="2" s="1"/>
  <c r="DR599" i="2"/>
  <c r="DQ599" i="2"/>
  <c r="DP599" i="2"/>
  <c r="FT598" i="2"/>
  <c r="FS598" i="2"/>
  <c r="GL598" i="2" s="1"/>
  <c r="FQ598" i="2"/>
  <c r="GJ598" i="2" s="1"/>
  <c r="FP598" i="2"/>
  <c r="GI598" i="2" s="1"/>
  <c r="FO598" i="2"/>
  <c r="FN598" i="2"/>
  <c r="FM598" i="2"/>
  <c r="FL598" i="2"/>
  <c r="FK598" i="2"/>
  <c r="FJ598" i="2"/>
  <c r="FI598" i="2"/>
  <c r="GB598" i="2" s="1"/>
  <c r="FH598" i="2"/>
  <c r="FG598" i="2"/>
  <c r="FF598" i="2"/>
  <c r="FY598" i="2" s="1"/>
  <c r="FE598" i="2"/>
  <c r="FX598" i="2" s="1"/>
  <c r="FD598" i="2"/>
  <c r="FC598" i="2"/>
  <c r="FB598" i="2"/>
  <c r="EH598" i="2"/>
  <c r="EG598" i="2"/>
  <c r="EZ598" i="2" s="1"/>
  <c r="EE598" i="2"/>
  <c r="EX598" i="2" s="1"/>
  <c r="ED598" i="2"/>
  <c r="EW598" i="2" s="1"/>
  <c r="EC598" i="2"/>
  <c r="EB598" i="2"/>
  <c r="EA598" i="2"/>
  <c r="DZ598" i="2"/>
  <c r="DY598" i="2"/>
  <c r="DX598" i="2"/>
  <c r="DW598" i="2"/>
  <c r="EP598" i="2" s="1"/>
  <c r="DV598" i="2"/>
  <c r="DU598" i="2"/>
  <c r="DT598" i="2"/>
  <c r="EM598" i="2" s="1"/>
  <c r="DS598" i="2"/>
  <c r="EL598" i="2" s="1"/>
  <c r="DR598" i="2"/>
  <c r="DQ598" i="2"/>
  <c r="DP598" i="2"/>
  <c r="FT548" i="2"/>
  <c r="FS548" i="2"/>
  <c r="GL548" i="2" s="1"/>
  <c r="FQ548" i="2"/>
  <c r="GJ548" i="2" s="1"/>
  <c r="FP548" i="2"/>
  <c r="GI548" i="2" s="1"/>
  <c r="FO548" i="2"/>
  <c r="FN548" i="2"/>
  <c r="FM548" i="2"/>
  <c r="FL548" i="2"/>
  <c r="FK548" i="2"/>
  <c r="FJ548" i="2"/>
  <c r="FI548" i="2"/>
  <c r="GB548" i="2" s="1"/>
  <c r="FH548" i="2"/>
  <c r="FG548" i="2"/>
  <c r="FF548" i="2"/>
  <c r="FY548" i="2" s="1"/>
  <c r="FE548" i="2"/>
  <c r="FX548" i="2" s="1"/>
  <c r="FD548" i="2"/>
  <c r="FC548" i="2"/>
  <c r="FB548" i="2"/>
  <c r="EH548" i="2"/>
  <c r="EG548" i="2"/>
  <c r="EZ548" i="2" s="1"/>
  <c r="EE548" i="2"/>
  <c r="EX548" i="2" s="1"/>
  <c r="ED548" i="2"/>
  <c r="EW548" i="2" s="1"/>
  <c r="EC548" i="2"/>
  <c r="EB548" i="2"/>
  <c r="EA548" i="2"/>
  <c r="DZ548" i="2"/>
  <c r="DY548" i="2"/>
  <c r="DX548" i="2"/>
  <c r="DW548" i="2"/>
  <c r="EP548" i="2" s="1"/>
  <c r="DV548" i="2"/>
  <c r="DU548" i="2"/>
  <c r="DT548" i="2"/>
  <c r="EM548" i="2" s="1"/>
  <c r="DS548" i="2"/>
  <c r="EL548" i="2" s="1"/>
  <c r="DR548" i="2"/>
  <c r="DQ548" i="2"/>
  <c r="DP548" i="2"/>
  <c r="FT597" i="2"/>
  <c r="FS597" i="2"/>
  <c r="GL597" i="2" s="1"/>
  <c r="FQ597" i="2"/>
  <c r="GJ597" i="2" s="1"/>
  <c r="FP597" i="2"/>
  <c r="GI597" i="2" s="1"/>
  <c r="FO597" i="2"/>
  <c r="FN597" i="2"/>
  <c r="FM597" i="2"/>
  <c r="FL597" i="2"/>
  <c r="FK597" i="2"/>
  <c r="FJ597" i="2"/>
  <c r="FI597" i="2"/>
  <c r="GB597" i="2" s="1"/>
  <c r="FH597" i="2"/>
  <c r="FG597" i="2"/>
  <c r="FF597" i="2"/>
  <c r="FY597" i="2" s="1"/>
  <c r="FE597" i="2"/>
  <c r="FX597" i="2" s="1"/>
  <c r="FD597" i="2"/>
  <c r="FC597" i="2"/>
  <c r="FB597" i="2"/>
  <c r="EH597" i="2"/>
  <c r="EG597" i="2"/>
  <c r="EZ597" i="2" s="1"/>
  <c r="EE597" i="2"/>
  <c r="EX597" i="2" s="1"/>
  <c r="ED597" i="2"/>
  <c r="EW597" i="2" s="1"/>
  <c r="EC597" i="2"/>
  <c r="EB597" i="2"/>
  <c r="EA597" i="2"/>
  <c r="DZ597" i="2"/>
  <c r="DY597" i="2"/>
  <c r="DX597" i="2"/>
  <c r="DW597" i="2"/>
  <c r="EP597" i="2" s="1"/>
  <c r="DV597" i="2"/>
  <c r="DU597" i="2"/>
  <c r="DT597" i="2"/>
  <c r="EM597" i="2" s="1"/>
  <c r="DS597" i="2"/>
  <c r="EL597" i="2" s="1"/>
  <c r="DR597" i="2"/>
  <c r="DQ597" i="2"/>
  <c r="DP597" i="2"/>
  <c r="FT596" i="2"/>
  <c r="FS596" i="2"/>
  <c r="GL596" i="2" s="1"/>
  <c r="FQ596" i="2"/>
  <c r="GJ596" i="2" s="1"/>
  <c r="FP596" i="2"/>
  <c r="GI596" i="2" s="1"/>
  <c r="FO596" i="2"/>
  <c r="FN596" i="2"/>
  <c r="FM596" i="2"/>
  <c r="FL596" i="2"/>
  <c r="FK596" i="2"/>
  <c r="FJ596" i="2"/>
  <c r="FI596" i="2"/>
  <c r="GB596" i="2" s="1"/>
  <c r="FH596" i="2"/>
  <c r="FG596" i="2"/>
  <c r="FF596" i="2"/>
  <c r="FY596" i="2" s="1"/>
  <c r="FE596" i="2"/>
  <c r="FX596" i="2" s="1"/>
  <c r="FD596" i="2"/>
  <c r="FC596" i="2"/>
  <c r="FB596" i="2"/>
  <c r="EH596" i="2"/>
  <c r="EG596" i="2"/>
  <c r="EZ596" i="2" s="1"/>
  <c r="EE596" i="2"/>
  <c r="EX596" i="2" s="1"/>
  <c r="ED596" i="2"/>
  <c r="EW596" i="2" s="1"/>
  <c r="EC596" i="2"/>
  <c r="EB596" i="2"/>
  <c r="EA596" i="2"/>
  <c r="DZ596" i="2"/>
  <c r="DY596" i="2"/>
  <c r="DX596" i="2"/>
  <c r="DW596" i="2"/>
  <c r="EP596" i="2" s="1"/>
  <c r="DV596" i="2"/>
  <c r="DU596" i="2"/>
  <c r="DT596" i="2"/>
  <c r="EM596" i="2" s="1"/>
  <c r="DS596" i="2"/>
  <c r="EL596" i="2" s="1"/>
  <c r="DR596" i="2"/>
  <c r="DQ596" i="2"/>
  <c r="DP596" i="2"/>
  <c r="FT595" i="2"/>
  <c r="FS595" i="2"/>
  <c r="GL595" i="2" s="1"/>
  <c r="FQ595" i="2"/>
  <c r="GJ595" i="2" s="1"/>
  <c r="FP595" i="2"/>
  <c r="GI595" i="2" s="1"/>
  <c r="FO595" i="2"/>
  <c r="FN595" i="2"/>
  <c r="FM595" i="2"/>
  <c r="FL595" i="2"/>
  <c r="FK595" i="2"/>
  <c r="FJ595" i="2"/>
  <c r="FI595" i="2"/>
  <c r="GB595" i="2" s="1"/>
  <c r="FH595" i="2"/>
  <c r="FG595" i="2"/>
  <c r="FF595" i="2"/>
  <c r="FY595" i="2" s="1"/>
  <c r="FE595" i="2"/>
  <c r="FX595" i="2" s="1"/>
  <c r="FD595" i="2"/>
  <c r="FC595" i="2"/>
  <c r="FB595" i="2"/>
  <c r="EH595" i="2"/>
  <c r="EG595" i="2"/>
  <c r="EZ595" i="2" s="1"/>
  <c r="EE595" i="2"/>
  <c r="EX595" i="2" s="1"/>
  <c r="ED595" i="2"/>
  <c r="EW595" i="2" s="1"/>
  <c r="EC595" i="2"/>
  <c r="EB595" i="2"/>
  <c r="EA595" i="2"/>
  <c r="DZ595" i="2"/>
  <c r="DY595" i="2"/>
  <c r="DX595" i="2"/>
  <c r="DW595" i="2"/>
  <c r="EP595" i="2" s="1"/>
  <c r="DV595" i="2"/>
  <c r="DU595" i="2"/>
  <c r="DT595" i="2"/>
  <c r="EM595" i="2" s="1"/>
  <c r="DS595" i="2"/>
  <c r="EL595" i="2" s="1"/>
  <c r="DR595" i="2"/>
  <c r="DQ595" i="2"/>
  <c r="DP595" i="2"/>
  <c r="FT594" i="2"/>
  <c r="FS594" i="2"/>
  <c r="GL594" i="2" s="1"/>
  <c r="FQ594" i="2"/>
  <c r="GJ594" i="2" s="1"/>
  <c r="FP594" i="2"/>
  <c r="GI594" i="2" s="1"/>
  <c r="FO594" i="2"/>
  <c r="FN594" i="2"/>
  <c r="FM594" i="2"/>
  <c r="FL594" i="2"/>
  <c r="FK594" i="2"/>
  <c r="FJ594" i="2"/>
  <c r="FI594" i="2"/>
  <c r="GB594" i="2" s="1"/>
  <c r="FH594" i="2"/>
  <c r="FG594" i="2"/>
  <c r="FF594" i="2"/>
  <c r="FY594" i="2" s="1"/>
  <c r="FE594" i="2"/>
  <c r="FX594" i="2" s="1"/>
  <c r="FD594" i="2"/>
  <c r="FC594" i="2"/>
  <c r="FB594" i="2"/>
  <c r="EH594" i="2"/>
  <c r="EG594" i="2"/>
  <c r="EZ594" i="2" s="1"/>
  <c r="EE594" i="2"/>
  <c r="EX594" i="2" s="1"/>
  <c r="ED594" i="2"/>
  <c r="EW594" i="2" s="1"/>
  <c r="EC594" i="2"/>
  <c r="EB594" i="2"/>
  <c r="EA594" i="2"/>
  <c r="DZ594" i="2"/>
  <c r="DY594" i="2"/>
  <c r="DX594" i="2"/>
  <c r="DW594" i="2"/>
  <c r="EP594" i="2" s="1"/>
  <c r="DV594" i="2"/>
  <c r="DU594" i="2"/>
  <c r="DT594" i="2"/>
  <c r="EM594" i="2" s="1"/>
  <c r="DS594" i="2"/>
  <c r="EL594" i="2" s="1"/>
  <c r="DR594" i="2"/>
  <c r="DQ594" i="2"/>
  <c r="DP594" i="2"/>
  <c r="FT593" i="2"/>
  <c r="FS593" i="2"/>
  <c r="GL593" i="2" s="1"/>
  <c r="FQ593" i="2"/>
  <c r="GJ593" i="2" s="1"/>
  <c r="FP593" i="2"/>
  <c r="GI593" i="2" s="1"/>
  <c r="FO593" i="2"/>
  <c r="FN593" i="2"/>
  <c r="FM593" i="2"/>
  <c r="FL593" i="2"/>
  <c r="FK593" i="2"/>
  <c r="FJ593" i="2"/>
  <c r="FI593" i="2"/>
  <c r="GB593" i="2" s="1"/>
  <c r="FH593" i="2"/>
  <c r="FG593" i="2"/>
  <c r="FF593" i="2"/>
  <c r="FY593" i="2" s="1"/>
  <c r="FE593" i="2"/>
  <c r="FX593" i="2" s="1"/>
  <c r="FD593" i="2"/>
  <c r="FC593" i="2"/>
  <c r="FB593" i="2"/>
  <c r="EH593" i="2"/>
  <c r="EG593" i="2"/>
  <c r="EZ593" i="2" s="1"/>
  <c r="EE593" i="2"/>
  <c r="EX593" i="2" s="1"/>
  <c r="ED593" i="2"/>
  <c r="EW593" i="2" s="1"/>
  <c r="EC593" i="2"/>
  <c r="EB593" i="2"/>
  <c r="EA593" i="2"/>
  <c r="DZ593" i="2"/>
  <c r="DY593" i="2"/>
  <c r="DX593" i="2"/>
  <c r="DW593" i="2"/>
  <c r="EP593" i="2" s="1"/>
  <c r="DV593" i="2"/>
  <c r="DU593" i="2"/>
  <c r="DT593" i="2"/>
  <c r="EM593" i="2" s="1"/>
  <c r="DS593" i="2"/>
  <c r="EL593" i="2" s="1"/>
  <c r="DR593" i="2"/>
  <c r="DQ593" i="2"/>
  <c r="DP593" i="2"/>
  <c r="FT592" i="2"/>
  <c r="FS592" i="2"/>
  <c r="GL592" i="2" s="1"/>
  <c r="FQ592" i="2"/>
  <c r="GJ592" i="2" s="1"/>
  <c r="FP592" i="2"/>
  <c r="GI592" i="2" s="1"/>
  <c r="FO592" i="2"/>
  <c r="FN592" i="2"/>
  <c r="FM592" i="2"/>
  <c r="FL592" i="2"/>
  <c r="FK592" i="2"/>
  <c r="FJ592" i="2"/>
  <c r="FI592" i="2"/>
  <c r="GB592" i="2" s="1"/>
  <c r="FH592" i="2"/>
  <c r="FG592" i="2"/>
  <c r="FF592" i="2"/>
  <c r="FY592" i="2" s="1"/>
  <c r="FE592" i="2"/>
  <c r="FX592" i="2" s="1"/>
  <c r="FD592" i="2"/>
  <c r="FC592" i="2"/>
  <c r="FB592" i="2"/>
  <c r="EH592" i="2"/>
  <c r="EG592" i="2"/>
  <c r="EZ592" i="2" s="1"/>
  <c r="EE592" i="2"/>
  <c r="EX592" i="2" s="1"/>
  <c r="ED592" i="2"/>
  <c r="EW592" i="2" s="1"/>
  <c r="EC592" i="2"/>
  <c r="EB592" i="2"/>
  <c r="EA592" i="2"/>
  <c r="DZ592" i="2"/>
  <c r="DY592" i="2"/>
  <c r="DX592" i="2"/>
  <c r="DW592" i="2"/>
  <c r="EP592" i="2" s="1"/>
  <c r="DV592" i="2"/>
  <c r="DU592" i="2"/>
  <c r="DT592" i="2"/>
  <c r="EM592" i="2" s="1"/>
  <c r="DS592" i="2"/>
  <c r="EL592" i="2" s="1"/>
  <c r="DR592" i="2"/>
  <c r="DQ592" i="2"/>
  <c r="DP592" i="2"/>
  <c r="FT591" i="2"/>
  <c r="FS591" i="2"/>
  <c r="GL591" i="2" s="1"/>
  <c r="FQ591" i="2"/>
  <c r="GJ591" i="2" s="1"/>
  <c r="FP591" i="2"/>
  <c r="GI591" i="2" s="1"/>
  <c r="FO591" i="2"/>
  <c r="FN591" i="2"/>
  <c r="FM591" i="2"/>
  <c r="FL591" i="2"/>
  <c r="FK591" i="2"/>
  <c r="FJ591" i="2"/>
  <c r="FI591" i="2"/>
  <c r="GB591" i="2" s="1"/>
  <c r="FH591" i="2"/>
  <c r="FG591" i="2"/>
  <c r="FF591" i="2"/>
  <c r="FY591" i="2" s="1"/>
  <c r="FE591" i="2"/>
  <c r="FX591" i="2" s="1"/>
  <c r="FD591" i="2"/>
  <c r="FC591" i="2"/>
  <c r="FB591" i="2"/>
  <c r="EH591" i="2"/>
  <c r="EG591" i="2"/>
  <c r="EZ591" i="2" s="1"/>
  <c r="EE591" i="2"/>
  <c r="EX591" i="2" s="1"/>
  <c r="ED591" i="2"/>
  <c r="EW591" i="2" s="1"/>
  <c r="EC591" i="2"/>
  <c r="EB591" i="2"/>
  <c r="EA591" i="2"/>
  <c r="DZ591" i="2"/>
  <c r="DY591" i="2"/>
  <c r="DX591" i="2"/>
  <c r="DW591" i="2"/>
  <c r="EP591" i="2" s="1"/>
  <c r="DV591" i="2"/>
  <c r="DU591" i="2"/>
  <c r="DT591" i="2"/>
  <c r="EM591" i="2" s="1"/>
  <c r="DS591" i="2"/>
  <c r="EL591" i="2" s="1"/>
  <c r="DR591" i="2"/>
  <c r="DQ591" i="2"/>
  <c r="DP591" i="2"/>
  <c r="FT547" i="2"/>
  <c r="FS547" i="2"/>
  <c r="GL547" i="2" s="1"/>
  <c r="FQ547" i="2"/>
  <c r="GJ547" i="2" s="1"/>
  <c r="FP547" i="2"/>
  <c r="GI547" i="2" s="1"/>
  <c r="FO547" i="2"/>
  <c r="FN547" i="2"/>
  <c r="FM547" i="2"/>
  <c r="FL547" i="2"/>
  <c r="FK547" i="2"/>
  <c r="FJ547" i="2"/>
  <c r="FI547" i="2"/>
  <c r="GB547" i="2" s="1"/>
  <c r="FH547" i="2"/>
  <c r="FG547" i="2"/>
  <c r="FF547" i="2"/>
  <c r="FY547" i="2" s="1"/>
  <c r="FE547" i="2"/>
  <c r="FX547" i="2" s="1"/>
  <c r="FD547" i="2"/>
  <c r="FC547" i="2"/>
  <c r="FB547" i="2"/>
  <c r="EH547" i="2"/>
  <c r="EG547" i="2"/>
  <c r="EZ547" i="2" s="1"/>
  <c r="EE547" i="2"/>
  <c r="EX547" i="2" s="1"/>
  <c r="ED547" i="2"/>
  <c r="EW547" i="2" s="1"/>
  <c r="EC547" i="2"/>
  <c r="EB547" i="2"/>
  <c r="EA547" i="2"/>
  <c r="DZ547" i="2"/>
  <c r="DY547" i="2"/>
  <c r="DX547" i="2"/>
  <c r="DW547" i="2"/>
  <c r="EP547" i="2" s="1"/>
  <c r="DV547" i="2"/>
  <c r="DU547" i="2"/>
  <c r="DT547" i="2"/>
  <c r="EM547" i="2" s="1"/>
  <c r="DS547" i="2"/>
  <c r="EL547" i="2" s="1"/>
  <c r="DR547" i="2"/>
  <c r="DQ547" i="2"/>
  <c r="DP547" i="2"/>
  <c r="FT546" i="2"/>
  <c r="FS546" i="2"/>
  <c r="GL546" i="2" s="1"/>
  <c r="FQ546" i="2"/>
  <c r="GJ546" i="2" s="1"/>
  <c r="FP546" i="2"/>
  <c r="GI546" i="2" s="1"/>
  <c r="FO546" i="2"/>
  <c r="FN546" i="2"/>
  <c r="FM546" i="2"/>
  <c r="FL546" i="2"/>
  <c r="FK546" i="2"/>
  <c r="FJ546" i="2"/>
  <c r="FI546" i="2"/>
  <c r="GB546" i="2" s="1"/>
  <c r="FH546" i="2"/>
  <c r="FG546" i="2"/>
  <c r="FF546" i="2"/>
  <c r="FY546" i="2" s="1"/>
  <c r="FE546" i="2"/>
  <c r="FX546" i="2" s="1"/>
  <c r="FD546" i="2"/>
  <c r="FC546" i="2"/>
  <c r="FB546" i="2"/>
  <c r="EH546" i="2"/>
  <c r="EG546" i="2"/>
  <c r="EZ546" i="2" s="1"/>
  <c r="EE546" i="2"/>
  <c r="EX546" i="2" s="1"/>
  <c r="ED546" i="2"/>
  <c r="EW546" i="2" s="1"/>
  <c r="EC546" i="2"/>
  <c r="EB546" i="2"/>
  <c r="EA546" i="2"/>
  <c r="DZ546" i="2"/>
  <c r="DY546" i="2"/>
  <c r="DX546" i="2"/>
  <c r="DW546" i="2"/>
  <c r="EP546" i="2" s="1"/>
  <c r="DV546" i="2"/>
  <c r="DU546" i="2"/>
  <c r="DT546" i="2"/>
  <c r="EM546" i="2" s="1"/>
  <c r="DS546" i="2"/>
  <c r="EL546" i="2" s="1"/>
  <c r="DR546" i="2"/>
  <c r="DQ546" i="2"/>
  <c r="DP546" i="2"/>
  <c r="FT545" i="2"/>
  <c r="FS545" i="2"/>
  <c r="GL545" i="2" s="1"/>
  <c r="FQ545" i="2"/>
  <c r="GJ545" i="2" s="1"/>
  <c r="FP545" i="2"/>
  <c r="GI545" i="2" s="1"/>
  <c r="FO545" i="2"/>
  <c r="FN545" i="2"/>
  <c r="FM545" i="2"/>
  <c r="FL545" i="2"/>
  <c r="FK545" i="2"/>
  <c r="FJ545" i="2"/>
  <c r="FI545" i="2"/>
  <c r="GB545" i="2" s="1"/>
  <c r="FH545" i="2"/>
  <c r="FG545" i="2"/>
  <c r="FF545" i="2"/>
  <c r="FY545" i="2" s="1"/>
  <c r="FE545" i="2"/>
  <c r="FX545" i="2" s="1"/>
  <c r="FD545" i="2"/>
  <c r="FC545" i="2"/>
  <c r="FB545" i="2"/>
  <c r="EH545" i="2"/>
  <c r="EG545" i="2"/>
  <c r="EZ545" i="2" s="1"/>
  <c r="EE545" i="2"/>
  <c r="EX545" i="2" s="1"/>
  <c r="ED545" i="2"/>
  <c r="EW545" i="2" s="1"/>
  <c r="EC545" i="2"/>
  <c r="EB545" i="2"/>
  <c r="EA545" i="2"/>
  <c r="DZ545" i="2"/>
  <c r="DY545" i="2"/>
  <c r="DX545" i="2"/>
  <c r="DW545" i="2"/>
  <c r="EP545" i="2" s="1"/>
  <c r="DV545" i="2"/>
  <c r="DU545" i="2"/>
  <c r="DT545" i="2"/>
  <c r="EM545" i="2" s="1"/>
  <c r="DS545" i="2"/>
  <c r="EL545" i="2" s="1"/>
  <c r="DR545" i="2"/>
  <c r="DQ545" i="2"/>
  <c r="DP545" i="2"/>
  <c r="FT544" i="2"/>
  <c r="FS544" i="2"/>
  <c r="GL544" i="2" s="1"/>
  <c r="FQ544" i="2"/>
  <c r="GJ544" i="2" s="1"/>
  <c r="FP544" i="2"/>
  <c r="GI544" i="2" s="1"/>
  <c r="FO544" i="2"/>
  <c r="FN544" i="2"/>
  <c r="FM544" i="2"/>
  <c r="FL544" i="2"/>
  <c r="FK544" i="2"/>
  <c r="FJ544" i="2"/>
  <c r="FI544" i="2"/>
  <c r="GB544" i="2" s="1"/>
  <c r="FH544" i="2"/>
  <c r="FG544" i="2"/>
  <c r="FF544" i="2"/>
  <c r="FY544" i="2" s="1"/>
  <c r="FE544" i="2"/>
  <c r="FX544" i="2" s="1"/>
  <c r="FD544" i="2"/>
  <c r="FC544" i="2"/>
  <c r="FB544" i="2"/>
  <c r="EH544" i="2"/>
  <c r="EG544" i="2"/>
  <c r="EZ544" i="2" s="1"/>
  <c r="EE544" i="2"/>
  <c r="EX544" i="2" s="1"/>
  <c r="ED544" i="2"/>
  <c r="EW544" i="2" s="1"/>
  <c r="EC544" i="2"/>
  <c r="EB544" i="2"/>
  <c r="EA544" i="2"/>
  <c r="DZ544" i="2"/>
  <c r="DY544" i="2"/>
  <c r="DX544" i="2"/>
  <c r="DW544" i="2"/>
  <c r="EP544" i="2" s="1"/>
  <c r="DV544" i="2"/>
  <c r="DU544" i="2"/>
  <c r="DT544" i="2"/>
  <c r="EM544" i="2" s="1"/>
  <c r="DS544" i="2"/>
  <c r="EL544" i="2" s="1"/>
  <c r="DR544" i="2"/>
  <c r="DQ544" i="2"/>
  <c r="DP544" i="2"/>
  <c r="FT542" i="2"/>
  <c r="FS542" i="2"/>
  <c r="GL542" i="2" s="1"/>
  <c r="FQ542" i="2"/>
  <c r="GJ542" i="2" s="1"/>
  <c r="FP542" i="2"/>
  <c r="GI542" i="2" s="1"/>
  <c r="FO542" i="2"/>
  <c r="FN542" i="2"/>
  <c r="FM542" i="2"/>
  <c r="FL542" i="2"/>
  <c r="FK542" i="2"/>
  <c r="FJ542" i="2"/>
  <c r="FI542" i="2"/>
  <c r="GB542" i="2" s="1"/>
  <c r="FH542" i="2"/>
  <c r="FG542" i="2"/>
  <c r="FF542" i="2"/>
  <c r="FY542" i="2" s="1"/>
  <c r="FE542" i="2"/>
  <c r="FX542" i="2" s="1"/>
  <c r="FD542" i="2"/>
  <c r="FC542" i="2"/>
  <c r="FB542" i="2"/>
  <c r="EH542" i="2"/>
  <c r="EG542" i="2"/>
  <c r="EZ542" i="2" s="1"/>
  <c r="EE542" i="2"/>
  <c r="EX542" i="2" s="1"/>
  <c r="ED542" i="2"/>
  <c r="EW542" i="2" s="1"/>
  <c r="EC542" i="2"/>
  <c r="EB542" i="2"/>
  <c r="EA542" i="2"/>
  <c r="DZ542" i="2"/>
  <c r="DY542" i="2"/>
  <c r="DX542" i="2"/>
  <c r="DW542" i="2"/>
  <c r="EP542" i="2" s="1"/>
  <c r="DV542" i="2"/>
  <c r="DU542" i="2"/>
  <c r="DT542" i="2"/>
  <c r="EM542" i="2" s="1"/>
  <c r="DS542" i="2"/>
  <c r="EL542" i="2" s="1"/>
  <c r="DR542" i="2"/>
  <c r="DQ542" i="2"/>
  <c r="DP542" i="2"/>
  <c r="FT590" i="2"/>
  <c r="FS590" i="2"/>
  <c r="GL590" i="2" s="1"/>
  <c r="FQ590" i="2"/>
  <c r="GJ590" i="2" s="1"/>
  <c r="FP590" i="2"/>
  <c r="GI590" i="2" s="1"/>
  <c r="FO590" i="2"/>
  <c r="FN590" i="2"/>
  <c r="FM590" i="2"/>
  <c r="FL590" i="2"/>
  <c r="FK590" i="2"/>
  <c r="FJ590" i="2"/>
  <c r="FI590" i="2"/>
  <c r="GB590" i="2" s="1"/>
  <c r="FH590" i="2"/>
  <c r="FG590" i="2"/>
  <c r="FF590" i="2"/>
  <c r="FY590" i="2" s="1"/>
  <c r="FE590" i="2"/>
  <c r="FX590" i="2" s="1"/>
  <c r="FD590" i="2"/>
  <c r="FC590" i="2"/>
  <c r="FB590" i="2"/>
  <c r="EH590" i="2"/>
  <c r="EG590" i="2"/>
  <c r="EZ590" i="2" s="1"/>
  <c r="EE590" i="2"/>
  <c r="EX590" i="2" s="1"/>
  <c r="ED590" i="2"/>
  <c r="EW590" i="2" s="1"/>
  <c r="EC590" i="2"/>
  <c r="EB590" i="2"/>
  <c r="EA590" i="2"/>
  <c r="DZ590" i="2"/>
  <c r="DY590" i="2"/>
  <c r="DX590" i="2"/>
  <c r="DW590" i="2"/>
  <c r="EP590" i="2" s="1"/>
  <c r="DV590" i="2"/>
  <c r="DU590" i="2"/>
  <c r="DT590" i="2"/>
  <c r="EM590" i="2" s="1"/>
  <c r="DS590" i="2"/>
  <c r="EL590" i="2" s="1"/>
  <c r="DR590" i="2"/>
  <c r="DQ590" i="2"/>
  <c r="DP590" i="2"/>
  <c r="FT375" i="2"/>
  <c r="FS375" i="2"/>
  <c r="GL375" i="2" s="1"/>
  <c r="FQ375" i="2"/>
  <c r="GJ375" i="2" s="1"/>
  <c r="FP375" i="2"/>
  <c r="GI375" i="2" s="1"/>
  <c r="FO375" i="2"/>
  <c r="FN375" i="2"/>
  <c r="FM375" i="2"/>
  <c r="FL375" i="2"/>
  <c r="FK375" i="2"/>
  <c r="FH375" i="2"/>
  <c r="FG375" i="2"/>
  <c r="FF375" i="2"/>
  <c r="FY375" i="2" s="1"/>
  <c r="FE375" i="2"/>
  <c r="FX375" i="2" s="1"/>
  <c r="FD375" i="2"/>
  <c r="FC375" i="2"/>
  <c r="FB375" i="2"/>
  <c r="FT374" i="2"/>
  <c r="FS374" i="2"/>
  <c r="GL374" i="2" s="1"/>
  <c r="FQ374" i="2"/>
  <c r="GJ374" i="2" s="1"/>
  <c r="FP374" i="2"/>
  <c r="GI374" i="2" s="1"/>
  <c r="FO374" i="2"/>
  <c r="FN374" i="2"/>
  <c r="FM374" i="2"/>
  <c r="FL374" i="2"/>
  <c r="FK374" i="2"/>
  <c r="FJ374" i="2"/>
  <c r="FI374" i="2"/>
  <c r="GB374" i="2" s="1"/>
  <c r="FH374" i="2"/>
  <c r="FG374" i="2"/>
  <c r="FF374" i="2"/>
  <c r="FY374" i="2" s="1"/>
  <c r="FE374" i="2"/>
  <c r="FX374" i="2" s="1"/>
  <c r="FD374" i="2"/>
  <c r="FC374" i="2"/>
  <c r="FB374" i="2"/>
  <c r="EH374" i="2"/>
  <c r="EG374" i="2"/>
  <c r="EZ374" i="2" s="1"/>
  <c r="EE374" i="2"/>
  <c r="EX374" i="2" s="1"/>
  <c r="ED374" i="2"/>
  <c r="EW374" i="2" s="1"/>
  <c r="EC374" i="2"/>
  <c r="EB374" i="2"/>
  <c r="EA374" i="2"/>
  <c r="DZ374" i="2"/>
  <c r="DY374" i="2"/>
  <c r="DX374" i="2"/>
  <c r="DW374" i="2"/>
  <c r="EP374" i="2" s="1"/>
  <c r="DV374" i="2"/>
  <c r="DU374" i="2"/>
  <c r="DT374" i="2"/>
  <c r="EM374" i="2" s="1"/>
  <c r="DS374" i="2"/>
  <c r="EL374" i="2" s="1"/>
  <c r="DR374" i="2"/>
  <c r="DQ374" i="2"/>
  <c r="DP374" i="2"/>
  <c r="FT373" i="2"/>
  <c r="FS373" i="2"/>
  <c r="GL373" i="2" s="1"/>
  <c r="FQ373" i="2"/>
  <c r="GJ373" i="2" s="1"/>
  <c r="FP373" i="2"/>
  <c r="GI373" i="2" s="1"/>
  <c r="FO373" i="2"/>
  <c r="FN373" i="2"/>
  <c r="FM373" i="2"/>
  <c r="FL373" i="2"/>
  <c r="FK373" i="2"/>
  <c r="FJ373" i="2"/>
  <c r="FI373" i="2"/>
  <c r="GB373" i="2" s="1"/>
  <c r="FH373" i="2"/>
  <c r="FG373" i="2"/>
  <c r="FF373" i="2"/>
  <c r="FY373" i="2" s="1"/>
  <c r="FE373" i="2"/>
  <c r="FX373" i="2" s="1"/>
  <c r="FD373" i="2"/>
  <c r="FC373" i="2"/>
  <c r="FB373" i="2"/>
  <c r="EH373" i="2"/>
  <c r="EG373" i="2"/>
  <c r="EZ373" i="2" s="1"/>
  <c r="EE373" i="2"/>
  <c r="EX373" i="2" s="1"/>
  <c r="ED373" i="2"/>
  <c r="EW373" i="2" s="1"/>
  <c r="EC373" i="2"/>
  <c r="EB373" i="2"/>
  <c r="EA373" i="2"/>
  <c r="DZ373" i="2"/>
  <c r="DY373" i="2"/>
  <c r="DX373" i="2"/>
  <c r="DW373" i="2"/>
  <c r="EP373" i="2" s="1"/>
  <c r="DV373" i="2"/>
  <c r="DU373" i="2"/>
  <c r="DT373" i="2"/>
  <c r="EM373" i="2" s="1"/>
  <c r="DS373" i="2"/>
  <c r="EL373" i="2" s="1"/>
  <c r="DR373" i="2"/>
  <c r="DQ373" i="2"/>
  <c r="DP373" i="2"/>
  <c r="FT343" i="2"/>
  <c r="FS343" i="2"/>
  <c r="GL343" i="2" s="1"/>
  <c r="FQ343" i="2"/>
  <c r="GJ343" i="2" s="1"/>
  <c r="FP343" i="2"/>
  <c r="GI343" i="2" s="1"/>
  <c r="FO343" i="2"/>
  <c r="FN343" i="2"/>
  <c r="FM343" i="2"/>
  <c r="FL343" i="2"/>
  <c r="FK343" i="2"/>
  <c r="FJ343" i="2"/>
  <c r="FI343" i="2"/>
  <c r="GB343" i="2" s="1"/>
  <c r="FH343" i="2"/>
  <c r="FG343" i="2"/>
  <c r="FF343" i="2"/>
  <c r="FY343" i="2" s="1"/>
  <c r="FE343" i="2"/>
  <c r="FX343" i="2" s="1"/>
  <c r="FD343" i="2"/>
  <c r="FC343" i="2"/>
  <c r="FB343" i="2"/>
  <c r="EH343" i="2"/>
  <c r="EG343" i="2"/>
  <c r="EZ343" i="2" s="1"/>
  <c r="EE343" i="2"/>
  <c r="EX343" i="2" s="1"/>
  <c r="ED343" i="2"/>
  <c r="EW343" i="2" s="1"/>
  <c r="EC343" i="2"/>
  <c r="EB343" i="2"/>
  <c r="EA343" i="2"/>
  <c r="DZ343" i="2"/>
  <c r="DY343" i="2"/>
  <c r="DX343" i="2"/>
  <c r="DW343" i="2"/>
  <c r="EP343" i="2" s="1"/>
  <c r="DV343" i="2"/>
  <c r="DU343" i="2"/>
  <c r="DT343" i="2"/>
  <c r="EM343" i="2" s="1"/>
  <c r="DS343" i="2"/>
  <c r="EL343" i="2" s="1"/>
  <c r="DR343" i="2"/>
  <c r="DQ343" i="2"/>
  <c r="DP343" i="2"/>
  <c r="FT342" i="2"/>
  <c r="FS342" i="2"/>
  <c r="GL342" i="2" s="1"/>
  <c r="FQ342" i="2"/>
  <c r="GJ342" i="2" s="1"/>
  <c r="FP342" i="2"/>
  <c r="GI342" i="2" s="1"/>
  <c r="FO342" i="2"/>
  <c r="FN342" i="2"/>
  <c r="FM342" i="2"/>
  <c r="FL342" i="2"/>
  <c r="FK342" i="2"/>
  <c r="FJ342" i="2"/>
  <c r="FI342" i="2"/>
  <c r="GB342" i="2" s="1"/>
  <c r="FH342" i="2"/>
  <c r="FG342" i="2"/>
  <c r="FF342" i="2"/>
  <c r="FY342" i="2" s="1"/>
  <c r="FE342" i="2"/>
  <c r="FX342" i="2" s="1"/>
  <c r="FD342" i="2"/>
  <c r="FC342" i="2"/>
  <c r="FB342" i="2"/>
  <c r="EH342" i="2"/>
  <c r="EG342" i="2"/>
  <c r="EZ342" i="2" s="1"/>
  <c r="EE342" i="2"/>
  <c r="EX342" i="2" s="1"/>
  <c r="ED342" i="2"/>
  <c r="EW342" i="2" s="1"/>
  <c r="EC342" i="2"/>
  <c r="EB342" i="2"/>
  <c r="EA342" i="2"/>
  <c r="DZ342" i="2"/>
  <c r="DY342" i="2"/>
  <c r="DX342" i="2"/>
  <c r="DW342" i="2"/>
  <c r="EP342" i="2" s="1"/>
  <c r="DV342" i="2"/>
  <c r="DU342" i="2"/>
  <c r="DT342" i="2"/>
  <c r="EM342" i="2" s="1"/>
  <c r="DS342" i="2"/>
  <c r="EL342" i="2" s="1"/>
  <c r="DR342" i="2"/>
  <c r="DQ342" i="2"/>
  <c r="DP342" i="2"/>
  <c r="FT45" i="2"/>
  <c r="FS45" i="2"/>
  <c r="GL45" i="2" s="1"/>
  <c r="FQ45" i="2"/>
  <c r="GJ45" i="2" s="1"/>
  <c r="FP45" i="2"/>
  <c r="GI45" i="2" s="1"/>
  <c r="FO45" i="2"/>
  <c r="FN45" i="2"/>
  <c r="FM45" i="2"/>
  <c r="FL45" i="2"/>
  <c r="FK45" i="2"/>
  <c r="FJ45" i="2"/>
  <c r="FI45" i="2"/>
  <c r="GB45" i="2" s="1"/>
  <c r="FH45" i="2"/>
  <c r="FG45" i="2"/>
  <c r="FF45" i="2"/>
  <c r="FY45" i="2" s="1"/>
  <c r="FE45" i="2"/>
  <c r="FX45" i="2" s="1"/>
  <c r="FD45" i="2"/>
  <c r="FC45" i="2"/>
  <c r="FB45" i="2"/>
  <c r="EH45" i="2"/>
  <c r="EG45" i="2"/>
  <c r="EZ45" i="2" s="1"/>
  <c r="EE45" i="2"/>
  <c r="EX45" i="2" s="1"/>
  <c r="ED45" i="2"/>
  <c r="EW45" i="2" s="1"/>
  <c r="EC45" i="2"/>
  <c r="EB45" i="2"/>
  <c r="EA45" i="2"/>
  <c r="DZ45" i="2"/>
  <c r="DY45" i="2"/>
  <c r="DX45" i="2"/>
  <c r="DW45" i="2"/>
  <c r="EP45" i="2" s="1"/>
  <c r="DV45" i="2"/>
  <c r="DU45" i="2"/>
  <c r="DT45" i="2"/>
  <c r="EM45" i="2" s="1"/>
  <c r="DS45" i="2"/>
  <c r="EL45" i="2" s="1"/>
  <c r="DR45" i="2"/>
  <c r="DQ45" i="2"/>
  <c r="DP45" i="2"/>
  <c r="FT44" i="2"/>
  <c r="FS44" i="2"/>
  <c r="GL44" i="2" s="1"/>
  <c r="FQ44" i="2"/>
  <c r="GJ44" i="2" s="1"/>
  <c r="FP44" i="2"/>
  <c r="GI44" i="2" s="1"/>
  <c r="FO44" i="2"/>
  <c r="FN44" i="2"/>
  <c r="FM44" i="2"/>
  <c r="FL44" i="2"/>
  <c r="FK44" i="2"/>
  <c r="FJ44" i="2"/>
  <c r="FI44" i="2"/>
  <c r="GB44" i="2" s="1"/>
  <c r="FH44" i="2"/>
  <c r="FG44" i="2"/>
  <c r="FF44" i="2"/>
  <c r="FY44" i="2" s="1"/>
  <c r="FE44" i="2"/>
  <c r="FX44" i="2" s="1"/>
  <c r="FD44" i="2"/>
  <c r="FC44" i="2"/>
  <c r="FB44" i="2"/>
  <c r="EH44" i="2"/>
  <c r="EG44" i="2"/>
  <c r="EZ44" i="2" s="1"/>
  <c r="EE44" i="2"/>
  <c r="EX44" i="2" s="1"/>
  <c r="ED44" i="2"/>
  <c r="EW44" i="2" s="1"/>
  <c r="EC44" i="2"/>
  <c r="EB44" i="2"/>
  <c r="EA44" i="2"/>
  <c r="DZ44" i="2"/>
  <c r="DY44" i="2"/>
  <c r="DX44" i="2"/>
  <c r="DW44" i="2"/>
  <c r="EP44" i="2" s="1"/>
  <c r="DV44" i="2"/>
  <c r="DU44" i="2"/>
  <c r="DT44" i="2"/>
  <c r="EM44" i="2" s="1"/>
  <c r="DS44" i="2"/>
  <c r="EL44" i="2" s="1"/>
  <c r="DR44" i="2"/>
  <c r="DQ44" i="2"/>
  <c r="DP44" i="2"/>
  <c r="FT43" i="2"/>
  <c r="FS43" i="2"/>
  <c r="GL43" i="2" s="1"/>
  <c r="FQ43" i="2"/>
  <c r="GJ43" i="2" s="1"/>
  <c r="FP43" i="2"/>
  <c r="GI43" i="2" s="1"/>
  <c r="FO43" i="2"/>
  <c r="FN43" i="2"/>
  <c r="FM43" i="2"/>
  <c r="FL43" i="2"/>
  <c r="FK43" i="2"/>
  <c r="FJ43" i="2"/>
  <c r="FI43" i="2"/>
  <c r="GB43" i="2" s="1"/>
  <c r="FH43" i="2"/>
  <c r="FG43" i="2"/>
  <c r="FF43" i="2"/>
  <c r="FY43" i="2" s="1"/>
  <c r="FE43" i="2"/>
  <c r="FX43" i="2" s="1"/>
  <c r="FD43" i="2"/>
  <c r="FC43" i="2"/>
  <c r="FB43" i="2"/>
  <c r="EH43" i="2"/>
  <c r="EG43" i="2"/>
  <c r="EZ43" i="2" s="1"/>
  <c r="EE43" i="2"/>
  <c r="EX43" i="2" s="1"/>
  <c r="ED43" i="2"/>
  <c r="EW43" i="2" s="1"/>
  <c r="EC43" i="2"/>
  <c r="EB43" i="2"/>
  <c r="EA43" i="2"/>
  <c r="DZ43" i="2"/>
  <c r="DY43" i="2"/>
  <c r="DX43" i="2"/>
  <c r="DW43" i="2"/>
  <c r="EP43" i="2" s="1"/>
  <c r="DV43" i="2"/>
  <c r="DU43" i="2"/>
  <c r="DT43" i="2"/>
  <c r="EM43" i="2" s="1"/>
  <c r="DS43" i="2"/>
  <c r="EL43" i="2" s="1"/>
  <c r="DR43" i="2"/>
  <c r="DQ43" i="2"/>
  <c r="DP43" i="2"/>
  <c r="FT41" i="2"/>
  <c r="FS41" i="2"/>
  <c r="GL41" i="2" s="1"/>
  <c r="FQ41" i="2"/>
  <c r="GJ41" i="2" s="1"/>
  <c r="FP41" i="2"/>
  <c r="GI41" i="2" s="1"/>
  <c r="FO41" i="2"/>
  <c r="FN41" i="2"/>
  <c r="FM41" i="2"/>
  <c r="FL41" i="2"/>
  <c r="FK41" i="2"/>
  <c r="FJ41" i="2"/>
  <c r="FI41" i="2"/>
  <c r="GB41" i="2" s="1"/>
  <c r="FH41" i="2"/>
  <c r="FG41" i="2"/>
  <c r="FF41" i="2"/>
  <c r="FY41" i="2" s="1"/>
  <c r="FE41" i="2"/>
  <c r="FX41" i="2" s="1"/>
  <c r="FD41" i="2"/>
  <c r="FC41" i="2"/>
  <c r="FB41" i="2"/>
  <c r="EH41" i="2"/>
  <c r="EG41" i="2"/>
  <c r="EZ41" i="2" s="1"/>
  <c r="EE41" i="2"/>
  <c r="EX41" i="2" s="1"/>
  <c r="ED41" i="2"/>
  <c r="EW41" i="2" s="1"/>
  <c r="EC41" i="2"/>
  <c r="EB41" i="2"/>
  <c r="EA41" i="2"/>
  <c r="DZ41" i="2"/>
  <c r="DY41" i="2"/>
  <c r="DX41" i="2"/>
  <c r="DW41" i="2"/>
  <c r="EP41" i="2" s="1"/>
  <c r="DV41" i="2"/>
  <c r="DU41" i="2"/>
  <c r="DT41" i="2"/>
  <c r="EM41" i="2" s="1"/>
  <c r="DS41" i="2"/>
  <c r="EL41" i="2" s="1"/>
  <c r="DR41" i="2"/>
  <c r="DQ41" i="2"/>
  <c r="DP41" i="2"/>
  <c r="FT40" i="2"/>
  <c r="FS40" i="2"/>
  <c r="GL40" i="2" s="1"/>
  <c r="FQ40" i="2"/>
  <c r="GJ40" i="2" s="1"/>
  <c r="FP40" i="2"/>
  <c r="GI40" i="2" s="1"/>
  <c r="FO40" i="2"/>
  <c r="FN40" i="2"/>
  <c r="FM40" i="2"/>
  <c r="FL40" i="2"/>
  <c r="FK40" i="2"/>
  <c r="FJ40" i="2"/>
  <c r="FI40" i="2"/>
  <c r="GB40" i="2" s="1"/>
  <c r="FH40" i="2"/>
  <c r="FG40" i="2"/>
  <c r="FF40" i="2"/>
  <c r="FY40" i="2" s="1"/>
  <c r="FE40" i="2"/>
  <c r="FX40" i="2" s="1"/>
  <c r="FD40" i="2"/>
  <c r="FC40" i="2"/>
  <c r="FB40" i="2"/>
  <c r="EH40" i="2"/>
  <c r="EG40" i="2"/>
  <c r="EZ40" i="2" s="1"/>
  <c r="EE40" i="2"/>
  <c r="EX40" i="2" s="1"/>
  <c r="ED40" i="2"/>
  <c r="EW40" i="2" s="1"/>
  <c r="EC40" i="2"/>
  <c r="EB40" i="2"/>
  <c r="EA40" i="2"/>
  <c r="DZ40" i="2"/>
  <c r="DY40" i="2"/>
  <c r="DX40" i="2"/>
  <c r="DW40" i="2"/>
  <c r="EP40" i="2" s="1"/>
  <c r="DV40" i="2"/>
  <c r="DU40" i="2"/>
  <c r="DT40" i="2"/>
  <c r="EM40" i="2" s="1"/>
  <c r="DS40" i="2"/>
  <c r="EL40" i="2" s="1"/>
  <c r="DR40" i="2"/>
  <c r="DQ40" i="2"/>
  <c r="DP40" i="2"/>
  <c r="FT39" i="2"/>
  <c r="FS39" i="2"/>
  <c r="GL39" i="2" s="1"/>
  <c r="FQ39" i="2"/>
  <c r="GJ39" i="2" s="1"/>
  <c r="FP39" i="2"/>
  <c r="GI39" i="2" s="1"/>
  <c r="FO39" i="2"/>
  <c r="FN39" i="2"/>
  <c r="FM39" i="2"/>
  <c r="FL39" i="2"/>
  <c r="FK39" i="2"/>
  <c r="FJ39" i="2"/>
  <c r="FI39" i="2"/>
  <c r="GB39" i="2" s="1"/>
  <c r="FH39" i="2"/>
  <c r="FG39" i="2"/>
  <c r="FF39" i="2"/>
  <c r="FY39" i="2" s="1"/>
  <c r="FE39" i="2"/>
  <c r="FX39" i="2" s="1"/>
  <c r="FD39" i="2"/>
  <c r="FC39" i="2"/>
  <c r="FB39" i="2"/>
  <c r="EH39" i="2"/>
  <c r="EG39" i="2"/>
  <c r="EZ39" i="2" s="1"/>
  <c r="EE39" i="2"/>
  <c r="EX39" i="2" s="1"/>
  <c r="ED39" i="2"/>
  <c r="EW39" i="2" s="1"/>
  <c r="EC39" i="2"/>
  <c r="EB39" i="2"/>
  <c r="EA39" i="2"/>
  <c r="DZ39" i="2"/>
  <c r="DY39" i="2"/>
  <c r="DX39" i="2"/>
  <c r="DW39" i="2"/>
  <c r="EP39" i="2" s="1"/>
  <c r="DV39" i="2"/>
  <c r="DU39" i="2"/>
  <c r="DT39" i="2"/>
  <c r="EM39" i="2" s="1"/>
  <c r="DS39" i="2"/>
  <c r="EL39" i="2" s="1"/>
  <c r="DR39" i="2"/>
  <c r="DQ39" i="2"/>
  <c r="DP39" i="2"/>
  <c r="FT38" i="2"/>
  <c r="FS38" i="2"/>
  <c r="GL38" i="2" s="1"/>
  <c r="FQ38" i="2"/>
  <c r="GJ38" i="2" s="1"/>
  <c r="FP38" i="2"/>
  <c r="GI38" i="2" s="1"/>
  <c r="FO38" i="2"/>
  <c r="FN38" i="2"/>
  <c r="FM38" i="2"/>
  <c r="FL38" i="2"/>
  <c r="FK38" i="2"/>
  <c r="FJ38" i="2"/>
  <c r="FI38" i="2"/>
  <c r="GB38" i="2" s="1"/>
  <c r="FH38" i="2"/>
  <c r="FG38" i="2"/>
  <c r="FF38" i="2"/>
  <c r="FY38" i="2" s="1"/>
  <c r="FE38" i="2"/>
  <c r="FX38" i="2" s="1"/>
  <c r="FD38" i="2"/>
  <c r="FC38" i="2"/>
  <c r="FB38" i="2"/>
  <c r="EH38" i="2"/>
  <c r="EG38" i="2"/>
  <c r="EZ38" i="2" s="1"/>
  <c r="EE38" i="2"/>
  <c r="EX38" i="2" s="1"/>
  <c r="ED38" i="2"/>
  <c r="EW38" i="2" s="1"/>
  <c r="EC38" i="2"/>
  <c r="EB38" i="2"/>
  <c r="EA38" i="2"/>
  <c r="DZ38" i="2"/>
  <c r="DY38" i="2"/>
  <c r="DX38" i="2"/>
  <c r="DW38" i="2"/>
  <c r="EP38" i="2" s="1"/>
  <c r="DV38" i="2"/>
  <c r="DU38" i="2"/>
  <c r="DT38" i="2"/>
  <c r="EM38" i="2" s="1"/>
  <c r="DS38" i="2"/>
  <c r="EL38" i="2" s="1"/>
  <c r="DR38" i="2"/>
  <c r="DQ38" i="2"/>
  <c r="DP38" i="2"/>
  <c r="FT37" i="2"/>
  <c r="FS37" i="2"/>
  <c r="GL37" i="2" s="1"/>
  <c r="FQ37" i="2"/>
  <c r="GJ37" i="2" s="1"/>
  <c r="FP37" i="2"/>
  <c r="GI37" i="2" s="1"/>
  <c r="FO37" i="2"/>
  <c r="FN37" i="2"/>
  <c r="FM37" i="2"/>
  <c r="FL37" i="2"/>
  <c r="FK37" i="2"/>
  <c r="FJ37" i="2"/>
  <c r="FI37" i="2"/>
  <c r="GB37" i="2" s="1"/>
  <c r="FH37" i="2"/>
  <c r="FG37" i="2"/>
  <c r="FF37" i="2"/>
  <c r="FY37" i="2" s="1"/>
  <c r="FE37" i="2"/>
  <c r="FX37" i="2" s="1"/>
  <c r="FD37" i="2"/>
  <c r="FC37" i="2"/>
  <c r="FB37" i="2"/>
  <c r="EH37" i="2"/>
  <c r="EG37" i="2"/>
  <c r="EZ37" i="2" s="1"/>
  <c r="EE37" i="2"/>
  <c r="EX37" i="2" s="1"/>
  <c r="ED37" i="2"/>
  <c r="EW37" i="2" s="1"/>
  <c r="EC37" i="2"/>
  <c r="EB37" i="2"/>
  <c r="EA37" i="2"/>
  <c r="DZ37" i="2"/>
  <c r="DY37" i="2"/>
  <c r="DX37" i="2"/>
  <c r="DW37" i="2"/>
  <c r="EP37" i="2" s="1"/>
  <c r="DV37" i="2"/>
  <c r="DU37" i="2"/>
  <c r="DT37" i="2"/>
  <c r="EM37" i="2" s="1"/>
  <c r="DS37" i="2"/>
  <c r="EL37" i="2" s="1"/>
  <c r="DR37" i="2"/>
  <c r="DQ37" i="2"/>
  <c r="DP37" i="2"/>
  <c r="FT36" i="2"/>
  <c r="FS36" i="2"/>
  <c r="GL36" i="2" s="1"/>
  <c r="FQ36" i="2"/>
  <c r="GJ36" i="2" s="1"/>
  <c r="FP36" i="2"/>
  <c r="GI36" i="2" s="1"/>
  <c r="FO36" i="2"/>
  <c r="FN36" i="2"/>
  <c r="FM36" i="2"/>
  <c r="FL36" i="2"/>
  <c r="FK36" i="2"/>
  <c r="FJ36" i="2"/>
  <c r="FI36" i="2"/>
  <c r="GB36" i="2" s="1"/>
  <c r="FH36" i="2"/>
  <c r="FG36" i="2"/>
  <c r="FF36" i="2"/>
  <c r="FY36" i="2" s="1"/>
  <c r="FE36" i="2"/>
  <c r="FX36" i="2" s="1"/>
  <c r="FD36" i="2"/>
  <c r="FC36" i="2"/>
  <c r="FB36" i="2"/>
  <c r="EH36" i="2"/>
  <c r="EG36" i="2"/>
  <c r="EZ36" i="2" s="1"/>
  <c r="EE36" i="2"/>
  <c r="EX36" i="2" s="1"/>
  <c r="ED36" i="2"/>
  <c r="EW36" i="2" s="1"/>
  <c r="EC36" i="2"/>
  <c r="EB36" i="2"/>
  <c r="EA36" i="2"/>
  <c r="DZ36" i="2"/>
  <c r="DY36" i="2"/>
  <c r="DX36" i="2"/>
  <c r="DW36" i="2"/>
  <c r="EP36" i="2" s="1"/>
  <c r="DV36" i="2"/>
  <c r="DU36" i="2"/>
  <c r="DT36" i="2"/>
  <c r="EM36" i="2" s="1"/>
  <c r="DS36" i="2"/>
  <c r="EL36" i="2" s="1"/>
  <c r="DR36" i="2"/>
  <c r="DQ36" i="2"/>
  <c r="DP36" i="2"/>
  <c r="FT35" i="2"/>
  <c r="FS35" i="2"/>
  <c r="GL35" i="2" s="1"/>
  <c r="FQ35" i="2"/>
  <c r="GJ35" i="2" s="1"/>
  <c r="FP35" i="2"/>
  <c r="GI35" i="2" s="1"/>
  <c r="FO35" i="2"/>
  <c r="FN35" i="2"/>
  <c r="FM35" i="2"/>
  <c r="FL35" i="2"/>
  <c r="FK35" i="2"/>
  <c r="FJ35" i="2"/>
  <c r="FI35" i="2"/>
  <c r="GB35" i="2" s="1"/>
  <c r="FH35" i="2"/>
  <c r="FG35" i="2"/>
  <c r="FF35" i="2"/>
  <c r="FY35" i="2" s="1"/>
  <c r="FE35" i="2"/>
  <c r="FX35" i="2" s="1"/>
  <c r="FD35" i="2"/>
  <c r="FC35" i="2"/>
  <c r="FB35" i="2"/>
  <c r="EH35" i="2"/>
  <c r="EG35" i="2"/>
  <c r="EZ35" i="2" s="1"/>
  <c r="EE35" i="2"/>
  <c r="EX35" i="2" s="1"/>
  <c r="ED35" i="2"/>
  <c r="EW35" i="2" s="1"/>
  <c r="EC35" i="2"/>
  <c r="EB35" i="2"/>
  <c r="EA35" i="2"/>
  <c r="DZ35" i="2"/>
  <c r="DY35" i="2"/>
  <c r="DX35" i="2"/>
  <c r="DW35" i="2"/>
  <c r="EP35" i="2" s="1"/>
  <c r="DV35" i="2"/>
  <c r="DU35" i="2"/>
  <c r="DT35" i="2"/>
  <c r="EM35" i="2" s="1"/>
  <c r="DS35" i="2"/>
  <c r="EL35" i="2" s="1"/>
  <c r="DR35" i="2"/>
  <c r="DQ35" i="2"/>
  <c r="DP35" i="2"/>
  <c r="FT42" i="2"/>
  <c r="FS42" i="2"/>
  <c r="GL42" i="2" s="1"/>
  <c r="FQ42" i="2"/>
  <c r="GJ42" i="2" s="1"/>
  <c r="FP42" i="2"/>
  <c r="GI42" i="2" s="1"/>
  <c r="FO42" i="2"/>
  <c r="FN42" i="2"/>
  <c r="FM42" i="2"/>
  <c r="FL42" i="2"/>
  <c r="FK42" i="2"/>
  <c r="FJ42" i="2"/>
  <c r="FI42" i="2"/>
  <c r="GB42" i="2" s="1"/>
  <c r="FH42" i="2"/>
  <c r="FG42" i="2"/>
  <c r="FF42" i="2"/>
  <c r="FY42" i="2" s="1"/>
  <c r="FE42" i="2"/>
  <c r="FX42" i="2" s="1"/>
  <c r="FD42" i="2"/>
  <c r="FC42" i="2"/>
  <c r="FB42" i="2"/>
  <c r="EH42" i="2"/>
  <c r="EG42" i="2"/>
  <c r="EZ42" i="2" s="1"/>
  <c r="EE42" i="2"/>
  <c r="EX42" i="2" s="1"/>
  <c r="ED42" i="2"/>
  <c r="EW42" i="2" s="1"/>
  <c r="EC42" i="2"/>
  <c r="EB42" i="2"/>
  <c r="EA42" i="2"/>
  <c r="DZ42" i="2"/>
  <c r="DY42" i="2"/>
  <c r="DX42" i="2"/>
  <c r="DW42" i="2"/>
  <c r="EP42" i="2" s="1"/>
  <c r="DV42" i="2"/>
  <c r="DU42" i="2"/>
  <c r="DT42" i="2"/>
  <c r="EM42" i="2" s="1"/>
  <c r="DS42" i="2"/>
  <c r="EL42" i="2" s="1"/>
  <c r="DR42" i="2"/>
  <c r="DQ42" i="2"/>
  <c r="DP42" i="2"/>
  <c r="FT34" i="2"/>
  <c r="FS34" i="2"/>
  <c r="GL34" i="2" s="1"/>
  <c r="FQ34" i="2"/>
  <c r="GJ34" i="2" s="1"/>
  <c r="FP34" i="2"/>
  <c r="GI34" i="2" s="1"/>
  <c r="FO34" i="2"/>
  <c r="FN34" i="2"/>
  <c r="FM34" i="2"/>
  <c r="FL34" i="2"/>
  <c r="FK34" i="2"/>
  <c r="FJ34" i="2"/>
  <c r="FI34" i="2"/>
  <c r="GB34" i="2" s="1"/>
  <c r="FH34" i="2"/>
  <c r="FG34" i="2"/>
  <c r="FF34" i="2"/>
  <c r="FY34" i="2" s="1"/>
  <c r="FE34" i="2"/>
  <c r="FX34" i="2" s="1"/>
  <c r="FD34" i="2"/>
  <c r="FC34" i="2"/>
  <c r="FB34" i="2"/>
  <c r="FT24" i="2"/>
  <c r="FS24" i="2"/>
  <c r="GL24" i="2" s="1"/>
  <c r="FQ24" i="2"/>
  <c r="GJ24" i="2" s="1"/>
  <c r="FP24" i="2"/>
  <c r="GI24" i="2" s="1"/>
  <c r="FO24" i="2"/>
  <c r="FN24" i="2"/>
  <c r="FM24" i="2"/>
  <c r="FL24" i="2"/>
  <c r="FK24" i="2"/>
  <c r="FJ24" i="2"/>
  <c r="FI24" i="2"/>
  <c r="GB24" i="2" s="1"/>
  <c r="FH24" i="2"/>
  <c r="FG24" i="2"/>
  <c r="FF24" i="2"/>
  <c r="FY24" i="2" s="1"/>
  <c r="FE24" i="2"/>
  <c r="FX24" i="2" s="1"/>
  <c r="FD24" i="2"/>
  <c r="FC24" i="2"/>
  <c r="FB24" i="2"/>
  <c r="EH24" i="2"/>
  <c r="EG24" i="2"/>
  <c r="EZ24" i="2" s="1"/>
  <c r="EE24" i="2"/>
  <c r="EX24" i="2" s="1"/>
  <c r="ED24" i="2"/>
  <c r="EW24" i="2" s="1"/>
  <c r="EC24" i="2"/>
  <c r="EB24" i="2"/>
  <c r="EA24" i="2"/>
  <c r="DZ24" i="2"/>
  <c r="DY24" i="2"/>
  <c r="DX24" i="2"/>
  <c r="DW24" i="2"/>
  <c r="EP24" i="2" s="1"/>
  <c r="DV24" i="2"/>
  <c r="DU24" i="2"/>
  <c r="DT24" i="2"/>
  <c r="EM24" i="2" s="1"/>
  <c r="DS24" i="2"/>
  <c r="EL24" i="2" s="1"/>
  <c r="DR24" i="2"/>
  <c r="DQ24" i="2"/>
  <c r="DP24" i="2"/>
  <c r="FT47" i="2"/>
  <c r="FS47" i="2"/>
  <c r="GL47" i="2" s="1"/>
  <c r="FQ47" i="2"/>
  <c r="GJ47" i="2" s="1"/>
  <c r="FP47" i="2"/>
  <c r="GI47" i="2" s="1"/>
  <c r="FO47" i="2"/>
  <c r="FN47" i="2"/>
  <c r="FM47" i="2"/>
  <c r="FL47" i="2"/>
  <c r="FK47" i="2"/>
  <c r="FJ47" i="2"/>
  <c r="FI47" i="2"/>
  <c r="GB47" i="2" s="1"/>
  <c r="FH47" i="2"/>
  <c r="FG47" i="2"/>
  <c r="FF47" i="2"/>
  <c r="FY47" i="2" s="1"/>
  <c r="FE47" i="2"/>
  <c r="FX47" i="2" s="1"/>
  <c r="FD47" i="2"/>
  <c r="FC47" i="2"/>
  <c r="FB47" i="2"/>
  <c r="EH47" i="2"/>
  <c r="EG47" i="2"/>
  <c r="EZ47" i="2" s="1"/>
  <c r="EE47" i="2"/>
  <c r="EX47" i="2" s="1"/>
  <c r="ED47" i="2"/>
  <c r="EW47" i="2" s="1"/>
  <c r="EC47" i="2"/>
  <c r="EB47" i="2"/>
  <c r="EA47" i="2"/>
  <c r="DZ47" i="2"/>
  <c r="DY47" i="2"/>
  <c r="DX47" i="2"/>
  <c r="DW47" i="2"/>
  <c r="EP47" i="2" s="1"/>
  <c r="DV47" i="2"/>
  <c r="DU47" i="2"/>
  <c r="DT47" i="2"/>
  <c r="EM47" i="2" s="1"/>
  <c r="DS47" i="2"/>
  <c r="EL47" i="2" s="1"/>
  <c r="DR47" i="2"/>
  <c r="DQ47" i="2"/>
  <c r="DP47" i="2"/>
  <c r="FT14" i="2"/>
  <c r="FS14" i="2"/>
  <c r="GL14" i="2" s="1"/>
  <c r="FQ14" i="2"/>
  <c r="GJ14" i="2" s="1"/>
  <c r="FP14" i="2"/>
  <c r="GI14" i="2" s="1"/>
  <c r="FO14" i="2"/>
  <c r="FN14" i="2"/>
  <c r="FM14" i="2"/>
  <c r="FL14" i="2"/>
  <c r="FK14" i="2"/>
  <c r="FJ14" i="2"/>
  <c r="FI14" i="2"/>
  <c r="GB14" i="2" s="1"/>
  <c r="FH14" i="2"/>
  <c r="FG14" i="2"/>
  <c r="FF14" i="2"/>
  <c r="FY14" i="2" s="1"/>
  <c r="FE14" i="2"/>
  <c r="FX14" i="2" s="1"/>
  <c r="FD14" i="2"/>
  <c r="FC14" i="2"/>
  <c r="FB14" i="2"/>
  <c r="EH14" i="2"/>
  <c r="EG14" i="2"/>
  <c r="EZ14" i="2" s="1"/>
  <c r="EE14" i="2"/>
  <c r="EX14" i="2" s="1"/>
  <c r="ED14" i="2"/>
  <c r="EW14" i="2" s="1"/>
  <c r="EC14" i="2"/>
  <c r="EB14" i="2"/>
  <c r="EA14" i="2"/>
  <c r="DZ14" i="2"/>
  <c r="DY14" i="2"/>
  <c r="DX14" i="2"/>
  <c r="DW14" i="2"/>
  <c r="EP14" i="2" s="1"/>
  <c r="DV14" i="2"/>
  <c r="DU14" i="2"/>
  <c r="DT14" i="2"/>
  <c r="EM14" i="2" s="1"/>
  <c r="DS14" i="2"/>
  <c r="EL14" i="2" s="1"/>
  <c r="DR14" i="2"/>
  <c r="DQ14" i="2"/>
  <c r="DP14" i="2"/>
  <c r="FT13" i="2"/>
  <c r="FS13" i="2"/>
  <c r="GL13" i="2" s="1"/>
  <c r="FQ13" i="2"/>
  <c r="GJ13" i="2" s="1"/>
  <c r="FP13" i="2"/>
  <c r="GI13" i="2" s="1"/>
  <c r="FO13" i="2"/>
  <c r="FN13" i="2"/>
  <c r="FM13" i="2"/>
  <c r="FL13" i="2"/>
  <c r="FK13" i="2"/>
  <c r="FJ13" i="2"/>
  <c r="FI13" i="2"/>
  <c r="GB13" i="2" s="1"/>
  <c r="FH13" i="2"/>
  <c r="FG13" i="2"/>
  <c r="FF13" i="2"/>
  <c r="FY13" i="2" s="1"/>
  <c r="FE13" i="2"/>
  <c r="FX13" i="2" s="1"/>
  <c r="FD13" i="2"/>
  <c r="FC13" i="2"/>
  <c r="FB13" i="2"/>
  <c r="EH13" i="2"/>
  <c r="EG13" i="2"/>
  <c r="EZ13" i="2" s="1"/>
  <c r="EE13" i="2"/>
  <c r="EX13" i="2" s="1"/>
  <c r="ED13" i="2"/>
  <c r="EW13" i="2" s="1"/>
  <c r="EC13" i="2"/>
  <c r="EB13" i="2"/>
  <c r="EA13" i="2"/>
  <c r="DZ13" i="2"/>
  <c r="DY13" i="2"/>
  <c r="DX13" i="2"/>
  <c r="DW13" i="2"/>
  <c r="EP13" i="2" s="1"/>
  <c r="DV13" i="2"/>
  <c r="DU13" i="2"/>
  <c r="DT13" i="2"/>
  <c r="EM13" i="2" s="1"/>
  <c r="DS13" i="2"/>
  <c r="EL13" i="2" s="1"/>
  <c r="DR13" i="2"/>
  <c r="DQ13" i="2"/>
  <c r="DP13" i="2"/>
  <c r="FT12" i="2"/>
  <c r="FS12" i="2"/>
  <c r="GL12" i="2" s="1"/>
  <c r="FQ12" i="2"/>
  <c r="GJ12" i="2" s="1"/>
  <c r="FP12" i="2"/>
  <c r="GI12" i="2" s="1"/>
  <c r="FO12" i="2"/>
  <c r="FN12" i="2"/>
  <c r="FM12" i="2"/>
  <c r="FL12" i="2"/>
  <c r="FK12" i="2"/>
  <c r="FJ12" i="2"/>
  <c r="FI12" i="2"/>
  <c r="GB12" i="2" s="1"/>
  <c r="FH12" i="2"/>
  <c r="FG12" i="2"/>
  <c r="FF12" i="2"/>
  <c r="FY12" i="2" s="1"/>
  <c r="FE12" i="2"/>
  <c r="FX12" i="2" s="1"/>
  <c r="FD12" i="2"/>
  <c r="FC12" i="2"/>
  <c r="FB12" i="2"/>
  <c r="EH12" i="2"/>
  <c r="EG12" i="2"/>
  <c r="EZ12" i="2" s="1"/>
  <c r="EE12" i="2"/>
  <c r="EX12" i="2" s="1"/>
  <c r="ED12" i="2"/>
  <c r="EW12" i="2" s="1"/>
  <c r="EC12" i="2"/>
  <c r="EB12" i="2"/>
  <c r="EA12" i="2"/>
  <c r="DZ12" i="2"/>
  <c r="DY12" i="2"/>
  <c r="DX12" i="2"/>
  <c r="DW12" i="2"/>
  <c r="EP12" i="2" s="1"/>
  <c r="DV12" i="2"/>
  <c r="DU12" i="2"/>
  <c r="DT12" i="2"/>
  <c r="EM12" i="2" s="1"/>
  <c r="DS12" i="2"/>
  <c r="EL12" i="2" s="1"/>
  <c r="DR12" i="2"/>
  <c r="DQ12" i="2"/>
  <c r="DP12" i="2"/>
  <c r="FT11" i="2"/>
  <c r="FS11" i="2"/>
  <c r="GL11" i="2" s="1"/>
  <c r="FQ11" i="2"/>
  <c r="GJ11" i="2" s="1"/>
  <c r="FP11" i="2"/>
  <c r="GI11" i="2" s="1"/>
  <c r="FO11" i="2"/>
  <c r="FN11" i="2"/>
  <c r="FM11" i="2"/>
  <c r="FL11" i="2"/>
  <c r="FK11" i="2"/>
  <c r="FJ11" i="2"/>
  <c r="FI11" i="2"/>
  <c r="GB11" i="2" s="1"/>
  <c r="FH11" i="2"/>
  <c r="FG11" i="2"/>
  <c r="FF11" i="2"/>
  <c r="FY11" i="2" s="1"/>
  <c r="FE11" i="2"/>
  <c r="FX11" i="2" s="1"/>
  <c r="FD11" i="2"/>
  <c r="FC11" i="2"/>
  <c r="FB11" i="2"/>
  <c r="EH11" i="2"/>
  <c r="EG11" i="2"/>
  <c r="EZ11" i="2" s="1"/>
  <c r="EE11" i="2"/>
  <c r="EX11" i="2" s="1"/>
  <c r="ED11" i="2"/>
  <c r="EW11" i="2" s="1"/>
  <c r="EC11" i="2"/>
  <c r="EB11" i="2"/>
  <c r="EA11" i="2"/>
  <c r="DZ11" i="2"/>
  <c r="DY11" i="2"/>
  <c r="DX11" i="2"/>
  <c r="DW11" i="2"/>
  <c r="EP11" i="2" s="1"/>
  <c r="DV11" i="2"/>
  <c r="DU11" i="2"/>
  <c r="DT11" i="2"/>
  <c r="EM11" i="2" s="1"/>
  <c r="DS11" i="2"/>
  <c r="EL11" i="2" s="1"/>
  <c r="DR11" i="2"/>
  <c r="DQ11" i="2"/>
  <c r="DP11" i="2"/>
  <c r="FT10" i="2"/>
  <c r="FS10" i="2"/>
  <c r="GL10" i="2" s="1"/>
  <c r="FQ10" i="2"/>
  <c r="GJ10" i="2" s="1"/>
  <c r="FP10" i="2"/>
  <c r="GI10" i="2" s="1"/>
  <c r="FO10" i="2"/>
  <c r="FN10" i="2"/>
  <c r="FM10" i="2"/>
  <c r="FL10" i="2"/>
  <c r="FK10" i="2"/>
  <c r="FJ10" i="2"/>
  <c r="FI10" i="2"/>
  <c r="GB10" i="2" s="1"/>
  <c r="FH10" i="2"/>
  <c r="FG10" i="2"/>
  <c r="FF10" i="2"/>
  <c r="FY10" i="2" s="1"/>
  <c r="FE10" i="2"/>
  <c r="FX10" i="2" s="1"/>
  <c r="FD10" i="2"/>
  <c r="FC10" i="2"/>
  <c r="FB10" i="2"/>
  <c r="EH10" i="2"/>
  <c r="EG10" i="2"/>
  <c r="EZ10" i="2" s="1"/>
  <c r="EE10" i="2"/>
  <c r="EX10" i="2" s="1"/>
  <c r="ED10" i="2"/>
  <c r="EW10" i="2" s="1"/>
  <c r="EC10" i="2"/>
  <c r="EB10" i="2"/>
  <c r="EA10" i="2"/>
  <c r="DZ10" i="2"/>
  <c r="DY10" i="2"/>
  <c r="DX10" i="2"/>
  <c r="DW10" i="2"/>
  <c r="EP10" i="2" s="1"/>
  <c r="DV10" i="2"/>
  <c r="DU10" i="2"/>
  <c r="DT10" i="2"/>
  <c r="EM10" i="2" s="1"/>
  <c r="DS10" i="2"/>
  <c r="EL10" i="2" s="1"/>
  <c r="DR10" i="2"/>
  <c r="DQ10" i="2"/>
  <c r="DP10" i="2"/>
  <c r="FT9" i="2"/>
  <c r="FS9" i="2"/>
  <c r="GL9" i="2" s="1"/>
  <c r="FQ9" i="2"/>
  <c r="GJ9" i="2" s="1"/>
  <c r="FP9" i="2"/>
  <c r="GI9" i="2" s="1"/>
  <c r="FO9" i="2"/>
  <c r="FN9" i="2"/>
  <c r="FM9" i="2"/>
  <c r="FL9" i="2"/>
  <c r="FK9" i="2"/>
  <c r="FJ9" i="2"/>
  <c r="FI9" i="2"/>
  <c r="GB9" i="2" s="1"/>
  <c r="FH9" i="2"/>
  <c r="FG9" i="2"/>
  <c r="FF9" i="2"/>
  <c r="FY9" i="2" s="1"/>
  <c r="FE9" i="2"/>
  <c r="FX9" i="2" s="1"/>
  <c r="FD9" i="2"/>
  <c r="FC9" i="2"/>
  <c r="FB9" i="2"/>
  <c r="EH9" i="2"/>
  <c r="EG9" i="2"/>
  <c r="EZ9" i="2" s="1"/>
  <c r="EE9" i="2"/>
  <c r="EX9" i="2" s="1"/>
  <c r="ED9" i="2"/>
  <c r="EW9" i="2" s="1"/>
  <c r="EC9" i="2"/>
  <c r="EB9" i="2"/>
  <c r="EA9" i="2"/>
  <c r="DZ9" i="2"/>
  <c r="DY9" i="2"/>
  <c r="DX9" i="2"/>
  <c r="DW9" i="2"/>
  <c r="EP9" i="2" s="1"/>
  <c r="DV9" i="2"/>
  <c r="DU9" i="2"/>
  <c r="DT9" i="2"/>
  <c r="EM9" i="2" s="1"/>
  <c r="DS9" i="2"/>
  <c r="EL9" i="2" s="1"/>
  <c r="DR9" i="2"/>
  <c r="DQ9" i="2"/>
  <c r="DP9" i="2"/>
  <c r="FT8" i="2"/>
  <c r="FS8" i="2"/>
  <c r="GL8" i="2" s="1"/>
  <c r="FQ8" i="2"/>
  <c r="GJ8" i="2" s="1"/>
  <c r="FP8" i="2"/>
  <c r="GI8" i="2" s="1"/>
  <c r="FO8" i="2"/>
  <c r="FN8" i="2"/>
  <c r="FM8" i="2"/>
  <c r="FL8" i="2"/>
  <c r="FK8" i="2"/>
  <c r="FJ8" i="2"/>
  <c r="FI8" i="2"/>
  <c r="GB8" i="2" s="1"/>
  <c r="FH8" i="2"/>
  <c r="FG8" i="2"/>
  <c r="FF8" i="2"/>
  <c r="FY8" i="2" s="1"/>
  <c r="FE8" i="2"/>
  <c r="FX8" i="2" s="1"/>
  <c r="FD8" i="2"/>
  <c r="FC8" i="2"/>
  <c r="FB8" i="2"/>
  <c r="EH8" i="2"/>
  <c r="EG8" i="2"/>
  <c r="EZ8" i="2" s="1"/>
  <c r="EE8" i="2"/>
  <c r="EX8" i="2" s="1"/>
  <c r="ED8" i="2"/>
  <c r="EW8" i="2" s="1"/>
  <c r="EC8" i="2"/>
  <c r="EB8" i="2"/>
  <c r="EA8" i="2"/>
  <c r="DZ8" i="2"/>
  <c r="DY8" i="2"/>
  <c r="DX8" i="2"/>
  <c r="DW8" i="2"/>
  <c r="EP8" i="2" s="1"/>
  <c r="DV8" i="2"/>
  <c r="DU8" i="2"/>
  <c r="DT8" i="2"/>
  <c r="EM8" i="2" s="1"/>
  <c r="DS8" i="2"/>
  <c r="EL8" i="2" s="1"/>
  <c r="DR8" i="2"/>
  <c r="DQ8" i="2"/>
  <c r="DP8" i="2"/>
  <c r="FT7" i="2"/>
  <c r="FS7" i="2"/>
  <c r="GL7" i="2" s="1"/>
  <c r="FQ7" i="2"/>
  <c r="GJ7" i="2" s="1"/>
  <c r="FP7" i="2"/>
  <c r="GI7" i="2" s="1"/>
  <c r="FO7" i="2"/>
  <c r="FN7" i="2"/>
  <c r="FM7" i="2"/>
  <c r="FL7" i="2"/>
  <c r="FK7" i="2"/>
  <c r="FJ7" i="2"/>
  <c r="FI7" i="2"/>
  <c r="GB7" i="2" s="1"/>
  <c r="FH7" i="2"/>
  <c r="FG7" i="2"/>
  <c r="FF7" i="2"/>
  <c r="FY7" i="2" s="1"/>
  <c r="FE7" i="2"/>
  <c r="FX7" i="2" s="1"/>
  <c r="FD7" i="2"/>
  <c r="FC7" i="2"/>
  <c r="FB7" i="2"/>
  <c r="EH7" i="2"/>
  <c r="EG7" i="2"/>
  <c r="EZ7" i="2" s="1"/>
  <c r="EE7" i="2"/>
  <c r="EX7" i="2" s="1"/>
  <c r="ED7" i="2"/>
  <c r="EW7" i="2" s="1"/>
  <c r="EC7" i="2"/>
  <c r="EB7" i="2"/>
  <c r="EA7" i="2"/>
  <c r="DZ7" i="2"/>
  <c r="DY7" i="2"/>
  <c r="DX7" i="2"/>
  <c r="DW7" i="2"/>
  <c r="EP7" i="2" s="1"/>
  <c r="DV7" i="2"/>
  <c r="DU7" i="2"/>
  <c r="DT7" i="2"/>
  <c r="EM7" i="2" s="1"/>
  <c r="DS7" i="2"/>
  <c r="EL7" i="2" s="1"/>
  <c r="DR7" i="2"/>
  <c r="DQ7" i="2"/>
  <c r="DP7" i="2"/>
  <c r="FT129" i="2"/>
  <c r="FS129" i="2"/>
  <c r="GL129" i="2" s="1"/>
  <c r="FQ129" i="2"/>
  <c r="GJ129" i="2" s="1"/>
  <c r="FP129" i="2"/>
  <c r="GI129" i="2" s="1"/>
  <c r="FO129" i="2"/>
  <c r="FN129" i="2"/>
  <c r="FM129" i="2"/>
  <c r="FL129" i="2"/>
  <c r="FK129" i="2"/>
  <c r="FJ129" i="2"/>
  <c r="FI129" i="2"/>
  <c r="GB129" i="2" s="1"/>
  <c r="FH129" i="2"/>
  <c r="FG129" i="2"/>
  <c r="FF129" i="2"/>
  <c r="FY129" i="2" s="1"/>
  <c r="FE129" i="2"/>
  <c r="FX129" i="2" s="1"/>
  <c r="FD129" i="2"/>
  <c r="FC129" i="2"/>
  <c r="FB129" i="2"/>
  <c r="EH129" i="2"/>
  <c r="EG129" i="2"/>
  <c r="EZ129" i="2" s="1"/>
  <c r="EE129" i="2"/>
  <c r="EX129" i="2" s="1"/>
  <c r="ED129" i="2"/>
  <c r="EW129" i="2" s="1"/>
  <c r="EC129" i="2"/>
  <c r="EB129" i="2"/>
  <c r="EA129" i="2"/>
  <c r="DZ129" i="2"/>
  <c r="DY129" i="2"/>
  <c r="DX129" i="2"/>
  <c r="DW129" i="2"/>
  <c r="EP129" i="2" s="1"/>
  <c r="DV129" i="2"/>
  <c r="DU129" i="2"/>
  <c r="DT129" i="2"/>
  <c r="EM129" i="2" s="1"/>
  <c r="DS129" i="2"/>
  <c r="EL129" i="2" s="1"/>
  <c r="DR129" i="2"/>
  <c r="DQ129" i="2"/>
  <c r="DP129" i="2"/>
  <c r="FT102" i="2"/>
  <c r="FS102" i="2"/>
  <c r="GL102" i="2" s="1"/>
  <c r="FQ102" i="2"/>
  <c r="GJ102" i="2" s="1"/>
  <c r="FP102" i="2"/>
  <c r="GI102" i="2" s="1"/>
  <c r="FO102" i="2"/>
  <c r="FN102" i="2"/>
  <c r="FM102" i="2"/>
  <c r="FL102" i="2"/>
  <c r="FK102" i="2"/>
  <c r="FJ102" i="2"/>
  <c r="FI102" i="2"/>
  <c r="GB102" i="2" s="1"/>
  <c r="FH102" i="2"/>
  <c r="FG102" i="2"/>
  <c r="FF102" i="2"/>
  <c r="FY102" i="2" s="1"/>
  <c r="FE102" i="2"/>
  <c r="FX102" i="2" s="1"/>
  <c r="FD102" i="2"/>
  <c r="FC102" i="2"/>
  <c r="FB102" i="2"/>
  <c r="EH102" i="2"/>
  <c r="EG102" i="2"/>
  <c r="EZ102" i="2" s="1"/>
  <c r="EE102" i="2"/>
  <c r="EX102" i="2" s="1"/>
  <c r="ED102" i="2"/>
  <c r="EW102" i="2" s="1"/>
  <c r="EC102" i="2"/>
  <c r="EB102" i="2"/>
  <c r="EA102" i="2"/>
  <c r="DZ102" i="2"/>
  <c r="DY102" i="2"/>
  <c r="DX102" i="2"/>
  <c r="DW102" i="2"/>
  <c r="EP102" i="2" s="1"/>
  <c r="DV102" i="2"/>
  <c r="DU102" i="2"/>
  <c r="DT102" i="2"/>
  <c r="EM102" i="2" s="1"/>
  <c r="DS102" i="2"/>
  <c r="EL102" i="2" s="1"/>
  <c r="DR102" i="2"/>
  <c r="DQ102" i="2"/>
  <c r="DP102" i="2"/>
  <c r="FT97" i="2"/>
  <c r="FS97" i="2"/>
  <c r="GL97" i="2" s="1"/>
  <c r="FQ97" i="2"/>
  <c r="GJ97" i="2" s="1"/>
  <c r="FP97" i="2"/>
  <c r="GI97" i="2" s="1"/>
  <c r="FO97" i="2"/>
  <c r="FN97" i="2"/>
  <c r="FM97" i="2"/>
  <c r="FL97" i="2"/>
  <c r="FK97" i="2"/>
  <c r="FJ97" i="2"/>
  <c r="FI97" i="2"/>
  <c r="GB97" i="2" s="1"/>
  <c r="FH97" i="2"/>
  <c r="FG97" i="2"/>
  <c r="FF97" i="2"/>
  <c r="FY97" i="2" s="1"/>
  <c r="FE97" i="2"/>
  <c r="FX97" i="2" s="1"/>
  <c r="FD97" i="2"/>
  <c r="FC97" i="2"/>
  <c r="FB97" i="2"/>
  <c r="EH97" i="2"/>
  <c r="EG97" i="2"/>
  <c r="EZ97" i="2" s="1"/>
  <c r="EE97" i="2"/>
  <c r="EX97" i="2" s="1"/>
  <c r="ED97" i="2"/>
  <c r="EW97" i="2" s="1"/>
  <c r="EC97" i="2"/>
  <c r="EB97" i="2"/>
  <c r="EA97" i="2"/>
  <c r="DZ97" i="2"/>
  <c r="DY97" i="2"/>
  <c r="DX97" i="2"/>
  <c r="DW97" i="2"/>
  <c r="EP97" i="2" s="1"/>
  <c r="DV97" i="2"/>
  <c r="DU97" i="2"/>
  <c r="DT97" i="2"/>
  <c r="EM97" i="2" s="1"/>
  <c r="DS97" i="2"/>
  <c r="EL97" i="2" s="1"/>
  <c r="DR97" i="2"/>
  <c r="DQ97" i="2"/>
  <c r="DP97" i="2"/>
  <c r="FT259" i="2"/>
  <c r="FS259" i="2"/>
  <c r="GL259" i="2" s="1"/>
  <c r="FQ259" i="2"/>
  <c r="GJ259" i="2" s="1"/>
  <c r="FP259" i="2"/>
  <c r="GI259" i="2" s="1"/>
  <c r="FO259" i="2"/>
  <c r="FN259" i="2"/>
  <c r="FM259" i="2"/>
  <c r="FL259" i="2"/>
  <c r="FK259" i="2"/>
  <c r="FJ259" i="2"/>
  <c r="FI259" i="2"/>
  <c r="GB259" i="2" s="1"/>
  <c r="FH259" i="2"/>
  <c r="FG259" i="2"/>
  <c r="FF259" i="2"/>
  <c r="FY259" i="2" s="1"/>
  <c r="FE259" i="2"/>
  <c r="FX259" i="2" s="1"/>
  <c r="FD259" i="2"/>
  <c r="FC259" i="2"/>
  <c r="FB259" i="2"/>
  <c r="EH259" i="2"/>
  <c r="EG259" i="2"/>
  <c r="EZ259" i="2" s="1"/>
  <c r="EE259" i="2"/>
  <c r="EX259" i="2" s="1"/>
  <c r="ED259" i="2"/>
  <c r="EW259" i="2" s="1"/>
  <c r="EC259" i="2"/>
  <c r="EB259" i="2"/>
  <c r="EA259" i="2"/>
  <c r="DZ259" i="2"/>
  <c r="DY259" i="2"/>
  <c r="DX259" i="2"/>
  <c r="DW259" i="2"/>
  <c r="EP259" i="2" s="1"/>
  <c r="DV259" i="2"/>
  <c r="DU259" i="2"/>
  <c r="DT259" i="2"/>
  <c r="EM259" i="2" s="1"/>
  <c r="DS259" i="2"/>
  <c r="EL259" i="2" s="1"/>
  <c r="DR259" i="2"/>
  <c r="DQ259" i="2"/>
  <c r="DP259" i="2"/>
  <c r="FT258" i="2"/>
  <c r="FS258" i="2"/>
  <c r="GL258" i="2" s="1"/>
  <c r="FQ258" i="2"/>
  <c r="GJ258" i="2" s="1"/>
  <c r="FP258" i="2"/>
  <c r="GI258" i="2" s="1"/>
  <c r="FO258" i="2"/>
  <c r="FN258" i="2"/>
  <c r="FM258" i="2"/>
  <c r="FL258" i="2"/>
  <c r="FK258" i="2"/>
  <c r="FJ258" i="2"/>
  <c r="FI258" i="2"/>
  <c r="GB258" i="2" s="1"/>
  <c r="FH258" i="2"/>
  <c r="FG258" i="2"/>
  <c r="FF258" i="2"/>
  <c r="FY258" i="2" s="1"/>
  <c r="FE258" i="2"/>
  <c r="FX258" i="2" s="1"/>
  <c r="FD258" i="2"/>
  <c r="FC258" i="2"/>
  <c r="FB258" i="2"/>
  <c r="EH258" i="2"/>
  <c r="EG258" i="2"/>
  <c r="EZ258" i="2" s="1"/>
  <c r="EE258" i="2"/>
  <c r="EX258" i="2" s="1"/>
  <c r="ED258" i="2"/>
  <c r="EW258" i="2" s="1"/>
  <c r="EC258" i="2"/>
  <c r="EB258" i="2"/>
  <c r="EA258" i="2"/>
  <c r="DZ258" i="2"/>
  <c r="DY258" i="2"/>
  <c r="DX258" i="2"/>
  <c r="DW258" i="2"/>
  <c r="EP258" i="2" s="1"/>
  <c r="DV258" i="2"/>
  <c r="DU258" i="2"/>
  <c r="DT258" i="2"/>
  <c r="EM258" i="2" s="1"/>
  <c r="DS258" i="2"/>
  <c r="EL258" i="2" s="1"/>
  <c r="DR258" i="2"/>
  <c r="DQ258" i="2"/>
  <c r="DP258" i="2"/>
  <c r="FT255" i="2"/>
  <c r="FS255" i="2"/>
  <c r="GL255" i="2" s="1"/>
  <c r="FQ255" i="2"/>
  <c r="GJ255" i="2" s="1"/>
  <c r="FP255" i="2"/>
  <c r="GI255" i="2" s="1"/>
  <c r="FO255" i="2"/>
  <c r="FN255" i="2"/>
  <c r="FM255" i="2"/>
  <c r="FL255" i="2"/>
  <c r="FK255" i="2"/>
  <c r="FJ255" i="2"/>
  <c r="FI255" i="2"/>
  <c r="GB255" i="2" s="1"/>
  <c r="FH255" i="2"/>
  <c r="FG255" i="2"/>
  <c r="FF255" i="2"/>
  <c r="FY255" i="2" s="1"/>
  <c r="FE255" i="2"/>
  <c r="FX255" i="2" s="1"/>
  <c r="FD255" i="2"/>
  <c r="FC255" i="2"/>
  <c r="FB255" i="2"/>
  <c r="EH255" i="2"/>
  <c r="EG255" i="2"/>
  <c r="EZ255" i="2" s="1"/>
  <c r="EE255" i="2"/>
  <c r="EX255" i="2" s="1"/>
  <c r="ED255" i="2"/>
  <c r="EW255" i="2" s="1"/>
  <c r="EC255" i="2"/>
  <c r="EB255" i="2"/>
  <c r="EA255" i="2"/>
  <c r="DZ255" i="2"/>
  <c r="DY255" i="2"/>
  <c r="DX255" i="2"/>
  <c r="DW255" i="2"/>
  <c r="EP255" i="2" s="1"/>
  <c r="DV255" i="2"/>
  <c r="DU255" i="2"/>
  <c r="DT255" i="2"/>
  <c r="EM255" i="2" s="1"/>
  <c r="DS255" i="2"/>
  <c r="EL255" i="2" s="1"/>
  <c r="DR255" i="2"/>
  <c r="DQ255" i="2"/>
  <c r="DP255" i="2"/>
  <c r="FT251" i="2"/>
  <c r="FS251" i="2"/>
  <c r="GL251" i="2" s="1"/>
  <c r="FQ251" i="2"/>
  <c r="GJ251" i="2" s="1"/>
  <c r="FP251" i="2"/>
  <c r="GI251" i="2" s="1"/>
  <c r="FO251" i="2"/>
  <c r="FN251" i="2"/>
  <c r="FM251" i="2"/>
  <c r="FL251" i="2"/>
  <c r="FK251" i="2"/>
  <c r="FJ251" i="2"/>
  <c r="FI251" i="2"/>
  <c r="GB251" i="2" s="1"/>
  <c r="FH251" i="2"/>
  <c r="FG251" i="2"/>
  <c r="FF251" i="2"/>
  <c r="FY251" i="2" s="1"/>
  <c r="FE251" i="2"/>
  <c r="FX251" i="2" s="1"/>
  <c r="FD251" i="2"/>
  <c r="FC251" i="2"/>
  <c r="FB251" i="2"/>
  <c r="EH251" i="2"/>
  <c r="EG251" i="2"/>
  <c r="EZ251" i="2" s="1"/>
  <c r="EE251" i="2"/>
  <c r="EX251" i="2" s="1"/>
  <c r="ED251" i="2"/>
  <c r="EW251" i="2" s="1"/>
  <c r="EC251" i="2"/>
  <c r="EB251" i="2"/>
  <c r="EA251" i="2"/>
  <c r="DZ251" i="2"/>
  <c r="DY251" i="2"/>
  <c r="DX251" i="2"/>
  <c r="DW251" i="2"/>
  <c r="EP251" i="2" s="1"/>
  <c r="DV251" i="2"/>
  <c r="DU251" i="2"/>
  <c r="DT251" i="2"/>
  <c r="EM251" i="2" s="1"/>
  <c r="DS251" i="2"/>
  <c r="EL251" i="2" s="1"/>
  <c r="DR251" i="2"/>
  <c r="DQ251" i="2"/>
  <c r="DP251" i="2"/>
  <c r="FT242" i="2"/>
  <c r="FS242" i="2"/>
  <c r="GL242" i="2" s="1"/>
  <c r="FQ242" i="2"/>
  <c r="GJ242" i="2" s="1"/>
  <c r="FP242" i="2"/>
  <c r="GI242" i="2" s="1"/>
  <c r="FO242" i="2"/>
  <c r="FN242" i="2"/>
  <c r="FM242" i="2"/>
  <c r="FL242" i="2"/>
  <c r="FK242" i="2"/>
  <c r="FJ242" i="2"/>
  <c r="FI242" i="2"/>
  <c r="GB242" i="2" s="1"/>
  <c r="FH242" i="2"/>
  <c r="FG242" i="2"/>
  <c r="FF242" i="2"/>
  <c r="FY242" i="2" s="1"/>
  <c r="FE242" i="2"/>
  <c r="FX242" i="2" s="1"/>
  <c r="FD242" i="2"/>
  <c r="FC242" i="2"/>
  <c r="FB242" i="2"/>
  <c r="EH242" i="2"/>
  <c r="EG242" i="2"/>
  <c r="EZ242" i="2" s="1"/>
  <c r="EE242" i="2"/>
  <c r="EX242" i="2" s="1"/>
  <c r="ED242" i="2"/>
  <c r="EW242" i="2" s="1"/>
  <c r="EC242" i="2"/>
  <c r="EB242" i="2"/>
  <c r="EA242" i="2"/>
  <c r="DZ242" i="2"/>
  <c r="DY242" i="2"/>
  <c r="DX242" i="2"/>
  <c r="DW242" i="2"/>
  <c r="EP242" i="2" s="1"/>
  <c r="DV242" i="2"/>
  <c r="DU242" i="2"/>
  <c r="DT242" i="2"/>
  <c r="EM242" i="2" s="1"/>
  <c r="DS242" i="2"/>
  <c r="EL242" i="2" s="1"/>
  <c r="DR242" i="2"/>
  <c r="DQ242" i="2"/>
  <c r="DP242" i="2"/>
  <c r="FT241" i="2"/>
  <c r="FS241" i="2"/>
  <c r="GL241" i="2" s="1"/>
  <c r="FQ241" i="2"/>
  <c r="GJ241" i="2" s="1"/>
  <c r="FP241" i="2"/>
  <c r="GI241" i="2" s="1"/>
  <c r="FO241" i="2"/>
  <c r="FN241" i="2"/>
  <c r="FM241" i="2"/>
  <c r="FL241" i="2"/>
  <c r="FK241" i="2"/>
  <c r="FJ241" i="2"/>
  <c r="FI241" i="2"/>
  <c r="GB241" i="2" s="1"/>
  <c r="FH241" i="2"/>
  <c r="FG241" i="2"/>
  <c r="FF241" i="2"/>
  <c r="FY241" i="2" s="1"/>
  <c r="FE241" i="2"/>
  <c r="FX241" i="2" s="1"/>
  <c r="FD241" i="2"/>
  <c r="FC241" i="2"/>
  <c r="FB241" i="2"/>
  <c r="EH241" i="2"/>
  <c r="EG241" i="2"/>
  <c r="EZ241" i="2" s="1"/>
  <c r="EE241" i="2"/>
  <c r="EX241" i="2" s="1"/>
  <c r="ED241" i="2"/>
  <c r="EW241" i="2" s="1"/>
  <c r="EC241" i="2"/>
  <c r="EB241" i="2"/>
  <c r="EA241" i="2"/>
  <c r="DZ241" i="2"/>
  <c r="DY241" i="2"/>
  <c r="DX241" i="2"/>
  <c r="DW241" i="2"/>
  <c r="EP241" i="2" s="1"/>
  <c r="DV241" i="2"/>
  <c r="DU241" i="2"/>
  <c r="DT241" i="2"/>
  <c r="EM241" i="2" s="1"/>
  <c r="DS241" i="2"/>
  <c r="EL241" i="2" s="1"/>
  <c r="DR241" i="2"/>
  <c r="DQ241" i="2"/>
  <c r="DP241" i="2"/>
  <c r="FT461" i="2"/>
  <c r="FS461" i="2"/>
  <c r="GL461" i="2" s="1"/>
  <c r="FQ461" i="2"/>
  <c r="GJ461" i="2" s="1"/>
  <c r="FP461" i="2"/>
  <c r="GI461" i="2" s="1"/>
  <c r="FO461" i="2"/>
  <c r="FN461" i="2"/>
  <c r="FM461" i="2"/>
  <c r="FL461" i="2"/>
  <c r="FK461" i="2"/>
  <c r="FJ461" i="2"/>
  <c r="FI461" i="2"/>
  <c r="GB461" i="2" s="1"/>
  <c r="FH461" i="2"/>
  <c r="FG461" i="2"/>
  <c r="FF461" i="2"/>
  <c r="FY461" i="2" s="1"/>
  <c r="FE461" i="2"/>
  <c r="FX461" i="2" s="1"/>
  <c r="FD461" i="2"/>
  <c r="FC461" i="2"/>
  <c r="FB461" i="2"/>
  <c r="EH461" i="2"/>
  <c r="EG461" i="2"/>
  <c r="EZ461" i="2" s="1"/>
  <c r="EE461" i="2"/>
  <c r="EX461" i="2" s="1"/>
  <c r="ED461" i="2"/>
  <c r="EW461" i="2" s="1"/>
  <c r="EC461" i="2"/>
  <c r="EB461" i="2"/>
  <c r="EA461" i="2"/>
  <c r="DZ461" i="2"/>
  <c r="DY461" i="2"/>
  <c r="DX461" i="2"/>
  <c r="DW461" i="2"/>
  <c r="EP461" i="2" s="1"/>
  <c r="DV461" i="2"/>
  <c r="DU461" i="2"/>
  <c r="DT461" i="2"/>
  <c r="EM461" i="2" s="1"/>
  <c r="DS461" i="2"/>
  <c r="EL461" i="2" s="1"/>
  <c r="DR461" i="2"/>
  <c r="DQ461" i="2"/>
  <c r="DP461" i="2"/>
  <c r="FT131" i="2"/>
  <c r="FS131" i="2"/>
  <c r="GL131" i="2" s="1"/>
  <c r="FQ131" i="2"/>
  <c r="GJ131" i="2" s="1"/>
  <c r="FP131" i="2"/>
  <c r="GI131" i="2" s="1"/>
  <c r="FO131" i="2"/>
  <c r="FN131" i="2"/>
  <c r="FM131" i="2"/>
  <c r="FL131" i="2"/>
  <c r="FK131" i="2"/>
  <c r="FJ131" i="2"/>
  <c r="FI131" i="2"/>
  <c r="GB131" i="2" s="1"/>
  <c r="FH131" i="2"/>
  <c r="FG131" i="2"/>
  <c r="FF131" i="2"/>
  <c r="FY131" i="2" s="1"/>
  <c r="FE131" i="2"/>
  <c r="FX131" i="2" s="1"/>
  <c r="FD131" i="2"/>
  <c r="FC131" i="2"/>
  <c r="FB131" i="2"/>
  <c r="EH131" i="2"/>
  <c r="EG131" i="2"/>
  <c r="EZ131" i="2" s="1"/>
  <c r="EE131" i="2"/>
  <c r="EX131" i="2" s="1"/>
  <c r="ED131" i="2"/>
  <c r="EW131" i="2" s="1"/>
  <c r="EC131" i="2"/>
  <c r="EB131" i="2"/>
  <c r="EA131" i="2"/>
  <c r="DZ131" i="2"/>
  <c r="DY131" i="2"/>
  <c r="DX131" i="2"/>
  <c r="DW131" i="2"/>
  <c r="EP131" i="2" s="1"/>
  <c r="DV131" i="2"/>
  <c r="DU131" i="2"/>
  <c r="DT131" i="2"/>
  <c r="EM131" i="2" s="1"/>
  <c r="DS131" i="2"/>
  <c r="EL131" i="2" s="1"/>
  <c r="DR131" i="2"/>
  <c r="DQ131" i="2"/>
  <c r="DP131" i="2"/>
  <c r="FT574" i="2"/>
  <c r="FS574" i="2"/>
  <c r="GL574" i="2" s="1"/>
  <c r="FQ574" i="2"/>
  <c r="GJ574" i="2" s="1"/>
  <c r="FP574" i="2"/>
  <c r="GI574" i="2" s="1"/>
  <c r="FO574" i="2"/>
  <c r="FN574" i="2"/>
  <c r="FM574" i="2"/>
  <c r="FL574" i="2"/>
  <c r="FK574" i="2"/>
  <c r="FJ574" i="2"/>
  <c r="FI574" i="2"/>
  <c r="GB574" i="2" s="1"/>
  <c r="FH574" i="2"/>
  <c r="FG574" i="2"/>
  <c r="FF574" i="2"/>
  <c r="FY574" i="2" s="1"/>
  <c r="FE574" i="2"/>
  <c r="FX574" i="2" s="1"/>
  <c r="FD574" i="2"/>
  <c r="FC574" i="2"/>
  <c r="FB574" i="2"/>
  <c r="EH574" i="2"/>
  <c r="EG574" i="2"/>
  <c r="EZ574" i="2" s="1"/>
  <c r="EE574" i="2"/>
  <c r="EX574" i="2" s="1"/>
  <c r="ED574" i="2"/>
  <c r="EW574" i="2" s="1"/>
  <c r="EC574" i="2"/>
  <c r="EB574" i="2"/>
  <c r="EA574" i="2"/>
  <c r="DZ574" i="2"/>
  <c r="DY574" i="2"/>
  <c r="DX574" i="2"/>
  <c r="DW574" i="2"/>
  <c r="EP574" i="2" s="1"/>
  <c r="DV574" i="2"/>
  <c r="DU574" i="2"/>
  <c r="DT574" i="2"/>
  <c r="EM574" i="2" s="1"/>
  <c r="DS574" i="2"/>
  <c r="EL574" i="2" s="1"/>
  <c r="DR574" i="2"/>
  <c r="DQ574" i="2"/>
  <c r="DP574" i="2"/>
  <c r="FT589" i="2"/>
  <c r="FS589" i="2"/>
  <c r="GL589" i="2" s="1"/>
  <c r="FQ589" i="2"/>
  <c r="GJ589" i="2" s="1"/>
  <c r="FP589" i="2"/>
  <c r="GI589" i="2" s="1"/>
  <c r="FO589" i="2"/>
  <c r="FN589" i="2"/>
  <c r="FM589" i="2"/>
  <c r="FL589" i="2"/>
  <c r="FK589" i="2"/>
  <c r="FJ589" i="2"/>
  <c r="FI589" i="2"/>
  <c r="GB589" i="2" s="1"/>
  <c r="FH589" i="2"/>
  <c r="FG589" i="2"/>
  <c r="FF589" i="2"/>
  <c r="FY589" i="2" s="1"/>
  <c r="FE589" i="2"/>
  <c r="FX589" i="2" s="1"/>
  <c r="FD589" i="2"/>
  <c r="FC589" i="2"/>
  <c r="FB589" i="2"/>
  <c r="EH589" i="2"/>
  <c r="EG589" i="2"/>
  <c r="EZ589" i="2" s="1"/>
  <c r="EE589" i="2"/>
  <c r="EX589" i="2" s="1"/>
  <c r="ED589" i="2"/>
  <c r="EW589" i="2" s="1"/>
  <c r="EC589" i="2"/>
  <c r="EB589" i="2"/>
  <c r="EA589" i="2"/>
  <c r="DZ589" i="2"/>
  <c r="DY589" i="2"/>
  <c r="DX589" i="2"/>
  <c r="DW589" i="2"/>
  <c r="EP589" i="2" s="1"/>
  <c r="DV589" i="2"/>
  <c r="DU589" i="2"/>
  <c r="DT589" i="2"/>
  <c r="EM589" i="2" s="1"/>
  <c r="DS589" i="2"/>
  <c r="EL589" i="2" s="1"/>
  <c r="DR589" i="2"/>
  <c r="DQ589" i="2"/>
  <c r="DP589" i="2"/>
  <c r="FT588" i="2"/>
  <c r="FS588" i="2"/>
  <c r="GL588" i="2" s="1"/>
  <c r="FQ588" i="2"/>
  <c r="GJ588" i="2" s="1"/>
  <c r="FP588" i="2"/>
  <c r="GI588" i="2" s="1"/>
  <c r="FO588" i="2"/>
  <c r="FN588" i="2"/>
  <c r="FM588" i="2"/>
  <c r="FL588" i="2"/>
  <c r="FK588" i="2"/>
  <c r="FJ588" i="2"/>
  <c r="FI588" i="2"/>
  <c r="GB588" i="2" s="1"/>
  <c r="FH588" i="2"/>
  <c r="FG588" i="2"/>
  <c r="FF588" i="2"/>
  <c r="FY588" i="2" s="1"/>
  <c r="FE588" i="2"/>
  <c r="FX588" i="2" s="1"/>
  <c r="FD588" i="2"/>
  <c r="FC588" i="2"/>
  <c r="FB588" i="2"/>
  <c r="EH588" i="2"/>
  <c r="EG588" i="2"/>
  <c r="EZ588" i="2" s="1"/>
  <c r="EE588" i="2"/>
  <c r="EX588" i="2" s="1"/>
  <c r="ED588" i="2"/>
  <c r="EW588" i="2" s="1"/>
  <c r="EC588" i="2"/>
  <c r="EB588" i="2"/>
  <c r="EA588" i="2"/>
  <c r="DZ588" i="2"/>
  <c r="DY588" i="2"/>
  <c r="DX588" i="2"/>
  <c r="DW588" i="2"/>
  <c r="EP588" i="2" s="1"/>
  <c r="DV588" i="2"/>
  <c r="DU588" i="2"/>
  <c r="DT588" i="2"/>
  <c r="EM588" i="2" s="1"/>
  <c r="DS588" i="2"/>
  <c r="EL588" i="2" s="1"/>
  <c r="DR588" i="2"/>
  <c r="DQ588" i="2"/>
  <c r="DP588" i="2"/>
  <c r="FT587" i="2"/>
  <c r="FS587" i="2"/>
  <c r="GL587" i="2" s="1"/>
  <c r="FQ587" i="2"/>
  <c r="GJ587" i="2" s="1"/>
  <c r="FP587" i="2"/>
  <c r="GI587" i="2" s="1"/>
  <c r="FO587" i="2"/>
  <c r="FN587" i="2"/>
  <c r="FM587" i="2"/>
  <c r="FL587" i="2"/>
  <c r="FK587" i="2"/>
  <c r="FJ587" i="2"/>
  <c r="FI587" i="2"/>
  <c r="GB587" i="2" s="1"/>
  <c r="FH587" i="2"/>
  <c r="FG587" i="2"/>
  <c r="FF587" i="2"/>
  <c r="FY587" i="2" s="1"/>
  <c r="FE587" i="2"/>
  <c r="FX587" i="2" s="1"/>
  <c r="FD587" i="2"/>
  <c r="FC587" i="2"/>
  <c r="FB587" i="2"/>
  <c r="EH587" i="2"/>
  <c r="EG587" i="2"/>
  <c r="EZ587" i="2" s="1"/>
  <c r="EE587" i="2"/>
  <c r="EX587" i="2" s="1"/>
  <c r="ED587" i="2"/>
  <c r="EW587" i="2" s="1"/>
  <c r="EC587" i="2"/>
  <c r="EB587" i="2"/>
  <c r="EA587" i="2"/>
  <c r="DZ587" i="2"/>
  <c r="DY587" i="2"/>
  <c r="DX587" i="2"/>
  <c r="DW587" i="2"/>
  <c r="EP587" i="2" s="1"/>
  <c r="DV587" i="2"/>
  <c r="DU587" i="2"/>
  <c r="DT587" i="2"/>
  <c r="EM587" i="2" s="1"/>
  <c r="DS587" i="2"/>
  <c r="EL587" i="2" s="1"/>
  <c r="DR587" i="2"/>
  <c r="DQ587" i="2"/>
  <c r="DP587" i="2"/>
  <c r="FT573" i="2"/>
  <c r="FS573" i="2"/>
  <c r="GL573" i="2" s="1"/>
  <c r="FQ573" i="2"/>
  <c r="GJ573" i="2" s="1"/>
  <c r="FP573" i="2"/>
  <c r="GI573" i="2" s="1"/>
  <c r="FO573" i="2"/>
  <c r="FN573" i="2"/>
  <c r="FM573" i="2"/>
  <c r="FL573" i="2"/>
  <c r="FK573" i="2"/>
  <c r="FJ573" i="2"/>
  <c r="FI573" i="2"/>
  <c r="GB573" i="2" s="1"/>
  <c r="FH573" i="2"/>
  <c r="FG573" i="2"/>
  <c r="FF573" i="2"/>
  <c r="FY573" i="2" s="1"/>
  <c r="FE573" i="2"/>
  <c r="FX573" i="2" s="1"/>
  <c r="FD573" i="2"/>
  <c r="FC573" i="2"/>
  <c r="FB573" i="2"/>
  <c r="EH573" i="2"/>
  <c r="EG573" i="2"/>
  <c r="EZ573" i="2" s="1"/>
  <c r="EE573" i="2"/>
  <c r="EX573" i="2" s="1"/>
  <c r="ED573" i="2"/>
  <c r="EW573" i="2" s="1"/>
  <c r="EC573" i="2"/>
  <c r="EB573" i="2"/>
  <c r="EA573" i="2"/>
  <c r="DZ573" i="2"/>
  <c r="DY573" i="2"/>
  <c r="DX573" i="2"/>
  <c r="DW573" i="2"/>
  <c r="EP573" i="2" s="1"/>
  <c r="DV573" i="2"/>
  <c r="DU573" i="2"/>
  <c r="DT573" i="2"/>
  <c r="EM573" i="2" s="1"/>
  <c r="DS573" i="2"/>
  <c r="EL573" i="2" s="1"/>
  <c r="DR573" i="2"/>
  <c r="DQ573" i="2"/>
  <c r="DP573" i="2"/>
  <c r="FT572" i="2"/>
  <c r="FS572" i="2"/>
  <c r="GL572" i="2" s="1"/>
  <c r="FQ572" i="2"/>
  <c r="GJ572" i="2" s="1"/>
  <c r="FP572" i="2"/>
  <c r="GI572" i="2" s="1"/>
  <c r="FO572" i="2"/>
  <c r="FN572" i="2"/>
  <c r="FM572" i="2"/>
  <c r="FL572" i="2"/>
  <c r="FK572" i="2"/>
  <c r="FJ572" i="2"/>
  <c r="FI572" i="2"/>
  <c r="GB572" i="2" s="1"/>
  <c r="FH572" i="2"/>
  <c r="FG572" i="2"/>
  <c r="FF572" i="2"/>
  <c r="FY572" i="2" s="1"/>
  <c r="FE572" i="2"/>
  <c r="FX572" i="2" s="1"/>
  <c r="FD572" i="2"/>
  <c r="FC572" i="2"/>
  <c r="FB572" i="2"/>
  <c r="EH572" i="2"/>
  <c r="EG572" i="2"/>
  <c r="EZ572" i="2" s="1"/>
  <c r="EE572" i="2"/>
  <c r="EX572" i="2" s="1"/>
  <c r="ED572" i="2"/>
  <c r="EW572" i="2" s="1"/>
  <c r="EC572" i="2"/>
  <c r="EB572" i="2"/>
  <c r="EA572" i="2"/>
  <c r="DZ572" i="2"/>
  <c r="DY572" i="2"/>
  <c r="DX572" i="2"/>
  <c r="DW572" i="2"/>
  <c r="EP572" i="2" s="1"/>
  <c r="DV572" i="2"/>
  <c r="DU572" i="2"/>
  <c r="DT572" i="2"/>
  <c r="EM572" i="2" s="1"/>
  <c r="DS572" i="2"/>
  <c r="EL572" i="2" s="1"/>
  <c r="DR572" i="2"/>
  <c r="DQ572" i="2"/>
  <c r="DP572" i="2"/>
  <c r="FT571" i="2"/>
  <c r="FS571" i="2"/>
  <c r="GL571" i="2" s="1"/>
  <c r="FQ571" i="2"/>
  <c r="GJ571" i="2" s="1"/>
  <c r="FP571" i="2"/>
  <c r="GI571" i="2" s="1"/>
  <c r="FO571" i="2"/>
  <c r="FN571" i="2"/>
  <c r="FM571" i="2"/>
  <c r="FL571" i="2"/>
  <c r="FK571" i="2"/>
  <c r="FJ571" i="2"/>
  <c r="FI571" i="2"/>
  <c r="GB571" i="2" s="1"/>
  <c r="FH571" i="2"/>
  <c r="FG571" i="2"/>
  <c r="FF571" i="2"/>
  <c r="FY571" i="2" s="1"/>
  <c r="FE571" i="2"/>
  <c r="FX571" i="2" s="1"/>
  <c r="FD571" i="2"/>
  <c r="FC571" i="2"/>
  <c r="FB571" i="2"/>
  <c r="EH571" i="2"/>
  <c r="EG571" i="2"/>
  <c r="EZ571" i="2" s="1"/>
  <c r="EE571" i="2"/>
  <c r="EX571" i="2" s="1"/>
  <c r="ED571" i="2"/>
  <c r="EW571" i="2" s="1"/>
  <c r="EC571" i="2"/>
  <c r="EB571" i="2"/>
  <c r="EA571" i="2"/>
  <c r="DZ571" i="2"/>
  <c r="DY571" i="2"/>
  <c r="DX571" i="2"/>
  <c r="DW571" i="2"/>
  <c r="EP571" i="2" s="1"/>
  <c r="DV571" i="2"/>
  <c r="DU571" i="2"/>
  <c r="DT571" i="2"/>
  <c r="EM571" i="2" s="1"/>
  <c r="DS571" i="2"/>
  <c r="EL571" i="2" s="1"/>
  <c r="DR571" i="2"/>
  <c r="DQ571" i="2"/>
  <c r="DP571" i="2"/>
  <c r="FT586" i="2"/>
  <c r="FS586" i="2"/>
  <c r="GL586" i="2" s="1"/>
  <c r="FQ586" i="2"/>
  <c r="GJ586" i="2" s="1"/>
  <c r="FP586" i="2"/>
  <c r="GI586" i="2" s="1"/>
  <c r="FO586" i="2"/>
  <c r="FN586" i="2"/>
  <c r="FM586" i="2"/>
  <c r="FL586" i="2"/>
  <c r="FK586" i="2"/>
  <c r="FJ586" i="2"/>
  <c r="FI586" i="2"/>
  <c r="GB586" i="2" s="1"/>
  <c r="FH586" i="2"/>
  <c r="FG586" i="2"/>
  <c r="FF586" i="2"/>
  <c r="FY586" i="2" s="1"/>
  <c r="FE586" i="2"/>
  <c r="FX586" i="2" s="1"/>
  <c r="FD586" i="2"/>
  <c r="FC586" i="2"/>
  <c r="FB586" i="2"/>
  <c r="EH586" i="2"/>
  <c r="EG586" i="2"/>
  <c r="EZ586" i="2" s="1"/>
  <c r="EE586" i="2"/>
  <c r="EX586" i="2" s="1"/>
  <c r="ED586" i="2"/>
  <c r="EW586" i="2" s="1"/>
  <c r="EC586" i="2"/>
  <c r="EB586" i="2"/>
  <c r="EA586" i="2"/>
  <c r="DZ586" i="2"/>
  <c r="DY586" i="2"/>
  <c r="DX586" i="2"/>
  <c r="DW586" i="2"/>
  <c r="EP586" i="2" s="1"/>
  <c r="DV586" i="2"/>
  <c r="DU586" i="2"/>
  <c r="DT586" i="2"/>
  <c r="EM586" i="2" s="1"/>
  <c r="DS586" i="2"/>
  <c r="EL586" i="2" s="1"/>
  <c r="DR586" i="2"/>
  <c r="DQ586" i="2"/>
  <c r="DP586" i="2"/>
  <c r="FT585" i="2"/>
  <c r="FS585" i="2"/>
  <c r="GL585" i="2" s="1"/>
  <c r="FQ585" i="2"/>
  <c r="GJ585" i="2" s="1"/>
  <c r="FP585" i="2"/>
  <c r="GI585" i="2" s="1"/>
  <c r="FO585" i="2"/>
  <c r="FN585" i="2"/>
  <c r="FM585" i="2"/>
  <c r="FL585" i="2"/>
  <c r="FK585" i="2"/>
  <c r="FJ585" i="2"/>
  <c r="FI585" i="2"/>
  <c r="GB585" i="2" s="1"/>
  <c r="FH585" i="2"/>
  <c r="FG585" i="2"/>
  <c r="FF585" i="2"/>
  <c r="FY585" i="2" s="1"/>
  <c r="FE585" i="2"/>
  <c r="FX585" i="2" s="1"/>
  <c r="FD585" i="2"/>
  <c r="FC585" i="2"/>
  <c r="FB585" i="2"/>
  <c r="EH585" i="2"/>
  <c r="EG585" i="2"/>
  <c r="EZ585" i="2" s="1"/>
  <c r="EE585" i="2"/>
  <c r="EX585" i="2" s="1"/>
  <c r="ED585" i="2"/>
  <c r="EW585" i="2" s="1"/>
  <c r="EC585" i="2"/>
  <c r="EB585" i="2"/>
  <c r="EA585" i="2"/>
  <c r="DZ585" i="2"/>
  <c r="DY585" i="2"/>
  <c r="DX585" i="2"/>
  <c r="DW585" i="2"/>
  <c r="EP585" i="2" s="1"/>
  <c r="DV585" i="2"/>
  <c r="DU585" i="2"/>
  <c r="DT585" i="2"/>
  <c r="EM585" i="2" s="1"/>
  <c r="DS585" i="2"/>
  <c r="EL585" i="2" s="1"/>
  <c r="DR585" i="2"/>
  <c r="DQ585" i="2"/>
  <c r="DP585" i="2"/>
  <c r="FT584" i="2"/>
  <c r="FS584" i="2"/>
  <c r="GL584" i="2" s="1"/>
  <c r="FQ584" i="2"/>
  <c r="GJ584" i="2" s="1"/>
  <c r="FP584" i="2"/>
  <c r="GI584" i="2" s="1"/>
  <c r="FO584" i="2"/>
  <c r="FN584" i="2"/>
  <c r="FM584" i="2"/>
  <c r="FL584" i="2"/>
  <c r="FK584" i="2"/>
  <c r="FJ584" i="2"/>
  <c r="FI584" i="2"/>
  <c r="GB584" i="2" s="1"/>
  <c r="FH584" i="2"/>
  <c r="FG584" i="2"/>
  <c r="FF584" i="2"/>
  <c r="FY584" i="2" s="1"/>
  <c r="FE584" i="2"/>
  <c r="FX584" i="2" s="1"/>
  <c r="FD584" i="2"/>
  <c r="FC584" i="2"/>
  <c r="FB584" i="2"/>
  <c r="EH584" i="2"/>
  <c r="EG584" i="2"/>
  <c r="EZ584" i="2" s="1"/>
  <c r="EE584" i="2"/>
  <c r="EX584" i="2" s="1"/>
  <c r="ED584" i="2"/>
  <c r="EW584" i="2" s="1"/>
  <c r="EC584" i="2"/>
  <c r="EB584" i="2"/>
  <c r="EA584" i="2"/>
  <c r="DZ584" i="2"/>
  <c r="DY584" i="2"/>
  <c r="DX584" i="2"/>
  <c r="DW584" i="2"/>
  <c r="EP584" i="2" s="1"/>
  <c r="DV584" i="2"/>
  <c r="DU584" i="2"/>
  <c r="DT584" i="2"/>
  <c r="EM584" i="2" s="1"/>
  <c r="DS584" i="2"/>
  <c r="EL584" i="2" s="1"/>
  <c r="DR584" i="2"/>
  <c r="DQ584" i="2"/>
  <c r="DP584" i="2"/>
  <c r="FT570" i="2"/>
  <c r="FS570" i="2"/>
  <c r="GL570" i="2" s="1"/>
  <c r="FQ570" i="2"/>
  <c r="GJ570" i="2" s="1"/>
  <c r="FP570" i="2"/>
  <c r="GI570" i="2" s="1"/>
  <c r="FO570" i="2"/>
  <c r="FN570" i="2"/>
  <c r="FM570" i="2"/>
  <c r="FL570" i="2"/>
  <c r="FK570" i="2"/>
  <c r="FJ570" i="2"/>
  <c r="FI570" i="2"/>
  <c r="GB570" i="2" s="1"/>
  <c r="FH570" i="2"/>
  <c r="FG570" i="2"/>
  <c r="FF570" i="2"/>
  <c r="FY570" i="2" s="1"/>
  <c r="FE570" i="2"/>
  <c r="FX570" i="2" s="1"/>
  <c r="FD570" i="2"/>
  <c r="FC570" i="2"/>
  <c r="FB570" i="2"/>
  <c r="EH570" i="2"/>
  <c r="EG570" i="2"/>
  <c r="EZ570" i="2" s="1"/>
  <c r="EE570" i="2"/>
  <c r="EX570" i="2" s="1"/>
  <c r="ED570" i="2"/>
  <c r="EW570" i="2" s="1"/>
  <c r="EC570" i="2"/>
  <c r="EB570" i="2"/>
  <c r="EA570" i="2"/>
  <c r="DZ570" i="2"/>
  <c r="DY570" i="2"/>
  <c r="DX570" i="2"/>
  <c r="DW570" i="2"/>
  <c r="EP570" i="2" s="1"/>
  <c r="DV570" i="2"/>
  <c r="DU570" i="2"/>
  <c r="DT570" i="2"/>
  <c r="EM570" i="2" s="1"/>
  <c r="DS570" i="2"/>
  <c r="EL570" i="2" s="1"/>
  <c r="DR570" i="2"/>
  <c r="DQ570" i="2"/>
  <c r="DP570" i="2"/>
  <c r="FT583" i="2"/>
  <c r="FS583" i="2"/>
  <c r="GL583" i="2" s="1"/>
  <c r="FQ583" i="2"/>
  <c r="GJ583" i="2" s="1"/>
  <c r="FP583" i="2"/>
  <c r="GI583" i="2" s="1"/>
  <c r="FO583" i="2"/>
  <c r="FN583" i="2"/>
  <c r="FM583" i="2"/>
  <c r="FL583" i="2"/>
  <c r="FK583" i="2"/>
  <c r="FJ583" i="2"/>
  <c r="FI583" i="2"/>
  <c r="GB583" i="2" s="1"/>
  <c r="FH583" i="2"/>
  <c r="FG583" i="2"/>
  <c r="FF583" i="2"/>
  <c r="FY583" i="2" s="1"/>
  <c r="FE583" i="2"/>
  <c r="FX583" i="2" s="1"/>
  <c r="FD583" i="2"/>
  <c r="FC583" i="2"/>
  <c r="FB583" i="2"/>
  <c r="EH583" i="2"/>
  <c r="EG583" i="2"/>
  <c r="EZ583" i="2" s="1"/>
  <c r="EE583" i="2"/>
  <c r="EX583" i="2" s="1"/>
  <c r="ED583" i="2"/>
  <c r="EW583" i="2" s="1"/>
  <c r="EC583" i="2"/>
  <c r="EB583" i="2"/>
  <c r="EA583" i="2"/>
  <c r="DZ583" i="2"/>
  <c r="DY583" i="2"/>
  <c r="DX583" i="2"/>
  <c r="DW583" i="2"/>
  <c r="EP583" i="2" s="1"/>
  <c r="DV583" i="2"/>
  <c r="DU583" i="2"/>
  <c r="DT583" i="2"/>
  <c r="EM583" i="2" s="1"/>
  <c r="DS583" i="2"/>
  <c r="EL583" i="2" s="1"/>
  <c r="DR583" i="2"/>
  <c r="DQ583" i="2"/>
  <c r="DP583" i="2"/>
  <c r="FT541" i="2"/>
  <c r="FS541" i="2"/>
  <c r="GL541" i="2" s="1"/>
  <c r="FQ541" i="2"/>
  <c r="GJ541" i="2" s="1"/>
  <c r="FP541" i="2"/>
  <c r="GI541" i="2" s="1"/>
  <c r="FO541" i="2"/>
  <c r="FN541" i="2"/>
  <c r="FM541" i="2"/>
  <c r="FL541" i="2"/>
  <c r="FK541" i="2"/>
  <c r="FJ541" i="2"/>
  <c r="FI541" i="2"/>
  <c r="GB541" i="2" s="1"/>
  <c r="FH541" i="2"/>
  <c r="FG541" i="2"/>
  <c r="FF541" i="2"/>
  <c r="FY541" i="2" s="1"/>
  <c r="FE541" i="2"/>
  <c r="FX541" i="2" s="1"/>
  <c r="FD541" i="2"/>
  <c r="FC541" i="2"/>
  <c r="FB541" i="2"/>
  <c r="EH541" i="2"/>
  <c r="EG541" i="2"/>
  <c r="EZ541" i="2" s="1"/>
  <c r="EE541" i="2"/>
  <c r="EX541" i="2" s="1"/>
  <c r="ED541" i="2"/>
  <c r="EW541" i="2" s="1"/>
  <c r="EC541" i="2"/>
  <c r="EB541" i="2"/>
  <c r="EA541" i="2"/>
  <c r="DZ541" i="2"/>
  <c r="DY541" i="2"/>
  <c r="DX541" i="2"/>
  <c r="DW541" i="2"/>
  <c r="EP541" i="2" s="1"/>
  <c r="DV541" i="2"/>
  <c r="DU541" i="2"/>
  <c r="DT541" i="2"/>
  <c r="EM541" i="2" s="1"/>
  <c r="DS541" i="2"/>
  <c r="EL541" i="2" s="1"/>
  <c r="DR541" i="2"/>
  <c r="DQ541" i="2"/>
  <c r="DP541" i="2"/>
  <c r="FT540" i="2"/>
  <c r="FS540" i="2"/>
  <c r="GL540" i="2" s="1"/>
  <c r="FQ540" i="2"/>
  <c r="GJ540" i="2" s="1"/>
  <c r="FP540" i="2"/>
  <c r="GI540" i="2" s="1"/>
  <c r="FO540" i="2"/>
  <c r="FN540" i="2"/>
  <c r="FM540" i="2"/>
  <c r="FL540" i="2"/>
  <c r="FK540" i="2"/>
  <c r="FJ540" i="2"/>
  <c r="FI540" i="2"/>
  <c r="GB540" i="2" s="1"/>
  <c r="FH540" i="2"/>
  <c r="FG540" i="2"/>
  <c r="FF540" i="2"/>
  <c r="FY540" i="2" s="1"/>
  <c r="FE540" i="2"/>
  <c r="FX540" i="2" s="1"/>
  <c r="FD540" i="2"/>
  <c r="FC540" i="2"/>
  <c r="FB540" i="2"/>
  <c r="EH540" i="2"/>
  <c r="EG540" i="2"/>
  <c r="EZ540" i="2" s="1"/>
  <c r="EE540" i="2"/>
  <c r="EX540" i="2" s="1"/>
  <c r="ED540" i="2"/>
  <c r="EW540" i="2" s="1"/>
  <c r="EC540" i="2"/>
  <c r="EB540" i="2"/>
  <c r="EA540" i="2"/>
  <c r="DZ540" i="2"/>
  <c r="DY540" i="2"/>
  <c r="DX540" i="2"/>
  <c r="DW540" i="2"/>
  <c r="EP540" i="2" s="1"/>
  <c r="DV540" i="2"/>
  <c r="DU540" i="2"/>
  <c r="DT540" i="2"/>
  <c r="EM540" i="2" s="1"/>
  <c r="DS540" i="2"/>
  <c r="EL540" i="2" s="1"/>
  <c r="DR540" i="2"/>
  <c r="DQ540" i="2"/>
  <c r="DP540" i="2"/>
  <c r="FT582" i="2"/>
  <c r="FS582" i="2"/>
  <c r="GL582" i="2" s="1"/>
  <c r="FQ582" i="2"/>
  <c r="GJ582" i="2" s="1"/>
  <c r="FP582" i="2"/>
  <c r="GI582" i="2" s="1"/>
  <c r="FO582" i="2"/>
  <c r="FN582" i="2"/>
  <c r="FM582" i="2"/>
  <c r="FL582" i="2"/>
  <c r="FK582" i="2"/>
  <c r="FJ582" i="2"/>
  <c r="FI582" i="2"/>
  <c r="GB582" i="2" s="1"/>
  <c r="FH582" i="2"/>
  <c r="FG582" i="2"/>
  <c r="FF582" i="2"/>
  <c r="FY582" i="2" s="1"/>
  <c r="FE582" i="2"/>
  <c r="FX582" i="2" s="1"/>
  <c r="FD582" i="2"/>
  <c r="FC582" i="2"/>
  <c r="FB582" i="2"/>
  <c r="EH582" i="2"/>
  <c r="EG582" i="2"/>
  <c r="EZ582" i="2" s="1"/>
  <c r="EE582" i="2"/>
  <c r="EX582" i="2" s="1"/>
  <c r="ED582" i="2"/>
  <c r="EW582" i="2" s="1"/>
  <c r="EC582" i="2"/>
  <c r="EB582" i="2"/>
  <c r="EA582" i="2"/>
  <c r="DZ582" i="2"/>
  <c r="DY582" i="2"/>
  <c r="DX582" i="2"/>
  <c r="DW582" i="2"/>
  <c r="EP582" i="2" s="1"/>
  <c r="DV582" i="2"/>
  <c r="DU582" i="2"/>
  <c r="DT582" i="2"/>
  <c r="EM582" i="2" s="1"/>
  <c r="DS582" i="2"/>
  <c r="EL582" i="2" s="1"/>
  <c r="DR582" i="2"/>
  <c r="DQ582" i="2"/>
  <c r="DP582" i="2"/>
  <c r="FT631" i="2"/>
  <c r="FS631" i="2"/>
  <c r="GL631" i="2" s="1"/>
  <c r="FQ631" i="2"/>
  <c r="GJ631" i="2" s="1"/>
  <c r="FP631" i="2"/>
  <c r="GI631" i="2" s="1"/>
  <c r="FO631" i="2"/>
  <c r="FN631" i="2"/>
  <c r="FM631" i="2"/>
  <c r="FL631" i="2"/>
  <c r="FK631" i="2"/>
  <c r="FJ631" i="2"/>
  <c r="FI631" i="2"/>
  <c r="GB631" i="2" s="1"/>
  <c r="FH631" i="2"/>
  <c r="FG631" i="2"/>
  <c r="FF631" i="2"/>
  <c r="FY631" i="2" s="1"/>
  <c r="FE631" i="2"/>
  <c r="FX631" i="2" s="1"/>
  <c r="FD631" i="2"/>
  <c r="FC631" i="2"/>
  <c r="FB631" i="2"/>
  <c r="FT630" i="2"/>
  <c r="FS630" i="2"/>
  <c r="GL630" i="2" s="1"/>
  <c r="FQ630" i="2"/>
  <c r="GJ630" i="2" s="1"/>
  <c r="FP630" i="2"/>
  <c r="GI630" i="2" s="1"/>
  <c r="FO630" i="2"/>
  <c r="FN630" i="2"/>
  <c r="FM630" i="2"/>
  <c r="FL630" i="2"/>
  <c r="FK630" i="2"/>
  <c r="FJ630" i="2"/>
  <c r="FI630" i="2"/>
  <c r="GB630" i="2" s="1"/>
  <c r="FH630" i="2"/>
  <c r="FG630" i="2"/>
  <c r="FF630" i="2"/>
  <c r="FY630" i="2" s="1"/>
  <c r="FE630" i="2"/>
  <c r="FX630" i="2" s="1"/>
  <c r="FD630" i="2"/>
  <c r="FC630" i="2"/>
  <c r="FB630" i="2"/>
  <c r="EH630" i="2"/>
  <c r="EG630" i="2"/>
  <c r="EZ630" i="2" s="1"/>
  <c r="EE630" i="2"/>
  <c r="EX630" i="2" s="1"/>
  <c r="ED630" i="2"/>
  <c r="EW630" i="2" s="1"/>
  <c r="EC630" i="2"/>
  <c r="EB630" i="2"/>
  <c r="EA630" i="2"/>
  <c r="DZ630" i="2"/>
  <c r="DY630" i="2"/>
  <c r="DX630" i="2"/>
  <c r="DW630" i="2"/>
  <c r="EP630" i="2" s="1"/>
  <c r="DV630" i="2"/>
  <c r="DU630" i="2"/>
  <c r="DT630" i="2"/>
  <c r="EM630" i="2" s="1"/>
  <c r="DS630" i="2"/>
  <c r="EL630" i="2" s="1"/>
  <c r="DR630" i="2"/>
  <c r="DQ630" i="2"/>
  <c r="DP630" i="2"/>
  <c r="FT581" i="2"/>
  <c r="FS581" i="2"/>
  <c r="GL581" i="2" s="1"/>
  <c r="FQ581" i="2"/>
  <c r="GJ581" i="2" s="1"/>
  <c r="FP581" i="2"/>
  <c r="GI581" i="2" s="1"/>
  <c r="FO581" i="2"/>
  <c r="FN581" i="2"/>
  <c r="FM581" i="2"/>
  <c r="FL581" i="2"/>
  <c r="FK581" i="2"/>
  <c r="FJ581" i="2"/>
  <c r="FI581" i="2"/>
  <c r="GB581" i="2" s="1"/>
  <c r="FH581" i="2"/>
  <c r="FG581" i="2"/>
  <c r="FF581" i="2"/>
  <c r="FY581" i="2" s="1"/>
  <c r="FE581" i="2"/>
  <c r="FX581" i="2" s="1"/>
  <c r="FD581" i="2"/>
  <c r="FC581" i="2"/>
  <c r="FB581" i="2"/>
  <c r="EH581" i="2"/>
  <c r="EG581" i="2"/>
  <c r="EZ581" i="2" s="1"/>
  <c r="EE581" i="2"/>
  <c r="EX581" i="2" s="1"/>
  <c r="ED581" i="2"/>
  <c r="EW581" i="2" s="1"/>
  <c r="EC581" i="2"/>
  <c r="EB581" i="2"/>
  <c r="EA581" i="2"/>
  <c r="DZ581" i="2"/>
  <c r="DY581" i="2"/>
  <c r="DX581" i="2"/>
  <c r="DW581" i="2"/>
  <c r="EP581" i="2" s="1"/>
  <c r="DV581" i="2"/>
  <c r="DU581" i="2"/>
  <c r="DT581" i="2"/>
  <c r="EM581" i="2" s="1"/>
  <c r="DS581" i="2"/>
  <c r="EL581" i="2" s="1"/>
  <c r="DR581" i="2"/>
  <c r="DQ581" i="2"/>
  <c r="DP581" i="2"/>
  <c r="FT539" i="2"/>
  <c r="FS539" i="2"/>
  <c r="GL539" i="2" s="1"/>
  <c r="FQ539" i="2"/>
  <c r="GJ539" i="2" s="1"/>
  <c r="FP539" i="2"/>
  <c r="GI539" i="2" s="1"/>
  <c r="FO539" i="2"/>
  <c r="FN539" i="2"/>
  <c r="FM539" i="2"/>
  <c r="FL539" i="2"/>
  <c r="FK539" i="2"/>
  <c r="FJ539" i="2"/>
  <c r="FI539" i="2"/>
  <c r="GB539" i="2" s="1"/>
  <c r="FH539" i="2"/>
  <c r="FG539" i="2"/>
  <c r="FF539" i="2"/>
  <c r="FY539" i="2" s="1"/>
  <c r="FE539" i="2"/>
  <c r="FX539" i="2" s="1"/>
  <c r="FD539" i="2"/>
  <c r="FC539" i="2"/>
  <c r="FB539" i="2"/>
  <c r="EH539" i="2"/>
  <c r="EG539" i="2"/>
  <c r="EZ539" i="2" s="1"/>
  <c r="EE539" i="2"/>
  <c r="EX539" i="2" s="1"/>
  <c r="ED539" i="2"/>
  <c r="EW539" i="2" s="1"/>
  <c r="EC539" i="2"/>
  <c r="EB539" i="2"/>
  <c r="EA539" i="2"/>
  <c r="DZ539" i="2"/>
  <c r="DY539" i="2"/>
  <c r="DX539" i="2"/>
  <c r="DW539" i="2"/>
  <c r="EP539" i="2" s="1"/>
  <c r="DV539" i="2"/>
  <c r="DU539" i="2"/>
  <c r="DT539" i="2"/>
  <c r="EM539" i="2" s="1"/>
  <c r="DS539" i="2"/>
  <c r="EL539" i="2" s="1"/>
  <c r="DR539" i="2"/>
  <c r="DQ539" i="2"/>
  <c r="DP539" i="2"/>
  <c r="FT518" i="2"/>
  <c r="FS518" i="2"/>
  <c r="GL518" i="2" s="1"/>
  <c r="FQ518" i="2"/>
  <c r="GJ518" i="2" s="1"/>
  <c r="FP518" i="2"/>
  <c r="GI518" i="2" s="1"/>
  <c r="FO518" i="2"/>
  <c r="FN518" i="2"/>
  <c r="FM518" i="2"/>
  <c r="FL518" i="2"/>
  <c r="FK518" i="2"/>
  <c r="FJ518" i="2"/>
  <c r="FI518" i="2"/>
  <c r="GB518" i="2" s="1"/>
  <c r="FH518" i="2"/>
  <c r="FG518" i="2"/>
  <c r="FF518" i="2"/>
  <c r="FY518" i="2" s="1"/>
  <c r="FE518" i="2"/>
  <c r="FX518" i="2" s="1"/>
  <c r="FD518" i="2"/>
  <c r="FC518" i="2"/>
  <c r="FB518" i="2"/>
  <c r="EH518" i="2"/>
  <c r="EG518" i="2"/>
  <c r="EZ518" i="2" s="1"/>
  <c r="EE518" i="2"/>
  <c r="EX518" i="2" s="1"/>
  <c r="ED518" i="2"/>
  <c r="EW518" i="2" s="1"/>
  <c r="EC518" i="2"/>
  <c r="EB518" i="2"/>
  <c r="EA518" i="2"/>
  <c r="DZ518" i="2"/>
  <c r="DY518" i="2"/>
  <c r="DX518" i="2"/>
  <c r="DW518" i="2"/>
  <c r="EP518" i="2" s="1"/>
  <c r="DV518" i="2"/>
  <c r="DU518" i="2"/>
  <c r="DT518" i="2"/>
  <c r="EM518" i="2" s="1"/>
  <c r="DS518" i="2"/>
  <c r="EL518" i="2" s="1"/>
  <c r="DR518" i="2"/>
  <c r="DQ518" i="2"/>
  <c r="DP518" i="2"/>
  <c r="FT517" i="2"/>
  <c r="FS517" i="2"/>
  <c r="GL517" i="2" s="1"/>
  <c r="FQ517" i="2"/>
  <c r="GJ517" i="2" s="1"/>
  <c r="FP517" i="2"/>
  <c r="GI517" i="2" s="1"/>
  <c r="FO517" i="2"/>
  <c r="FN517" i="2"/>
  <c r="FM517" i="2"/>
  <c r="FL517" i="2"/>
  <c r="FK517" i="2"/>
  <c r="FJ517" i="2"/>
  <c r="FI517" i="2"/>
  <c r="GB517" i="2" s="1"/>
  <c r="FH517" i="2"/>
  <c r="FG517" i="2"/>
  <c r="FF517" i="2"/>
  <c r="FY517" i="2" s="1"/>
  <c r="FE517" i="2"/>
  <c r="FX517" i="2" s="1"/>
  <c r="FD517" i="2"/>
  <c r="FC517" i="2"/>
  <c r="FB517" i="2"/>
  <c r="FT516" i="2"/>
  <c r="FS516" i="2"/>
  <c r="GL516" i="2" s="1"/>
  <c r="FQ516" i="2"/>
  <c r="GJ516" i="2" s="1"/>
  <c r="FP516" i="2"/>
  <c r="GI516" i="2" s="1"/>
  <c r="FO516" i="2"/>
  <c r="FN516" i="2"/>
  <c r="FM516" i="2"/>
  <c r="FL516" i="2"/>
  <c r="FK516" i="2"/>
  <c r="FJ516" i="2"/>
  <c r="FI516" i="2"/>
  <c r="GB516" i="2" s="1"/>
  <c r="FH516" i="2"/>
  <c r="FG516" i="2"/>
  <c r="FF516" i="2"/>
  <c r="FY516" i="2" s="1"/>
  <c r="FE516" i="2"/>
  <c r="FX516" i="2" s="1"/>
  <c r="FD516" i="2"/>
  <c r="FC516" i="2"/>
  <c r="FB516" i="2"/>
  <c r="EH516" i="2"/>
  <c r="EG516" i="2"/>
  <c r="EZ516" i="2" s="1"/>
  <c r="EE516" i="2"/>
  <c r="EX516" i="2" s="1"/>
  <c r="ED516" i="2"/>
  <c r="EW516" i="2" s="1"/>
  <c r="EC516" i="2"/>
  <c r="EB516" i="2"/>
  <c r="EA516" i="2"/>
  <c r="DZ516" i="2"/>
  <c r="DY516" i="2"/>
  <c r="DX516" i="2"/>
  <c r="DW516" i="2"/>
  <c r="EP516" i="2" s="1"/>
  <c r="DV516" i="2"/>
  <c r="DU516" i="2"/>
  <c r="DT516" i="2"/>
  <c r="EM516" i="2" s="1"/>
  <c r="DS516" i="2"/>
  <c r="EL516" i="2" s="1"/>
  <c r="DR516" i="2"/>
  <c r="DQ516" i="2"/>
  <c r="DP516" i="2"/>
  <c r="FT515" i="2"/>
  <c r="FS515" i="2"/>
  <c r="GL515" i="2" s="1"/>
  <c r="FQ515" i="2"/>
  <c r="GJ515" i="2" s="1"/>
  <c r="FP515" i="2"/>
  <c r="GI515" i="2" s="1"/>
  <c r="FO515" i="2"/>
  <c r="FN515" i="2"/>
  <c r="FM515" i="2"/>
  <c r="FL515" i="2"/>
  <c r="FK515" i="2"/>
  <c r="FJ515" i="2"/>
  <c r="FI515" i="2"/>
  <c r="GB515" i="2" s="1"/>
  <c r="FH515" i="2"/>
  <c r="FG515" i="2"/>
  <c r="FF515" i="2"/>
  <c r="FY515" i="2" s="1"/>
  <c r="FE515" i="2"/>
  <c r="FX515" i="2" s="1"/>
  <c r="FD515" i="2"/>
  <c r="FC515" i="2"/>
  <c r="FB515" i="2"/>
  <c r="EH515" i="2"/>
  <c r="EG515" i="2"/>
  <c r="EZ515" i="2" s="1"/>
  <c r="EE515" i="2"/>
  <c r="EX515" i="2" s="1"/>
  <c r="ED515" i="2"/>
  <c r="EW515" i="2" s="1"/>
  <c r="EC515" i="2"/>
  <c r="EB515" i="2"/>
  <c r="EA515" i="2"/>
  <c r="DZ515" i="2"/>
  <c r="DY515" i="2"/>
  <c r="DX515" i="2"/>
  <c r="DW515" i="2"/>
  <c r="EP515" i="2" s="1"/>
  <c r="DV515" i="2"/>
  <c r="DU515" i="2"/>
  <c r="DT515" i="2"/>
  <c r="EM515" i="2" s="1"/>
  <c r="DS515" i="2"/>
  <c r="EL515" i="2" s="1"/>
  <c r="DR515" i="2"/>
  <c r="DQ515" i="2"/>
  <c r="DP515" i="2"/>
  <c r="FT514" i="2"/>
  <c r="FS514" i="2"/>
  <c r="GL514" i="2" s="1"/>
  <c r="FQ514" i="2"/>
  <c r="GJ514" i="2" s="1"/>
  <c r="FP514" i="2"/>
  <c r="GI514" i="2" s="1"/>
  <c r="FO514" i="2"/>
  <c r="FN514" i="2"/>
  <c r="FM514" i="2"/>
  <c r="FL514" i="2"/>
  <c r="FK514" i="2"/>
  <c r="FJ514" i="2"/>
  <c r="FI514" i="2"/>
  <c r="GB514" i="2" s="1"/>
  <c r="FH514" i="2"/>
  <c r="FG514" i="2"/>
  <c r="FF514" i="2"/>
  <c r="FY514" i="2" s="1"/>
  <c r="FE514" i="2"/>
  <c r="FX514" i="2" s="1"/>
  <c r="FD514" i="2"/>
  <c r="FC514" i="2"/>
  <c r="FB514" i="2"/>
  <c r="FT538" i="2"/>
  <c r="FS538" i="2"/>
  <c r="GL538" i="2" s="1"/>
  <c r="FQ538" i="2"/>
  <c r="GJ538" i="2" s="1"/>
  <c r="FP538" i="2"/>
  <c r="GI538" i="2" s="1"/>
  <c r="FO538" i="2"/>
  <c r="FN538" i="2"/>
  <c r="FM538" i="2"/>
  <c r="FL538" i="2"/>
  <c r="FK538" i="2"/>
  <c r="FJ538" i="2"/>
  <c r="FI538" i="2"/>
  <c r="GB538" i="2" s="1"/>
  <c r="FH538" i="2"/>
  <c r="FG538" i="2"/>
  <c r="FF538" i="2"/>
  <c r="FY538" i="2" s="1"/>
  <c r="FE538" i="2"/>
  <c r="FX538" i="2" s="1"/>
  <c r="FD538" i="2"/>
  <c r="FC538" i="2"/>
  <c r="FB538" i="2"/>
  <c r="EH538" i="2"/>
  <c r="EG538" i="2"/>
  <c r="EZ538" i="2" s="1"/>
  <c r="EE538" i="2"/>
  <c r="EX538" i="2" s="1"/>
  <c r="ED538" i="2"/>
  <c r="EW538" i="2" s="1"/>
  <c r="EC538" i="2"/>
  <c r="EB538" i="2"/>
  <c r="EA538" i="2"/>
  <c r="DZ538" i="2"/>
  <c r="DY538" i="2"/>
  <c r="DX538" i="2"/>
  <c r="DW538" i="2"/>
  <c r="EP538" i="2" s="1"/>
  <c r="DV538" i="2"/>
  <c r="DU538" i="2"/>
  <c r="DT538" i="2"/>
  <c r="EM538" i="2" s="1"/>
  <c r="DS538" i="2"/>
  <c r="EL538" i="2" s="1"/>
  <c r="DR538" i="2"/>
  <c r="DQ538" i="2"/>
  <c r="DP538" i="2"/>
  <c r="FT537" i="2"/>
  <c r="FS537" i="2"/>
  <c r="GL537" i="2" s="1"/>
  <c r="FQ537" i="2"/>
  <c r="GJ537" i="2" s="1"/>
  <c r="FP537" i="2"/>
  <c r="GI537" i="2" s="1"/>
  <c r="FO537" i="2"/>
  <c r="FN537" i="2"/>
  <c r="FM537" i="2"/>
  <c r="FL537" i="2"/>
  <c r="FK537" i="2"/>
  <c r="FJ537" i="2"/>
  <c r="FI537" i="2"/>
  <c r="GB537" i="2" s="1"/>
  <c r="FH537" i="2"/>
  <c r="FG537" i="2"/>
  <c r="FF537" i="2"/>
  <c r="FY537" i="2" s="1"/>
  <c r="FE537" i="2"/>
  <c r="FX537" i="2" s="1"/>
  <c r="FD537" i="2"/>
  <c r="FC537" i="2"/>
  <c r="FB537" i="2"/>
  <c r="EH537" i="2"/>
  <c r="EG537" i="2"/>
  <c r="EZ537" i="2" s="1"/>
  <c r="EE537" i="2"/>
  <c r="EX537" i="2" s="1"/>
  <c r="ED537" i="2"/>
  <c r="EW537" i="2" s="1"/>
  <c r="EC537" i="2"/>
  <c r="EB537" i="2"/>
  <c r="EA537" i="2"/>
  <c r="DZ537" i="2"/>
  <c r="DY537" i="2"/>
  <c r="DX537" i="2"/>
  <c r="DW537" i="2"/>
  <c r="EP537" i="2" s="1"/>
  <c r="DV537" i="2"/>
  <c r="DU537" i="2"/>
  <c r="DT537" i="2"/>
  <c r="EM537" i="2" s="1"/>
  <c r="DS537" i="2"/>
  <c r="EL537" i="2" s="1"/>
  <c r="DR537" i="2"/>
  <c r="DQ537" i="2"/>
  <c r="DP537" i="2"/>
  <c r="FT580" i="2"/>
  <c r="FS580" i="2"/>
  <c r="GL580" i="2" s="1"/>
  <c r="FQ580" i="2"/>
  <c r="GJ580" i="2" s="1"/>
  <c r="FP580" i="2"/>
  <c r="GI580" i="2" s="1"/>
  <c r="FO580" i="2"/>
  <c r="FN580" i="2"/>
  <c r="FM580" i="2"/>
  <c r="FL580" i="2"/>
  <c r="FK580" i="2"/>
  <c r="FJ580" i="2"/>
  <c r="FI580" i="2"/>
  <c r="GB580" i="2" s="1"/>
  <c r="FH580" i="2"/>
  <c r="FG580" i="2"/>
  <c r="FF580" i="2"/>
  <c r="FY580" i="2" s="1"/>
  <c r="FE580" i="2"/>
  <c r="FX580" i="2" s="1"/>
  <c r="FD580" i="2"/>
  <c r="FC580" i="2"/>
  <c r="FB580" i="2"/>
  <c r="EH580" i="2"/>
  <c r="EG580" i="2"/>
  <c r="EZ580" i="2" s="1"/>
  <c r="EE580" i="2"/>
  <c r="EX580" i="2" s="1"/>
  <c r="ED580" i="2"/>
  <c r="EW580" i="2" s="1"/>
  <c r="EC580" i="2"/>
  <c r="EB580" i="2"/>
  <c r="EA580" i="2"/>
  <c r="DZ580" i="2"/>
  <c r="DY580" i="2"/>
  <c r="DX580" i="2"/>
  <c r="DW580" i="2"/>
  <c r="EP580" i="2" s="1"/>
  <c r="DV580" i="2"/>
  <c r="DU580" i="2"/>
  <c r="DT580" i="2"/>
  <c r="EM580" i="2" s="1"/>
  <c r="DS580" i="2"/>
  <c r="EL580" i="2" s="1"/>
  <c r="DR580" i="2"/>
  <c r="DQ580" i="2"/>
  <c r="DP580" i="2"/>
  <c r="FT536" i="2"/>
  <c r="FS536" i="2"/>
  <c r="GL536" i="2" s="1"/>
  <c r="FQ536" i="2"/>
  <c r="GJ536" i="2" s="1"/>
  <c r="FP536" i="2"/>
  <c r="GI536" i="2" s="1"/>
  <c r="FO536" i="2"/>
  <c r="FN536" i="2"/>
  <c r="FM536" i="2"/>
  <c r="FL536" i="2"/>
  <c r="FK536" i="2"/>
  <c r="FJ536" i="2"/>
  <c r="FI536" i="2"/>
  <c r="GB536" i="2" s="1"/>
  <c r="FH536" i="2"/>
  <c r="FG536" i="2"/>
  <c r="FF536" i="2"/>
  <c r="FY536" i="2" s="1"/>
  <c r="FE536" i="2"/>
  <c r="FX536" i="2" s="1"/>
  <c r="FD536" i="2"/>
  <c r="FC536" i="2"/>
  <c r="FB536" i="2"/>
  <c r="EH536" i="2"/>
  <c r="EG536" i="2"/>
  <c r="EZ536" i="2" s="1"/>
  <c r="EE536" i="2"/>
  <c r="EX536" i="2" s="1"/>
  <c r="ED536" i="2"/>
  <c r="EW536" i="2" s="1"/>
  <c r="EC536" i="2"/>
  <c r="EB536" i="2"/>
  <c r="EA536" i="2"/>
  <c r="DZ536" i="2"/>
  <c r="DY536" i="2"/>
  <c r="DX536" i="2"/>
  <c r="DW536" i="2"/>
  <c r="EP536" i="2" s="1"/>
  <c r="DV536" i="2"/>
  <c r="DU536" i="2"/>
  <c r="DT536" i="2"/>
  <c r="EM536" i="2" s="1"/>
  <c r="DS536" i="2"/>
  <c r="EL536" i="2" s="1"/>
  <c r="DR536" i="2"/>
  <c r="DQ536" i="2"/>
  <c r="DP536" i="2"/>
  <c r="FT535" i="2"/>
  <c r="FS535" i="2"/>
  <c r="GL535" i="2" s="1"/>
  <c r="FQ535" i="2"/>
  <c r="GJ535" i="2" s="1"/>
  <c r="FP535" i="2"/>
  <c r="GI535" i="2" s="1"/>
  <c r="FO535" i="2"/>
  <c r="FN535" i="2"/>
  <c r="FM535" i="2"/>
  <c r="FL535" i="2"/>
  <c r="FK535" i="2"/>
  <c r="FJ535" i="2"/>
  <c r="FI535" i="2"/>
  <c r="GB535" i="2" s="1"/>
  <c r="FH535" i="2"/>
  <c r="FG535" i="2"/>
  <c r="FF535" i="2"/>
  <c r="FY535" i="2" s="1"/>
  <c r="FE535" i="2"/>
  <c r="FX535" i="2" s="1"/>
  <c r="FD535" i="2"/>
  <c r="FC535" i="2"/>
  <c r="FB535" i="2"/>
  <c r="EH535" i="2"/>
  <c r="EG535" i="2"/>
  <c r="EZ535" i="2" s="1"/>
  <c r="EE535" i="2"/>
  <c r="EX535" i="2" s="1"/>
  <c r="ED535" i="2"/>
  <c r="EW535" i="2" s="1"/>
  <c r="EC535" i="2"/>
  <c r="EB535" i="2"/>
  <c r="EA535" i="2"/>
  <c r="DZ535" i="2"/>
  <c r="DY535" i="2"/>
  <c r="DX535" i="2"/>
  <c r="DW535" i="2"/>
  <c r="EP535" i="2" s="1"/>
  <c r="DV535" i="2"/>
  <c r="DU535" i="2"/>
  <c r="DT535" i="2"/>
  <c r="EM535" i="2" s="1"/>
  <c r="DS535" i="2"/>
  <c r="EL535" i="2" s="1"/>
  <c r="DR535" i="2"/>
  <c r="DQ535" i="2"/>
  <c r="DP535" i="2"/>
  <c r="FT534" i="2"/>
  <c r="FS534" i="2"/>
  <c r="GL534" i="2" s="1"/>
  <c r="FQ534" i="2"/>
  <c r="GJ534" i="2" s="1"/>
  <c r="FP534" i="2"/>
  <c r="GI534" i="2" s="1"/>
  <c r="FO534" i="2"/>
  <c r="FN534" i="2"/>
  <c r="FM534" i="2"/>
  <c r="FL534" i="2"/>
  <c r="FK534" i="2"/>
  <c r="FJ534" i="2"/>
  <c r="FI534" i="2"/>
  <c r="GB534" i="2" s="1"/>
  <c r="FH534" i="2"/>
  <c r="FG534" i="2"/>
  <c r="FF534" i="2"/>
  <c r="FY534" i="2" s="1"/>
  <c r="FE534" i="2"/>
  <c r="FX534" i="2" s="1"/>
  <c r="FD534" i="2"/>
  <c r="FC534" i="2"/>
  <c r="FB534" i="2"/>
  <c r="EH534" i="2"/>
  <c r="EG534" i="2"/>
  <c r="EZ534" i="2" s="1"/>
  <c r="EE534" i="2"/>
  <c r="EX534" i="2" s="1"/>
  <c r="ED534" i="2"/>
  <c r="EW534" i="2" s="1"/>
  <c r="EC534" i="2"/>
  <c r="EB534" i="2"/>
  <c r="EA534" i="2"/>
  <c r="DZ534" i="2"/>
  <c r="DY534" i="2"/>
  <c r="DX534" i="2"/>
  <c r="DW534" i="2"/>
  <c r="EP534" i="2" s="1"/>
  <c r="DV534" i="2"/>
  <c r="DU534" i="2"/>
  <c r="DT534" i="2"/>
  <c r="EM534" i="2" s="1"/>
  <c r="DS534" i="2"/>
  <c r="EL534" i="2" s="1"/>
  <c r="DR534" i="2"/>
  <c r="DQ534" i="2"/>
  <c r="DP534" i="2"/>
  <c r="FT533" i="2"/>
  <c r="FS533" i="2"/>
  <c r="GL533" i="2" s="1"/>
  <c r="FQ533" i="2"/>
  <c r="GJ533" i="2" s="1"/>
  <c r="FP533" i="2"/>
  <c r="GI533" i="2" s="1"/>
  <c r="FO533" i="2"/>
  <c r="FN533" i="2"/>
  <c r="FM533" i="2"/>
  <c r="FL533" i="2"/>
  <c r="FK533" i="2"/>
  <c r="FJ533" i="2"/>
  <c r="FI533" i="2"/>
  <c r="GB533" i="2" s="1"/>
  <c r="FH533" i="2"/>
  <c r="FG533" i="2"/>
  <c r="FF533" i="2"/>
  <c r="FY533" i="2" s="1"/>
  <c r="FE533" i="2"/>
  <c r="FX533" i="2" s="1"/>
  <c r="FD533" i="2"/>
  <c r="FC533" i="2"/>
  <c r="FB533" i="2"/>
  <c r="EH533" i="2"/>
  <c r="EG533" i="2"/>
  <c r="EZ533" i="2" s="1"/>
  <c r="EE533" i="2"/>
  <c r="EX533" i="2" s="1"/>
  <c r="ED533" i="2"/>
  <c r="EW533" i="2" s="1"/>
  <c r="EC533" i="2"/>
  <c r="EB533" i="2"/>
  <c r="EA533" i="2"/>
  <c r="DZ533" i="2"/>
  <c r="DY533" i="2"/>
  <c r="DX533" i="2"/>
  <c r="DW533" i="2"/>
  <c r="EP533" i="2" s="1"/>
  <c r="DV533" i="2"/>
  <c r="DU533" i="2"/>
  <c r="DT533" i="2"/>
  <c r="EM533" i="2" s="1"/>
  <c r="DS533" i="2"/>
  <c r="EL533" i="2" s="1"/>
  <c r="DR533" i="2"/>
  <c r="DQ533" i="2"/>
  <c r="DP533" i="2"/>
  <c r="FT579" i="2"/>
  <c r="FS579" i="2"/>
  <c r="GL579" i="2" s="1"/>
  <c r="FQ579" i="2"/>
  <c r="GJ579" i="2" s="1"/>
  <c r="FP579" i="2"/>
  <c r="GI579" i="2" s="1"/>
  <c r="FO579" i="2"/>
  <c r="FN579" i="2"/>
  <c r="FM579" i="2"/>
  <c r="FL579" i="2"/>
  <c r="FK579" i="2"/>
  <c r="FJ579" i="2"/>
  <c r="FI579" i="2"/>
  <c r="GB579" i="2" s="1"/>
  <c r="FH579" i="2"/>
  <c r="FG579" i="2"/>
  <c r="FF579" i="2"/>
  <c r="FY579" i="2" s="1"/>
  <c r="FE579" i="2"/>
  <c r="FX579" i="2" s="1"/>
  <c r="FD579" i="2"/>
  <c r="FC579" i="2"/>
  <c r="FB579" i="2"/>
  <c r="EH579" i="2"/>
  <c r="EG579" i="2"/>
  <c r="EZ579" i="2" s="1"/>
  <c r="EE579" i="2"/>
  <c r="EX579" i="2" s="1"/>
  <c r="ED579" i="2"/>
  <c r="EW579" i="2" s="1"/>
  <c r="EC579" i="2"/>
  <c r="EB579" i="2"/>
  <c r="EA579" i="2"/>
  <c r="DZ579" i="2"/>
  <c r="DY579" i="2"/>
  <c r="DX579" i="2"/>
  <c r="DW579" i="2"/>
  <c r="EP579" i="2" s="1"/>
  <c r="DV579" i="2"/>
  <c r="DU579" i="2"/>
  <c r="DT579" i="2"/>
  <c r="EM579" i="2" s="1"/>
  <c r="DS579" i="2"/>
  <c r="EL579" i="2" s="1"/>
  <c r="DR579" i="2"/>
  <c r="DQ579" i="2"/>
  <c r="DP579" i="2"/>
  <c r="FT532" i="2"/>
  <c r="FS532" i="2"/>
  <c r="GL532" i="2" s="1"/>
  <c r="FQ532" i="2"/>
  <c r="GJ532" i="2" s="1"/>
  <c r="FP532" i="2"/>
  <c r="GI532" i="2" s="1"/>
  <c r="FO532" i="2"/>
  <c r="FN532" i="2"/>
  <c r="FM532" i="2"/>
  <c r="FL532" i="2"/>
  <c r="FK532" i="2"/>
  <c r="FJ532" i="2"/>
  <c r="FI532" i="2"/>
  <c r="GB532" i="2" s="1"/>
  <c r="FH532" i="2"/>
  <c r="FG532" i="2"/>
  <c r="FF532" i="2"/>
  <c r="FY532" i="2" s="1"/>
  <c r="FE532" i="2"/>
  <c r="FX532" i="2" s="1"/>
  <c r="FD532" i="2"/>
  <c r="FC532" i="2"/>
  <c r="FB532" i="2"/>
  <c r="EH532" i="2"/>
  <c r="EG532" i="2"/>
  <c r="EZ532" i="2" s="1"/>
  <c r="EE532" i="2"/>
  <c r="EX532" i="2" s="1"/>
  <c r="ED532" i="2"/>
  <c r="EW532" i="2" s="1"/>
  <c r="EC532" i="2"/>
  <c r="EB532" i="2"/>
  <c r="EA532" i="2"/>
  <c r="DZ532" i="2"/>
  <c r="DY532" i="2"/>
  <c r="DX532" i="2"/>
  <c r="DW532" i="2"/>
  <c r="EP532" i="2" s="1"/>
  <c r="DV532" i="2"/>
  <c r="DU532" i="2"/>
  <c r="DT532" i="2"/>
  <c r="EM532" i="2" s="1"/>
  <c r="DS532" i="2"/>
  <c r="EL532" i="2" s="1"/>
  <c r="DR532" i="2"/>
  <c r="DQ532" i="2"/>
  <c r="DP532" i="2"/>
  <c r="FT531" i="2"/>
  <c r="FS531" i="2"/>
  <c r="GL531" i="2" s="1"/>
  <c r="FQ531" i="2"/>
  <c r="GJ531" i="2" s="1"/>
  <c r="FP531" i="2"/>
  <c r="GI531" i="2" s="1"/>
  <c r="FO531" i="2"/>
  <c r="FN531" i="2"/>
  <c r="FM531" i="2"/>
  <c r="FL531" i="2"/>
  <c r="FK531" i="2"/>
  <c r="FJ531" i="2"/>
  <c r="FI531" i="2"/>
  <c r="GB531" i="2" s="1"/>
  <c r="FH531" i="2"/>
  <c r="FG531" i="2"/>
  <c r="FF531" i="2"/>
  <c r="FY531" i="2" s="1"/>
  <c r="FE531" i="2"/>
  <c r="FX531" i="2" s="1"/>
  <c r="FD531" i="2"/>
  <c r="FC531" i="2"/>
  <c r="FB531" i="2"/>
  <c r="EH531" i="2"/>
  <c r="EG531" i="2"/>
  <c r="EZ531" i="2" s="1"/>
  <c r="EE531" i="2"/>
  <c r="EX531" i="2" s="1"/>
  <c r="ED531" i="2"/>
  <c r="EW531" i="2" s="1"/>
  <c r="EC531" i="2"/>
  <c r="EB531" i="2"/>
  <c r="EA531" i="2"/>
  <c r="DZ531" i="2"/>
  <c r="DY531" i="2"/>
  <c r="DX531" i="2"/>
  <c r="DW531" i="2"/>
  <c r="EP531" i="2" s="1"/>
  <c r="DV531" i="2"/>
  <c r="DU531" i="2"/>
  <c r="DT531" i="2"/>
  <c r="EM531" i="2" s="1"/>
  <c r="DS531" i="2"/>
  <c r="EL531" i="2" s="1"/>
  <c r="DR531" i="2"/>
  <c r="DQ531" i="2"/>
  <c r="DP531" i="2"/>
  <c r="FT530" i="2"/>
  <c r="FS530" i="2"/>
  <c r="GL530" i="2" s="1"/>
  <c r="FQ530" i="2"/>
  <c r="GJ530" i="2" s="1"/>
  <c r="FP530" i="2"/>
  <c r="GI530" i="2" s="1"/>
  <c r="FO530" i="2"/>
  <c r="FN530" i="2"/>
  <c r="FM530" i="2"/>
  <c r="FL530" i="2"/>
  <c r="FK530" i="2"/>
  <c r="FJ530" i="2"/>
  <c r="FI530" i="2"/>
  <c r="GB530" i="2" s="1"/>
  <c r="FH530" i="2"/>
  <c r="FG530" i="2"/>
  <c r="FF530" i="2"/>
  <c r="FY530" i="2" s="1"/>
  <c r="FE530" i="2"/>
  <c r="FX530" i="2" s="1"/>
  <c r="FD530" i="2"/>
  <c r="FC530" i="2"/>
  <c r="FB530" i="2"/>
  <c r="EH530" i="2"/>
  <c r="EG530" i="2"/>
  <c r="EZ530" i="2" s="1"/>
  <c r="EE530" i="2"/>
  <c r="EX530" i="2" s="1"/>
  <c r="ED530" i="2"/>
  <c r="EW530" i="2" s="1"/>
  <c r="EC530" i="2"/>
  <c r="EB530" i="2"/>
  <c r="EA530" i="2"/>
  <c r="DZ530" i="2"/>
  <c r="DY530" i="2"/>
  <c r="DX530" i="2"/>
  <c r="DW530" i="2"/>
  <c r="EP530" i="2" s="1"/>
  <c r="DV530" i="2"/>
  <c r="DU530" i="2"/>
  <c r="DT530" i="2"/>
  <c r="EM530" i="2" s="1"/>
  <c r="DS530" i="2"/>
  <c r="EL530" i="2" s="1"/>
  <c r="DR530" i="2"/>
  <c r="DQ530" i="2"/>
  <c r="DP530" i="2"/>
  <c r="FT578" i="2"/>
  <c r="FS578" i="2"/>
  <c r="GL578" i="2" s="1"/>
  <c r="FQ578" i="2"/>
  <c r="GJ578" i="2" s="1"/>
  <c r="FP578" i="2"/>
  <c r="GI578" i="2" s="1"/>
  <c r="FO578" i="2"/>
  <c r="FN578" i="2"/>
  <c r="FM578" i="2"/>
  <c r="FL578" i="2"/>
  <c r="FK578" i="2"/>
  <c r="FJ578" i="2"/>
  <c r="FI578" i="2"/>
  <c r="GB578" i="2" s="1"/>
  <c r="FH578" i="2"/>
  <c r="FG578" i="2"/>
  <c r="FF578" i="2"/>
  <c r="FY578" i="2" s="1"/>
  <c r="FE578" i="2"/>
  <c r="FX578" i="2" s="1"/>
  <c r="FD578" i="2"/>
  <c r="FC578" i="2"/>
  <c r="FB578" i="2"/>
  <c r="EH578" i="2"/>
  <c r="EG578" i="2"/>
  <c r="EZ578" i="2" s="1"/>
  <c r="EE578" i="2"/>
  <c r="EX578" i="2" s="1"/>
  <c r="ED578" i="2"/>
  <c r="EW578" i="2" s="1"/>
  <c r="EC578" i="2"/>
  <c r="EB578" i="2"/>
  <c r="EA578" i="2"/>
  <c r="DZ578" i="2"/>
  <c r="DY578" i="2"/>
  <c r="DX578" i="2"/>
  <c r="DW578" i="2"/>
  <c r="EP578" i="2" s="1"/>
  <c r="DV578" i="2"/>
  <c r="DU578" i="2"/>
  <c r="DT578" i="2"/>
  <c r="EM578" i="2" s="1"/>
  <c r="DS578" i="2"/>
  <c r="EL578" i="2" s="1"/>
  <c r="DR578" i="2"/>
  <c r="DQ578" i="2"/>
  <c r="DP578" i="2"/>
  <c r="FT529" i="2"/>
  <c r="FS529" i="2"/>
  <c r="GL529" i="2" s="1"/>
  <c r="FQ529" i="2"/>
  <c r="GJ529" i="2" s="1"/>
  <c r="FP529" i="2"/>
  <c r="GI529" i="2" s="1"/>
  <c r="FO529" i="2"/>
  <c r="FN529" i="2"/>
  <c r="FM529" i="2"/>
  <c r="FL529" i="2"/>
  <c r="FK529" i="2"/>
  <c r="FJ529" i="2"/>
  <c r="FI529" i="2"/>
  <c r="GB529" i="2" s="1"/>
  <c r="FH529" i="2"/>
  <c r="FG529" i="2"/>
  <c r="FF529" i="2"/>
  <c r="FY529" i="2" s="1"/>
  <c r="FE529" i="2"/>
  <c r="FX529" i="2" s="1"/>
  <c r="FD529" i="2"/>
  <c r="FC529" i="2"/>
  <c r="FB529" i="2"/>
  <c r="EH529" i="2"/>
  <c r="EG529" i="2"/>
  <c r="EZ529" i="2" s="1"/>
  <c r="EE529" i="2"/>
  <c r="EX529" i="2" s="1"/>
  <c r="ED529" i="2"/>
  <c r="EW529" i="2" s="1"/>
  <c r="EC529" i="2"/>
  <c r="EB529" i="2"/>
  <c r="EA529" i="2"/>
  <c r="DZ529" i="2"/>
  <c r="DY529" i="2"/>
  <c r="DX529" i="2"/>
  <c r="DW529" i="2"/>
  <c r="EP529" i="2" s="1"/>
  <c r="DV529" i="2"/>
  <c r="DU529" i="2"/>
  <c r="DT529" i="2"/>
  <c r="EM529" i="2" s="1"/>
  <c r="DS529" i="2"/>
  <c r="EL529" i="2" s="1"/>
  <c r="DR529" i="2"/>
  <c r="DQ529" i="2"/>
  <c r="DP529" i="2"/>
  <c r="FT500" i="2"/>
  <c r="FS500" i="2"/>
  <c r="GL500" i="2" s="1"/>
  <c r="FQ500" i="2"/>
  <c r="GJ500" i="2" s="1"/>
  <c r="FP500" i="2"/>
  <c r="GI500" i="2" s="1"/>
  <c r="FO500" i="2"/>
  <c r="FN500" i="2"/>
  <c r="FM500" i="2"/>
  <c r="FL500" i="2"/>
  <c r="FK500" i="2"/>
  <c r="FJ500" i="2"/>
  <c r="FI500" i="2"/>
  <c r="GB500" i="2" s="1"/>
  <c r="FH500" i="2"/>
  <c r="FG500" i="2"/>
  <c r="FF500" i="2"/>
  <c r="FY500" i="2" s="1"/>
  <c r="FE500" i="2"/>
  <c r="FX500" i="2" s="1"/>
  <c r="FD500" i="2"/>
  <c r="FC500" i="2"/>
  <c r="FB500" i="2"/>
  <c r="EH500" i="2"/>
  <c r="EG500" i="2"/>
  <c r="EZ500" i="2" s="1"/>
  <c r="EE500" i="2"/>
  <c r="EX500" i="2" s="1"/>
  <c r="ED500" i="2"/>
  <c r="EW500" i="2" s="1"/>
  <c r="EC500" i="2"/>
  <c r="EB500" i="2"/>
  <c r="EA500" i="2"/>
  <c r="DZ500" i="2"/>
  <c r="DY500" i="2"/>
  <c r="DX500" i="2"/>
  <c r="DW500" i="2"/>
  <c r="EP500" i="2" s="1"/>
  <c r="DV500" i="2"/>
  <c r="DU500" i="2"/>
  <c r="DT500" i="2"/>
  <c r="EM500" i="2" s="1"/>
  <c r="DS500" i="2"/>
  <c r="EL500" i="2" s="1"/>
  <c r="DR500" i="2"/>
  <c r="DQ500" i="2"/>
  <c r="DP500" i="2"/>
  <c r="FT499" i="2"/>
  <c r="FS499" i="2"/>
  <c r="GL499" i="2" s="1"/>
  <c r="FQ499" i="2"/>
  <c r="GJ499" i="2" s="1"/>
  <c r="FP499" i="2"/>
  <c r="GI499" i="2" s="1"/>
  <c r="FO499" i="2"/>
  <c r="FN499" i="2"/>
  <c r="FM499" i="2"/>
  <c r="FL499" i="2"/>
  <c r="FK499" i="2"/>
  <c r="FJ499" i="2"/>
  <c r="FI499" i="2"/>
  <c r="GB499" i="2" s="1"/>
  <c r="FH499" i="2"/>
  <c r="FG499" i="2"/>
  <c r="FF499" i="2"/>
  <c r="FY499" i="2" s="1"/>
  <c r="FE499" i="2"/>
  <c r="FX499" i="2" s="1"/>
  <c r="FD499" i="2"/>
  <c r="FC499" i="2"/>
  <c r="FB499" i="2"/>
  <c r="FT498" i="2"/>
  <c r="FS498" i="2"/>
  <c r="GL498" i="2" s="1"/>
  <c r="FQ498" i="2"/>
  <c r="GJ498" i="2" s="1"/>
  <c r="FP498" i="2"/>
  <c r="GI498" i="2" s="1"/>
  <c r="FO498" i="2"/>
  <c r="FN498" i="2"/>
  <c r="FM498" i="2"/>
  <c r="FL498" i="2"/>
  <c r="FK498" i="2"/>
  <c r="FJ498" i="2"/>
  <c r="FI498" i="2"/>
  <c r="GB498" i="2" s="1"/>
  <c r="FH498" i="2"/>
  <c r="FG498" i="2"/>
  <c r="FF498" i="2"/>
  <c r="FY498" i="2" s="1"/>
  <c r="FE498" i="2"/>
  <c r="FX498" i="2" s="1"/>
  <c r="FD498" i="2"/>
  <c r="FC498" i="2"/>
  <c r="FB498" i="2"/>
  <c r="EH498" i="2"/>
  <c r="EG498" i="2"/>
  <c r="EZ498" i="2" s="1"/>
  <c r="EE498" i="2"/>
  <c r="EX498" i="2" s="1"/>
  <c r="ED498" i="2"/>
  <c r="EW498" i="2" s="1"/>
  <c r="EC498" i="2"/>
  <c r="EB498" i="2"/>
  <c r="EA498" i="2"/>
  <c r="DZ498" i="2"/>
  <c r="DY498" i="2"/>
  <c r="DX498" i="2"/>
  <c r="DW498" i="2"/>
  <c r="EP498" i="2" s="1"/>
  <c r="DV498" i="2"/>
  <c r="DU498" i="2"/>
  <c r="DT498" i="2"/>
  <c r="EM498" i="2" s="1"/>
  <c r="DS498" i="2"/>
  <c r="EL498" i="2" s="1"/>
  <c r="DR498" i="2"/>
  <c r="DQ498" i="2"/>
  <c r="DP498" i="2"/>
  <c r="FT497" i="2"/>
  <c r="FS497" i="2"/>
  <c r="GL497" i="2" s="1"/>
  <c r="FQ497" i="2"/>
  <c r="GJ497" i="2" s="1"/>
  <c r="FP497" i="2"/>
  <c r="GI497" i="2" s="1"/>
  <c r="FO497" i="2"/>
  <c r="FN497" i="2"/>
  <c r="FM497" i="2"/>
  <c r="FL497" i="2"/>
  <c r="FK497" i="2"/>
  <c r="FJ497" i="2"/>
  <c r="FI497" i="2"/>
  <c r="GB497" i="2" s="1"/>
  <c r="FH497" i="2"/>
  <c r="FG497" i="2"/>
  <c r="FF497" i="2"/>
  <c r="FY497" i="2" s="1"/>
  <c r="FE497" i="2"/>
  <c r="FX497" i="2" s="1"/>
  <c r="FD497" i="2"/>
  <c r="FC497" i="2"/>
  <c r="FB497" i="2"/>
  <c r="FT494" i="2"/>
  <c r="FS494" i="2"/>
  <c r="GL494" i="2" s="1"/>
  <c r="FQ494" i="2"/>
  <c r="GJ494" i="2" s="1"/>
  <c r="FP494" i="2"/>
  <c r="GI494" i="2" s="1"/>
  <c r="FO494" i="2"/>
  <c r="FN494" i="2"/>
  <c r="FM494" i="2"/>
  <c r="FL494" i="2"/>
  <c r="FK494" i="2"/>
  <c r="FJ494" i="2"/>
  <c r="FI494" i="2"/>
  <c r="GB494" i="2" s="1"/>
  <c r="FH494" i="2"/>
  <c r="FG494" i="2"/>
  <c r="FF494" i="2"/>
  <c r="FY494" i="2" s="1"/>
  <c r="FE494" i="2"/>
  <c r="FX494" i="2" s="1"/>
  <c r="FD494" i="2"/>
  <c r="FC494" i="2"/>
  <c r="FB494" i="2"/>
  <c r="EH494" i="2"/>
  <c r="EG494" i="2"/>
  <c r="EZ494" i="2" s="1"/>
  <c r="EE494" i="2"/>
  <c r="EX494" i="2" s="1"/>
  <c r="ED494" i="2"/>
  <c r="EW494" i="2" s="1"/>
  <c r="EC494" i="2"/>
  <c r="EB494" i="2"/>
  <c r="EA494" i="2"/>
  <c r="DZ494" i="2"/>
  <c r="DY494" i="2"/>
  <c r="DX494" i="2"/>
  <c r="DV494" i="2"/>
  <c r="DU494" i="2"/>
  <c r="DT494" i="2"/>
  <c r="EM494" i="2" s="1"/>
  <c r="DS494" i="2"/>
  <c r="EL494" i="2" s="1"/>
  <c r="DR494" i="2"/>
  <c r="DQ494" i="2"/>
  <c r="DP494" i="2"/>
  <c r="FT493" i="2"/>
  <c r="FS493" i="2"/>
  <c r="GL493" i="2" s="1"/>
  <c r="FQ493" i="2"/>
  <c r="GJ493" i="2" s="1"/>
  <c r="FP493" i="2"/>
  <c r="GI493" i="2" s="1"/>
  <c r="FO493" i="2"/>
  <c r="FN493" i="2"/>
  <c r="FM493" i="2"/>
  <c r="FL493" i="2"/>
  <c r="FK493" i="2"/>
  <c r="FJ493" i="2"/>
  <c r="FI493" i="2"/>
  <c r="GB493" i="2" s="1"/>
  <c r="FH493" i="2"/>
  <c r="FG493" i="2"/>
  <c r="FF493" i="2"/>
  <c r="FY493" i="2" s="1"/>
  <c r="FE493" i="2"/>
  <c r="FX493" i="2" s="1"/>
  <c r="FD493" i="2"/>
  <c r="FC493" i="2"/>
  <c r="FB493" i="2"/>
  <c r="EH493" i="2"/>
  <c r="EG493" i="2"/>
  <c r="EZ493" i="2" s="1"/>
  <c r="EE493" i="2"/>
  <c r="EX493" i="2" s="1"/>
  <c r="ED493" i="2"/>
  <c r="EW493" i="2" s="1"/>
  <c r="EC493" i="2"/>
  <c r="EB493" i="2"/>
  <c r="EA493" i="2"/>
  <c r="DZ493" i="2"/>
  <c r="DY493" i="2"/>
  <c r="DX493" i="2"/>
  <c r="DW493" i="2"/>
  <c r="EP493" i="2" s="1"/>
  <c r="DV493" i="2"/>
  <c r="DU493" i="2"/>
  <c r="DT493" i="2"/>
  <c r="EM493" i="2" s="1"/>
  <c r="DS493" i="2"/>
  <c r="EL493" i="2" s="1"/>
  <c r="DR493" i="2"/>
  <c r="DQ493" i="2"/>
  <c r="DP493" i="2"/>
  <c r="FT476" i="2"/>
  <c r="FS476" i="2"/>
  <c r="GL476" i="2" s="1"/>
  <c r="FQ476" i="2"/>
  <c r="GJ476" i="2" s="1"/>
  <c r="FP476" i="2"/>
  <c r="GI476" i="2" s="1"/>
  <c r="FO476" i="2"/>
  <c r="FN476" i="2"/>
  <c r="FM476" i="2"/>
  <c r="FL476" i="2"/>
  <c r="FK476" i="2"/>
  <c r="FJ476" i="2"/>
  <c r="FI476" i="2"/>
  <c r="GB476" i="2" s="1"/>
  <c r="FH476" i="2"/>
  <c r="FG476" i="2"/>
  <c r="FF476" i="2"/>
  <c r="FY476" i="2" s="1"/>
  <c r="FE476" i="2"/>
  <c r="FX476" i="2" s="1"/>
  <c r="FD476" i="2"/>
  <c r="FC476" i="2"/>
  <c r="FB476" i="2"/>
  <c r="EH476" i="2"/>
  <c r="EG476" i="2"/>
  <c r="EZ476" i="2" s="1"/>
  <c r="EE476" i="2"/>
  <c r="EX476" i="2" s="1"/>
  <c r="ED476" i="2"/>
  <c r="EW476" i="2" s="1"/>
  <c r="EC476" i="2"/>
  <c r="EB476" i="2"/>
  <c r="EA476" i="2"/>
  <c r="DX476" i="2"/>
  <c r="DW476" i="2"/>
  <c r="EP476" i="2" s="1"/>
  <c r="DV476" i="2"/>
  <c r="DU476" i="2"/>
  <c r="DT476" i="2"/>
  <c r="EM476" i="2" s="1"/>
  <c r="DS476" i="2"/>
  <c r="EL476" i="2" s="1"/>
  <c r="DR476" i="2"/>
  <c r="DQ476" i="2"/>
  <c r="DP476" i="2"/>
  <c r="FT475" i="2"/>
  <c r="FS475" i="2"/>
  <c r="GL475" i="2" s="1"/>
  <c r="FQ475" i="2"/>
  <c r="GJ475" i="2" s="1"/>
  <c r="FP475" i="2"/>
  <c r="GI475" i="2" s="1"/>
  <c r="FO475" i="2"/>
  <c r="FN475" i="2"/>
  <c r="FM475" i="2"/>
  <c r="FL475" i="2"/>
  <c r="FK475" i="2"/>
  <c r="FJ475" i="2"/>
  <c r="FI475" i="2"/>
  <c r="GB475" i="2" s="1"/>
  <c r="FH475" i="2"/>
  <c r="FG475" i="2"/>
  <c r="FF475" i="2"/>
  <c r="FY475" i="2" s="1"/>
  <c r="FE475" i="2"/>
  <c r="FX475" i="2" s="1"/>
  <c r="FD475" i="2"/>
  <c r="FC475" i="2"/>
  <c r="FB475" i="2"/>
  <c r="EH475" i="2"/>
  <c r="EG475" i="2"/>
  <c r="EZ475" i="2" s="1"/>
  <c r="EE475" i="2"/>
  <c r="EX475" i="2" s="1"/>
  <c r="ED475" i="2"/>
  <c r="EW475" i="2" s="1"/>
  <c r="EC475" i="2"/>
  <c r="EB475" i="2"/>
  <c r="EA475" i="2"/>
  <c r="DZ475" i="2"/>
  <c r="DY475" i="2"/>
  <c r="DX475" i="2"/>
  <c r="DW475" i="2"/>
  <c r="EP475" i="2" s="1"/>
  <c r="DV475" i="2"/>
  <c r="DU475" i="2"/>
  <c r="DT475" i="2"/>
  <c r="EM475" i="2" s="1"/>
  <c r="DS475" i="2"/>
  <c r="EL475" i="2" s="1"/>
  <c r="DR475" i="2"/>
  <c r="DQ475" i="2"/>
  <c r="DP475" i="2"/>
  <c r="FT372" i="2"/>
  <c r="FS372" i="2"/>
  <c r="GL372" i="2" s="1"/>
  <c r="FQ372" i="2"/>
  <c r="GJ372" i="2" s="1"/>
  <c r="FP372" i="2"/>
  <c r="GI372" i="2" s="1"/>
  <c r="FO372" i="2"/>
  <c r="FN372" i="2"/>
  <c r="FM372" i="2"/>
  <c r="FL372" i="2"/>
  <c r="FK372" i="2"/>
  <c r="FJ372" i="2"/>
  <c r="FI372" i="2"/>
  <c r="GB372" i="2" s="1"/>
  <c r="FH372" i="2"/>
  <c r="FG372" i="2"/>
  <c r="FF372" i="2"/>
  <c r="FY372" i="2" s="1"/>
  <c r="FE372" i="2"/>
  <c r="FX372" i="2" s="1"/>
  <c r="FD372" i="2"/>
  <c r="FC372" i="2"/>
  <c r="FB372" i="2"/>
  <c r="EH372" i="2"/>
  <c r="EG372" i="2"/>
  <c r="EZ372" i="2" s="1"/>
  <c r="EE372" i="2"/>
  <c r="EX372" i="2" s="1"/>
  <c r="ED372" i="2"/>
  <c r="EW372" i="2" s="1"/>
  <c r="EC372" i="2"/>
  <c r="EB372" i="2"/>
  <c r="EA372" i="2"/>
  <c r="DZ372" i="2"/>
  <c r="DY372" i="2"/>
  <c r="DX372" i="2"/>
  <c r="DW372" i="2"/>
  <c r="EP372" i="2" s="1"/>
  <c r="DV372" i="2"/>
  <c r="DU372" i="2"/>
  <c r="DT372" i="2"/>
  <c r="EM372" i="2" s="1"/>
  <c r="DS372" i="2"/>
  <c r="EL372" i="2" s="1"/>
  <c r="DR372" i="2"/>
  <c r="DQ372" i="2"/>
  <c r="DP372" i="2"/>
  <c r="FT371" i="2"/>
  <c r="FS371" i="2"/>
  <c r="GL371" i="2" s="1"/>
  <c r="FQ371" i="2"/>
  <c r="GJ371" i="2" s="1"/>
  <c r="FP371" i="2"/>
  <c r="GI371" i="2" s="1"/>
  <c r="FO371" i="2"/>
  <c r="FN371" i="2"/>
  <c r="FM371" i="2"/>
  <c r="FL371" i="2"/>
  <c r="FK371" i="2"/>
  <c r="FJ371" i="2"/>
  <c r="FI371" i="2"/>
  <c r="GB371" i="2" s="1"/>
  <c r="FH371" i="2"/>
  <c r="FG371" i="2"/>
  <c r="FF371" i="2"/>
  <c r="FY371" i="2" s="1"/>
  <c r="FE371" i="2"/>
  <c r="FX371" i="2" s="1"/>
  <c r="FD371" i="2"/>
  <c r="FC371" i="2"/>
  <c r="FB371" i="2"/>
  <c r="FT460" i="2"/>
  <c r="FS460" i="2"/>
  <c r="GL460" i="2" s="1"/>
  <c r="FQ460" i="2"/>
  <c r="GJ460" i="2" s="1"/>
  <c r="FP460" i="2"/>
  <c r="GI460" i="2" s="1"/>
  <c r="FO460" i="2"/>
  <c r="FN460" i="2"/>
  <c r="FM460" i="2"/>
  <c r="FL460" i="2"/>
  <c r="FK460" i="2"/>
  <c r="FJ460" i="2"/>
  <c r="FI460" i="2"/>
  <c r="GB460" i="2" s="1"/>
  <c r="FH460" i="2"/>
  <c r="FG460" i="2"/>
  <c r="FF460" i="2"/>
  <c r="FY460" i="2" s="1"/>
  <c r="FE460" i="2"/>
  <c r="FX460" i="2" s="1"/>
  <c r="FD460" i="2"/>
  <c r="FC460" i="2"/>
  <c r="FB460" i="2"/>
  <c r="EH460" i="2"/>
  <c r="EG460" i="2"/>
  <c r="EZ460" i="2" s="1"/>
  <c r="EE460" i="2"/>
  <c r="EX460" i="2" s="1"/>
  <c r="ED460" i="2"/>
  <c r="EW460" i="2" s="1"/>
  <c r="EC460" i="2"/>
  <c r="EB460" i="2"/>
  <c r="EA460" i="2"/>
  <c r="DZ460" i="2"/>
  <c r="DY460" i="2"/>
  <c r="DX460" i="2"/>
  <c r="DW460" i="2"/>
  <c r="EP460" i="2" s="1"/>
  <c r="DV460" i="2"/>
  <c r="DU460" i="2"/>
  <c r="DT460" i="2"/>
  <c r="EM460" i="2" s="1"/>
  <c r="DS460" i="2"/>
  <c r="EL460" i="2" s="1"/>
  <c r="DR460" i="2"/>
  <c r="DQ460" i="2"/>
  <c r="DP460" i="2"/>
  <c r="FT474" i="2"/>
  <c r="FS474" i="2"/>
  <c r="GL474" i="2" s="1"/>
  <c r="FQ474" i="2"/>
  <c r="GJ474" i="2" s="1"/>
  <c r="FP474" i="2"/>
  <c r="GI474" i="2" s="1"/>
  <c r="FO474" i="2"/>
  <c r="FN474" i="2"/>
  <c r="FM474" i="2"/>
  <c r="FL474" i="2"/>
  <c r="FK474" i="2"/>
  <c r="FJ474" i="2"/>
  <c r="FI474" i="2"/>
  <c r="GB474" i="2" s="1"/>
  <c r="FH474" i="2"/>
  <c r="FG474" i="2"/>
  <c r="FF474" i="2"/>
  <c r="FY474" i="2" s="1"/>
  <c r="FE474" i="2"/>
  <c r="FX474" i="2" s="1"/>
  <c r="FD474" i="2"/>
  <c r="FC474" i="2"/>
  <c r="FB474" i="2"/>
  <c r="EH474" i="2"/>
  <c r="EG474" i="2"/>
  <c r="EZ474" i="2" s="1"/>
  <c r="EE474" i="2"/>
  <c r="EX474" i="2" s="1"/>
  <c r="ED474" i="2"/>
  <c r="EW474" i="2" s="1"/>
  <c r="EC474" i="2"/>
  <c r="EB474" i="2"/>
  <c r="EA474" i="2"/>
  <c r="DZ474" i="2"/>
  <c r="DY474" i="2"/>
  <c r="DX474" i="2"/>
  <c r="DW474" i="2"/>
  <c r="EP474" i="2" s="1"/>
  <c r="DV474" i="2"/>
  <c r="DU474" i="2"/>
  <c r="DT474" i="2"/>
  <c r="EM474" i="2" s="1"/>
  <c r="DS474" i="2"/>
  <c r="EL474" i="2" s="1"/>
  <c r="DR474" i="2"/>
  <c r="DQ474" i="2"/>
  <c r="DP474" i="2"/>
  <c r="FT366" i="2"/>
  <c r="FS366" i="2"/>
  <c r="GL366" i="2" s="1"/>
  <c r="FQ366" i="2"/>
  <c r="GJ366" i="2" s="1"/>
  <c r="FP366" i="2"/>
  <c r="GI366" i="2" s="1"/>
  <c r="FO366" i="2"/>
  <c r="FN366" i="2"/>
  <c r="FM366" i="2"/>
  <c r="FL366" i="2"/>
  <c r="FK366" i="2"/>
  <c r="FJ366" i="2"/>
  <c r="FI366" i="2"/>
  <c r="GB366" i="2" s="1"/>
  <c r="FH366" i="2"/>
  <c r="FG366" i="2"/>
  <c r="FF366" i="2"/>
  <c r="FY366" i="2" s="1"/>
  <c r="FE366" i="2"/>
  <c r="FX366" i="2" s="1"/>
  <c r="FD366" i="2"/>
  <c r="FC366" i="2"/>
  <c r="FB366" i="2"/>
  <c r="EH366" i="2"/>
  <c r="EG366" i="2"/>
  <c r="EZ366" i="2" s="1"/>
  <c r="EE366" i="2"/>
  <c r="EX366" i="2" s="1"/>
  <c r="ED366" i="2"/>
  <c r="EW366" i="2" s="1"/>
  <c r="EC366" i="2"/>
  <c r="EB366" i="2"/>
  <c r="EA366" i="2"/>
  <c r="DZ366" i="2"/>
  <c r="DY366" i="2"/>
  <c r="DX366" i="2"/>
  <c r="DW366" i="2"/>
  <c r="EP366" i="2" s="1"/>
  <c r="DV366" i="2"/>
  <c r="DU366" i="2"/>
  <c r="DT366" i="2"/>
  <c r="EM366" i="2" s="1"/>
  <c r="DS366" i="2"/>
  <c r="EL366" i="2" s="1"/>
  <c r="DR366" i="2"/>
  <c r="DQ366" i="2"/>
  <c r="DP366" i="2"/>
  <c r="FT365" i="2"/>
  <c r="FS365" i="2"/>
  <c r="GL365" i="2" s="1"/>
  <c r="FQ365" i="2"/>
  <c r="GJ365" i="2" s="1"/>
  <c r="FP365" i="2"/>
  <c r="GI365" i="2" s="1"/>
  <c r="FO365" i="2"/>
  <c r="FN365" i="2"/>
  <c r="FM365" i="2"/>
  <c r="FL365" i="2"/>
  <c r="FK365" i="2"/>
  <c r="FJ365" i="2"/>
  <c r="FI365" i="2"/>
  <c r="GB365" i="2" s="1"/>
  <c r="FH365" i="2"/>
  <c r="FG365" i="2"/>
  <c r="FF365" i="2"/>
  <c r="FY365" i="2" s="1"/>
  <c r="FE365" i="2"/>
  <c r="FX365" i="2" s="1"/>
  <c r="FD365" i="2"/>
  <c r="FC365" i="2"/>
  <c r="FB365" i="2"/>
  <c r="EH365" i="2"/>
  <c r="EG365" i="2"/>
  <c r="EZ365" i="2" s="1"/>
  <c r="EE365" i="2"/>
  <c r="EX365" i="2" s="1"/>
  <c r="ED365" i="2"/>
  <c r="EW365" i="2" s="1"/>
  <c r="EC365" i="2"/>
  <c r="EB365" i="2"/>
  <c r="EA365" i="2"/>
  <c r="DZ365" i="2"/>
  <c r="DY365" i="2"/>
  <c r="DX365" i="2"/>
  <c r="DW365" i="2"/>
  <c r="EP365" i="2" s="1"/>
  <c r="DV365" i="2"/>
  <c r="DU365" i="2"/>
  <c r="DT365" i="2"/>
  <c r="EM365" i="2" s="1"/>
  <c r="DS365" i="2"/>
  <c r="EL365" i="2" s="1"/>
  <c r="DR365" i="2"/>
  <c r="DQ365" i="2"/>
  <c r="DP365" i="2"/>
  <c r="FT364" i="2"/>
  <c r="FS364" i="2"/>
  <c r="GL364" i="2" s="1"/>
  <c r="FQ364" i="2"/>
  <c r="GJ364" i="2" s="1"/>
  <c r="FP364" i="2"/>
  <c r="GI364" i="2" s="1"/>
  <c r="FO364" i="2"/>
  <c r="FN364" i="2"/>
  <c r="FM364" i="2"/>
  <c r="FL364" i="2"/>
  <c r="FK364" i="2"/>
  <c r="FJ364" i="2"/>
  <c r="FI364" i="2"/>
  <c r="GB364" i="2" s="1"/>
  <c r="FH364" i="2"/>
  <c r="FG364" i="2"/>
  <c r="FF364" i="2"/>
  <c r="FY364" i="2" s="1"/>
  <c r="FE364" i="2"/>
  <c r="FX364" i="2" s="1"/>
  <c r="FD364" i="2"/>
  <c r="FC364" i="2"/>
  <c r="FB364" i="2"/>
  <c r="EH364" i="2"/>
  <c r="EG364" i="2"/>
  <c r="EZ364" i="2" s="1"/>
  <c r="EE364" i="2"/>
  <c r="EX364" i="2" s="1"/>
  <c r="ED364" i="2"/>
  <c r="EW364" i="2" s="1"/>
  <c r="EC364" i="2"/>
  <c r="EB364" i="2"/>
  <c r="EA364" i="2"/>
  <c r="DX364" i="2"/>
  <c r="DW364" i="2"/>
  <c r="EP364" i="2" s="1"/>
  <c r="DV364" i="2"/>
  <c r="DU364" i="2"/>
  <c r="DT364" i="2"/>
  <c r="EM364" i="2" s="1"/>
  <c r="DS364" i="2"/>
  <c r="EL364" i="2" s="1"/>
  <c r="DP364" i="2"/>
  <c r="FT363" i="2"/>
  <c r="FS363" i="2"/>
  <c r="GL363" i="2" s="1"/>
  <c r="FQ363" i="2"/>
  <c r="GJ363" i="2" s="1"/>
  <c r="FP363" i="2"/>
  <c r="GI363" i="2" s="1"/>
  <c r="FO363" i="2"/>
  <c r="FN363" i="2"/>
  <c r="FM363" i="2"/>
  <c r="FL363" i="2"/>
  <c r="FK363" i="2"/>
  <c r="FJ363" i="2"/>
  <c r="FI363" i="2"/>
  <c r="GB363" i="2" s="1"/>
  <c r="FH363" i="2"/>
  <c r="FG363" i="2"/>
  <c r="FF363" i="2"/>
  <c r="FY363" i="2" s="1"/>
  <c r="FE363" i="2"/>
  <c r="FX363" i="2" s="1"/>
  <c r="FD363" i="2"/>
  <c r="FC363" i="2"/>
  <c r="FB363" i="2"/>
  <c r="EH363" i="2"/>
  <c r="EG363" i="2"/>
  <c r="EZ363" i="2" s="1"/>
  <c r="EE363" i="2"/>
  <c r="EX363" i="2" s="1"/>
  <c r="ED363" i="2"/>
  <c r="EW363" i="2" s="1"/>
  <c r="EC363" i="2"/>
  <c r="EB363" i="2"/>
  <c r="EA363" i="2"/>
  <c r="DZ363" i="2"/>
  <c r="DY363" i="2"/>
  <c r="DX363" i="2"/>
  <c r="DW363" i="2"/>
  <c r="EP363" i="2" s="1"/>
  <c r="DV363" i="2"/>
  <c r="DU363" i="2"/>
  <c r="DT363" i="2"/>
  <c r="EM363" i="2" s="1"/>
  <c r="DS363" i="2"/>
  <c r="EL363" i="2" s="1"/>
  <c r="DR363" i="2"/>
  <c r="DQ363" i="2"/>
  <c r="DP363" i="2"/>
  <c r="FT362" i="2"/>
  <c r="FS362" i="2"/>
  <c r="GL362" i="2" s="1"/>
  <c r="FQ362" i="2"/>
  <c r="GJ362" i="2" s="1"/>
  <c r="FP362" i="2"/>
  <c r="GI362" i="2" s="1"/>
  <c r="FO362" i="2"/>
  <c r="FN362" i="2"/>
  <c r="FM362" i="2"/>
  <c r="FL362" i="2"/>
  <c r="FK362" i="2"/>
  <c r="FJ362" i="2"/>
  <c r="FI362" i="2"/>
  <c r="GB362" i="2" s="1"/>
  <c r="FH362" i="2"/>
  <c r="FG362" i="2"/>
  <c r="FF362" i="2"/>
  <c r="FY362" i="2" s="1"/>
  <c r="FE362" i="2"/>
  <c r="FX362" i="2" s="1"/>
  <c r="FD362" i="2"/>
  <c r="FC362" i="2"/>
  <c r="FB362" i="2"/>
  <c r="EH362" i="2"/>
  <c r="EG362" i="2"/>
  <c r="EZ362" i="2" s="1"/>
  <c r="EE362" i="2"/>
  <c r="EX362" i="2" s="1"/>
  <c r="ED362" i="2"/>
  <c r="EW362" i="2" s="1"/>
  <c r="EC362" i="2"/>
  <c r="EB362" i="2"/>
  <c r="EA362" i="2"/>
  <c r="DZ362" i="2"/>
  <c r="DY362" i="2"/>
  <c r="DX362" i="2"/>
  <c r="DW362" i="2"/>
  <c r="EP362" i="2" s="1"/>
  <c r="DV362" i="2"/>
  <c r="DU362" i="2"/>
  <c r="DT362" i="2"/>
  <c r="EM362" i="2" s="1"/>
  <c r="DS362" i="2"/>
  <c r="EL362" i="2" s="1"/>
  <c r="DR362" i="2"/>
  <c r="DQ362" i="2"/>
  <c r="DP362" i="2"/>
  <c r="FT361" i="2"/>
  <c r="FS361" i="2"/>
  <c r="GL361" i="2" s="1"/>
  <c r="FQ361" i="2"/>
  <c r="GJ361" i="2" s="1"/>
  <c r="FP361" i="2"/>
  <c r="GI361" i="2" s="1"/>
  <c r="FO361" i="2"/>
  <c r="FN361" i="2"/>
  <c r="FM361" i="2"/>
  <c r="FL361" i="2"/>
  <c r="FK361" i="2"/>
  <c r="FJ361" i="2"/>
  <c r="FI361" i="2"/>
  <c r="GB361" i="2" s="1"/>
  <c r="FH361" i="2"/>
  <c r="FG361" i="2"/>
  <c r="FF361" i="2"/>
  <c r="FY361" i="2" s="1"/>
  <c r="FE361" i="2"/>
  <c r="FX361" i="2" s="1"/>
  <c r="FD361" i="2"/>
  <c r="FC361" i="2"/>
  <c r="FB361" i="2"/>
  <c r="FT360" i="2"/>
  <c r="FS360" i="2"/>
  <c r="GL360" i="2" s="1"/>
  <c r="FQ360" i="2"/>
  <c r="GJ360" i="2" s="1"/>
  <c r="FP360" i="2"/>
  <c r="GI360" i="2" s="1"/>
  <c r="FO360" i="2"/>
  <c r="FN360" i="2"/>
  <c r="FM360" i="2"/>
  <c r="FL360" i="2"/>
  <c r="FK360" i="2"/>
  <c r="FJ360" i="2"/>
  <c r="FI360" i="2"/>
  <c r="GB360" i="2" s="1"/>
  <c r="FH360" i="2"/>
  <c r="FG360" i="2"/>
  <c r="FF360" i="2"/>
  <c r="FY360" i="2" s="1"/>
  <c r="FE360" i="2"/>
  <c r="FX360" i="2" s="1"/>
  <c r="FD360" i="2"/>
  <c r="FC360" i="2"/>
  <c r="FB360" i="2"/>
  <c r="EH360" i="2"/>
  <c r="EG360" i="2"/>
  <c r="EZ360" i="2" s="1"/>
  <c r="EE360" i="2"/>
  <c r="EX360" i="2" s="1"/>
  <c r="ED360" i="2"/>
  <c r="EW360" i="2" s="1"/>
  <c r="EC360" i="2"/>
  <c r="EB360" i="2"/>
  <c r="EA360" i="2"/>
  <c r="DZ360" i="2"/>
  <c r="DY360" i="2"/>
  <c r="DX360" i="2"/>
  <c r="DW360" i="2"/>
  <c r="EP360" i="2" s="1"/>
  <c r="DV360" i="2"/>
  <c r="DU360" i="2"/>
  <c r="DT360" i="2"/>
  <c r="EM360" i="2" s="1"/>
  <c r="DS360" i="2"/>
  <c r="EL360" i="2" s="1"/>
  <c r="DR360" i="2"/>
  <c r="DQ360" i="2"/>
  <c r="DP360" i="2"/>
  <c r="FT369" i="2"/>
  <c r="FS369" i="2"/>
  <c r="GL369" i="2" s="1"/>
  <c r="FQ369" i="2"/>
  <c r="GJ369" i="2" s="1"/>
  <c r="FP369" i="2"/>
  <c r="GI369" i="2" s="1"/>
  <c r="FO369" i="2"/>
  <c r="FN369" i="2"/>
  <c r="FM369" i="2"/>
  <c r="FL369" i="2"/>
  <c r="FK369" i="2"/>
  <c r="FJ369" i="2"/>
  <c r="FI369" i="2"/>
  <c r="GB369" i="2" s="1"/>
  <c r="FH369" i="2"/>
  <c r="FG369" i="2"/>
  <c r="FF369" i="2"/>
  <c r="FY369" i="2" s="1"/>
  <c r="FE369" i="2"/>
  <c r="FX369" i="2" s="1"/>
  <c r="FD369" i="2"/>
  <c r="FC369" i="2"/>
  <c r="FB369" i="2"/>
  <c r="FT358" i="2"/>
  <c r="FS358" i="2"/>
  <c r="GL358" i="2" s="1"/>
  <c r="FQ358" i="2"/>
  <c r="GJ358" i="2" s="1"/>
  <c r="FP358" i="2"/>
  <c r="GI358" i="2" s="1"/>
  <c r="FO358" i="2"/>
  <c r="FN358" i="2"/>
  <c r="FM358" i="2"/>
  <c r="FL358" i="2"/>
  <c r="FK358" i="2"/>
  <c r="FJ358" i="2"/>
  <c r="FI358" i="2"/>
  <c r="GB358" i="2" s="1"/>
  <c r="FH358" i="2"/>
  <c r="FG358" i="2"/>
  <c r="FF358" i="2"/>
  <c r="FY358" i="2" s="1"/>
  <c r="FE358" i="2"/>
  <c r="FX358" i="2" s="1"/>
  <c r="FD358" i="2"/>
  <c r="FC358" i="2"/>
  <c r="FB358" i="2"/>
  <c r="EH358" i="2"/>
  <c r="EG358" i="2"/>
  <c r="EZ358" i="2" s="1"/>
  <c r="EE358" i="2"/>
  <c r="EX358" i="2" s="1"/>
  <c r="ED358" i="2"/>
  <c r="EW358" i="2" s="1"/>
  <c r="EC358" i="2"/>
  <c r="EB358" i="2"/>
  <c r="EA358" i="2"/>
  <c r="DZ358" i="2"/>
  <c r="DY358" i="2"/>
  <c r="DX358" i="2"/>
  <c r="DW358" i="2"/>
  <c r="EP358" i="2" s="1"/>
  <c r="DV358" i="2"/>
  <c r="DU358" i="2"/>
  <c r="DT358" i="2"/>
  <c r="EM358" i="2" s="1"/>
  <c r="DS358" i="2"/>
  <c r="EL358" i="2" s="1"/>
  <c r="DR358" i="2"/>
  <c r="DQ358" i="2"/>
  <c r="DP358" i="2"/>
  <c r="FT357" i="2"/>
  <c r="FS357" i="2"/>
  <c r="GL357" i="2" s="1"/>
  <c r="FQ357" i="2"/>
  <c r="GJ357" i="2" s="1"/>
  <c r="FP357" i="2"/>
  <c r="GI357" i="2" s="1"/>
  <c r="FO357" i="2"/>
  <c r="FN357" i="2"/>
  <c r="FM357" i="2"/>
  <c r="FL357" i="2"/>
  <c r="FK357" i="2"/>
  <c r="FJ357" i="2"/>
  <c r="FI357" i="2"/>
  <c r="GB357" i="2" s="1"/>
  <c r="FH357" i="2"/>
  <c r="FG357" i="2"/>
  <c r="FF357" i="2"/>
  <c r="FY357" i="2" s="1"/>
  <c r="FE357" i="2"/>
  <c r="FX357" i="2" s="1"/>
  <c r="FD357" i="2"/>
  <c r="FC357" i="2"/>
  <c r="FB357" i="2"/>
  <c r="EH357" i="2"/>
  <c r="EG357" i="2"/>
  <c r="EZ357" i="2" s="1"/>
  <c r="EE357" i="2"/>
  <c r="EX357" i="2" s="1"/>
  <c r="ED357" i="2"/>
  <c r="EW357" i="2" s="1"/>
  <c r="EC357" i="2"/>
  <c r="EB357" i="2"/>
  <c r="EA357" i="2"/>
  <c r="DZ357" i="2"/>
  <c r="DY357" i="2"/>
  <c r="DX357" i="2"/>
  <c r="DW357" i="2"/>
  <c r="EP357" i="2" s="1"/>
  <c r="DV357" i="2"/>
  <c r="DU357" i="2"/>
  <c r="DT357" i="2"/>
  <c r="EM357" i="2" s="1"/>
  <c r="DS357" i="2"/>
  <c r="EL357" i="2" s="1"/>
  <c r="DR357" i="2"/>
  <c r="DQ357" i="2"/>
  <c r="DP357" i="2"/>
  <c r="FT370" i="2"/>
  <c r="FS370" i="2"/>
  <c r="GL370" i="2" s="1"/>
  <c r="FQ370" i="2"/>
  <c r="GJ370" i="2" s="1"/>
  <c r="FP370" i="2"/>
  <c r="GI370" i="2" s="1"/>
  <c r="FO370" i="2"/>
  <c r="FN370" i="2"/>
  <c r="FM370" i="2"/>
  <c r="FL370" i="2"/>
  <c r="FK370" i="2"/>
  <c r="FJ370" i="2"/>
  <c r="FI370" i="2"/>
  <c r="GB370" i="2" s="1"/>
  <c r="FH370" i="2"/>
  <c r="FG370" i="2"/>
  <c r="FF370" i="2"/>
  <c r="FY370" i="2" s="1"/>
  <c r="FE370" i="2"/>
  <c r="FX370" i="2" s="1"/>
  <c r="FD370" i="2"/>
  <c r="FC370" i="2"/>
  <c r="FB370" i="2"/>
  <c r="EH370" i="2"/>
  <c r="EG370" i="2"/>
  <c r="EZ370" i="2" s="1"/>
  <c r="EE370" i="2"/>
  <c r="EX370" i="2" s="1"/>
  <c r="ED370" i="2"/>
  <c r="EW370" i="2" s="1"/>
  <c r="EC370" i="2"/>
  <c r="EB370" i="2"/>
  <c r="EA370" i="2"/>
  <c r="DZ370" i="2"/>
  <c r="DY370" i="2"/>
  <c r="DX370" i="2"/>
  <c r="DW370" i="2"/>
  <c r="EP370" i="2" s="1"/>
  <c r="DV370" i="2"/>
  <c r="DU370" i="2"/>
  <c r="DT370" i="2"/>
  <c r="EM370" i="2" s="1"/>
  <c r="DS370" i="2"/>
  <c r="EL370" i="2" s="1"/>
  <c r="DR370" i="2"/>
  <c r="DQ370" i="2"/>
  <c r="DP370" i="2"/>
  <c r="FT368" i="2"/>
  <c r="FS368" i="2"/>
  <c r="GL368" i="2" s="1"/>
  <c r="FQ368" i="2"/>
  <c r="GJ368" i="2" s="1"/>
  <c r="FP368" i="2"/>
  <c r="GI368" i="2" s="1"/>
  <c r="FO368" i="2"/>
  <c r="FN368" i="2"/>
  <c r="FM368" i="2"/>
  <c r="FL368" i="2"/>
  <c r="FK368" i="2"/>
  <c r="FJ368" i="2"/>
  <c r="FI368" i="2"/>
  <c r="GB368" i="2" s="1"/>
  <c r="FH368" i="2"/>
  <c r="FG368" i="2"/>
  <c r="FF368" i="2"/>
  <c r="FY368" i="2" s="1"/>
  <c r="FE368" i="2"/>
  <c r="FX368" i="2" s="1"/>
  <c r="FD368" i="2"/>
  <c r="FC368" i="2"/>
  <c r="FB368" i="2"/>
  <c r="EH368" i="2"/>
  <c r="EG368" i="2"/>
  <c r="EZ368" i="2" s="1"/>
  <c r="EE368" i="2"/>
  <c r="EX368" i="2" s="1"/>
  <c r="ED368" i="2"/>
  <c r="EW368" i="2" s="1"/>
  <c r="EC368" i="2"/>
  <c r="EB368" i="2"/>
  <c r="EA368" i="2"/>
  <c r="DZ368" i="2"/>
  <c r="DY368" i="2"/>
  <c r="DX368" i="2"/>
  <c r="DW368" i="2"/>
  <c r="EP368" i="2" s="1"/>
  <c r="DV368" i="2"/>
  <c r="DU368" i="2"/>
  <c r="DT368" i="2"/>
  <c r="EM368" i="2" s="1"/>
  <c r="DS368" i="2"/>
  <c r="EL368" i="2" s="1"/>
  <c r="DR368" i="2"/>
  <c r="DQ368" i="2"/>
  <c r="DP368" i="2"/>
  <c r="FT367" i="2"/>
  <c r="FS367" i="2"/>
  <c r="GL367" i="2" s="1"/>
  <c r="FQ367" i="2"/>
  <c r="GJ367" i="2" s="1"/>
  <c r="FP367" i="2"/>
  <c r="GI367" i="2" s="1"/>
  <c r="FO367" i="2"/>
  <c r="FN367" i="2"/>
  <c r="FM367" i="2"/>
  <c r="FL367" i="2"/>
  <c r="FK367" i="2"/>
  <c r="FJ367" i="2"/>
  <c r="FI367" i="2"/>
  <c r="GB367" i="2" s="1"/>
  <c r="FH367" i="2"/>
  <c r="FG367" i="2"/>
  <c r="FF367" i="2"/>
  <c r="FY367" i="2" s="1"/>
  <c r="FE367" i="2"/>
  <c r="FX367" i="2" s="1"/>
  <c r="FD367" i="2"/>
  <c r="FC367" i="2"/>
  <c r="FB367" i="2"/>
  <c r="EH367" i="2"/>
  <c r="EG367" i="2"/>
  <c r="EZ367" i="2" s="1"/>
  <c r="EE367" i="2"/>
  <c r="EX367" i="2" s="1"/>
  <c r="ED367" i="2"/>
  <c r="EW367" i="2" s="1"/>
  <c r="EC367" i="2"/>
  <c r="EB367" i="2"/>
  <c r="EA367" i="2"/>
  <c r="DZ367" i="2"/>
  <c r="DY367" i="2"/>
  <c r="DX367" i="2"/>
  <c r="DW367" i="2"/>
  <c r="EP367" i="2" s="1"/>
  <c r="DV367" i="2"/>
  <c r="DU367" i="2"/>
  <c r="DT367" i="2"/>
  <c r="EM367" i="2" s="1"/>
  <c r="DS367" i="2"/>
  <c r="EL367" i="2" s="1"/>
  <c r="DR367" i="2"/>
  <c r="DQ367" i="2"/>
  <c r="DP367" i="2"/>
  <c r="FT346" i="2"/>
  <c r="FS346" i="2"/>
  <c r="GL346" i="2" s="1"/>
  <c r="FQ346" i="2"/>
  <c r="GJ346" i="2" s="1"/>
  <c r="FP346" i="2"/>
  <c r="GI346" i="2" s="1"/>
  <c r="FO346" i="2"/>
  <c r="FN346" i="2"/>
  <c r="FM346" i="2"/>
  <c r="FL346" i="2"/>
  <c r="FK346" i="2"/>
  <c r="FJ346" i="2"/>
  <c r="FI346" i="2"/>
  <c r="GB346" i="2" s="1"/>
  <c r="FH346" i="2"/>
  <c r="FG346" i="2"/>
  <c r="FF346" i="2"/>
  <c r="FY346" i="2" s="1"/>
  <c r="FE346" i="2"/>
  <c r="FX346" i="2" s="1"/>
  <c r="FD346" i="2"/>
  <c r="FC346" i="2"/>
  <c r="FB346" i="2"/>
  <c r="EH346" i="2"/>
  <c r="EG346" i="2"/>
  <c r="EZ346" i="2" s="1"/>
  <c r="EE346" i="2"/>
  <c r="EX346" i="2" s="1"/>
  <c r="ED346" i="2"/>
  <c r="EW346" i="2" s="1"/>
  <c r="EC346" i="2"/>
  <c r="EB346" i="2"/>
  <c r="EA346" i="2"/>
  <c r="DZ346" i="2"/>
  <c r="DY346" i="2"/>
  <c r="DX346" i="2"/>
  <c r="DW346" i="2"/>
  <c r="EP346" i="2" s="1"/>
  <c r="DV346" i="2"/>
  <c r="DU346" i="2"/>
  <c r="DT346" i="2"/>
  <c r="EM346" i="2" s="1"/>
  <c r="DS346" i="2"/>
  <c r="EL346" i="2" s="1"/>
  <c r="DR346" i="2"/>
  <c r="DQ346" i="2"/>
  <c r="DP346" i="2"/>
  <c r="FT341" i="2"/>
  <c r="FS341" i="2"/>
  <c r="GL341" i="2" s="1"/>
  <c r="FQ341" i="2"/>
  <c r="GJ341" i="2" s="1"/>
  <c r="FP341" i="2"/>
  <c r="GI341" i="2" s="1"/>
  <c r="FO341" i="2"/>
  <c r="FN341" i="2"/>
  <c r="FM341" i="2"/>
  <c r="FL341" i="2"/>
  <c r="FK341" i="2"/>
  <c r="FJ341" i="2"/>
  <c r="FI341" i="2"/>
  <c r="GB341" i="2" s="1"/>
  <c r="FH341" i="2"/>
  <c r="FG341" i="2"/>
  <c r="FF341" i="2"/>
  <c r="FY341" i="2" s="1"/>
  <c r="FE341" i="2"/>
  <c r="FX341" i="2" s="1"/>
  <c r="FD341" i="2"/>
  <c r="FC341" i="2"/>
  <c r="FB341" i="2"/>
  <c r="EH341" i="2"/>
  <c r="EG341" i="2"/>
  <c r="EZ341" i="2" s="1"/>
  <c r="EE341" i="2"/>
  <c r="EX341" i="2" s="1"/>
  <c r="ED341" i="2"/>
  <c r="EW341" i="2" s="1"/>
  <c r="EC341" i="2"/>
  <c r="EB341" i="2"/>
  <c r="EA341" i="2"/>
  <c r="DZ341" i="2"/>
  <c r="DY341" i="2"/>
  <c r="DX341" i="2"/>
  <c r="DW341" i="2"/>
  <c r="EP341" i="2" s="1"/>
  <c r="DV341" i="2"/>
  <c r="DU341" i="2"/>
  <c r="DT341" i="2"/>
  <c r="EM341" i="2" s="1"/>
  <c r="DS341" i="2"/>
  <c r="EL341" i="2" s="1"/>
  <c r="DR341" i="2"/>
  <c r="DQ341" i="2"/>
  <c r="DP341" i="2"/>
  <c r="FT340" i="2"/>
  <c r="FS340" i="2"/>
  <c r="GL340" i="2" s="1"/>
  <c r="FQ340" i="2"/>
  <c r="GJ340" i="2" s="1"/>
  <c r="FP340" i="2"/>
  <c r="GI340" i="2" s="1"/>
  <c r="FO340" i="2"/>
  <c r="FN340" i="2"/>
  <c r="FM340" i="2"/>
  <c r="FL340" i="2"/>
  <c r="FK340" i="2"/>
  <c r="FJ340" i="2"/>
  <c r="FI340" i="2"/>
  <c r="GB340" i="2" s="1"/>
  <c r="FH340" i="2"/>
  <c r="FG340" i="2"/>
  <c r="FF340" i="2"/>
  <c r="FY340" i="2" s="1"/>
  <c r="FE340" i="2"/>
  <c r="FX340" i="2" s="1"/>
  <c r="FD340" i="2"/>
  <c r="FC340" i="2"/>
  <c r="FB340" i="2"/>
  <c r="EH340" i="2"/>
  <c r="EG340" i="2"/>
  <c r="EZ340" i="2" s="1"/>
  <c r="EE340" i="2"/>
  <c r="EX340" i="2" s="1"/>
  <c r="ED340" i="2"/>
  <c r="EW340" i="2" s="1"/>
  <c r="EC340" i="2"/>
  <c r="EB340" i="2"/>
  <c r="EA340" i="2"/>
  <c r="DZ340" i="2"/>
  <c r="DY340" i="2"/>
  <c r="DX340" i="2"/>
  <c r="DW340" i="2"/>
  <c r="EP340" i="2" s="1"/>
  <c r="DV340" i="2"/>
  <c r="DU340" i="2"/>
  <c r="DT340" i="2"/>
  <c r="EM340" i="2" s="1"/>
  <c r="DS340" i="2"/>
  <c r="EL340" i="2" s="1"/>
  <c r="DR340" i="2"/>
  <c r="DQ340" i="2"/>
  <c r="DP340" i="2"/>
  <c r="FT339" i="2"/>
  <c r="FS339" i="2"/>
  <c r="GL339" i="2" s="1"/>
  <c r="FQ339" i="2"/>
  <c r="GJ339" i="2" s="1"/>
  <c r="FP339" i="2"/>
  <c r="GI339" i="2" s="1"/>
  <c r="FO339" i="2"/>
  <c r="FN339" i="2"/>
  <c r="FM339" i="2"/>
  <c r="FL339" i="2"/>
  <c r="FK339" i="2"/>
  <c r="FJ339" i="2"/>
  <c r="FI339" i="2"/>
  <c r="GB339" i="2" s="1"/>
  <c r="FH339" i="2"/>
  <c r="FG339" i="2"/>
  <c r="FF339" i="2"/>
  <c r="FY339" i="2" s="1"/>
  <c r="FE339" i="2"/>
  <c r="FX339" i="2" s="1"/>
  <c r="FD339" i="2"/>
  <c r="FC339" i="2"/>
  <c r="FB339" i="2"/>
  <c r="EH339" i="2"/>
  <c r="EG339" i="2"/>
  <c r="EZ339" i="2" s="1"/>
  <c r="EE339" i="2"/>
  <c r="EX339" i="2" s="1"/>
  <c r="ED339" i="2"/>
  <c r="EW339" i="2" s="1"/>
  <c r="EC339" i="2"/>
  <c r="EB339" i="2"/>
  <c r="EA339" i="2"/>
  <c r="DZ339" i="2"/>
  <c r="DY339" i="2"/>
  <c r="DX339" i="2"/>
  <c r="DV339" i="2"/>
  <c r="DU339" i="2"/>
  <c r="DT339" i="2"/>
  <c r="EM339" i="2" s="1"/>
  <c r="DS339" i="2"/>
  <c r="EL339" i="2" s="1"/>
  <c r="DR339" i="2"/>
  <c r="DQ339" i="2"/>
  <c r="DP339" i="2"/>
  <c r="FT347" i="2"/>
  <c r="FS347" i="2"/>
  <c r="GL347" i="2" s="1"/>
  <c r="FQ347" i="2"/>
  <c r="GJ347" i="2" s="1"/>
  <c r="FP347" i="2"/>
  <c r="GI347" i="2" s="1"/>
  <c r="FO347" i="2"/>
  <c r="FN347" i="2"/>
  <c r="FM347" i="2"/>
  <c r="FL347" i="2"/>
  <c r="FK347" i="2"/>
  <c r="FJ347" i="2"/>
  <c r="FI347" i="2"/>
  <c r="GB347" i="2" s="1"/>
  <c r="FH347" i="2"/>
  <c r="FG347" i="2"/>
  <c r="FF347" i="2"/>
  <c r="FY347" i="2" s="1"/>
  <c r="FE347" i="2"/>
  <c r="FX347" i="2" s="1"/>
  <c r="FD347" i="2"/>
  <c r="FC347" i="2"/>
  <c r="FB347" i="2"/>
  <c r="EH347" i="2"/>
  <c r="EG347" i="2"/>
  <c r="EZ347" i="2" s="1"/>
  <c r="EE347" i="2"/>
  <c r="EX347" i="2" s="1"/>
  <c r="ED347" i="2"/>
  <c r="EW347" i="2" s="1"/>
  <c r="EC347" i="2"/>
  <c r="EB347" i="2"/>
  <c r="EA347" i="2"/>
  <c r="DZ347" i="2"/>
  <c r="DY347" i="2"/>
  <c r="DX347" i="2"/>
  <c r="DW347" i="2"/>
  <c r="EP347" i="2" s="1"/>
  <c r="DV347" i="2"/>
  <c r="DU347" i="2"/>
  <c r="DT347" i="2"/>
  <c r="EM347" i="2" s="1"/>
  <c r="DS347" i="2"/>
  <c r="EL347" i="2" s="1"/>
  <c r="DR347" i="2"/>
  <c r="DQ347" i="2"/>
  <c r="DP347" i="2"/>
  <c r="FT338" i="2"/>
  <c r="FS338" i="2"/>
  <c r="GL338" i="2" s="1"/>
  <c r="FQ338" i="2"/>
  <c r="GJ338" i="2" s="1"/>
  <c r="FP338" i="2"/>
  <c r="GI338" i="2" s="1"/>
  <c r="FO338" i="2"/>
  <c r="FN338" i="2"/>
  <c r="FM338" i="2"/>
  <c r="FL338" i="2"/>
  <c r="FK338" i="2"/>
  <c r="FJ338" i="2"/>
  <c r="FI338" i="2"/>
  <c r="GB338" i="2" s="1"/>
  <c r="FH338" i="2"/>
  <c r="FG338" i="2"/>
  <c r="FF338" i="2"/>
  <c r="FY338" i="2" s="1"/>
  <c r="FE338" i="2"/>
  <c r="FX338" i="2" s="1"/>
  <c r="FD338" i="2"/>
  <c r="FC338" i="2"/>
  <c r="FB338" i="2"/>
  <c r="EH338" i="2"/>
  <c r="EG338" i="2"/>
  <c r="EZ338" i="2" s="1"/>
  <c r="EE338" i="2"/>
  <c r="EX338" i="2" s="1"/>
  <c r="ED338" i="2"/>
  <c r="EW338" i="2" s="1"/>
  <c r="EC338" i="2"/>
  <c r="EB338" i="2"/>
  <c r="EA338" i="2"/>
  <c r="DZ338" i="2"/>
  <c r="DY338" i="2"/>
  <c r="DX338" i="2"/>
  <c r="DW338" i="2"/>
  <c r="EP338" i="2" s="1"/>
  <c r="DV338" i="2"/>
  <c r="DU338" i="2"/>
  <c r="DT338" i="2"/>
  <c r="EM338" i="2" s="1"/>
  <c r="DS338" i="2"/>
  <c r="EL338" i="2" s="1"/>
  <c r="DR338" i="2"/>
  <c r="DQ338" i="2"/>
  <c r="DP338" i="2"/>
  <c r="FT337" i="2"/>
  <c r="FS337" i="2"/>
  <c r="GL337" i="2" s="1"/>
  <c r="FQ337" i="2"/>
  <c r="GJ337" i="2" s="1"/>
  <c r="FP337" i="2"/>
  <c r="GI337" i="2" s="1"/>
  <c r="FO337" i="2"/>
  <c r="FN337" i="2"/>
  <c r="FM337" i="2"/>
  <c r="FL337" i="2"/>
  <c r="FK337" i="2"/>
  <c r="FJ337" i="2"/>
  <c r="FI337" i="2"/>
  <c r="GB337" i="2" s="1"/>
  <c r="FH337" i="2"/>
  <c r="FG337" i="2"/>
  <c r="FF337" i="2"/>
  <c r="FY337" i="2" s="1"/>
  <c r="FE337" i="2"/>
  <c r="FX337" i="2" s="1"/>
  <c r="FD337" i="2"/>
  <c r="FC337" i="2"/>
  <c r="FB337" i="2"/>
  <c r="EH337" i="2"/>
  <c r="EG337" i="2"/>
  <c r="EZ337" i="2" s="1"/>
  <c r="EE337" i="2"/>
  <c r="EX337" i="2" s="1"/>
  <c r="ED337" i="2"/>
  <c r="EW337" i="2" s="1"/>
  <c r="EC337" i="2"/>
  <c r="EB337" i="2"/>
  <c r="EA337" i="2"/>
  <c r="DZ337" i="2"/>
  <c r="DY337" i="2"/>
  <c r="DX337" i="2"/>
  <c r="DW337" i="2"/>
  <c r="EP337" i="2" s="1"/>
  <c r="DV337" i="2"/>
  <c r="DU337" i="2"/>
  <c r="DT337" i="2"/>
  <c r="EM337" i="2" s="1"/>
  <c r="DS337" i="2"/>
  <c r="EL337" i="2" s="1"/>
  <c r="DR337" i="2"/>
  <c r="DQ337" i="2"/>
  <c r="DP337" i="2"/>
  <c r="FT336" i="2"/>
  <c r="FS336" i="2"/>
  <c r="GL336" i="2" s="1"/>
  <c r="FQ336" i="2"/>
  <c r="GJ336" i="2" s="1"/>
  <c r="FP336" i="2"/>
  <c r="GI336" i="2" s="1"/>
  <c r="FO336" i="2"/>
  <c r="FN336" i="2"/>
  <c r="FM336" i="2"/>
  <c r="FL336" i="2"/>
  <c r="FK336" i="2"/>
  <c r="FJ336" i="2"/>
  <c r="FI336" i="2"/>
  <c r="GB336" i="2" s="1"/>
  <c r="FH336" i="2"/>
  <c r="FG336" i="2"/>
  <c r="FF336" i="2"/>
  <c r="FY336" i="2" s="1"/>
  <c r="FE336" i="2"/>
  <c r="FX336" i="2" s="1"/>
  <c r="FD336" i="2"/>
  <c r="FC336" i="2"/>
  <c r="FB336" i="2"/>
  <c r="EH336" i="2"/>
  <c r="EG336" i="2"/>
  <c r="EZ336" i="2" s="1"/>
  <c r="EE336" i="2"/>
  <c r="EX336" i="2" s="1"/>
  <c r="ED336" i="2"/>
  <c r="EW336" i="2" s="1"/>
  <c r="EC336" i="2"/>
  <c r="EB336" i="2"/>
  <c r="EA336" i="2"/>
  <c r="DZ336" i="2"/>
  <c r="DY336" i="2"/>
  <c r="DX336" i="2"/>
  <c r="DW336" i="2"/>
  <c r="EP336" i="2" s="1"/>
  <c r="DV336" i="2"/>
  <c r="DU336" i="2"/>
  <c r="DT336" i="2"/>
  <c r="EM336" i="2" s="1"/>
  <c r="DS336" i="2"/>
  <c r="EL336" i="2" s="1"/>
  <c r="DR336" i="2"/>
  <c r="DQ336" i="2"/>
  <c r="DP336" i="2"/>
  <c r="FT335" i="2"/>
  <c r="FS335" i="2"/>
  <c r="GL335" i="2" s="1"/>
  <c r="FQ335" i="2"/>
  <c r="GJ335" i="2" s="1"/>
  <c r="FP335" i="2"/>
  <c r="GI335" i="2" s="1"/>
  <c r="FO335" i="2"/>
  <c r="FN335" i="2"/>
  <c r="FM335" i="2"/>
  <c r="FL335" i="2"/>
  <c r="FK335" i="2"/>
  <c r="FJ335" i="2"/>
  <c r="FI335" i="2"/>
  <c r="GB335" i="2" s="1"/>
  <c r="FH335" i="2"/>
  <c r="FG335" i="2"/>
  <c r="FF335" i="2"/>
  <c r="FY335" i="2" s="1"/>
  <c r="FE335" i="2"/>
  <c r="FX335" i="2" s="1"/>
  <c r="FD335" i="2"/>
  <c r="FC335" i="2"/>
  <c r="FB335" i="2"/>
  <c r="EH335" i="2"/>
  <c r="EG335" i="2"/>
  <c r="EZ335" i="2" s="1"/>
  <c r="EE335" i="2"/>
  <c r="EX335" i="2" s="1"/>
  <c r="ED335" i="2"/>
  <c r="EW335" i="2" s="1"/>
  <c r="EC335" i="2"/>
  <c r="EB335" i="2"/>
  <c r="EA335" i="2"/>
  <c r="DZ335" i="2"/>
  <c r="DY335" i="2"/>
  <c r="DX335" i="2"/>
  <c r="DW335" i="2"/>
  <c r="EP335" i="2" s="1"/>
  <c r="DV335" i="2"/>
  <c r="DU335" i="2"/>
  <c r="DT335" i="2"/>
  <c r="EM335" i="2" s="1"/>
  <c r="DS335" i="2"/>
  <c r="EL335" i="2" s="1"/>
  <c r="DR335" i="2"/>
  <c r="DQ335" i="2"/>
  <c r="DP335" i="2"/>
  <c r="FT334" i="2"/>
  <c r="FS334" i="2"/>
  <c r="GL334" i="2" s="1"/>
  <c r="FQ334" i="2"/>
  <c r="GJ334" i="2" s="1"/>
  <c r="FP334" i="2"/>
  <c r="GI334" i="2" s="1"/>
  <c r="FO334" i="2"/>
  <c r="FN334" i="2"/>
  <c r="FM334" i="2"/>
  <c r="FL334" i="2"/>
  <c r="FK334" i="2"/>
  <c r="FJ334" i="2"/>
  <c r="FI334" i="2"/>
  <c r="GB334" i="2" s="1"/>
  <c r="FH334" i="2"/>
  <c r="FG334" i="2"/>
  <c r="FF334" i="2"/>
  <c r="FY334" i="2" s="1"/>
  <c r="FE334" i="2"/>
  <c r="FX334" i="2" s="1"/>
  <c r="FD334" i="2"/>
  <c r="FC334" i="2"/>
  <c r="FB334" i="2"/>
  <c r="EH334" i="2"/>
  <c r="EG334" i="2"/>
  <c r="EZ334" i="2" s="1"/>
  <c r="EE334" i="2"/>
  <c r="EX334" i="2" s="1"/>
  <c r="ED334" i="2"/>
  <c r="EW334" i="2" s="1"/>
  <c r="EC334" i="2"/>
  <c r="EB334" i="2"/>
  <c r="EA334" i="2"/>
  <c r="DZ334" i="2"/>
  <c r="DY334" i="2"/>
  <c r="DX334" i="2"/>
  <c r="DW334" i="2"/>
  <c r="EP334" i="2" s="1"/>
  <c r="DV334" i="2"/>
  <c r="DU334" i="2"/>
  <c r="DT334" i="2"/>
  <c r="EM334" i="2" s="1"/>
  <c r="DS334" i="2"/>
  <c r="EL334" i="2" s="1"/>
  <c r="DR334" i="2"/>
  <c r="DQ334" i="2"/>
  <c r="DP334" i="2"/>
  <c r="FT333" i="2"/>
  <c r="FS333" i="2"/>
  <c r="GL333" i="2" s="1"/>
  <c r="FQ333" i="2"/>
  <c r="GJ333" i="2" s="1"/>
  <c r="FP333" i="2"/>
  <c r="GI333" i="2" s="1"/>
  <c r="FO333" i="2"/>
  <c r="FN333" i="2"/>
  <c r="FM333" i="2"/>
  <c r="FL333" i="2"/>
  <c r="FK333" i="2"/>
  <c r="FJ333" i="2"/>
  <c r="FI333" i="2"/>
  <c r="GB333" i="2" s="1"/>
  <c r="FH333" i="2"/>
  <c r="FG333" i="2"/>
  <c r="FF333" i="2"/>
  <c r="FY333" i="2" s="1"/>
  <c r="FE333" i="2"/>
  <c r="FX333" i="2" s="1"/>
  <c r="FD333" i="2"/>
  <c r="FC333" i="2"/>
  <c r="FB333" i="2"/>
  <c r="FT332" i="2"/>
  <c r="FS332" i="2"/>
  <c r="GL332" i="2" s="1"/>
  <c r="FQ332" i="2"/>
  <c r="GJ332" i="2" s="1"/>
  <c r="FP332" i="2"/>
  <c r="GI332" i="2" s="1"/>
  <c r="FO332" i="2"/>
  <c r="FN332" i="2"/>
  <c r="FM332" i="2"/>
  <c r="FL332" i="2"/>
  <c r="FK332" i="2"/>
  <c r="FJ332" i="2"/>
  <c r="FI332" i="2"/>
  <c r="GB332" i="2" s="1"/>
  <c r="FH332" i="2"/>
  <c r="FG332" i="2"/>
  <c r="FF332" i="2"/>
  <c r="FY332" i="2" s="1"/>
  <c r="FE332" i="2"/>
  <c r="FX332" i="2" s="1"/>
  <c r="FD332" i="2"/>
  <c r="FC332" i="2"/>
  <c r="FB332" i="2"/>
  <c r="EH332" i="2"/>
  <c r="EG332" i="2"/>
  <c r="EZ332" i="2" s="1"/>
  <c r="EE332" i="2"/>
  <c r="EX332" i="2" s="1"/>
  <c r="ED332" i="2"/>
  <c r="EW332" i="2" s="1"/>
  <c r="EC332" i="2"/>
  <c r="EB332" i="2"/>
  <c r="EA332" i="2"/>
  <c r="DZ332" i="2"/>
  <c r="DY332" i="2"/>
  <c r="DX332" i="2"/>
  <c r="DW332" i="2"/>
  <c r="EP332" i="2" s="1"/>
  <c r="DV332" i="2"/>
  <c r="DU332" i="2"/>
  <c r="DT332" i="2"/>
  <c r="EM332" i="2" s="1"/>
  <c r="DS332" i="2"/>
  <c r="EL332" i="2" s="1"/>
  <c r="DR332" i="2"/>
  <c r="DQ332" i="2"/>
  <c r="DP332" i="2"/>
  <c r="FT620" i="2"/>
  <c r="FS620" i="2"/>
  <c r="GL620" i="2" s="1"/>
  <c r="FQ620" i="2"/>
  <c r="GJ620" i="2" s="1"/>
  <c r="FP620" i="2"/>
  <c r="GI620" i="2" s="1"/>
  <c r="FO620" i="2"/>
  <c r="FN620" i="2"/>
  <c r="FM620" i="2"/>
  <c r="FL620" i="2"/>
  <c r="FK620" i="2"/>
  <c r="FJ620" i="2"/>
  <c r="FI620" i="2"/>
  <c r="GB620" i="2" s="1"/>
  <c r="FH620" i="2"/>
  <c r="FG620" i="2"/>
  <c r="FF620" i="2"/>
  <c r="FY620" i="2" s="1"/>
  <c r="FE620" i="2"/>
  <c r="FX620" i="2" s="1"/>
  <c r="FD620" i="2"/>
  <c r="FC620" i="2"/>
  <c r="FB620" i="2"/>
  <c r="EH620" i="2"/>
  <c r="EG620" i="2"/>
  <c r="EZ620" i="2" s="1"/>
  <c r="EE620" i="2"/>
  <c r="EX620" i="2" s="1"/>
  <c r="ED620" i="2"/>
  <c r="EW620" i="2" s="1"/>
  <c r="EC620" i="2"/>
  <c r="EB620" i="2"/>
  <c r="EA620" i="2"/>
  <c r="DZ620" i="2"/>
  <c r="DY620" i="2"/>
  <c r="DX620" i="2"/>
  <c r="DW620" i="2"/>
  <c r="EP620" i="2" s="1"/>
  <c r="DV620" i="2"/>
  <c r="DU620" i="2"/>
  <c r="DT620" i="2"/>
  <c r="EM620" i="2" s="1"/>
  <c r="DS620" i="2"/>
  <c r="EL620" i="2" s="1"/>
  <c r="DR620" i="2"/>
  <c r="DQ620" i="2"/>
  <c r="DP620" i="2"/>
  <c r="FT33" i="2"/>
  <c r="FS33" i="2"/>
  <c r="GL33" i="2" s="1"/>
  <c r="FQ33" i="2"/>
  <c r="GJ33" i="2" s="1"/>
  <c r="FP33" i="2"/>
  <c r="GI33" i="2" s="1"/>
  <c r="FO33" i="2"/>
  <c r="FN33" i="2"/>
  <c r="FM33" i="2"/>
  <c r="FL33" i="2"/>
  <c r="FK33" i="2"/>
  <c r="FJ33" i="2"/>
  <c r="FI33" i="2"/>
  <c r="GB33" i="2" s="1"/>
  <c r="FH33" i="2"/>
  <c r="FG33" i="2"/>
  <c r="FF33" i="2"/>
  <c r="FY33" i="2" s="1"/>
  <c r="FE33" i="2"/>
  <c r="FX33" i="2" s="1"/>
  <c r="FD33" i="2"/>
  <c r="FC33" i="2"/>
  <c r="FB33" i="2"/>
  <c r="EH33" i="2"/>
  <c r="EG33" i="2"/>
  <c r="EZ33" i="2" s="1"/>
  <c r="EE33" i="2"/>
  <c r="EX33" i="2" s="1"/>
  <c r="ED33" i="2"/>
  <c r="EW33" i="2" s="1"/>
  <c r="EC33" i="2"/>
  <c r="EB33" i="2"/>
  <c r="EA33" i="2"/>
  <c r="DZ33" i="2"/>
  <c r="DY33" i="2"/>
  <c r="DX33" i="2"/>
  <c r="DW33" i="2"/>
  <c r="EP33" i="2" s="1"/>
  <c r="DV33" i="2"/>
  <c r="DU33" i="2"/>
  <c r="DT33" i="2"/>
  <c r="EM33" i="2" s="1"/>
  <c r="DR33" i="2"/>
  <c r="DQ33" i="2"/>
  <c r="DP33" i="2"/>
  <c r="FT31" i="2"/>
  <c r="FS31" i="2"/>
  <c r="GL31" i="2" s="1"/>
  <c r="FQ31" i="2"/>
  <c r="GJ31" i="2" s="1"/>
  <c r="FP31" i="2"/>
  <c r="GI31" i="2" s="1"/>
  <c r="FO31" i="2"/>
  <c r="FN31" i="2"/>
  <c r="FM31" i="2"/>
  <c r="FL31" i="2"/>
  <c r="FK31" i="2"/>
  <c r="FJ31" i="2"/>
  <c r="FI31" i="2"/>
  <c r="GB31" i="2" s="1"/>
  <c r="FH31" i="2"/>
  <c r="FG31" i="2"/>
  <c r="FF31" i="2"/>
  <c r="FY31" i="2" s="1"/>
  <c r="FE31" i="2"/>
  <c r="FX31" i="2" s="1"/>
  <c r="FD31" i="2"/>
  <c r="FC31" i="2"/>
  <c r="FB31" i="2"/>
  <c r="FT27" i="2"/>
  <c r="FS27" i="2"/>
  <c r="GL27" i="2" s="1"/>
  <c r="FQ27" i="2"/>
  <c r="GJ27" i="2" s="1"/>
  <c r="FP27" i="2"/>
  <c r="GI27" i="2" s="1"/>
  <c r="FO27" i="2"/>
  <c r="FN27" i="2"/>
  <c r="FM27" i="2"/>
  <c r="FL27" i="2"/>
  <c r="FK27" i="2"/>
  <c r="FJ27" i="2"/>
  <c r="FI27" i="2"/>
  <c r="GB27" i="2" s="1"/>
  <c r="FH27" i="2"/>
  <c r="FG27" i="2"/>
  <c r="FF27" i="2"/>
  <c r="FY27" i="2" s="1"/>
  <c r="FE27" i="2"/>
  <c r="FX27" i="2" s="1"/>
  <c r="FD27" i="2"/>
  <c r="FC27" i="2"/>
  <c r="FB27" i="2"/>
  <c r="FT23" i="2"/>
  <c r="FS23" i="2"/>
  <c r="GL23" i="2" s="1"/>
  <c r="FQ23" i="2"/>
  <c r="GJ23" i="2" s="1"/>
  <c r="FP23" i="2"/>
  <c r="GI23" i="2" s="1"/>
  <c r="FO23" i="2"/>
  <c r="FN23" i="2"/>
  <c r="FM23" i="2"/>
  <c r="FL23" i="2"/>
  <c r="FK23" i="2"/>
  <c r="FJ23" i="2"/>
  <c r="FI23" i="2"/>
  <c r="GB23" i="2" s="1"/>
  <c r="FH23" i="2"/>
  <c r="FG23" i="2"/>
  <c r="FF23" i="2"/>
  <c r="FY23" i="2" s="1"/>
  <c r="FE23" i="2"/>
  <c r="FX23" i="2" s="1"/>
  <c r="FD23" i="2"/>
  <c r="FC23" i="2"/>
  <c r="FB23" i="2"/>
  <c r="EH23" i="2"/>
  <c r="EG23" i="2"/>
  <c r="EZ23" i="2" s="1"/>
  <c r="EE23" i="2"/>
  <c r="EX23" i="2" s="1"/>
  <c r="ED23" i="2"/>
  <c r="EW23" i="2" s="1"/>
  <c r="EC23" i="2"/>
  <c r="EB23" i="2"/>
  <c r="EA23" i="2"/>
  <c r="DZ23" i="2"/>
  <c r="DY23" i="2"/>
  <c r="DX23" i="2"/>
  <c r="DW23" i="2"/>
  <c r="EP23" i="2" s="1"/>
  <c r="DV23" i="2"/>
  <c r="DU23" i="2"/>
  <c r="DT23" i="2"/>
  <c r="EM23" i="2" s="1"/>
  <c r="DS23" i="2"/>
  <c r="EL23" i="2" s="1"/>
  <c r="DR23" i="2"/>
  <c r="DQ23" i="2"/>
  <c r="DP23" i="2"/>
  <c r="FT5" i="2"/>
  <c r="FS5" i="2"/>
  <c r="GL5" i="2" s="1"/>
  <c r="FQ5" i="2"/>
  <c r="GJ5" i="2" s="1"/>
  <c r="FP5" i="2"/>
  <c r="GI5" i="2" s="1"/>
  <c r="FO5" i="2"/>
  <c r="FN5" i="2"/>
  <c r="FM5" i="2"/>
  <c r="FL5" i="2"/>
  <c r="FK5" i="2"/>
  <c r="FJ5" i="2"/>
  <c r="FI5" i="2"/>
  <c r="GB5" i="2" s="1"/>
  <c r="FH5" i="2"/>
  <c r="FG5" i="2"/>
  <c r="FF5" i="2"/>
  <c r="FY5" i="2" s="1"/>
  <c r="FE5" i="2"/>
  <c r="FX5" i="2" s="1"/>
  <c r="FD5" i="2"/>
  <c r="FC5" i="2"/>
  <c r="FB5" i="2"/>
  <c r="EH5" i="2"/>
  <c r="EG5" i="2"/>
  <c r="EZ5" i="2" s="1"/>
  <c r="EE5" i="2"/>
  <c r="EX5" i="2" s="1"/>
  <c r="ED5" i="2"/>
  <c r="EW5" i="2" s="1"/>
  <c r="EC5" i="2"/>
  <c r="EB5" i="2"/>
  <c r="EA5" i="2"/>
  <c r="DZ5" i="2"/>
  <c r="DY5" i="2"/>
  <c r="DX5" i="2"/>
  <c r="DW5" i="2"/>
  <c r="EP5" i="2" s="1"/>
  <c r="DV5" i="2"/>
  <c r="DU5" i="2"/>
  <c r="DT5" i="2"/>
  <c r="EM5" i="2" s="1"/>
  <c r="DS5" i="2"/>
  <c r="EL5" i="2" s="1"/>
  <c r="DR5" i="2"/>
  <c r="DQ5" i="2"/>
  <c r="DP5" i="2"/>
  <c r="FT190" i="2"/>
  <c r="FS190" i="2"/>
  <c r="GL190" i="2" s="1"/>
  <c r="FQ190" i="2"/>
  <c r="GJ190" i="2" s="1"/>
  <c r="FP190" i="2"/>
  <c r="GI190" i="2" s="1"/>
  <c r="FO190" i="2"/>
  <c r="FN190" i="2"/>
  <c r="FM190" i="2"/>
  <c r="FL190" i="2"/>
  <c r="FK190" i="2"/>
  <c r="FJ190" i="2"/>
  <c r="FI190" i="2"/>
  <c r="GB190" i="2" s="1"/>
  <c r="FH190" i="2"/>
  <c r="FG190" i="2"/>
  <c r="FF190" i="2"/>
  <c r="FY190" i="2" s="1"/>
  <c r="FE190" i="2"/>
  <c r="FX190" i="2" s="1"/>
  <c r="FD190" i="2"/>
  <c r="FC190" i="2"/>
  <c r="FB190" i="2"/>
  <c r="FT207" i="2"/>
  <c r="FS207" i="2"/>
  <c r="GL207" i="2" s="1"/>
  <c r="FQ207" i="2"/>
  <c r="GJ207" i="2" s="1"/>
  <c r="FP207" i="2"/>
  <c r="GI207" i="2" s="1"/>
  <c r="FO207" i="2"/>
  <c r="FN207" i="2"/>
  <c r="FM207" i="2"/>
  <c r="FL207" i="2"/>
  <c r="FK207" i="2"/>
  <c r="FJ207" i="2"/>
  <c r="FI207" i="2"/>
  <c r="GB207" i="2" s="1"/>
  <c r="FH207" i="2"/>
  <c r="FG207" i="2"/>
  <c r="FF207" i="2"/>
  <c r="FY207" i="2" s="1"/>
  <c r="FE207" i="2"/>
  <c r="FX207" i="2" s="1"/>
  <c r="FD207" i="2"/>
  <c r="FC207" i="2"/>
  <c r="FB207" i="2"/>
  <c r="FT101" i="2"/>
  <c r="FS101" i="2"/>
  <c r="GL101" i="2" s="1"/>
  <c r="FQ101" i="2"/>
  <c r="GJ101" i="2" s="1"/>
  <c r="FP101" i="2"/>
  <c r="GI101" i="2" s="1"/>
  <c r="FO101" i="2"/>
  <c r="FN101" i="2"/>
  <c r="FM101" i="2"/>
  <c r="FL101" i="2"/>
  <c r="FK101" i="2"/>
  <c r="FJ101" i="2"/>
  <c r="FI101" i="2"/>
  <c r="GB101" i="2" s="1"/>
  <c r="FH101" i="2"/>
  <c r="FG101" i="2"/>
  <c r="FF101" i="2"/>
  <c r="FY101" i="2" s="1"/>
  <c r="FE101" i="2"/>
  <c r="FX101" i="2" s="1"/>
  <c r="FD101" i="2"/>
  <c r="FC101" i="2"/>
  <c r="FB101" i="2"/>
  <c r="EH101" i="2"/>
  <c r="EG101" i="2"/>
  <c r="EZ101" i="2" s="1"/>
  <c r="EE101" i="2"/>
  <c r="EX101" i="2" s="1"/>
  <c r="ED101" i="2"/>
  <c r="EW101" i="2" s="1"/>
  <c r="EC101" i="2"/>
  <c r="EB101" i="2"/>
  <c r="EA101" i="2"/>
  <c r="DZ101" i="2"/>
  <c r="DY101" i="2"/>
  <c r="DX101" i="2"/>
  <c r="DW101" i="2"/>
  <c r="EP101" i="2" s="1"/>
  <c r="DV101" i="2"/>
  <c r="DU101" i="2"/>
  <c r="DT101" i="2"/>
  <c r="EM101" i="2" s="1"/>
  <c r="DS101" i="2"/>
  <c r="EL101" i="2" s="1"/>
  <c r="DR101" i="2"/>
  <c r="DQ101" i="2"/>
  <c r="DP101" i="2"/>
  <c r="FT100" i="2"/>
  <c r="FS100" i="2"/>
  <c r="GL100" i="2" s="1"/>
  <c r="FQ100" i="2"/>
  <c r="GJ100" i="2" s="1"/>
  <c r="FP100" i="2"/>
  <c r="GI100" i="2" s="1"/>
  <c r="FO100" i="2"/>
  <c r="FN100" i="2"/>
  <c r="FM100" i="2"/>
  <c r="FL100" i="2"/>
  <c r="FK100" i="2"/>
  <c r="FJ100" i="2"/>
  <c r="FI100" i="2"/>
  <c r="GB100" i="2" s="1"/>
  <c r="FH100" i="2"/>
  <c r="FG100" i="2"/>
  <c r="FF100" i="2"/>
  <c r="FY100" i="2" s="1"/>
  <c r="FE100" i="2"/>
  <c r="FX100" i="2" s="1"/>
  <c r="FD100" i="2"/>
  <c r="FC100" i="2"/>
  <c r="FB100" i="2"/>
  <c r="EH100" i="2"/>
  <c r="EG100" i="2"/>
  <c r="EZ100" i="2" s="1"/>
  <c r="EE100" i="2"/>
  <c r="EX100" i="2" s="1"/>
  <c r="ED100" i="2"/>
  <c r="EW100" i="2" s="1"/>
  <c r="EC100" i="2"/>
  <c r="EB100" i="2"/>
  <c r="EA100" i="2"/>
  <c r="DZ100" i="2"/>
  <c r="DY100" i="2"/>
  <c r="DX100" i="2"/>
  <c r="DW100" i="2"/>
  <c r="EP100" i="2" s="1"/>
  <c r="DV100" i="2"/>
  <c r="DU100" i="2"/>
  <c r="DT100" i="2"/>
  <c r="EM100" i="2" s="1"/>
  <c r="DS100" i="2"/>
  <c r="EL100" i="2" s="1"/>
  <c r="DR100" i="2"/>
  <c r="DQ100" i="2"/>
  <c r="DP100" i="2"/>
  <c r="FT577" i="2"/>
  <c r="FS577" i="2"/>
  <c r="GL577" i="2" s="1"/>
  <c r="FQ577" i="2"/>
  <c r="GJ577" i="2" s="1"/>
  <c r="FP577" i="2"/>
  <c r="GI577" i="2" s="1"/>
  <c r="FO577" i="2"/>
  <c r="FN577" i="2"/>
  <c r="FM577" i="2"/>
  <c r="FL577" i="2"/>
  <c r="FK577" i="2"/>
  <c r="FJ577" i="2"/>
  <c r="FI577" i="2"/>
  <c r="GB577" i="2" s="1"/>
  <c r="FH577" i="2"/>
  <c r="FG577" i="2"/>
  <c r="FF577" i="2"/>
  <c r="FY577" i="2" s="1"/>
  <c r="FE577" i="2"/>
  <c r="FX577" i="2" s="1"/>
  <c r="FD577" i="2"/>
  <c r="FC577" i="2"/>
  <c r="FB577" i="2"/>
  <c r="EH577" i="2"/>
  <c r="EG577" i="2"/>
  <c r="EZ577" i="2" s="1"/>
  <c r="EE577" i="2"/>
  <c r="EX577" i="2" s="1"/>
  <c r="ED577" i="2"/>
  <c r="EW577" i="2" s="1"/>
  <c r="EC577" i="2"/>
  <c r="EB577" i="2"/>
  <c r="EA577" i="2"/>
  <c r="DZ577" i="2"/>
  <c r="DY577" i="2"/>
  <c r="DX577" i="2"/>
  <c r="DW577" i="2"/>
  <c r="EP577" i="2" s="1"/>
  <c r="DV577" i="2"/>
  <c r="DU577" i="2"/>
  <c r="DT577" i="2"/>
  <c r="EM577" i="2" s="1"/>
  <c r="DS577" i="2"/>
  <c r="EL577" i="2" s="1"/>
  <c r="DR577" i="2"/>
  <c r="DQ577" i="2"/>
  <c r="DP577" i="2"/>
  <c r="FT386" i="2"/>
  <c r="FS386" i="2"/>
  <c r="GL386" i="2" s="1"/>
  <c r="FQ386" i="2"/>
  <c r="GJ386" i="2" s="1"/>
  <c r="FP386" i="2"/>
  <c r="GI386" i="2" s="1"/>
  <c r="FO386" i="2"/>
  <c r="FN386" i="2"/>
  <c r="FM386" i="2"/>
  <c r="FL386" i="2"/>
  <c r="FK386" i="2"/>
  <c r="FJ386" i="2"/>
  <c r="FI386" i="2"/>
  <c r="GB386" i="2" s="1"/>
  <c r="FH386" i="2"/>
  <c r="FG386" i="2"/>
  <c r="FF386" i="2"/>
  <c r="FY386" i="2" s="1"/>
  <c r="FE386" i="2"/>
  <c r="FX386" i="2" s="1"/>
  <c r="FD386" i="2"/>
  <c r="FC386" i="2"/>
  <c r="FB386" i="2"/>
  <c r="EH386" i="2"/>
  <c r="EG386" i="2"/>
  <c r="EZ386" i="2" s="1"/>
  <c r="EE386" i="2"/>
  <c r="EX386" i="2" s="1"/>
  <c r="EC386" i="2"/>
  <c r="EB386" i="2"/>
  <c r="EA386" i="2"/>
  <c r="DZ386" i="2"/>
  <c r="DY386" i="2"/>
  <c r="DX386" i="2"/>
  <c r="DW386" i="2"/>
  <c r="EP386" i="2" s="1"/>
  <c r="DV386" i="2"/>
  <c r="DU386" i="2"/>
  <c r="DT386" i="2"/>
  <c r="EM386" i="2" s="1"/>
  <c r="DS386" i="2"/>
  <c r="EL386" i="2" s="1"/>
  <c r="DR386" i="2"/>
  <c r="DQ386" i="2"/>
  <c r="DP386" i="2"/>
  <c r="FT473" i="2"/>
  <c r="FS473" i="2"/>
  <c r="GL473" i="2" s="1"/>
  <c r="FQ473" i="2"/>
  <c r="GJ473" i="2" s="1"/>
  <c r="FP473" i="2"/>
  <c r="GI473" i="2" s="1"/>
  <c r="FO473" i="2"/>
  <c r="FN473" i="2"/>
  <c r="FM473" i="2"/>
  <c r="FL473" i="2"/>
  <c r="FK473" i="2"/>
  <c r="FJ473" i="2"/>
  <c r="FI473" i="2"/>
  <c r="GB473" i="2" s="1"/>
  <c r="FH473" i="2"/>
  <c r="FG473" i="2"/>
  <c r="FF473" i="2"/>
  <c r="FY473" i="2" s="1"/>
  <c r="FE473" i="2"/>
  <c r="FX473" i="2" s="1"/>
  <c r="FD473" i="2"/>
  <c r="FC473" i="2"/>
  <c r="FB473" i="2"/>
  <c r="EH473" i="2"/>
  <c r="EG473" i="2"/>
  <c r="EZ473" i="2" s="1"/>
  <c r="EE473" i="2"/>
  <c r="EX473" i="2" s="1"/>
  <c r="ED473" i="2"/>
  <c r="EW473" i="2" s="1"/>
  <c r="EC473" i="2"/>
  <c r="EB473" i="2"/>
  <c r="EA473" i="2"/>
  <c r="DZ473" i="2"/>
  <c r="DY473" i="2"/>
  <c r="DX473" i="2"/>
  <c r="DW473" i="2"/>
  <c r="EP473" i="2" s="1"/>
  <c r="DV473" i="2"/>
  <c r="DU473" i="2"/>
  <c r="DT473" i="2"/>
  <c r="EM473" i="2" s="1"/>
  <c r="DS473" i="2"/>
  <c r="EL473" i="2" s="1"/>
  <c r="DR473" i="2"/>
  <c r="DQ473" i="2"/>
  <c r="DP473" i="2"/>
  <c r="FT472" i="2"/>
  <c r="FS472" i="2"/>
  <c r="GL472" i="2" s="1"/>
  <c r="FQ472" i="2"/>
  <c r="GJ472" i="2" s="1"/>
  <c r="FP472" i="2"/>
  <c r="GI472" i="2" s="1"/>
  <c r="FO472" i="2"/>
  <c r="FN472" i="2"/>
  <c r="FM472" i="2"/>
  <c r="FL472" i="2"/>
  <c r="FK472" i="2"/>
  <c r="FJ472" i="2"/>
  <c r="FI472" i="2"/>
  <c r="GB472" i="2" s="1"/>
  <c r="FH472" i="2"/>
  <c r="FG472" i="2"/>
  <c r="FF472" i="2"/>
  <c r="FY472" i="2" s="1"/>
  <c r="FE472" i="2"/>
  <c r="FX472" i="2" s="1"/>
  <c r="FD472" i="2"/>
  <c r="FC472" i="2"/>
  <c r="FB472" i="2"/>
  <c r="EH472" i="2"/>
  <c r="EG472" i="2"/>
  <c r="EZ472" i="2" s="1"/>
  <c r="EE472" i="2"/>
  <c r="EX472" i="2" s="1"/>
  <c r="ED472" i="2"/>
  <c r="EW472" i="2" s="1"/>
  <c r="EC472" i="2"/>
  <c r="EB472" i="2"/>
  <c r="EA472" i="2"/>
  <c r="DZ472" i="2"/>
  <c r="DY472" i="2"/>
  <c r="DX472" i="2"/>
  <c r="DW472" i="2"/>
  <c r="EP472" i="2" s="1"/>
  <c r="DV472" i="2"/>
  <c r="DU472" i="2"/>
  <c r="DT472" i="2"/>
  <c r="EM472" i="2" s="1"/>
  <c r="DS472" i="2"/>
  <c r="EL472" i="2" s="1"/>
  <c r="DR472" i="2"/>
  <c r="DQ472" i="2"/>
  <c r="DP472" i="2"/>
  <c r="FT385" i="2"/>
  <c r="FS385" i="2"/>
  <c r="GL385" i="2" s="1"/>
  <c r="FQ385" i="2"/>
  <c r="GJ385" i="2" s="1"/>
  <c r="FP385" i="2"/>
  <c r="GI385" i="2" s="1"/>
  <c r="FO385" i="2"/>
  <c r="FN385" i="2"/>
  <c r="FM385" i="2"/>
  <c r="FL385" i="2"/>
  <c r="FK385" i="2"/>
  <c r="FJ385" i="2"/>
  <c r="FI385" i="2"/>
  <c r="GB385" i="2" s="1"/>
  <c r="FH385" i="2"/>
  <c r="FG385" i="2"/>
  <c r="FF385" i="2"/>
  <c r="FY385" i="2" s="1"/>
  <c r="FE385" i="2"/>
  <c r="FX385" i="2" s="1"/>
  <c r="FD385" i="2"/>
  <c r="FC385" i="2"/>
  <c r="FB385" i="2"/>
  <c r="EH385" i="2"/>
  <c r="EG385" i="2"/>
  <c r="EZ385" i="2" s="1"/>
  <c r="EE385" i="2"/>
  <c r="EX385" i="2" s="1"/>
  <c r="ED385" i="2"/>
  <c r="EW385" i="2" s="1"/>
  <c r="EC385" i="2"/>
  <c r="EB385" i="2"/>
  <c r="EA385" i="2"/>
  <c r="DZ385" i="2"/>
  <c r="DY385" i="2"/>
  <c r="DX385" i="2"/>
  <c r="DV385" i="2"/>
  <c r="DU385" i="2"/>
  <c r="DT385" i="2"/>
  <c r="EM385" i="2" s="1"/>
  <c r="DS385" i="2"/>
  <c r="EL385" i="2" s="1"/>
  <c r="DR385" i="2"/>
  <c r="DQ385" i="2"/>
  <c r="DP385" i="2"/>
  <c r="FT227" i="2"/>
  <c r="FS227" i="2"/>
  <c r="GL227" i="2" s="1"/>
  <c r="FQ227" i="2"/>
  <c r="GJ227" i="2" s="1"/>
  <c r="FP227" i="2"/>
  <c r="GI227" i="2" s="1"/>
  <c r="FO227" i="2"/>
  <c r="FN227" i="2"/>
  <c r="FM227" i="2"/>
  <c r="FL227" i="2"/>
  <c r="FK227" i="2"/>
  <c r="FJ227" i="2"/>
  <c r="FI227" i="2"/>
  <c r="GB227" i="2" s="1"/>
  <c r="FH227" i="2"/>
  <c r="FG227" i="2"/>
  <c r="FF227" i="2"/>
  <c r="FY227" i="2" s="1"/>
  <c r="FE227" i="2"/>
  <c r="FX227" i="2" s="1"/>
  <c r="FD227" i="2"/>
  <c r="FC227" i="2"/>
  <c r="FB227" i="2"/>
  <c r="EH227" i="2"/>
  <c r="EG227" i="2"/>
  <c r="EZ227" i="2" s="1"/>
  <c r="EE227" i="2"/>
  <c r="EX227" i="2" s="1"/>
  <c r="ED227" i="2"/>
  <c r="EW227" i="2" s="1"/>
  <c r="EC227" i="2"/>
  <c r="EB227" i="2"/>
  <c r="EA227" i="2"/>
  <c r="DZ227" i="2"/>
  <c r="DY227" i="2"/>
  <c r="DX227" i="2"/>
  <c r="DW227" i="2"/>
  <c r="EP227" i="2" s="1"/>
  <c r="DV227" i="2"/>
  <c r="DU227" i="2"/>
  <c r="DT227" i="2"/>
  <c r="EM227" i="2" s="1"/>
  <c r="DS227" i="2"/>
  <c r="EL227" i="2" s="1"/>
  <c r="DR227" i="2"/>
  <c r="DQ227" i="2"/>
  <c r="DP227" i="2"/>
  <c r="FT206" i="2"/>
  <c r="FS206" i="2"/>
  <c r="GL206" i="2" s="1"/>
  <c r="FQ206" i="2"/>
  <c r="GJ206" i="2" s="1"/>
  <c r="FP206" i="2"/>
  <c r="GI206" i="2" s="1"/>
  <c r="FO206" i="2"/>
  <c r="FN206" i="2"/>
  <c r="FM206" i="2"/>
  <c r="FL206" i="2"/>
  <c r="FK206" i="2"/>
  <c r="FJ206" i="2"/>
  <c r="FI206" i="2"/>
  <c r="GB206" i="2" s="1"/>
  <c r="FH206" i="2"/>
  <c r="FG206" i="2"/>
  <c r="FF206" i="2"/>
  <c r="FY206" i="2" s="1"/>
  <c r="FE206" i="2"/>
  <c r="FX206" i="2" s="1"/>
  <c r="FD206" i="2"/>
  <c r="FC206" i="2"/>
  <c r="FB206" i="2"/>
  <c r="FT226" i="2"/>
  <c r="FS226" i="2"/>
  <c r="GL226" i="2" s="1"/>
  <c r="FQ226" i="2"/>
  <c r="GJ226" i="2" s="1"/>
  <c r="FP226" i="2"/>
  <c r="GI226" i="2" s="1"/>
  <c r="FO226" i="2"/>
  <c r="FN226" i="2"/>
  <c r="FM226" i="2"/>
  <c r="FL226" i="2"/>
  <c r="FK226" i="2"/>
  <c r="FJ226" i="2"/>
  <c r="FI226" i="2"/>
  <c r="GB226" i="2" s="1"/>
  <c r="FH226" i="2"/>
  <c r="FG226" i="2"/>
  <c r="FF226" i="2"/>
  <c r="FY226" i="2" s="1"/>
  <c r="FE226" i="2"/>
  <c r="FX226" i="2" s="1"/>
  <c r="FD226" i="2"/>
  <c r="FC226" i="2"/>
  <c r="FB226" i="2"/>
  <c r="EH226" i="2"/>
  <c r="EG226" i="2"/>
  <c r="EZ226" i="2" s="1"/>
  <c r="ED226" i="2"/>
  <c r="EW226" i="2" s="1"/>
  <c r="EC226" i="2"/>
  <c r="EB226" i="2"/>
  <c r="EA226" i="2"/>
  <c r="DZ226" i="2"/>
  <c r="DY226" i="2"/>
  <c r="DX226" i="2"/>
  <c r="DW226" i="2"/>
  <c r="EP226" i="2" s="1"/>
  <c r="DV226" i="2"/>
  <c r="DU226" i="2"/>
  <c r="DT226" i="2"/>
  <c r="EM226" i="2" s="1"/>
  <c r="DS226" i="2"/>
  <c r="EL226" i="2" s="1"/>
  <c r="DR226" i="2"/>
  <c r="DQ226" i="2"/>
  <c r="DP226" i="2"/>
  <c r="FT144" i="2"/>
  <c r="FS144" i="2"/>
  <c r="GL144" i="2" s="1"/>
  <c r="FQ144" i="2"/>
  <c r="GJ144" i="2" s="1"/>
  <c r="FP144" i="2"/>
  <c r="GI144" i="2" s="1"/>
  <c r="FO144" i="2"/>
  <c r="FN144" i="2"/>
  <c r="FM144" i="2"/>
  <c r="FL144" i="2"/>
  <c r="FK144" i="2"/>
  <c r="FJ144" i="2"/>
  <c r="FI144" i="2"/>
  <c r="GB144" i="2" s="1"/>
  <c r="FH144" i="2"/>
  <c r="FG144" i="2"/>
  <c r="FF144" i="2"/>
  <c r="FY144" i="2" s="1"/>
  <c r="FE144" i="2"/>
  <c r="FX144" i="2" s="1"/>
  <c r="FD144" i="2"/>
  <c r="FC144" i="2"/>
  <c r="FB144" i="2"/>
  <c r="FT143" i="2"/>
  <c r="FS143" i="2"/>
  <c r="GL143" i="2" s="1"/>
  <c r="FQ143" i="2"/>
  <c r="GJ143" i="2" s="1"/>
  <c r="FP143" i="2"/>
  <c r="GI143" i="2" s="1"/>
  <c r="FO143" i="2"/>
  <c r="FN143" i="2"/>
  <c r="FM143" i="2"/>
  <c r="FL143" i="2"/>
  <c r="FK143" i="2"/>
  <c r="FJ143" i="2"/>
  <c r="FI143" i="2"/>
  <c r="GB143" i="2" s="1"/>
  <c r="FH143" i="2"/>
  <c r="FG143" i="2"/>
  <c r="FF143" i="2"/>
  <c r="FY143" i="2" s="1"/>
  <c r="FE143" i="2"/>
  <c r="FX143" i="2" s="1"/>
  <c r="FD143" i="2"/>
  <c r="FC143" i="2"/>
  <c r="FB143" i="2"/>
  <c r="EH143" i="2"/>
  <c r="EG143" i="2"/>
  <c r="EZ143" i="2" s="1"/>
  <c r="EE143" i="2"/>
  <c r="EX143" i="2" s="1"/>
  <c r="ED143" i="2"/>
  <c r="EW143" i="2" s="1"/>
  <c r="EC143" i="2"/>
  <c r="EB143" i="2"/>
  <c r="EA143" i="2"/>
  <c r="DZ143" i="2"/>
  <c r="DY143" i="2"/>
  <c r="DX143" i="2"/>
  <c r="DW143" i="2"/>
  <c r="EP143" i="2" s="1"/>
  <c r="DV143" i="2"/>
  <c r="DU143" i="2"/>
  <c r="DT143" i="2"/>
  <c r="EM143" i="2" s="1"/>
  <c r="DS143" i="2"/>
  <c r="EL143" i="2" s="1"/>
  <c r="DR143" i="2"/>
  <c r="DQ143" i="2"/>
  <c r="DP143" i="2"/>
  <c r="FT142" i="2"/>
  <c r="FS142" i="2"/>
  <c r="GL142" i="2" s="1"/>
  <c r="FQ142" i="2"/>
  <c r="GJ142" i="2" s="1"/>
  <c r="FP142" i="2"/>
  <c r="GI142" i="2" s="1"/>
  <c r="FO142" i="2"/>
  <c r="FN142" i="2"/>
  <c r="FM142" i="2"/>
  <c r="FL142" i="2"/>
  <c r="FK142" i="2"/>
  <c r="FJ142" i="2"/>
  <c r="FI142" i="2"/>
  <c r="GB142" i="2" s="1"/>
  <c r="FH142" i="2"/>
  <c r="FG142" i="2"/>
  <c r="FF142" i="2"/>
  <c r="FY142" i="2" s="1"/>
  <c r="FE142" i="2"/>
  <c r="FX142" i="2" s="1"/>
  <c r="FD142" i="2"/>
  <c r="FC142" i="2"/>
  <c r="FB142" i="2"/>
  <c r="EH142" i="2"/>
  <c r="EG142" i="2"/>
  <c r="EZ142" i="2" s="1"/>
  <c r="EE142" i="2"/>
  <c r="EX142" i="2" s="1"/>
  <c r="ED142" i="2"/>
  <c r="EW142" i="2" s="1"/>
  <c r="EC142" i="2"/>
  <c r="EB142" i="2"/>
  <c r="EA142" i="2"/>
  <c r="DZ142" i="2"/>
  <c r="DY142" i="2"/>
  <c r="DX142" i="2"/>
  <c r="DW142" i="2"/>
  <c r="EP142" i="2" s="1"/>
  <c r="DV142" i="2"/>
  <c r="DU142" i="2"/>
  <c r="DT142" i="2"/>
  <c r="EM142" i="2" s="1"/>
  <c r="DS142" i="2"/>
  <c r="EL142" i="2" s="1"/>
  <c r="DR142" i="2"/>
  <c r="DQ142" i="2"/>
  <c r="DP142" i="2"/>
  <c r="FT141" i="2"/>
  <c r="FS141" i="2"/>
  <c r="GL141" i="2" s="1"/>
  <c r="FQ141" i="2"/>
  <c r="GJ141" i="2" s="1"/>
  <c r="FP141" i="2"/>
  <c r="GI141" i="2" s="1"/>
  <c r="FO141" i="2"/>
  <c r="FN141" i="2"/>
  <c r="FM141" i="2"/>
  <c r="FL141" i="2"/>
  <c r="FK141" i="2"/>
  <c r="FJ141" i="2"/>
  <c r="FI141" i="2"/>
  <c r="GB141" i="2" s="1"/>
  <c r="FH141" i="2"/>
  <c r="FG141" i="2"/>
  <c r="FF141" i="2"/>
  <c r="FY141" i="2" s="1"/>
  <c r="FE141" i="2"/>
  <c r="FX141" i="2" s="1"/>
  <c r="FD141" i="2"/>
  <c r="FC141" i="2"/>
  <c r="FB141" i="2"/>
  <c r="EH141" i="2"/>
  <c r="EG141" i="2"/>
  <c r="EZ141" i="2" s="1"/>
  <c r="EE141" i="2"/>
  <c r="EX141" i="2" s="1"/>
  <c r="ED141" i="2"/>
  <c r="EW141" i="2" s="1"/>
  <c r="EC141" i="2"/>
  <c r="EB141" i="2"/>
  <c r="EA141" i="2"/>
  <c r="DZ141" i="2"/>
  <c r="DY141" i="2"/>
  <c r="DX141" i="2"/>
  <c r="DW141" i="2"/>
  <c r="EP141" i="2" s="1"/>
  <c r="DV141" i="2"/>
  <c r="DU141" i="2"/>
  <c r="DT141" i="2"/>
  <c r="EM141" i="2" s="1"/>
  <c r="DS141" i="2"/>
  <c r="EL141" i="2" s="1"/>
  <c r="DR141" i="2"/>
  <c r="DQ141" i="2"/>
  <c r="DP141" i="2"/>
  <c r="FT140" i="2"/>
  <c r="FS140" i="2"/>
  <c r="GL140" i="2" s="1"/>
  <c r="FQ140" i="2"/>
  <c r="GJ140" i="2" s="1"/>
  <c r="FP140" i="2"/>
  <c r="GI140" i="2" s="1"/>
  <c r="FO140" i="2"/>
  <c r="FN140" i="2"/>
  <c r="FM140" i="2"/>
  <c r="FL140" i="2"/>
  <c r="FK140" i="2"/>
  <c r="FJ140" i="2"/>
  <c r="FI140" i="2"/>
  <c r="GB140" i="2" s="1"/>
  <c r="FH140" i="2"/>
  <c r="FG140" i="2"/>
  <c r="FF140" i="2"/>
  <c r="FY140" i="2" s="1"/>
  <c r="FE140" i="2"/>
  <c r="FX140" i="2" s="1"/>
  <c r="FD140" i="2"/>
  <c r="FC140" i="2"/>
  <c r="FB140" i="2"/>
  <c r="EH140" i="2"/>
  <c r="EG140" i="2"/>
  <c r="EZ140" i="2" s="1"/>
  <c r="EE140" i="2"/>
  <c r="EX140" i="2" s="1"/>
  <c r="ED140" i="2"/>
  <c r="EW140" i="2" s="1"/>
  <c r="EC140" i="2"/>
  <c r="EB140" i="2"/>
  <c r="EA140" i="2"/>
  <c r="DZ140" i="2"/>
  <c r="DY140" i="2"/>
  <c r="DX140" i="2"/>
  <c r="DW140" i="2"/>
  <c r="EP140" i="2" s="1"/>
  <c r="DV140" i="2"/>
  <c r="DU140" i="2"/>
  <c r="DT140" i="2"/>
  <c r="EM140" i="2" s="1"/>
  <c r="DS140" i="2"/>
  <c r="EL140" i="2" s="1"/>
  <c r="DR140" i="2"/>
  <c r="DQ140" i="2"/>
  <c r="DP140" i="2"/>
  <c r="FT139" i="2"/>
  <c r="FS139" i="2"/>
  <c r="GL139" i="2" s="1"/>
  <c r="FQ139" i="2"/>
  <c r="GJ139" i="2" s="1"/>
  <c r="FP139" i="2"/>
  <c r="GI139" i="2" s="1"/>
  <c r="FO139" i="2"/>
  <c r="FN139" i="2"/>
  <c r="FM139" i="2"/>
  <c r="FL139" i="2"/>
  <c r="FK139" i="2"/>
  <c r="FJ139" i="2"/>
  <c r="FI139" i="2"/>
  <c r="GB139" i="2" s="1"/>
  <c r="FH139" i="2"/>
  <c r="FG139" i="2"/>
  <c r="FF139" i="2"/>
  <c r="FY139" i="2" s="1"/>
  <c r="FE139" i="2"/>
  <c r="FX139" i="2" s="1"/>
  <c r="FD139" i="2"/>
  <c r="FC139" i="2"/>
  <c r="FB139" i="2"/>
  <c r="FT99" i="2"/>
  <c r="FS99" i="2"/>
  <c r="GL99" i="2" s="1"/>
  <c r="FQ99" i="2"/>
  <c r="GJ99" i="2" s="1"/>
  <c r="FP99" i="2"/>
  <c r="GI99" i="2" s="1"/>
  <c r="FO99" i="2"/>
  <c r="FN99" i="2"/>
  <c r="FM99" i="2"/>
  <c r="FL99" i="2"/>
  <c r="FK99" i="2"/>
  <c r="FJ99" i="2"/>
  <c r="FI99" i="2"/>
  <c r="GB99" i="2" s="1"/>
  <c r="FH99" i="2"/>
  <c r="FG99" i="2"/>
  <c r="FF99" i="2"/>
  <c r="FY99" i="2" s="1"/>
  <c r="FE99" i="2"/>
  <c r="FX99" i="2" s="1"/>
  <c r="FD99" i="2"/>
  <c r="FC99" i="2"/>
  <c r="FB99" i="2"/>
  <c r="EH99" i="2"/>
  <c r="EG99" i="2"/>
  <c r="EZ99" i="2" s="1"/>
  <c r="EE99" i="2"/>
  <c r="EX99" i="2" s="1"/>
  <c r="ED99" i="2"/>
  <c r="EW99" i="2" s="1"/>
  <c r="EC99" i="2"/>
  <c r="EB99" i="2"/>
  <c r="EA99" i="2"/>
  <c r="DZ99" i="2"/>
  <c r="DY99" i="2"/>
  <c r="DX99" i="2"/>
  <c r="DW99" i="2"/>
  <c r="EP99" i="2" s="1"/>
  <c r="DV99" i="2"/>
  <c r="DU99" i="2"/>
  <c r="DT99" i="2"/>
  <c r="EM99" i="2" s="1"/>
  <c r="DS99" i="2"/>
  <c r="EL99" i="2" s="1"/>
  <c r="DR99" i="2"/>
  <c r="DQ99" i="2"/>
  <c r="DP99" i="2"/>
  <c r="FT115" i="2"/>
  <c r="FS115" i="2"/>
  <c r="GL115" i="2" s="1"/>
  <c r="FQ115" i="2"/>
  <c r="GJ115" i="2" s="1"/>
  <c r="FP115" i="2"/>
  <c r="GI115" i="2" s="1"/>
  <c r="FO115" i="2"/>
  <c r="FN115" i="2"/>
  <c r="FM115" i="2"/>
  <c r="FL115" i="2"/>
  <c r="FK115" i="2"/>
  <c r="FJ115" i="2"/>
  <c r="FI115" i="2"/>
  <c r="GB115" i="2" s="1"/>
  <c r="FH115" i="2"/>
  <c r="FG115" i="2"/>
  <c r="FF115" i="2"/>
  <c r="FY115" i="2" s="1"/>
  <c r="FE115" i="2"/>
  <c r="FX115" i="2" s="1"/>
  <c r="FD115" i="2"/>
  <c r="FC115" i="2"/>
  <c r="FB115" i="2"/>
  <c r="EH115" i="2"/>
  <c r="EG115" i="2"/>
  <c r="EZ115" i="2" s="1"/>
  <c r="EE115" i="2"/>
  <c r="EX115" i="2" s="1"/>
  <c r="ED115" i="2"/>
  <c r="EW115" i="2" s="1"/>
  <c r="EC115" i="2"/>
  <c r="EB115" i="2"/>
  <c r="EA115" i="2"/>
  <c r="DZ115" i="2"/>
  <c r="DY115" i="2"/>
  <c r="DX115" i="2"/>
  <c r="DW115" i="2"/>
  <c r="EP115" i="2" s="1"/>
  <c r="DV115" i="2"/>
  <c r="DU115" i="2"/>
  <c r="DT115" i="2"/>
  <c r="EM115" i="2" s="1"/>
  <c r="DS115" i="2"/>
  <c r="EL115" i="2" s="1"/>
  <c r="DR115" i="2"/>
  <c r="DQ115" i="2"/>
  <c r="DP115" i="2"/>
  <c r="FT98" i="2"/>
  <c r="FS98" i="2"/>
  <c r="GL98" i="2" s="1"/>
  <c r="FQ98" i="2"/>
  <c r="GJ98" i="2" s="1"/>
  <c r="FP98" i="2"/>
  <c r="GI98" i="2" s="1"/>
  <c r="FO98" i="2"/>
  <c r="FN98" i="2"/>
  <c r="FM98" i="2"/>
  <c r="FL98" i="2"/>
  <c r="FK98" i="2"/>
  <c r="FJ98" i="2"/>
  <c r="FI98" i="2"/>
  <c r="GB98" i="2" s="1"/>
  <c r="FH98" i="2"/>
  <c r="FG98" i="2"/>
  <c r="FF98" i="2"/>
  <c r="FY98" i="2" s="1"/>
  <c r="FE98" i="2"/>
  <c r="FX98" i="2" s="1"/>
  <c r="FD98" i="2"/>
  <c r="FC98" i="2"/>
  <c r="FB98" i="2"/>
  <c r="EH98" i="2"/>
  <c r="EG98" i="2"/>
  <c r="EZ98" i="2" s="1"/>
  <c r="EE98" i="2"/>
  <c r="EX98" i="2" s="1"/>
  <c r="ED98" i="2"/>
  <c r="EW98" i="2" s="1"/>
  <c r="EC98" i="2"/>
  <c r="EB98" i="2"/>
  <c r="EA98" i="2"/>
  <c r="DZ98" i="2"/>
  <c r="DY98" i="2"/>
  <c r="DX98" i="2"/>
  <c r="DW98" i="2"/>
  <c r="EP98" i="2" s="1"/>
  <c r="DV98" i="2"/>
  <c r="DU98" i="2"/>
  <c r="DT98" i="2"/>
  <c r="EM98" i="2" s="1"/>
  <c r="DS98" i="2"/>
  <c r="EL98" i="2" s="1"/>
  <c r="DR98" i="2"/>
  <c r="DQ98" i="2"/>
  <c r="DP98" i="2"/>
  <c r="FT130" i="2"/>
  <c r="FS130" i="2"/>
  <c r="GL130" i="2" s="1"/>
  <c r="FQ130" i="2"/>
  <c r="GJ130" i="2" s="1"/>
  <c r="FP130" i="2"/>
  <c r="GI130" i="2" s="1"/>
  <c r="FO130" i="2"/>
  <c r="FN130" i="2"/>
  <c r="FM130" i="2"/>
  <c r="FL130" i="2"/>
  <c r="FK130" i="2"/>
  <c r="FJ130" i="2"/>
  <c r="FI130" i="2"/>
  <c r="GB130" i="2" s="1"/>
  <c r="FH130" i="2"/>
  <c r="FG130" i="2"/>
  <c r="FF130" i="2"/>
  <c r="FY130" i="2" s="1"/>
  <c r="FE130" i="2"/>
  <c r="FX130" i="2" s="1"/>
  <c r="FD130" i="2"/>
  <c r="FC130" i="2"/>
  <c r="FB130" i="2"/>
  <c r="EH130" i="2"/>
  <c r="EG130" i="2"/>
  <c r="EZ130" i="2" s="1"/>
  <c r="EE130" i="2"/>
  <c r="EX130" i="2" s="1"/>
  <c r="ED130" i="2"/>
  <c r="EW130" i="2" s="1"/>
  <c r="EC130" i="2"/>
  <c r="EB130" i="2"/>
  <c r="EA130" i="2"/>
  <c r="DZ130" i="2"/>
  <c r="DY130" i="2"/>
  <c r="DX130" i="2"/>
  <c r="DW130" i="2"/>
  <c r="EP130" i="2" s="1"/>
  <c r="DV130" i="2"/>
  <c r="DU130" i="2"/>
  <c r="DT130" i="2"/>
  <c r="EM130" i="2" s="1"/>
  <c r="DS130" i="2"/>
  <c r="EL130" i="2" s="1"/>
  <c r="DR130" i="2"/>
  <c r="DQ130" i="2"/>
  <c r="DP130" i="2"/>
  <c r="FT96" i="2"/>
  <c r="FS96" i="2"/>
  <c r="GL96" i="2" s="1"/>
  <c r="FQ96" i="2"/>
  <c r="GJ96" i="2" s="1"/>
  <c r="FP96" i="2"/>
  <c r="GI96" i="2" s="1"/>
  <c r="FO96" i="2"/>
  <c r="FN96" i="2"/>
  <c r="FM96" i="2"/>
  <c r="FL96" i="2"/>
  <c r="FK96" i="2"/>
  <c r="FJ96" i="2"/>
  <c r="FI96" i="2"/>
  <c r="GB96" i="2" s="1"/>
  <c r="FH96" i="2"/>
  <c r="FG96" i="2"/>
  <c r="FF96" i="2"/>
  <c r="FY96" i="2" s="1"/>
  <c r="FE96" i="2"/>
  <c r="FX96" i="2" s="1"/>
  <c r="FD96" i="2"/>
  <c r="FC96" i="2"/>
  <c r="FB96" i="2"/>
  <c r="FT93" i="2"/>
  <c r="FS93" i="2"/>
  <c r="GL93" i="2" s="1"/>
  <c r="FQ93" i="2"/>
  <c r="GJ93" i="2" s="1"/>
  <c r="FP93" i="2"/>
  <c r="GI93" i="2" s="1"/>
  <c r="FO93" i="2"/>
  <c r="FN93" i="2"/>
  <c r="FM93" i="2"/>
  <c r="FL93" i="2"/>
  <c r="FK93" i="2"/>
  <c r="FJ93" i="2"/>
  <c r="FI93" i="2"/>
  <c r="GB93" i="2" s="1"/>
  <c r="FH93" i="2"/>
  <c r="FG93" i="2"/>
  <c r="FF93" i="2"/>
  <c r="FY93" i="2" s="1"/>
  <c r="FE93" i="2"/>
  <c r="FX93" i="2" s="1"/>
  <c r="FD93" i="2"/>
  <c r="FC93" i="2"/>
  <c r="FB93" i="2"/>
  <c r="FT124" i="2"/>
  <c r="FS124" i="2"/>
  <c r="GL124" i="2" s="1"/>
  <c r="FQ124" i="2"/>
  <c r="GJ124" i="2" s="1"/>
  <c r="FP124" i="2"/>
  <c r="GI124" i="2" s="1"/>
  <c r="FO124" i="2"/>
  <c r="FN124" i="2"/>
  <c r="FM124" i="2"/>
  <c r="FL124" i="2"/>
  <c r="FK124" i="2"/>
  <c r="FJ124" i="2"/>
  <c r="FI124" i="2"/>
  <c r="GB124" i="2" s="1"/>
  <c r="FH124" i="2"/>
  <c r="FG124" i="2"/>
  <c r="FF124" i="2"/>
  <c r="FY124" i="2" s="1"/>
  <c r="FE124" i="2"/>
  <c r="FX124" i="2" s="1"/>
  <c r="FD124" i="2"/>
  <c r="FC124" i="2"/>
  <c r="FB124" i="2"/>
  <c r="EH124" i="2"/>
  <c r="EG124" i="2"/>
  <c r="EZ124" i="2" s="1"/>
  <c r="EE124" i="2"/>
  <c r="EX124" i="2" s="1"/>
  <c r="ED124" i="2"/>
  <c r="EW124" i="2" s="1"/>
  <c r="EC124" i="2"/>
  <c r="EB124" i="2"/>
  <c r="EA124" i="2"/>
  <c r="DZ124" i="2"/>
  <c r="DY124" i="2"/>
  <c r="DX124" i="2"/>
  <c r="DW124" i="2"/>
  <c r="EP124" i="2" s="1"/>
  <c r="DV124" i="2"/>
  <c r="DU124" i="2"/>
  <c r="DT124" i="2"/>
  <c r="EM124" i="2" s="1"/>
  <c r="DS124" i="2"/>
  <c r="EL124" i="2" s="1"/>
  <c r="DR124" i="2"/>
  <c r="DQ124" i="2"/>
  <c r="DP124" i="2"/>
  <c r="FT123" i="2"/>
  <c r="FS123" i="2"/>
  <c r="GL123" i="2" s="1"/>
  <c r="FQ123" i="2"/>
  <c r="GJ123" i="2" s="1"/>
  <c r="FP123" i="2"/>
  <c r="GI123" i="2" s="1"/>
  <c r="FO123" i="2"/>
  <c r="FN123" i="2"/>
  <c r="FM123" i="2"/>
  <c r="FL123" i="2"/>
  <c r="FK123" i="2"/>
  <c r="FJ123" i="2"/>
  <c r="FI123" i="2"/>
  <c r="GB123" i="2" s="1"/>
  <c r="FH123" i="2"/>
  <c r="FG123" i="2"/>
  <c r="FF123" i="2"/>
  <c r="FY123" i="2" s="1"/>
  <c r="FE123" i="2"/>
  <c r="FX123" i="2" s="1"/>
  <c r="FD123" i="2"/>
  <c r="FC123" i="2"/>
  <c r="FB123" i="2"/>
  <c r="EH123" i="2"/>
  <c r="EG123" i="2"/>
  <c r="EZ123" i="2" s="1"/>
  <c r="EE123" i="2"/>
  <c r="EX123" i="2" s="1"/>
  <c r="ED123" i="2"/>
  <c r="EW123" i="2" s="1"/>
  <c r="EC123" i="2"/>
  <c r="EB123" i="2"/>
  <c r="EA123" i="2"/>
  <c r="DZ123" i="2"/>
  <c r="DY123" i="2"/>
  <c r="DX123" i="2"/>
  <c r="DW123" i="2"/>
  <c r="EP123" i="2" s="1"/>
  <c r="DV123" i="2"/>
  <c r="DU123" i="2"/>
  <c r="DT123" i="2"/>
  <c r="EM123" i="2" s="1"/>
  <c r="DS123" i="2"/>
  <c r="EL123" i="2" s="1"/>
  <c r="DR123" i="2"/>
  <c r="DQ123" i="2"/>
  <c r="DP123" i="2"/>
  <c r="FT69" i="2"/>
  <c r="FS69" i="2"/>
  <c r="GL69" i="2" s="1"/>
  <c r="FQ69" i="2"/>
  <c r="GJ69" i="2" s="1"/>
  <c r="FP69" i="2"/>
  <c r="GI69" i="2" s="1"/>
  <c r="FO69" i="2"/>
  <c r="FN69" i="2"/>
  <c r="FM69" i="2"/>
  <c r="FL69" i="2"/>
  <c r="FK69" i="2"/>
  <c r="FJ69" i="2"/>
  <c r="FI69" i="2"/>
  <c r="GB69" i="2" s="1"/>
  <c r="FH69" i="2"/>
  <c r="FG69" i="2"/>
  <c r="FF69" i="2"/>
  <c r="FY69" i="2" s="1"/>
  <c r="FE69" i="2"/>
  <c r="FX69" i="2" s="1"/>
  <c r="FD69" i="2"/>
  <c r="FC69" i="2"/>
  <c r="FB69" i="2"/>
  <c r="EH69" i="2"/>
  <c r="EG69" i="2"/>
  <c r="EZ69" i="2" s="1"/>
  <c r="ED69" i="2"/>
  <c r="EW69" i="2" s="1"/>
  <c r="EC69" i="2"/>
  <c r="EB69" i="2"/>
  <c r="EA69" i="2"/>
  <c r="DZ69" i="2"/>
  <c r="DY69" i="2"/>
  <c r="DX69" i="2"/>
  <c r="DW69" i="2"/>
  <c r="EP69" i="2" s="1"/>
  <c r="DV69" i="2"/>
  <c r="DU69" i="2"/>
  <c r="DT69" i="2"/>
  <c r="EM69" i="2" s="1"/>
  <c r="DS69" i="2"/>
  <c r="EL69" i="2" s="1"/>
  <c r="DR69" i="2"/>
  <c r="DQ69" i="2"/>
  <c r="DP69" i="2"/>
  <c r="FT83" i="2"/>
  <c r="FS83" i="2"/>
  <c r="GL83" i="2" s="1"/>
  <c r="FQ83" i="2"/>
  <c r="GJ83" i="2" s="1"/>
  <c r="FP83" i="2"/>
  <c r="GI83" i="2" s="1"/>
  <c r="FO83" i="2"/>
  <c r="FN83" i="2"/>
  <c r="FM83" i="2"/>
  <c r="FL83" i="2"/>
  <c r="FK83" i="2"/>
  <c r="FJ83" i="2"/>
  <c r="FI83" i="2"/>
  <c r="GB83" i="2" s="1"/>
  <c r="FH83" i="2"/>
  <c r="FG83" i="2"/>
  <c r="FF83" i="2"/>
  <c r="FY83" i="2" s="1"/>
  <c r="FE83" i="2"/>
  <c r="FX83" i="2" s="1"/>
  <c r="FD83" i="2"/>
  <c r="FC83" i="2"/>
  <c r="FB83" i="2"/>
  <c r="EH83" i="2"/>
  <c r="EG83" i="2"/>
  <c r="EZ83" i="2" s="1"/>
  <c r="EE83" i="2"/>
  <c r="EX83" i="2" s="1"/>
  <c r="ED83" i="2"/>
  <c r="EW83" i="2" s="1"/>
  <c r="EC83" i="2"/>
  <c r="EB83" i="2"/>
  <c r="EA83" i="2"/>
  <c r="DZ83" i="2"/>
  <c r="DY83" i="2"/>
  <c r="DX83" i="2"/>
  <c r="DW83" i="2"/>
  <c r="EP83" i="2" s="1"/>
  <c r="DV83" i="2"/>
  <c r="DU83" i="2"/>
  <c r="DT83" i="2"/>
  <c r="EM83" i="2" s="1"/>
  <c r="DS83" i="2"/>
  <c r="EL83" i="2" s="1"/>
  <c r="DR83" i="2"/>
  <c r="DQ83" i="2"/>
  <c r="DP83" i="2"/>
  <c r="FT6" i="2"/>
  <c r="FS6" i="2"/>
  <c r="GL6" i="2" s="1"/>
  <c r="FQ6" i="2"/>
  <c r="GJ6" i="2" s="1"/>
  <c r="FP6" i="2"/>
  <c r="GI6" i="2" s="1"/>
  <c r="FO6" i="2"/>
  <c r="FN6" i="2"/>
  <c r="FM6" i="2"/>
  <c r="FL6" i="2"/>
  <c r="FK6" i="2"/>
  <c r="FJ6" i="2"/>
  <c r="FI6" i="2"/>
  <c r="GB6" i="2" s="1"/>
  <c r="FH6" i="2"/>
  <c r="FG6" i="2"/>
  <c r="FF6" i="2"/>
  <c r="FY6" i="2" s="1"/>
  <c r="FE6" i="2"/>
  <c r="FX6" i="2" s="1"/>
  <c r="FD6" i="2"/>
  <c r="FC6" i="2"/>
  <c r="FB6" i="2"/>
  <c r="EH6" i="2"/>
  <c r="EG6" i="2"/>
  <c r="EZ6" i="2" s="1"/>
  <c r="EE6" i="2"/>
  <c r="EX6" i="2" s="1"/>
  <c r="ED6" i="2"/>
  <c r="EW6" i="2" s="1"/>
  <c r="EC6" i="2"/>
  <c r="EB6" i="2"/>
  <c r="EA6" i="2"/>
  <c r="DZ6" i="2"/>
  <c r="DY6" i="2"/>
  <c r="DX6" i="2"/>
  <c r="DW6" i="2"/>
  <c r="EP6" i="2" s="1"/>
  <c r="DV6" i="2"/>
  <c r="DU6" i="2"/>
  <c r="DT6" i="2"/>
  <c r="EM6" i="2" s="1"/>
  <c r="DS6" i="2"/>
  <c r="EL6" i="2" s="1"/>
  <c r="DR6" i="2"/>
  <c r="DQ6" i="2"/>
  <c r="DP6" i="2"/>
  <c r="FT528" i="2"/>
  <c r="FS528" i="2"/>
  <c r="GL528" i="2" s="1"/>
  <c r="FQ528" i="2"/>
  <c r="GJ528" i="2" s="1"/>
  <c r="FP528" i="2"/>
  <c r="GI528" i="2" s="1"/>
  <c r="FO528" i="2"/>
  <c r="FN528" i="2"/>
  <c r="FM528" i="2"/>
  <c r="FL528" i="2"/>
  <c r="FK528" i="2"/>
  <c r="FJ528" i="2"/>
  <c r="FI528" i="2"/>
  <c r="GB528" i="2" s="1"/>
  <c r="FH528" i="2"/>
  <c r="FG528" i="2"/>
  <c r="FF528" i="2"/>
  <c r="FY528" i="2" s="1"/>
  <c r="FE528" i="2"/>
  <c r="FX528" i="2" s="1"/>
  <c r="FD528" i="2"/>
  <c r="FC528" i="2"/>
  <c r="FB528" i="2"/>
  <c r="EH528" i="2"/>
  <c r="EG528" i="2"/>
  <c r="EZ528" i="2" s="1"/>
  <c r="EE528" i="2"/>
  <c r="EX528" i="2" s="1"/>
  <c r="ED528" i="2"/>
  <c r="EW528" i="2" s="1"/>
  <c r="EC528" i="2"/>
  <c r="EB528" i="2"/>
  <c r="EA528" i="2"/>
  <c r="DZ528" i="2"/>
  <c r="DY528" i="2"/>
  <c r="DX528" i="2"/>
  <c r="DW528" i="2"/>
  <c r="EP528" i="2" s="1"/>
  <c r="DV528" i="2"/>
  <c r="DU528" i="2"/>
  <c r="DT528" i="2"/>
  <c r="EM528" i="2" s="1"/>
  <c r="DS528" i="2"/>
  <c r="EL528" i="2" s="1"/>
  <c r="DR528" i="2"/>
  <c r="DQ528" i="2"/>
  <c r="DP528" i="2"/>
  <c r="FT527" i="2"/>
  <c r="FS527" i="2"/>
  <c r="GL527" i="2" s="1"/>
  <c r="FQ527" i="2"/>
  <c r="GJ527" i="2" s="1"/>
  <c r="FP527" i="2"/>
  <c r="GI527" i="2" s="1"/>
  <c r="FO527" i="2"/>
  <c r="FN527" i="2"/>
  <c r="FM527" i="2"/>
  <c r="FL527" i="2"/>
  <c r="FK527" i="2"/>
  <c r="FJ527" i="2"/>
  <c r="FI527" i="2"/>
  <c r="GB527" i="2" s="1"/>
  <c r="FH527" i="2"/>
  <c r="FG527" i="2"/>
  <c r="FF527" i="2"/>
  <c r="FY527" i="2" s="1"/>
  <c r="FE527" i="2"/>
  <c r="FX527" i="2" s="1"/>
  <c r="FD527" i="2"/>
  <c r="FC527" i="2"/>
  <c r="FB527" i="2"/>
  <c r="EH527" i="2"/>
  <c r="EG527" i="2"/>
  <c r="EZ527" i="2" s="1"/>
  <c r="EE527" i="2"/>
  <c r="EX527" i="2" s="1"/>
  <c r="ED527" i="2"/>
  <c r="EW527" i="2" s="1"/>
  <c r="EC527" i="2"/>
  <c r="EB527" i="2"/>
  <c r="EA527" i="2"/>
  <c r="DZ527" i="2"/>
  <c r="DY527" i="2"/>
  <c r="DX527" i="2"/>
  <c r="DW527" i="2"/>
  <c r="EP527" i="2" s="1"/>
  <c r="DV527" i="2"/>
  <c r="DU527" i="2"/>
  <c r="DT527" i="2"/>
  <c r="EM527" i="2" s="1"/>
  <c r="DS527" i="2"/>
  <c r="EL527" i="2" s="1"/>
  <c r="DR527" i="2"/>
  <c r="DQ527" i="2"/>
  <c r="DP527" i="2"/>
  <c r="FT526" i="2"/>
  <c r="FS526" i="2"/>
  <c r="GL526" i="2" s="1"/>
  <c r="FQ526" i="2"/>
  <c r="GJ526" i="2" s="1"/>
  <c r="FP526" i="2"/>
  <c r="GI526" i="2" s="1"/>
  <c r="FO526" i="2"/>
  <c r="FN526" i="2"/>
  <c r="FM526" i="2"/>
  <c r="FL526" i="2"/>
  <c r="FK526" i="2"/>
  <c r="FJ526" i="2"/>
  <c r="FI526" i="2"/>
  <c r="GB526" i="2" s="1"/>
  <c r="FH526" i="2"/>
  <c r="FG526" i="2"/>
  <c r="FF526" i="2"/>
  <c r="FY526" i="2" s="1"/>
  <c r="FE526" i="2"/>
  <c r="FX526" i="2" s="1"/>
  <c r="FD526" i="2"/>
  <c r="FC526" i="2"/>
  <c r="FB526" i="2"/>
  <c r="EH526" i="2"/>
  <c r="EG526" i="2"/>
  <c r="EZ526" i="2" s="1"/>
  <c r="EE526" i="2"/>
  <c r="EX526" i="2" s="1"/>
  <c r="ED526" i="2"/>
  <c r="EW526" i="2" s="1"/>
  <c r="EC526" i="2"/>
  <c r="EB526" i="2"/>
  <c r="EA526" i="2"/>
  <c r="DZ526" i="2"/>
  <c r="DY526" i="2"/>
  <c r="DX526" i="2"/>
  <c r="DW526" i="2"/>
  <c r="EP526" i="2" s="1"/>
  <c r="DV526" i="2"/>
  <c r="DU526" i="2"/>
  <c r="DT526" i="2"/>
  <c r="EM526" i="2" s="1"/>
  <c r="DS526" i="2"/>
  <c r="EL526" i="2" s="1"/>
  <c r="DR526" i="2"/>
  <c r="DQ526" i="2"/>
  <c r="DP526" i="2"/>
  <c r="FT525" i="2"/>
  <c r="FS525" i="2"/>
  <c r="GL525" i="2" s="1"/>
  <c r="FQ525" i="2"/>
  <c r="GJ525" i="2" s="1"/>
  <c r="FP525" i="2"/>
  <c r="GI525" i="2" s="1"/>
  <c r="FO525" i="2"/>
  <c r="FN525" i="2"/>
  <c r="FM525" i="2"/>
  <c r="FL525" i="2"/>
  <c r="FK525" i="2"/>
  <c r="FJ525" i="2"/>
  <c r="FI525" i="2"/>
  <c r="GB525" i="2" s="1"/>
  <c r="FH525" i="2"/>
  <c r="FG525" i="2"/>
  <c r="FF525" i="2"/>
  <c r="FY525" i="2" s="1"/>
  <c r="FE525" i="2"/>
  <c r="FX525" i="2" s="1"/>
  <c r="FD525" i="2"/>
  <c r="FC525" i="2"/>
  <c r="FB525" i="2"/>
  <c r="EH525" i="2"/>
  <c r="EG525" i="2"/>
  <c r="EZ525" i="2" s="1"/>
  <c r="EE525" i="2"/>
  <c r="EX525" i="2" s="1"/>
  <c r="ED525" i="2"/>
  <c r="EW525" i="2" s="1"/>
  <c r="EC525" i="2"/>
  <c r="EB525" i="2"/>
  <c r="EA525" i="2"/>
  <c r="DZ525" i="2"/>
  <c r="DY525" i="2"/>
  <c r="DX525" i="2"/>
  <c r="DW525" i="2"/>
  <c r="EP525" i="2" s="1"/>
  <c r="DV525" i="2"/>
  <c r="DU525" i="2"/>
  <c r="DT525" i="2"/>
  <c r="EM525" i="2" s="1"/>
  <c r="DS525" i="2"/>
  <c r="EL525" i="2" s="1"/>
  <c r="DR525" i="2"/>
  <c r="DQ525" i="2"/>
  <c r="DP525" i="2"/>
  <c r="FT524" i="2"/>
  <c r="FS524" i="2"/>
  <c r="GL524" i="2" s="1"/>
  <c r="FQ524" i="2"/>
  <c r="GJ524" i="2" s="1"/>
  <c r="FP524" i="2"/>
  <c r="GI524" i="2" s="1"/>
  <c r="FO524" i="2"/>
  <c r="FN524" i="2"/>
  <c r="FM524" i="2"/>
  <c r="FL524" i="2"/>
  <c r="FK524" i="2"/>
  <c r="FJ524" i="2"/>
  <c r="FI524" i="2"/>
  <c r="GB524" i="2" s="1"/>
  <c r="FH524" i="2"/>
  <c r="FG524" i="2"/>
  <c r="FF524" i="2"/>
  <c r="FY524" i="2" s="1"/>
  <c r="FE524" i="2"/>
  <c r="FX524" i="2" s="1"/>
  <c r="FD524" i="2"/>
  <c r="FC524" i="2"/>
  <c r="FB524" i="2"/>
  <c r="EH524" i="2"/>
  <c r="EG524" i="2"/>
  <c r="EZ524" i="2" s="1"/>
  <c r="EE524" i="2"/>
  <c r="EX524" i="2" s="1"/>
  <c r="ED524" i="2"/>
  <c r="EW524" i="2" s="1"/>
  <c r="EC524" i="2"/>
  <c r="EB524" i="2"/>
  <c r="EA524" i="2"/>
  <c r="DZ524" i="2"/>
  <c r="DY524" i="2"/>
  <c r="DX524" i="2"/>
  <c r="DW524" i="2"/>
  <c r="EP524" i="2" s="1"/>
  <c r="DV524" i="2"/>
  <c r="DU524" i="2"/>
  <c r="DT524" i="2"/>
  <c r="EM524" i="2" s="1"/>
  <c r="DS524" i="2"/>
  <c r="EL524" i="2" s="1"/>
  <c r="DR524" i="2"/>
  <c r="DQ524" i="2"/>
  <c r="DP524" i="2"/>
  <c r="FT523" i="2"/>
  <c r="FS523" i="2"/>
  <c r="GL523" i="2" s="1"/>
  <c r="FQ523" i="2"/>
  <c r="GJ523" i="2" s="1"/>
  <c r="FP523" i="2"/>
  <c r="GI523" i="2" s="1"/>
  <c r="FO523" i="2"/>
  <c r="FN523" i="2"/>
  <c r="FM523" i="2"/>
  <c r="FL523" i="2"/>
  <c r="FK523" i="2"/>
  <c r="FJ523" i="2"/>
  <c r="FI523" i="2"/>
  <c r="GB523" i="2" s="1"/>
  <c r="FH523" i="2"/>
  <c r="FG523" i="2"/>
  <c r="FF523" i="2"/>
  <c r="FY523" i="2" s="1"/>
  <c r="FE523" i="2"/>
  <c r="FX523" i="2" s="1"/>
  <c r="FD523" i="2"/>
  <c r="FC523" i="2"/>
  <c r="FB523" i="2"/>
  <c r="EH523" i="2"/>
  <c r="EG523" i="2"/>
  <c r="EZ523" i="2" s="1"/>
  <c r="EE523" i="2"/>
  <c r="EX523" i="2" s="1"/>
  <c r="ED523" i="2"/>
  <c r="EW523" i="2" s="1"/>
  <c r="EC523" i="2"/>
  <c r="EB523" i="2"/>
  <c r="EA523" i="2"/>
  <c r="DZ523" i="2"/>
  <c r="DY523" i="2"/>
  <c r="DX523" i="2"/>
  <c r="DW523" i="2"/>
  <c r="EP523" i="2" s="1"/>
  <c r="DV523" i="2"/>
  <c r="DU523" i="2"/>
  <c r="DT523" i="2"/>
  <c r="EM523" i="2" s="1"/>
  <c r="DS523" i="2"/>
  <c r="EL523" i="2" s="1"/>
  <c r="DR523" i="2"/>
  <c r="DQ523" i="2"/>
  <c r="DP523" i="2"/>
  <c r="FT522" i="2"/>
  <c r="FS522" i="2"/>
  <c r="GL522" i="2" s="1"/>
  <c r="FQ522" i="2"/>
  <c r="GJ522" i="2" s="1"/>
  <c r="FP522" i="2"/>
  <c r="GI522" i="2" s="1"/>
  <c r="FO522" i="2"/>
  <c r="FN522" i="2"/>
  <c r="FM522" i="2"/>
  <c r="FL522" i="2"/>
  <c r="FK522" i="2"/>
  <c r="FJ522" i="2"/>
  <c r="FI522" i="2"/>
  <c r="GB522" i="2" s="1"/>
  <c r="FH522" i="2"/>
  <c r="FG522" i="2"/>
  <c r="FF522" i="2"/>
  <c r="FY522" i="2" s="1"/>
  <c r="FE522" i="2"/>
  <c r="FX522" i="2" s="1"/>
  <c r="FD522" i="2"/>
  <c r="FC522" i="2"/>
  <c r="FB522" i="2"/>
  <c r="EH522" i="2"/>
  <c r="EG522" i="2"/>
  <c r="EZ522" i="2" s="1"/>
  <c r="EE522" i="2"/>
  <c r="EX522" i="2" s="1"/>
  <c r="ED522" i="2"/>
  <c r="EW522" i="2" s="1"/>
  <c r="EC522" i="2"/>
  <c r="EB522" i="2"/>
  <c r="EA522" i="2"/>
  <c r="DZ522" i="2"/>
  <c r="DY522" i="2"/>
  <c r="DX522" i="2"/>
  <c r="DW522" i="2"/>
  <c r="EP522" i="2" s="1"/>
  <c r="DV522" i="2"/>
  <c r="DU522" i="2"/>
  <c r="DT522" i="2"/>
  <c r="EM522" i="2" s="1"/>
  <c r="DS522" i="2"/>
  <c r="EL522" i="2" s="1"/>
  <c r="DR522" i="2"/>
  <c r="DQ522" i="2"/>
  <c r="DP522" i="2"/>
  <c r="FT459" i="2"/>
  <c r="FS459" i="2"/>
  <c r="GL459" i="2" s="1"/>
  <c r="FQ459" i="2"/>
  <c r="GJ459" i="2" s="1"/>
  <c r="FP459" i="2"/>
  <c r="GI459" i="2" s="1"/>
  <c r="FO459" i="2"/>
  <c r="FN459" i="2"/>
  <c r="FM459" i="2"/>
  <c r="FL459" i="2"/>
  <c r="FK459" i="2"/>
  <c r="FJ459" i="2"/>
  <c r="FI459" i="2"/>
  <c r="GB459" i="2" s="1"/>
  <c r="FH459" i="2"/>
  <c r="FG459" i="2"/>
  <c r="FF459" i="2"/>
  <c r="FY459" i="2" s="1"/>
  <c r="FE459" i="2"/>
  <c r="FX459" i="2" s="1"/>
  <c r="FD459" i="2"/>
  <c r="FC459" i="2"/>
  <c r="FB459" i="2"/>
  <c r="EH459" i="2"/>
  <c r="EG459" i="2"/>
  <c r="EZ459" i="2" s="1"/>
  <c r="EE459" i="2"/>
  <c r="EX459" i="2" s="1"/>
  <c r="ED459" i="2"/>
  <c r="EW459" i="2" s="1"/>
  <c r="EC459" i="2"/>
  <c r="EB459" i="2"/>
  <c r="EA459" i="2"/>
  <c r="DZ459" i="2"/>
  <c r="DY459" i="2"/>
  <c r="DX459" i="2"/>
  <c r="DW459" i="2"/>
  <c r="EP459" i="2" s="1"/>
  <c r="DV459" i="2"/>
  <c r="DU459" i="2"/>
  <c r="DT459" i="2"/>
  <c r="EM459" i="2" s="1"/>
  <c r="DS459" i="2"/>
  <c r="EL459" i="2" s="1"/>
  <c r="DR459" i="2"/>
  <c r="DQ459" i="2"/>
  <c r="DP459" i="2"/>
  <c r="FT629" i="2"/>
  <c r="FS629" i="2"/>
  <c r="GL629" i="2" s="1"/>
  <c r="FQ629" i="2"/>
  <c r="GJ629" i="2" s="1"/>
  <c r="FP629" i="2"/>
  <c r="GI629" i="2" s="1"/>
  <c r="FO629" i="2"/>
  <c r="FN629" i="2"/>
  <c r="FM629" i="2"/>
  <c r="FL629" i="2"/>
  <c r="FK629" i="2"/>
  <c r="FJ629" i="2"/>
  <c r="FI629" i="2"/>
  <c r="GB629" i="2" s="1"/>
  <c r="FH629" i="2"/>
  <c r="FG629" i="2"/>
  <c r="FF629" i="2"/>
  <c r="FY629" i="2" s="1"/>
  <c r="FE629" i="2"/>
  <c r="FX629" i="2" s="1"/>
  <c r="FD629" i="2"/>
  <c r="FC629" i="2"/>
  <c r="FB629" i="2"/>
  <c r="EH629" i="2"/>
  <c r="EG629" i="2"/>
  <c r="EZ629" i="2" s="1"/>
  <c r="EE629" i="2"/>
  <c r="EX629" i="2" s="1"/>
  <c r="ED629" i="2"/>
  <c r="EW629" i="2" s="1"/>
  <c r="EC629" i="2"/>
  <c r="EB629" i="2"/>
  <c r="EA629" i="2"/>
  <c r="DZ629" i="2"/>
  <c r="DY629" i="2"/>
  <c r="DX629" i="2"/>
  <c r="DW629" i="2"/>
  <c r="EP629" i="2" s="1"/>
  <c r="DV629" i="2"/>
  <c r="DU629" i="2"/>
  <c r="DT629" i="2"/>
  <c r="EM629" i="2" s="1"/>
  <c r="DS629" i="2"/>
  <c r="EL629" i="2" s="1"/>
  <c r="DR629" i="2"/>
  <c r="DQ629" i="2"/>
  <c r="DP629" i="2"/>
  <c r="FT628" i="2"/>
  <c r="FS628" i="2"/>
  <c r="GL628" i="2" s="1"/>
  <c r="FQ628" i="2"/>
  <c r="GJ628" i="2" s="1"/>
  <c r="FP628" i="2"/>
  <c r="GI628" i="2" s="1"/>
  <c r="FO628" i="2"/>
  <c r="FN628" i="2"/>
  <c r="FM628" i="2"/>
  <c r="FL628" i="2"/>
  <c r="FK628" i="2"/>
  <c r="FJ628" i="2"/>
  <c r="FI628" i="2"/>
  <c r="GB628" i="2" s="1"/>
  <c r="FH628" i="2"/>
  <c r="FG628" i="2"/>
  <c r="FF628" i="2"/>
  <c r="FY628" i="2" s="1"/>
  <c r="FE628" i="2"/>
  <c r="FX628" i="2" s="1"/>
  <c r="FD628" i="2"/>
  <c r="FC628" i="2"/>
  <c r="FB628" i="2"/>
  <c r="EH628" i="2"/>
  <c r="EG628" i="2"/>
  <c r="EZ628" i="2" s="1"/>
  <c r="EE628" i="2"/>
  <c r="EX628" i="2" s="1"/>
  <c r="ED628" i="2"/>
  <c r="EW628" i="2" s="1"/>
  <c r="EC628" i="2"/>
  <c r="EB628" i="2"/>
  <c r="EA628" i="2"/>
  <c r="DZ628" i="2"/>
  <c r="DY628" i="2"/>
  <c r="DX628" i="2"/>
  <c r="DW628" i="2"/>
  <c r="EP628" i="2" s="1"/>
  <c r="DV628" i="2"/>
  <c r="DU628" i="2"/>
  <c r="DT628" i="2"/>
  <c r="EM628" i="2" s="1"/>
  <c r="DS628" i="2"/>
  <c r="EL628" i="2" s="1"/>
  <c r="DR628" i="2"/>
  <c r="DQ628" i="2"/>
  <c r="DP628" i="2"/>
  <c r="FT627" i="2"/>
  <c r="FS627" i="2"/>
  <c r="GL627" i="2" s="1"/>
  <c r="FQ627" i="2"/>
  <c r="GJ627" i="2" s="1"/>
  <c r="FP627" i="2"/>
  <c r="GI627" i="2" s="1"/>
  <c r="FO627" i="2"/>
  <c r="FN627" i="2"/>
  <c r="FM627" i="2"/>
  <c r="FL627" i="2"/>
  <c r="FK627" i="2"/>
  <c r="FJ627" i="2"/>
  <c r="FI627" i="2"/>
  <c r="GB627" i="2" s="1"/>
  <c r="FH627" i="2"/>
  <c r="FG627" i="2"/>
  <c r="FF627" i="2"/>
  <c r="FY627" i="2" s="1"/>
  <c r="FE627" i="2"/>
  <c r="FX627" i="2" s="1"/>
  <c r="FD627" i="2"/>
  <c r="FC627" i="2"/>
  <c r="FB627" i="2"/>
  <c r="EH627" i="2"/>
  <c r="EG627" i="2"/>
  <c r="EZ627" i="2" s="1"/>
  <c r="EE627" i="2"/>
  <c r="EX627" i="2" s="1"/>
  <c r="ED627" i="2"/>
  <c r="EW627" i="2" s="1"/>
  <c r="EC627" i="2"/>
  <c r="EB627" i="2"/>
  <c r="EA627" i="2"/>
  <c r="DZ627" i="2"/>
  <c r="DY627" i="2"/>
  <c r="DX627" i="2"/>
  <c r="DW627" i="2"/>
  <c r="EP627" i="2" s="1"/>
  <c r="DV627" i="2"/>
  <c r="DU627" i="2"/>
  <c r="DT627" i="2"/>
  <c r="EM627" i="2" s="1"/>
  <c r="DS627" i="2"/>
  <c r="EL627" i="2" s="1"/>
  <c r="DR627" i="2"/>
  <c r="DQ627" i="2"/>
  <c r="DP627" i="2"/>
  <c r="FT576" i="2"/>
  <c r="FS576" i="2"/>
  <c r="GL576" i="2" s="1"/>
  <c r="FQ576" i="2"/>
  <c r="GJ576" i="2" s="1"/>
  <c r="FP576" i="2"/>
  <c r="GI576" i="2" s="1"/>
  <c r="FO576" i="2"/>
  <c r="FN576" i="2"/>
  <c r="FM576" i="2"/>
  <c r="FL576" i="2"/>
  <c r="FK576" i="2"/>
  <c r="FJ576" i="2"/>
  <c r="FI576" i="2"/>
  <c r="GB576" i="2" s="1"/>
  <c r="FH576" i="2"/>
  <c r="FG576" i="2"/>
  <c r="FF576" i="2"/>
  <c r="FY576" i="2" s="1"/>
  <c r="FE576" i="2"/>
  <c r="FX576" i="2" s="1"/>
  <c r="FD576" i="2"/>
  <c r="FC576" i="2"/>
  <c r="FB576" i="2"/>
  <c r="FT521" i="2"/>
  <c r="FS521" i="2"/>
  <c r="GL521" i="2" s="1"/>
  <c r="FQ521" i="2"/>
  <c r="GJ521" i="2" s="1"/>
  <c r="FP521" i="2"/>
  <c r="GI521" i="2" s="1"/>
  <c r="FO521" i="2"/>
  <c r="FN521" i="2"/>
  <c r="FM521" i="2"/>
  <c r="FL521" i="2"/>
  <c r="FK521" i="2"/>
  <c r="FJ521" i="2"/>
  <c r="FI521" i="2"/>
  <c r="GB521" i="2" s="1"/>
  <c r="FH521" i="2"/>
  <c r="FG521" i="2"/>
  <c r="FF521" i="2"/>
  <c r="FY521" i="2" s="1"/>
  <c r="FE521" i="2"/>
  <c r="FX521" i="2" s="1"/>
  <c r="FD521" i="2"/>
  <c r="FC521" i="2"/>
  <c r="FB521" i="2"/>
  <c r="EH521" i="2"/>
  <c r="EG521" i="2"/>
  <c r="EZ521" i="2" s="1"/>
  <c r="EE521" i="2"/>
  <c r="EX521" i="2" s="1"/>
  <c r="ED521" i="2"/>
  <c r="EW521" i="2" s="1"/>
  <c r="EC521" i="2"/>
  <c r="EB521" i="2"/>
  <c r="EA521" i="2"/>
  <c r="DZ521" i="2"/>
  <c r="DY521" i="2"/>
  <c r="DX521" i="2"/>
  <c r="DW521" i="2"/>
  <c r="EP521" i="2" s="1"/>
  <c r="DV521" i="2"/>
  <c r="DU521" i="2"/>
  <c r="DT521" i="2"/>
  <c r="EM521" i="2" s="1"/>
  <c r="DS521" i="2"/>
  <c r="EL521" i="2" s="1"/>
  <c r="DR521" i="2"/>
  <c r="DQ521" i="2"/>
  <c r="DP521" i="2"/>
  <c r="FT520" i="2"/>
  <c r="FS520" i="2"/>
  <c r="GL520" i="2" s="1"/>
  <c r="FQ520" i="2"/>
  <c r="GJ520" i="2" s="1"/>
  <c r="FP520" i="2"/>
  <c r="GI520" i="2" s="1"/>
  <c r="FO520" i="2"/>
  <c r="FN520" i="2"/>
  <c r="FM520" i="2"/>
  <c r="FL520" i="2"/>
  <c r="FK520" i="2"/>
  <c r="FJ520" i="2"/>
  <c r="FI520" i="2"/>
  <c r="GB520" i="2" s="1"/>
  <c r="FH520" i="2"/>
  <c r="FG520" i="2"/>
  <c r="FF520" i="2"/>
  <c r="FY520" i="2" s="1"/>
  <c r="FE520" i="2"/>
  <c r="FX520" i="2" s="1"/>
  <c r="FD520" i="2"/>
  <c r="FC520" i="2"/>
  <c r="FB520" i="2"/>
  <c r="EH520" i="2"/>
  <c r="EG520" i="2"/>
  <c r="EZ520" i="2" s="1"/>
  <c r="EE520" i="2"/>
  <c r="EX520" i="2" s="1"/>
  <c r="ED520" i="2"/>
  <c r="EW520" i="2" s="1"/>
  <c r="EC520" i="2"/>
  <c r="EB520" i="2"/>
  <c r="EA520" i="2"/>
  <c r="DZ520" i="2"/>
  <c r="DY520" i="2"/>
  <c r="DX520" i="2"/>
  <c r="DW520" i="2"/>
  <c r="EP520" i="2" s="1"/>
  <c r="DV520" i="2"/>
  <c r="DU520" i="2"/>
  <c r="DT520" i="2"/>
  <c r="EM520" i="2" s="1"/>
  <c r="DS520" i="2"/>
  <c r="EL520" i="2" s="1"/>
  <c r="DR520" i="2"/>
  <c r="DQ520" i="2"/>
  <c r="DP520" i="2"/>
  <c r="FT623" i="2"/>
  <c r="FS623" i="2"/>
  <c r="GL623" i="2" s="1"/>
  <c r="FQ623" i="2"/>
  <c r="GJ623" i="2" s="1"/>
  <c r="FP623" i="2"/>
  <c r="GI623" i="2" s="1"/>
  <c r="FO623" i="2"/>
  <c r="FN623" i="2"/>
  <c r="FM623" i="2"/>
  <c r="FL623" i="2"/>
  <c r="FK623" i="2"/>
  <c r="FJ623" i="2"/>
  <c r="FI623" i="2"/>
  <c r="GB623" i="2" s="1"/>
  <c r="FH623" i="2"/>
  <c r="FG623" i="2"/>
  <c r="FF623" i="2"/>
  <c r="FY623" i="2" s="1"/>
  <c r="FE623" i="2"/>
  <c r="FX623" i="2" s="1"/>
  <c r="FD623" i="2"/>
  <c r="FC623" i="2"/>
  <c r="FB623" i="2"/>
  <c r="EH623" i="2"/>
  <c r="EG623" i="2"/>
  <c r="EZ623" i="2" s="1"/>
  <c r="EE623" i="2"/>
  <c r="EX623" i="2" s="1"/>
  <c r="ED623" i="2"/>
  <c r="EW623" i="2" s="1"/>
  <c r="EC623" i="2"/>
  <c r="EB623" i="2"/>
  <c r="EA623" i="2"/>
  <c r="DZ623" i="2"/>
  <c r="DY623" i="2"/>
  <c r="DX623" i="2"/>
  <c r="DW623" i="2"/>
  <c r="EP623" i="2" s="1"/>
  <c r="DV623" i="2"/>
  <c r="DU623" i="2"/>
  <c r="DT623" i="2"/>
  <c r="EM623" i="2" s="1"/>
  <c r="DS623" i="2"/>
  <c r="EL623" i="2" s="1"/>
  <c r="DR623" i="2"/>
  <c r="DQ623" i="2"/>
  <c r="DP623" i="2"/>
  <c r="FT622" i="2"/>
  <c r="FS622" i="2"/>
  <c r="GL622" i="2" s="1"/>
  <c r="FQ622" i="2"/>
  <c r="GJ622" i="2" s="1"/>
  <c r="FP622" i="2"/>
  <c r="GI622" i="2" s="1"/>
  <c r="FO622" i="2"/>
  <c r="FN622" i="2"/>
  <c r="FM622" i="2"/>
  <c r="FL622" i="2"/>
  <c r="FK622" i="2"/>
  <c r="FJ622" i="2"/>
  <c r="FI622" i="2"/>
  <c r="GB622" i="2" s="1"/>
  <c r="FH622" i="2"/>
  <c r="FG622" i="2"/>
  <c r="FF622" i="2"/>
  <c r="FY622" i="2" s="1"/>
  <c r="FE622" i="2"/>
  <c r="FX622" i="2" s="1"/>
  <c r="FD622" i="2"/>
  <c r="FC622" i="2"/>
  <c r="FB622" i="2"/>
  <c r="EH622" i="2"/>
  <c r="EG622" i="2"/>
  <c r="EZ622" i="2" s="1"/>
  <c r="EE622" i="2"/>
  <c r="EX622" i="2" s="1"/>
  <c r="ED622" i="2"/>
  <c r="EW622" i="2" s="1"/>
  <c r="EC622" i="2"/>
  <c r="EB622" i="2"/>
  <c r="EA622" i="2"/>
  <c r="DZ622" i="2"/>
  <c r="DY622" i="2"/>
  <c r="DX622" i="2"/>
  <c r="DW622" i="2"/>
  <c r="EP622" i="2" s="1"/>
  <c r="DV622" i="2"/>
  <c r="DU622" i="2"/>
  <c r="DT622" i="2"/>
  <c r="EM622" i="2" s="1"/>
  <c r="DS622" i="2"/>
  <c r="EL622" i="2" s="1"/>
  <c r="DR622" i="2"/>
  <c r="DQ622" i="2"/>
  <c r="DP622" i="2"/>
  <c r="FT492" i="2"/>
  <c r="FS492" i="2"/>
  <c r="GL492" i="2" s="1"/>
  <c r="FQ492" i="2"/>
  <c r="GJ492" i="2" s="1"/>
  <c r="FP492" i="2"/>
  <c r="GI492" i="2" s="1"/>
  <c r="FO492" i="2"/>
  <c r="FN492" i="2"/>
  <c r="FM492" i="2"/>
  <c r="FL492" i="2"/>
  <c r="FK492" i="2"/>
  <c r="FJ492" i="2"/>
  <c r="FI492" i="2"/>
  <c r="GB492" i="2" s="1"/>
  <c r="FH492" i="2"/>
  <c r="FG492" i="2"/>
  <c r="FF492" i="2"/>
  <c r="FY492" i="2" s="1"/>
  <c r="FE492" i="2"/>
  <c r="FX492" i="2" s="1"/>
  <c r="FD492" i="2"/>
  <c r="FC492" i="2"/>
  <c r="FB492" i="2"/>
  <c r="EH492" i="2"/>
  <c r="EG492" i="2"/>
  <c r="EZ492" i="2" s="1"/>
  <c r="EE492" i="2"/>
  <c r="EX492" i="2" s="1"/>
  <c r="ED492" i="2"/>
  <c r="EW492" i="2" s="1"/>
  <c r="EC492" i="2"/>
  <c r="EB492" i="2"/>
  <c r="EA492" i="2"/>
  <c r="DZ492" i="2"/>
  <c r="DY492" i="2"/>
  <c r="DX492" i="2"/>
  <c r="DW492" i="2"/>
  <c r="EP492" i="2" s="1"/>
  <c r="DV492" i="2"/>
  <c r="DU492" i="2"/>
  <c r="DT492" i="2"/>
  <c r="EM492" i="2" s="1"/>
  <c r="DS492" i="2"/>
  <c r="EL492" i="2" s="1"/>
  <c r="DR492" i="2"/>
  <c r="DQ492" i="2"/>
  <c r="DP492" i="2"/>
  <c r="FT491" i="2"/>
  <c r="FS491" i="2"/>
  <c r="GL491" i="2" s="1"/>
  <c r="FQ491" i="2"/>
  <c r="GJ491" i="2" s="1"/>
  <c r="FP491" i="2"/>
  <c r="GI491" i="2" s="1"/>
  <c r="FO491" i="2"/>
  <c r="FN491" i="2"/>
  <c r="FM491" i="2"/>
  <c r="FL491" i="2"/>
  <c r="FK491" i="2"/>
  <c r="FJ491" i="2"/>
  <c r="FI491" i="2"/>
  <c r="GB491" i="2" s="1"/>
  <c r="FH491" i="2"/>
  <c r="FG491" i="2"/>
  <c r="FF491" i="2"/>
  <c r="FY491" i="2" s="1"/>
  <c r="FE491" i="2"/>
  <c r="FX491" i="2" s="1"/>
  <c r="FD491" i="2"/>
  <c r="FC491" i="2"/>
  <c r="FB491" i="2"/>
  <c r="FT490" i="2"/>
  <c r="FS490" i="2"/>
  <c r="GL490" i="2" s="1"/>
  <c r="FQ490" i="2"/>
  <c r="GJ490" i="2" s="1"/>
  <c r="FP490" i="2"/>
  <c r="GI490" i="2" s="1"/>
  <c r="FO490" i="2"/>
  <c r="FN490" i="2"/>
  <c r="FM490" i="2"/>
  <c r="FL490" i="2"/>
  <c r="FK490" i="2"/>
  <c r="FJ490" i="2"/>
  <c r="FI490" i="2"/>
  <c r="GB490" i="2" s="1"/>
  <c r="FH490" i="2"/>
  <c r="FG490" i="2"/>
  <c r="FF490" i="2"/>
  <c r="FY490" i="2" s="1"/>
  <c r="FE490" i="2"/>
  <c r="FX490" i="2" s="1"/>
  <c r="FD490" i="2"/>
  <c r="FC490" i="2"/>
  <c r="FB490" i="2"/>
  <c r="EH490" i="2"/>
  <c r="EG490" i="2"/>
  <c r="EZ490" i="2" s="1"/>
  <c r="EE490" i="2"/>
  <c r="EX490" i="2" s="1"/>
  <c r="ED490" i="2"/>
  <c r="EW490" i="2" s="1"/>
  <c r="EC490" i="2"/>
  <c r="EB490" i="2"/>
  <c r="EA490" i="2"/>
  <c r="DZ490" i="2"/>
  <c r="DY490" i="2"/>
  <c r="DX490" i="2"/>
  <c r="DW490" i="2"/>
  <c r="EP490" i="2" s="1"/>
  <c r="DV490" i="2"/>
  <c r="DU490" i="2"/>
  <c r="DT490" i="2"/>
  <c r="EM490" i="2" s="1"/>
  <c r="DS490" i="2"/>
  <c r="EL490" i="2" s="1"/>
  <c r="DR490" i="2"/>
  <c r="DQ490" i="2"/>
  <c r="DP490" i="2"/>
  <c r="FT489" i="2"/>
  <c r="FS489" i="2"/>
  <c r="GL489" i="2" s="1"/>
  <c r="FQ489" i="2"/>
  <c r="GJ489" i="2" s="1"/>
  <c r="FP489" i="2"/>
  <c r="GI489" i="2" s="1"/>
  <c r="FO489" i="2"/>
  <c r="FN489" i="2"/>
  <c r="FM489" i="2"/>
  <c r="FL489" i="2"/>
  <c r="FK489" i="2"/>
  <c r="FJ489" i="2"/>
  <c r="FI489" i="2"/>
  <c r="GB489" i="2" s="1"/>
  <c r="FH489" i="2"/>
  <c r="FG489" i="2"/>
  <c r="FF489" i="2"/>
  <c r="FY489" i="2" s="1"/>
  <c r="FE489" i="2"/>
  <c r="FX489" i="2" s="1"/>
  <c r="FD489" i="2"/>
  <c r="FC489" i="2"/>
  <c r="FB489" i="2"/>
  <c r="EH489" i="2"/>
  <c r="EG489" i="2"/>
  <c r="EZ489" i="2" s="1"/>
  <c r="EE489" i="2"/>
  <c r="EX489" i="2" s="1"/>
  <c r="ED489" i="2"/>
  <c r="EW489" i="2" s="1"/>
  <c r="EC489" i="2"/>
  <c r="EB489" i="2"/>
  <c r="EA489" i="2"/>
  <c r="DZ489" i="2"/>
  <c r="DY489" i="2"/>
  <c r="DX489" i="2"/>
  <c r="DW489" i="2"/>
  <c r="EP489" i="2" s="1"/>
  <c r="DV489" i="2"/>
  <c r="DU489" i="2"/>
  <c r="DT489" i="2"/>
  <c r="EM489" i="2" s="1"/>
  <c r="DS489" i="2"/>
  <c r="EL489" i="2" s="1"/>
  <c r="DR489" i="2"/>
  <c r="DQ489" i="2"/>
  <c r="DP489" i="2"/>
  <c r="FT488" i="2"/>
  <c r="FS488" i="2"/>
  <c r="GL488" i="2" s="1"/>
  <c r="FQ488" i="2"/>
  <c r="GJ488" i="2" s="1"/>
  <c r="FP488" i="2"/>
  <c r="GI488" i="2" s="1"/>
  <c r="FO488" i="2"/>
  <c r="FN488" i="2"/>
  <c r="FM488" i="2"/>
  <c r="FL488" i="2"/>
  <c r="FK488" i="2"/>
  <c r="FJ488" i="2"/>
  <c r="FI488" i="2"/>
  <c r="GB488" i="2" s="1"/>
  <c r="FH488" i="2"/>
  <c r="FG488" i="2"/>
  <c r="FF488" i="2"/>
  <c r="FY488" i="2" s="1"/>
  <c r="FE488" i="2"/>
  <c r="FX488" i="2" s="1"/>
  <c r="FD488" i="2"/>
  <c r="FC488" i="2"/>
  <c r="FB488" i="2"/>
  <c r="EH488" i="2"/>
  <c r="EG488" i="2"/>
  <c r="EZ488" i="2" s="1"/>
  <c r="EE488" i="2"/>
  <c r="EX488" i="2" s="1"/>
  <c r="ED488" i="2"/>
  <c r="EW488" i="2" s="1"/>
  <c r="EC488" i="2"/>
  <c r="EB488" i="2"/>
  <c r="EA488" i="2"/>
  <c r="DZ488" i="2"/>
  <c r="DY488" i="2"/>
  <c r="DX488" i="2"/>
  <c r="DW488" i="2"/>
  <c r="EP488" i="2" s="1"/>
  <c r="DV488" i="2"/>
  <c r="DU488" i="2"/>
  <c r="DT488" i="2"/>
  <c r="EM488" i="2" s="1"/>
  <c r="DS488" i="2"/>
  <c r="EL488" i="2" s="1"/>
  <c r="DR488" i="2"/>
  <c r="DQ488" i="2"/>
  <c r="DP488" i="2"/>
  <c r="FT487" i="2"/>
  <c r="FS487" i="2"/>
  <c r="GL487" i="2" s="1"/>
  <c r="FQ487" i="2"/>
  <c r="GJ487" i="2" s="1"/>
  <c r="FP487" i="2"/>
  <c r="GI487" i="2" s="1"/>
  <c r="FO487" i="2"/>
  <c r="FN487" i="2"/>
  <c r="FM487" i="2"/>
  <c r="FL487" i="2"/>
  <c r="FK487" i="2"/>
  <c r="FJ487" i="2"/>
  <c r="FI487" i="2"/>
  <c r="GB487" i="2" s="1"/>
  <c r="FH487" i="2"/>
  <c r="FG487" i="2"/>
  <c r="FF487" i="2"/>
  <c r="FY487" i="2" s="1"/>
  <c r="FE487" i="2"/>
  <c r="FX487" i="2" s="1"/>
  <c r="FD487" i="2"/>
  <c r="FC487" i="2"/>
  <c r="FB487" i="2"/>
  <c r="EH487" i="2"/>
  <c r="EG487" i="2"/>
  <c r="EZ487" i="2" s="1"/>
  <c r="EE487" i="2"/>
  <c r="EX487" i="2" s="1"/>
  <c r="ED487" i="2"/>
  <c r="EW487" i="2" s="1"/>
  <c r="EC487" i="2"/>
  <c r="EB487" i="2"/>
  <c r="EA487" i="2"/>
  <c r="DZ487" i="2"/>
  <c r="DY487" i="2"/>
  <c r="DX487" i="2"/>
  <c r="DW487" i="2"/>
  <c r="EP487" i="2" s="1"/>
  <c r="DV487" i="2"/>
  <c r="DU487" i="2"/>
  <c r="DT487" i="2"/>
  <c r="EM487" i="2" s="1"/>
  <c r="DS487" i="2"/>
  <c r="EL487" i="2" s="1"/>
  <c r="DR487" i="2"/>
  <c r="DQ487" i="2"/>
  <c r="DP487" i="2"/>
  <c r="FT486" i="2"/>
  <c r="FS486" i="2"/>
  <c r="GL486" i="2" s="1"/>
  <c r="FQ486" i="2"/>
  <c r="GJ486" i="2" s="1"/>
  <c r="FP486" i="2"/>
  <c r="GI486" i="2" s="1"/>
  <c r="FO486" i="2"/>
  <c r="FN486" i="2"/>
  <c r="FM486" i="2"/>
  <c r="FL486" i="2"/>
  <c r="FK486" i="2"/>
  <c r="FJ486" i="2"/>
  <c r="FI486" i="2"/>
  <c r="GB486" i="2" s="1"/>
  <c r="FH486" i="2"/>
  <c r="FG486" i="2"/>
  <c r="FF486" i="2"/>
  <c r="FY486" i="2" s="1"/>
  <c r="FE486" i="2"/>
  <c r="FX486" i="2" s="1"/>
  <c r="FD486" i="2"/>
  <c r="FC486" i="2"/>
  <c r="FB486" i="2"/>
  <c r="FT458" i="2"/>
  <c r="FS458" i="2"/>
  <c r="GL458" i="2" s="1"/>
  <c r="FQ458" i="2"/>
  <c r="GJ458" i="2" s="1"/>
  <c r="FP458" i="2"/>
  <c r="GI458" i="2" s="1"/>
  <c r="FO458" i="2"/>
  <c r="FN458" i="2"/>
  <c r="FM458" i="2"/>
  <c r="FL458" i="2"/>
  <c r="FK458" i="2"/>
  <c r="FJ458" i="2"/>
  <c r="FI458" i="2"/>
  <c r="GB458" i="2" s="1"/>
  <c r="FH458" i="2"/>
  <c r="FG458" i="2"/>
  <c r="FF458" i="2"/>
  <c r="FY458" i="2" s="1"/>
  <c r="FE458" i="2"/>
  <c r="FX458" i="2" s="1"/>
  <c r="FD458" i="2"/>
  <c r="FC458" i="2"/>
  <c r="FB458" i="2"/>
  <c r="FT457" i="2"/>
  <c r="FS457" i="2"/>
  <c r="GL457" i="2" s="1"/>
  <c r="FQ457" i="2"/>
  <c r="GJ457" i="2" s="1"/>
  <c r="FP457" i="2"/>
  <c r="GI457" i="2" s="1"/>
  <c r="FO457" i="2"/>
  <c r="FN457" i="2"/>
  <c r="FM457" i="2"/>
  <c r="FL457" i="2"/>
  <c r="FK457" i="2"/>
  <c r="FJ457" i="2"/>
  <c r="FI457" i="2"/>
  <c r="GB457" i="2" s="1"/>
  <c r="FH457" i="2"/>
  <c r="FG457" i="2"/>
  <c r="FF457" i="2"/>
  <c r="FY457" i="2" s="1"/>
  <c r="FE457" i="2"/>
  <c r="FX457" i="2" s="1"/>
  <c r="FD457" i="2"/>
  <c r="FC457" i="2"/>
  <c r="FB457" i="2"/>
  <c r="EH457" i="2"/>
  <c r="EG457" i="2"/>
  <c r="EZ457" i="2" s="1"/>
  <c r="EE457" i="2"/>
  <c r="EX457" i="2" s="1"/>
  <c r="ED457" i="2"/>
  <c r="EW457" i="2" s="1"/>
  <c r="EC457" i="2"/>
  <c r="EB457" i="2"/>
  <c r="EA457" i="2"/>
  <c r="DZ457" i="2"/>
  <c r="DY457" i="2"/>
  <c r="DX457" i="2"/>
  <c r="DW457" i="2"/>
  <c r="EP457" i="2" s="1"/>
  <c r="DV457" i="2"/>
  <c r="DU457" i="2"/>
  <c r="DT457" i="2"/>
  <c r="EM457" i="2" s="1"/>
  <c r="DS457" i="2"/>
  <c r="EL457" i="2" s="1"/>
  <c r="DR457" i="2"/>
  <c r="DQ457" i="2"/>
  <c r="DP457" i="2"/>
  <c r="FT456" i="2"/>
  <c r="FS456" i="2"/>
  <c r="GL456" i="2" s="1"/>
  <c r="FQ456" i="2"/>
  <c r="GJ456" i="2" s="1"/>
  <c r="FP456" i="2"/>
  <c r="GI456" i="2" s="1"/>
  <c r="FO456" i="2"/>
  <c r="FN456" i="2"/>
  <c r="FM456" i="2"/>
  <c r="FL456" i="2"/>
  <c r="FK456" i="2"/>
  <c r="FJ456" i="2"/>
  <c r="FI456" i="2"/>
  <c r="GB456" i="2" s="1"/>
  <c r="FH456" i="2"/>
  <c r="FG456" i="2"/>
  <c r="FF456" i="2"/>
  <c r="FY456" i="2" s="1"/>
  <c r="FE456" i="2"/>
  <c r="FX456" i="2" s="1"/>
  <c r="FD456" i="2"/>
  <c r="FC456" i="2"/>
  <c r="FB456" i="2"/>
  <c r="EH456" i="2"/>
  <c r="EG456" i="2"/>
  <c r="EZ456" i="2" s="1"/>
  <c r="EE456" i="2"/>
  <c r="EX456" i="2" s="1"/>
  <c r="ED456" i="2"/>
  <c r="EW456" i="2" s="1"/>
  <c r="EC456" i="2"/>
  <c r="EB456" i="2"/>
  <c r="EA456" i="2"/>
  <c r="DZ456" i="2"/>
  <c r="DY456" i="2"/>
  <c r="DX456" i="2"/>
  <c r="DW456" i="2"/>
  <c r="EP456" i="2" s="1"/>
  <c r="DV456" i="2"/>
  <c r="DU456" i="2"/>
  <c r="DT456" i="2"/>
  <c r="EM456" i="2" s="1"/>
  <c r="DS456" i="2"/>
  <c r="EL456" i="2" s="1"/>
  <c r="DR456" i="2"/>
  <c r="DQ456" i="2"/>
  <c r="DP456" i="2"/>
  <c r="FT455" i="2"/>
  <c r="FS455" i="2"/>
  <c r="GL455" i="2" s="1"/>
  <c r="FQ455" i="2"/>
  <c r="GJ455" i="2" s="1"/>
  <c r="FP455" i="2"/>
  <c r="GI455" i="2" s="1"/>
  <c r="FO455" i="2"/>
  <c r="FN455" i="2"/>
  <c r="FM455" i="2"/>
  <c r="FL455" i="2"/>
  <c r="FK455" i="2"/>
  <c r="FJ455" i="2"/>
  <c r="FI455" i="2"/>
  <c r="GB455" i="2" s="1"/>
  <c r="FH455" i="2"/>
  <c r="FG455" i="2"/>
  <c r="FF455" i="2"/>
  <c r="FY455" i="2" s="1"/>
  <c r="FE455" i="2"/>
  <c r="FX455" i="2" s="1"/>
  <c r="FD455" i="2"/>
  <c r="FC455" i="2"/>
  <c r="FB455" i="2"/>
  <c r="EH455" i="2"/>
  <c r="EG455" i="2"/>
  <c r="EZ455" i="2" s="1"/>
  <c r="EE455" i="2"/>
  <c r="EX455" i="2" s="1"/>
  <c r="ED455" i="2"/>
  <c r="EW455" i="2" s="1"/>
  <c r="EC455" i="2"/>
  <c r="EB455" i="2"/>
  <c r="EA455" i="2"/>
  <c r="DZ455" i="2"/>
  <c r="DY455" i="2"/>
  <c r="DX455" i="2"/>
  <c r="DW455" i="2"/>
  <c r="EP455" i="2" s="1"/>
  <c r="DV455" i="2"/>
  <c r="DU455" i="2"/>
  <c r="DT455" i="2"/>
  <c r="EM455" i="2" s="1"/>
  <c r="DS455" i="2"/>
  <c r="EL455" i="2" s="1"/>
  <c r="DR455" i="2"/>
  <c r="DQ455" i="2"/>
  <c r="DP455" i="2"/>
  <c r="FT454" i="2"/>
  <c r="FS454" i="2"/>
  <c r="GL454" i="2" s="1"/>
  <c r="FQ454" i="2"/>
  <c r="GJ454" i="2" s="1"/>
  <c r="FP454" i="2"/>
  <c r="GI454" i="2" s="1"/>
  <c r="FO454" i="2"/>
  <c r="FN454" i="2"/>
  <c r="FM454" i="2"/>
  <c r="FL454" i="2"/>
  <c r="FK454" i="2"/>
  <c r="FJ454" i="2"/>
  <c r="FI454" i="2"/>
  <c r="GB454" i="2" s="1"/>
  <c r="FH454" i="2"/>
  <c r="FG454" i="2"/>
  <c r="FF454" i="2"/>
  <c r="FY454" i="2" s="1"/>
  <c r="FE454" i="2"/>
  <c r="FX454" i="2" s="1"/>
  <c r="FD454" i="2"/>
  <c r="FC454" i="2"/>
  <c r="FB454" i="2"/>
  <c r="FT452" i="2"/>
  <c r="FS452" i="2"/>
  <c r="GL452" i="2" s="1"/>
  <c r="FQ452" i="2"/>
  <c r="GJ452" i="2" s="1"/>
  <c r="FP452" i="2"/>
  <c r="GI452" i="2" s="1"/>
  <c r="FO452" i="2"/>
  <c r="FN452" i="2"/>
  <c r="FM452" i="2"/>
  <c r="FL452" i="2"/>
  <c r="FK452" i="2"/>
  <c r="FJ452" i="2"/>
  <c r="FI452" i="2"/>
  <c r="GB452" i="2" s="1"/>
  <c r="FH452" i="2"/>
  <c r="FG452" i="2"/>
  <c r="FF452" i="2"/>
  <c r="FY452" i="2" s="1"/>
  <c r="FE452" i="2"/>
  <c r="FX452" i="2" s="1"/>
  <c r="FD452" i="2"/>
  <c r="FC452" i="2"/>
  <c r="FB452" i="2"/>
  <c r="FT451" i="2"/>
  <c r="FS451" i="2"/>
  <c r="GL451" i="2" s="1"/>
  <c r="FQ451" i="2"/>
  <c r="GJ451" i="2" s="1"/>
  <c r="FP451" i="2"/>
  <c r="GI451" i="2" s="1"/>
  <c r="FO451" i="2"/>
  <c r="FN451" i="2"/>
  <c r="FM451" i="2"/>
  <c r="FL451" i="2"/>
  <c r="FK451" i="2"/>
  <c r="FJ451" i="2"/>
  <c r="FI451" i="2"/>
  <c r="GB451" i="2" s="1"/>
  <c r="FH451" i="2"/>
  <c r="FG451" i="2"/>
  <c r="FF451" i="2"/>
  <c r="FY451" i="2" s="1"/>
  <c r="FE451" i="2"/>
  <c r="FX451" i="2" s="1"/>
  <c r="FD451" i="2"/>
  <c r="FC451" i="2"/>
  <c r="FB451" i="2"/>
  <c r="FT466" i="2"/>
  <c r="FS466" i="2"/>
  <c r="GL466" i="2" s="1"/>
  <c r="FQ466" i="2"/>
  <c r="GJ466" i="2" s="1"/>
  <c r="FP466" i="2"/>
  <c r="GI466" i="2" s="1"/>
  <c r="FO466" i="2"/>
  <c r="FN466" i="2"/>
  <c r="FM466" i="2"/>
  <c r="FL466" i="2"/>
  <c r="FK466" i="2"/>
  <c r="FJ466" i="2"/>
  <c r="FI466" i="2"/>
  <c r="GB466" i="2" s="1"/>
  <c r="FH466" i="2"/>
  <c r="FG466" i="2"/>
  <c r="FF466" i="2"/>
  <c r="FY466" i="2" s="1"/>
  <c r="FE466" i="2"/>
  <c r="FX466" i="2" s="1"/>
  <c r="FD466" i="2"/>
  <c r="FC466" i="2"/>
  <c r="FB466" i="2"/>
  <c r="EH466" i="2"/>
  <c r="EG466" i="2"/>
  <c r="EZ466" i="2" s="1"/>
  <c r="EE466" i="2"/>
  <c r="EX466" i="2" s="1"/>
  <c r="ED466" i="2"/>
  <c r="EW466" i="2" s="1"/>
  <c r="EC466" i="2"/>
  <c r="EB466" i="2"/>
  <c r="EA466" i="2"/>
  <c r="DZ466" i="2"/>
  <c r="DY466" i="2"/>
  <c r="DX466" i="2"/>
  <c r="DW466" i="2"/>
  <c r="EP466" i="2" s="1"/>
  <c r="DV466" i="2"/>
  <c r="DU466" i="2"/>
  <c r="DT466" i="2"/>
  <c r="EM466" i="2" s="1"/>
  <c r="DS466" i="2"/>
  <c r="EL466" i="2" s="1"/>
  <c r="DR466" i="2"/>
  <c r="DQ466" i="2"/>
  <c r="DP466" i="2"/>
  <c r="FT331" i="2"/>
  <c r="FS331" i="2"/>
  <c r="GL331" i="2" s="1"/>
  <c r="FQ331" i="2"/>
  <c r="GJ331" i="2" s="1"/>
  <c r="FP331" i="2"/>
  <c r="GI331" i="2" s="1"/>
  <c r="FO331" i="2"/>
  <c r="FN331" i="2"/>
  <c r="FM331" i="2"/>
  <c r="FL331" i="2"/>
  <c r="FK331" i="2"/>
  <c r="FJ331" i="2"/>
  <c r="FI331" i="2"/>
  <c r="GB331" i="2" s="1"/>
  <c r="FH331" i="2"/>
  <c r="FG331" i="2"/>
  <c r="FF331" i="2"/>
  <c r="FY331" i="2" s="1"/>
  <c r="FE331" i="2"/>
  <c r="FX331" i="2" s="1"/>
  <c r="FD331" i="2"/>
  <c r="FC331" i="2"/>
  <c r="FB331" i="2"/>
  <c r="FT330" i="2"/>
  <c r="FS330" i="2"/>
  <c r="GL330" i="2" s="1"/>
  <c r="FQ330" i="2"/>
  <c r="GJ330" i="2" s="1"/>
  <c r="FP330" i="2"/>
  <c r="GI330" i="2" s="1"/>
  <c r="FO330" i="2"/>
  <c r="FN330" i="2"/>
  <c r="FM330" i="2"/>
  <c r="FL330" i="2"/>
  <c r="FK330" i="2"/>
  <c r="FJ330" i="2"/>
  <c r="FI330" i="2"/>
  <c r="GB330" i="2" s="1"/>
  <c r="FH330" i="2"/>
  <c r="FG330" i="2"/>
  <c r="FF330" i="2"/>
  <c r="FY330" i="2" s="1"/>
  <c r="FE330" i="2"/>
  <c r="FX330" i="2" s="1"/>
  <c r="FD330" i="2"/>
  <c r="FC330" i="2"/>
  <c r="FB330" i="2"/>
  <c r="EH330" i="2"/>
  <c r="EG330" i="2"/>
  <c r="EZ330" i="2" s="1"/>
  <c r="EE330" i="2"/>
  <c r="EX330" i="2" s="1"/>
  <c r="ED330" i="2"/>
  <c r="EW330" i="2" s="1"/>
  <c r="EC330" i="2"/>
  <c r="EB330" i="2"/>
  <c r="EA330" i="2"/>
  <c r="DZ330" i="2"/>
  <c r="DY330" i="2"/>
  <c r="DX330" i="2"/>
  <c r="DW330" i="2"/>
  <c r="EP330" i="2" s="1"/>
  <c r="DV330" i="2"/>
  <c r="DU330" i="2"/>
  <c r="DT330" i="2"/>
  <c r="EM330" i="2" s="1"/>
  <c r="DS330" i="2"/>
  <c r="EL330" i="2" s="1"/>
  <c r="DR330" i="2"/>
  <c r="DQ330" i="2"/>
  <c r="DP330" i="2"/>
  <c r="FT329" i="2"/>
  <c r="FS329" i="2"/>
  <c r="GL329" i="2" s="1"/>
  <c r="FQ329" i="2"/>
  <c r="GJ329" i="2" s="1"/>
  <c r="FP329" i="2"/>
  <c r="GI329" i="2" s="1"/>
  <c r="FO329" i="2"/>
  <c r="FN329" i="2"/>
  <c r="FM329" i="2"/>
  <c r="FL329" i="2"/>
  <c r="FK329" i="2"/>
  <c r="FJ329" i="2"/>
  <c r="FI329" i="2"/>
  <c r="GB329" i="2" s="1"/>
  <c r="FH329" i="2"/>
  <c r="FG329" i="2"/>
  <c r="FF329" i="2"/>
  <c r="FY329" i="2" s="1"/>
  <c r="FE329" i="2"/>
  <c r="FX329" i="2" s="1"/>
  <c r="FD329" i="2"/>
  <c r="FC329" i="2"/>
  <c r="FB329" i="2"/>
  <c r="EH329" i="2"/>
  <c r="EG329" i="2"/>
  <c r="EZ329" i="2" s="1"/>
  <c r="EE329" i="2"/>
  <c r="EX329" i="2" s="1"/>
  <c r="ED329" i="2"/>
  <c r="EW329" i="2" s="1"/>
  <c r="EC329" i="2"/>
  <c r="EB329" i="2"/>
  <c r="EA329" i="2"/>
  <c r="DZ329" i="2"/>
  <c r="DY329" i="2"/>
  <c r="DX329" i="2"/>
  <c r="DW329" i="2"/>
  <c r="EP329" i="2" s="1"/>
  <c r="DV329" i="2"/>
  <c r="DU329" i="2"/>
  <c r="DT329" i="2"/>
  <c r="EM329" i="2" s="1"/>
  <c r="DS329" i="2"/>
  <c r="EL329" i="2" s="1"/>
  <c r="DR329" i="2"/>
  <c r="DQ329" i="2"/>
  <c r="DP329" i="2"/>
  <c r="FT328" i="2"/>
  <c r="FS328" i="2"/>
  <c r="GL328" i="2" s="1"/>
  <c r="FQ328" i="2"/>
  <c r="GJ328" i="2" s="1"/>
  <c r="FP328" i="2"/>
  <c r="GI328" i="2" s="1"/>
  <c r="FO328" i="2"/>
  <c r="FN328" i="2"/>
  <c r="FM328" i="2"/>
  <c r="FL328" i="2"/>
  <c r="FK328" i="2"/>
  <c r="FJ328" i="2"/>
  <c r="FI328" i="2"/>
  <c r="GB328" i="2" s="1"/>
  <c r="FH328" i="2"/>
  <c r="FG328" i="2"/>
  <c r="FF328" i="2"/>
  <c r="FY328" i="2" s="1"/>
  <c r="FE328" i="2"/>
  <c r="FX328" i="2" s="1"/>
  <c r="FD328" i="2"/>
  <c r="FC328" i="2"/>
  <c r="FB328" i="2"/>
  <c r="EH328" i="2"/>
  <c r="EG328" i="2"/>
  <c r="EZ328" i="2" s="1"/>
  <c r="EE328" i="2"/>
  <c r="EX328" i="2" s="1"/>
  <c r="ED328" i="2"/>
  <c r="EW328" i="2" s="1"/>
  <c r="EC328" i="2"/>
  <c r="EB328" i="2"/>
  <c r="EA328" i="2"/>
  <c r="DZ328" i="2"/>
  <c r="DY328" i="2"/>
  <c r="DX328" i="2"/>
  <c r="DW328" i="2"/>
  <c r="EP328" i="2" s="1"/>
  <c r="DV328" i="2"/>
  <c r="DU328" i="2"/>
  <c r="DT328" i="2"/>
  <c r="EM328" i="2" s="1"/>
  <c r="DS328" i="2"/>
  <c r="EL328" i="2" s="1"/>
  <c r="DR328" i="2"/>
  <c r="DQ328" i="2"/>
  <c r="DP328" i="2"/>
  <c r="FT327" i="2"/>
  <c r="FS327" i="2"/>
  <c r="GL327" i="2" s="1"/>
  <c r="FQ327" i="2"/>
  <c r="GJ327" i="2" s="1"/>
  <c r="FP327" i="2"/>
  <c r="GI327" i="2" s="1"/>
  <c r="FO327" i="2"/>
  <c r="FN327" i="2"/>
  <c r="FM327" i="2"/>
  <c r="FL327" i="2"/>
  <c r="FK327" i="2"/>
  <c r="FJ327" i="2"/>
  <c r="FI327" i="2"/>
  <c r="GB327" i="2" s="1"/>
  <c r="FH327" i="2"/>
  <c r="FG327" i="2"/>
  <c r="FF327" i="2"/>
  <c r="FY327" i="2" s="1"/>
  <c r="FE327" i="2"/>
  <c r="FX327" i="2" s="1"/>
  <c r="FD327" i="2"/>
  <c r="FC327" i="2"/>
  <c r="FB327" i="2"/>
  <c r="EH327" i="2"/>
  <c r="EG327" i="2"/>
  <c r="EZ327" i="2" s="1"/>
  <c r="EE327" i="2"/>
  <c r="EX327" i="2" s="1"/>
  <c r="ED327" i="2"/>
  <c r="EW327" i="2" s="1"/>
  <c r="EC327" i="2"/>
  <c r="EB327" i="2"/>
  <c r="EA327" i="2"/>
  <c r="DZ327" i="2"/>
  <c r="DY327" i="2"/>
  <c r="DX327" i="2"/>
  <c r="DW327" i="2"/>
  <c r="EP327" i="2" s="1"/>
  <c r="DV327" i="2"/>
  <c r="DU327" i="2"/>
  <c r="DT327" i="2"/>
  <c r="EM327" i="2" s="1"/>
  <c r="DS327" i="2"/>
  <c r="EL327" i="2" s="1"/>
  <c r="DR327" i="2"/>
  <c r="DQ327" i="2"/>
  <c r="DP327" i="2"/>
  <c r="FT326" i="2"/>
  <c r="FS326" i="2"/>
  <c r="GL326" i="2" s="1"/>
  <c r="FQ326" i="2"/>
  <c r="GJ326" i="2" s="1"/>
  <c r="FP326" i="2"/>
  <c r="GI326" i="2" s="1"/>
  <c r="FO326" i="2"/>
  <c r="FN326" i="2"/>
  <c r="FM326" i="2"/>
  <c r="FL326" i="2"/>
  <c r="FK326" i="2"/>
  <c r="FJ326" i="2"/>
  <c r="FI326" i="2"/>
  <c r="GB326" i="2" s="1"/>
  <c r="FH326" i="2"/>
  <c r="FG326" i="2"/>
  <c r="FF326" i="2"/>
  <c r="FY326" i="2" s="1"/>
  <c r="FE326" i="2"/>
  <c r="FX326" i="2" s="1"/>
  <c r="FD326" i="2"/>
  <c r="FC326" i="2"/>
  <c r="FB326" i="2"/>
  <c r="FT325" i="2"/>
  <c r="FS325" i="2"/>
  <c r="GL325" i="2" s="1"/>
  <c r="FQ325" i="2"/>
  <c r="GJ325" i="2" s="1"/>
  <c r="FP325" i="2"/>
  <c r="GI325" i="2" s="1"/>
  <c r="FO325" i="2"/>
  <c r="FN325" i="2"/>
  <c r="FM325" i="2"/>
  <c r="FL325" i="2"/>
  <c r="FK325" i="2"/>
  <c r="FJ325" i="2"/>
  <c r="FI325" i="2"/>
  <c r="GB325" i="2" s="1"/>
  <c r="FH325" i="2"/>
  <c r="FG325" i="2"/>
  <c r="FF325" i="2"/>
  <c r="FY325" i="2" s="1"/>
  <c r="FE325" i="2"/>
  <c r="FX325" i="2" s="1"/>
  <c r="FD325" i="2"/>
  <c r="FC325" i="2"/>
  <c r="FB325" i="2"/>
  <c r="EH325" i="2"/>
  <c r="EG325" i="2"/>
  <c r="EZ325" i="2" s="1"/>
  <c r="EE325" i="2"/>
  <c r="EX325" i="2" s="1"/>
  <c r="ED325" i="2"/>
  <c r="EW325" i="2" s="1"/>
  <c r="EC325" i="2"/>
  <c r="EB325" i="2"/>
  <c r="EA325" i="2"/>
  <c r="DZ325" i="2"/>
  <c r="DY325" i="2"/>
  <c r="DX325" i="2"/>
  <c r="DW325" i="2"/>
  <c r="EP325" i="2" s="1"/>
  <c r="DV325" i="2"/>
  <c r="DU325" i="2"/>
  <c r="DT325" i="2"/>
  <c r="EM325" i="2" s="1"/>
  <c r="DS325" i="2"/>
  <c r="EL325" i="2" s="1"/>
  <c r="DR325" i="2"/>
  <c r="DQ325" i="2"/>
  <c r="DP325" i="2"/>
  <c r="FT324" i="2"/>
  <c r="FS324" i="2"/>
  <c r="GL324" i="2" s="1"/>
  <c r="FQ324" i="2"/>
  <c r="GJ324" i="2" s="1"/>
  <c r="FP324" i="2"/>
  <c r="GI324" i="2" s="1"/>
  <c r="FO324" i="2"/>
  <c r="FN324" i="2"/>
  <c r="FM324" i="2"/>
  <c r="FL324" i="2"/>
  <c r="FK324" i="2"/>
  <c r="FJ324" i="2"/>
  <c r="FI324" i="2"/>
  <c r="GB324" i="2" s="1"/>
  <c r="FH324" i="2"/>
  <c r="FG324" i="2"/>
  <c r="FF324" i="2"/>
  <c r="FY324" i="2" s="1"/>
  <c r="FE324" i="2"/>
  <c r="FX324" i="2" s="1"/>
  <c r="FD324" i="2"/>
  <c r="FC324" i="2"/>
  <c r="FB324" i="2"/>
  <c r="EH324" i="2"/>
  <c r="EG324" i="2"/>
  <c r="EZ324" i="2" s="1"/>
  <c r="EE324" i="2"/>
  <c r="EX324" i="2" s="1"/>
  <c r="ED324" i="2"/>
  <c r="EW324" i="2" s="1"/>
  <c r="EC324" i="2"/>
  <c r="EB324" i="2"/>
  <c r="EA324" i="2"/>
  <c r="DZ324" i="2"/>
  <c r="DY324" i="2"/>
  <c r="DX324" i="2"/>
  <c r="DW324" i="2"/>
  <c r="EP324" i="2" s="1"/>
  <c r="DV324" i="2"/>
  <c r="DU324" i="2"/>
  <c r="DT324" i="2"/>
  <c r="EM324" i="2" s="1"/>
  <c r="DS324" i="2"/>
  <c r="EL324" i="2" s="1"/>
  <c r="DR324" i="2"/>
  <c r="DQ324" i="2"/>
  <c r="DP324" i="2"/>
  <c r="FT323" i="2"/>
  <c r="FS323" i="2"/>
  <c r="GL323" i="2" s="1"/>
  <c r="FQ323" i="2"/>
  <c r="GJ323" i="2" s="1"/>
  <c r="FP323" i="2"/>
  <c r="GI323" i="2" s="1"/>
  <c r="FO323" i="2"/>
  <c r="FN323" i="2"/>
  <c r="FM323" i="2"/>
  <c r="FL323" i="2"/>
  <c r="FK323" i="2"/>
  <c r="FJ323" i="2"/>
  <c r="FI323" i="2"/>
  <c r="GB323" i="2" s="1"/>
  <c r="FH323" i="2"/>
  <c r="FG323" i="2"/>
  <c r="FF323" i="2"/>
  <c r="FY323" i="2" s="1"/>
  <c r="FE323" i="2"/>
  <c r="FX323" i="2" s="1"/>
  <c r="FD323" i="2"/>
  <c r="FC323" i="2"/>
  <c r="FB323" i="2"/>
  <c r="EH323" i="2"/>
  <c r="EG323" i="2"/>
  <c r="EZ323" i="2" s="1"/>
  <c r="EE323" i="2"/>
  <c r="EX323" i="2" s="1"/>
  <c r="ED323" i="2"/>
  <c r="EW323" i="2" s="1"/>
  <c r="EC323" i="2"/>
  <c r="EB323" i="2"/>
  <c r="EA323" i="2"/>
  <c r="DZ323" i="2"/>
  <c r="DY323" i="2"/>
  <c r="DX323" i="2"/>
  <c r="DW323" i="2"/>
  <c r="EP323" i="2" s="1"/>
  <c r="DV323" i="2"/>
  <c r="DU323" i="2"/>
  <c r="DT323" i="2"/>
  <c r="EM323" i="2" s="1"/>
  <c r="DS323" i="2"/>
  <c r="EL323" i="2" s="1"/>
  <c r="DR323" i="2"/>
  <c r="DQ323" i="2"/>
  <c r="DP323" i="2"/>
  <c r="FT322" i="2"/>
  <c r="FS322" i="2"/>
  <c r="GL322" i="2" s="1"/>
  <c r="FQ322" i="2"/>
  <c r="GJ322" i="2" s="1"/>
  <c r="FP322" i="2"/>
  <c r="GI322" i="2" s="1"/>
  <c r="FO322" i="2"/>
  <c r="FN322" i="2"/>
  <c r="FM322" i="2"/>
  <c r="FL322" i="2"/>
  <c r="FK322" i="2"/>
  <c r="FJ322" i="2"/>
  <c r="FI322" i="2"/>
  <c r="GB322" i="2" s="1"/>
  <c r="FH322" i="2"/>
  <c r="FG322" i="2"/>
  <c r="FF322" i="2"/>
  <c r="FY322" i="2" s="1"/>
  <c r="FE322" i="2"/>
  <c r="FX322" i="2" s="1"/>
  <c r="FD322" i="2"/>
  <c r="FC322" i="2"/>
  <c r="FB322" i="2"/>
  <c r="EH322" i="2"/>
  <c r="EG322" i="2"/>
  <c r="EZ322" i="2" s="1"/>
  <c r="EE322" i="2"/>
  <c r="EX322" i="2" s="1"/>
  <c r="ED322" i="2"/>
  <c r="EW322" i="2" s="1"/>
  <c r="EC322" i="2"/>
  <c r="EB322" i="2"/>
  <c r="EA322" i="2"/>
  <c r="DZ322" i="2"/>
  <c r="DY322" i="2"/>
  <c r="DX322" i="2"/>
  <c r="DW322" i="2"/>
  <c r="EP322" i="2" s="1"/>
  <c r="DV322" i="2"/>
  <c r="DU322" i="2"/>
  <c r="DT322" i="2"/>
  <c r="EM322" i="2" s="1"/>
  <c r="DS322" i="2"/>
  <c r="EL322" i="2" s="1"/>
  <c r="DR322" i="2"/>
  <c r="DQ322" i="2"/>
  <c r="DP322" i="2"/>
  <c r="FT321" i="2"/>
  <c r="FS321" i="2"/>
  <c r="GL321" i="2" s="1"/>
  <c r="FQ321" i="2"/>
  <c r="GJ321" i="2" s="1"/>
  <c r="FP321" i="2"/>
  <c r="GI321" i="2" s="1"/>
  <c r="FO321" i="2"/>
  <c r="FN321" i="2"/>
  <c r="FM321" i="2"/>
  <c r="FL321" i="2"/>
  <c r="FK321" i="2"/>
  <c r="FJ321" i="2"/>
  <c r="FI321" i="2"/>
  <c r="GB321" i="2" s="1"/>
  <c r="FH321" i="2"/>
  <c r="FG321" i="2"/>
  <c r="FF321" i="2"/>
  <c r="FY321" i="2" s="1"/>
  <c r="FE321" i="2"/>
  <c r="FX321" i="2" s="1"/>
  <c r="FD321" i="2"/>
  <c r="FC321" i="2"/>
  <c r="FB321" i="2"/>
  <c r="EH321" i="2"/>
  <c r="EG321" i="2"/>
  <c r="EZ321" i="2" s="1"/>
  <c r="EE321" i="2"/>
  <c r="EX321" i="2" s="1"/>
  <c r="ED321" i="2"/>
  <c r="EW321" i="2" s="1"/>
  <c r="EC321" i="2"/>
  <c r="EB321" i="2"/>
  <c r="EA321" i="2"/>
  <c r="DZ321" i="2"/>
  <c r="DY321" i="2"/>
  <c r="DX321" i="2"/>
  <c r="DW321" i="2"/>
  <c r="EP321" i="2" s="1"/>
  <c r="DV321" i="2"/>
  <c r="DU321" i="2"/>
  <c r="DT321" i="2"/>
  <c r="EM321" i="2" s="1"/>
  <c r="DS321" i="2"/>
  <c r="EL321" i="2" s="1"/>
  <c r="DR321" i="2"/>
  <c r="DQ321" i="2"/>
  <c r="DP321" i="2"/>
  <c r="FT320" i="2"/>
  <c r="FS320" i="2"/>
  <c r="GL320" i="2" s="1"/>
  <c r="FQ320" i="2"/>
  <c r="GJ320" i="2" s="1"/>
  <c r="FP320" i="2"/>
  <c r="GI320" i="2" s="1"/>
  <c r="FO320" i="2"/>
  <c r="FN320" i="2"/>
  <c r="FM320" i="2"/>
  <c r="FL320" i="2"/>
  <c r="FK320" i="2"/>
  <c r="FJ320" i="2"/>
  <c r="FI320" i="2"/>
  <c r="GB320" i="2" s="1"/>
  <c r="FH320" i="2"/>
  <c r="FG320" i="2"/>
  <c r="FF320" i="2"/>
  <c r="FY320" i="2" s="1"/>
  <c r="FE320" i="2"/>
  <c r="FX320" i="2" s="1"/>
  <c r="FD320" i="2"/>
  <c r="FC320" i="2"/>
  <c r="FB320" i="2"/>
  <c r="FT319" i="2"/>
  <c r="FS319" i="2"/>
  <c r="GL319" i="2" s="1"/>
  <c r="FQ319" i="2"/>
  <c r="GJ319" i="2" s="1"/>
  <c r="FP319" i="2"/>
  <c r="GI319" i="2" s="1"/>
  <c r="FO319" i="2"/>
  <c r="FN319" i="2"/>
  <c r="FM319" i="2"/>
  <c r="FL319" i="2"/>
  <c r="FK319" i="2"/>
  <c r="FJ319" i="2"/>
  <c r="FI319" i="2"/>
  <c r="GB319" i="2" s="1"/>
  <c r="FH319" i="2"/>
  <c r="FG319" i="2"/>
  <c r="FF319" i="2"/>
  <c r="FY319" i="2" s="1"/>
  <c r="FE319" i="2"/>
  <c r="FX319" i="2" s="1"/>
  <c r="FD319" i="2"/>
  <c r="FC319" i="2"/>
  <c r="FB319" i="2"/>
  <c r="FT318" i="2"/>
  <c r="FS318" i="2"/>
  <c r="GL318" i="2" s="1"/>
  <c r="FQ318" i="2"/>
  <c r="GJ318" i="2" s="1"/>
  <c r="FP318" i="2"/>
  <c r="GI318" i="2" s="1"/>
  <c r="FO318" i="2"/>
  <c r="FN318" i="2"/>
  <c r="FM318" i="2"/>
  <c r="FL318" i="2"/>
  <c r="FK318" i="2"/>
  <c r="FJ318" i="2"/>
  <c r="FI318" i="2"/>
  <c r="GB318" i="2" s="1"/>
  <c r="FH318" i="2"/>
  <c r="FG318" i="2"/>
  <c r="FF318" i="2"/>
  <c r="FY318" i="2" s="1"/>
  <c r="FE318" i="2"/>
  <c r="FX318" i="2" s="1"/>
  <c r="FD318" i="2"/>
  <c r="FC318" i="2"/>
  <c r="FB318" i="2"/>
  <c r="EH318" i="2"/>
  <c r="EG318" i="2"/>
  <c r="EZ318" i="2" s="1"/>
  <c r="EE318" i="2"/>
  <c r="EX318" i="2" s="1"/>
  <c r="ED318" i="2"/>
  <c r="EW318" i="2" s="1"/>
  <c r="EC318" i="2"/>
  <c r="EB318" i="2"/>
  <c r="EA318" i="2"/>
  <c r="DZ318" i="2"/>
  <c r="DY318" i="2"/>
  <c r="DX318" i="2"/>
  <c r="DW318" i="2"/>
  <c r="EP318" i="2" s="1"/>
  <c r="DV318" i="2"/>
  <c r="DU318" i="2"/>
  <c r="DT318" i="2"/>
  <c r="EM318" i="2" s="1"/>
  <c r="DS318" i="2"/>
  <c r="EL318" i="2" s="1"/>
  <c r="DR318" i="2"/>
  <c r="DQ318" i="2"/>
  <c r="DP318" i="2"/>
  <c r="FT317" i="2"/>
  <c r="FS317" i="2"/>
  <c r="GL317" i="2" s="1"/>
  <c r="FQ317" i="2"/>
  <c r="GJ317" i="2" s="1"/>
  <c r="FP317" i="2"/>
  <c r="GI317" i="2" s="1"/>
  <c r="FO317" i="2"/>
  <c r="FN317" i="2"/>
  <c r="FM317" i="2"/>
  <c r="FL317" i="2"/>
  <c r="FK317" i="2"/>
  <c r="FJ317" i="2"/>
  <c r="FI317" i="2"/>
  <c r="GB317" i="2" s="1"/>
  <c r="FH317" i="2"/>
  <c r="FG317" i="2"/>
  <c r="FF317" i="2"/>
  <c r="FY317" i="2" s="1"/>
  <c r="FE317" i="2"/>
  <c r="FX317" i="2" s="1"/>
  <c r="FD317" i="2"/>
  <c r="FC317" i="2"/>
  <c r="FB317" i="2"/>
  <c r="FT316" i="2"/>
  <c r="FS316" i="2"/>
  <c r="GL316" i="2" s="1"/>
  <c r="FQ316" i="2"/>
  <c r="GJ316" i="2" s="1"/>
  <c r="FP316" i="2"/>
  <c r="GI316" i="2" s="1"/>
  <c r="FO316" i="2"/>
  <c r="FN316" i="2"/>
  <c r="FM316" i="2"/>
  <c r="FL316" i="2"/>
  <c r="FK316" i="2"/>
  <c r="FJ316" i="2"/>
  <c r="FI316" i="2"/>
  <c r="GB316" i="2" s="1"/>
  <c r="FH316" i="2"/>
  <c r="FG316" i="2"/>
  <c r="FF316" i="2"/>
  <c r="FY316" i="2" s="1"/>
  <c r="FE316" i="2"/>
  <c r="FX316" i="2" s="1"/>
  <c r="FD316" i="2"/>
  <c r="FC316" i="2"/>
  <c r="FB316" i="2"/>
  <c r="EH316" i="2"/>
  <c r="EG316" i="2"/>
  <c r="EZ316" i="2" s="1"/>
  <c r="EE316" i="2"/>
  <c r="EX316" i="2" s="1"/>
  <c r="ED316" i="2"/>
  <c r="EW316" i="2" s="1"/>
  <c r="EC316" i="2"/>
  <c r="EB316" i="2"/>
  <c r="EA316" i="2"/>
  <c r="DZ316" i="2"/>
  <c r="DY316" i="2"/>
  <c r="DX316" i="2"/>
  <c r="DW316" i="2"/>
  <c r="EP316" i="2" s="1"/>
  <c r="DV316" i="2"/>
  <c r="DU316" i="2"/>
  <c r="DT316" i="2"/>
  <c r="EM316" i="2" s="1"/>
  <c r="DS316" i="2"/>
  <c r="EL316" i="2" s="1"/>
  <c r="DR316" i="2"/>
  <c r="DQ316" i="2"/>
  <c r="DP316" i="2"/>
  <c r="FT315" i="2"/>
  <c r="FS315" i="2"/>
  <c r="GL315" i="2" s="1"/>
  <c r="FQ315" i="2"/>
  <c r="GJ315" i="2" s="1"/>
  <c r="FP315" i="2"/>
  <c r="GI315" i="2" s="1"/>
  <c r="FO315" i="2"/>
  <c r="FN315" i="2"/>
  <c r="FM315" i="2"/>
  <c r="FL315" i="2"/>
  <c r="FK315" i="2"/>
  <c r="FJ315" i="2"/>
  <c r="FI315" i="2"/>
  <c r="GB315" i="2" s="1"/>
  <c r="FH315" i="2"/>
  <c r="FG315" i="2"/>
  <c r="FF315" i="2"/>
  <c r="FY315" i="2" s="1"/>
  <c r="FE315" i="2"/>
  <c r="FX315" i="2" s="1"/>
  <c r="FD315" i="2"/>
  <c r="FC315" i="2"/>
  <c r="FB315" i="2"/>
  <c r="EH315" i="2"/>
  <c r="EG315" i="2"/>
  <c r="EZ315" i="2" s="1"/>
  <c r="EE315" i="2"/>
  <c r="EX315" i="2" s="1"/>
  <c r="ED315" i="2"/>
  <c r="EW315" i="2" s="1"/>
  <c r="EC315" i="2"/>
  <c r="EB315" i="2"/>
  <c r="EA315" i="2"/>
  <c r="DZ315" i="2"/>
  <c r="DY315" i="2"/>
  <c r="DX315" i="2"/>
  <c r="DW315" i="2"/>
  <c r="EP315" i="2" s="1"/>
  <c r="DV315" i="2"/>
  <c r="DU315" i="2"/>
  <c r="DT315" i="2"/>
  <c r="EM315" i="2" s="1"/>
  <c r="DS315" i="2"/>
  <c r="EL315" i="2" s="1"/>
  <c r="DR315" i="2"/>
  <c r="DQ315" i="2"/>
  <c r="DP315" i="2"/>
  <c r="FT314" i="2"/>
  <c r="FS314" i="2"/>
  <c r="GL314" i="2" s="1"/>
  <c r="FQ314" i="2"/>
  <c r="GJ314" i="2" s="1"/>
  <c r="FP314" i="2"/>
  <c r="GI314" i="2" s="1"/>
  <c r="FO314" i="2"/>
  <c r="FN314" i="2"/>
  <c r="FM314" i="2"/>
  <c r="FL314" i="2"/>
  <c r="FK314" i="2"/>
  <c r="FJ314" i="2"/>
  <c r="FI314" i="2"/>
  <c r="GB314" i="2" s="1"/>
  <c r="FH314" i="2"/>
  <c r="FG314" i="2"/>
  <c r="FF314" i="2"/>
  <c r="FY314" i="2" s="1"/>
  <c r="FE314" i="2"/>
  <c r="FX314" i="2" s="1"/>
  <c r="FD314" i="2"/>
  <c r="FC314" i="2"/>
  <c r="FB314" i="2"/>
  <c r="EH314" i="2"/>
  <c r="EG314" i="2"/>
  <c r="EZ314" i="2" s="1"/>
  <c r="EE314" i="2"/>
  <c r="EX314" i="2" s="1"/>
  <c r="ED314" i="2"/>
  <c r="EW314" i="2" s="1"/>
  <c r="EC314" i="2"/>
  <c r="EB314" i="2"/>
  <c r="EA314" i="2"/>
  <c r="DZ314" i="2"/>
  <c r="DY314" i="2"/>
  <c r="DX314" i="2"/>
  <c r="DW314" i="2"/>
  <c r="EP314" i="2" s="1"/>
  <c r="DV314" i="2"/>
  <c r="DU314" i="2"/>
  <c r="DT314" i="2"/>
  <c r="EM314" i="2" s="1"/>
  <c r="DS314" i="2"/>
  <c r="EL314" i="2" s="1"/>
  <c r="DR314" i="2"/>
  <c r="DQ314" i="2"/>
  <c r="DP314" i="2"/>
  <c r="FT313" i="2"/>
  <c r="FS313" i="2"/>
  <c r="GL313" i="2" s="1"/>
  <c r="FQ313" i="2"/>
  <c r="GJ313" i="2" s="1"/>
  <c r="FP313" i="2"/>
  <c r="GI313" i="2" s="1"/>
  <c r="FO313" i="2"/>
  <c r="FN313" i="2"/>
  <c r="FM313" i="2"/>
  <c r="FL313" i="2"/>
  <c r="FK313" i="2"/>
  <c r="FJ313" i="2"/>
  <c r="FI313" i="2"/>
  <c r="GB313" i="2" s="1"/>
  <c r="FH313" i="2"/>
  <c r="FG313" i="2"/>
  <c r="FF313" i="2"/>
  <c r="FY313" i="2" s="1"/>
  <c r="FE313" i="2"/>
  <c r="FX313" i="2" s="1"/>
  <c r="FD313" i="2"/>
  <c r="FC313" i="2"/>
  <c r="FB313" i="2"/>
  <c r="EH313" i="2"/>
  <c r="EG313" i="2"/>
  <c r="EZ313" i="2" s="1"/>
  <c r="EE313" i="2"/>
  <c r="EX313" i="2" s="1"/>
  <c r="ED313" i="2"/>
  <c r="EW313" i="2" s="1"/>
  <c r="EC313" i="2"/>
  <c r="EB313" i="2"/>
  <c r="EA313" i="2"/>
  <c r="DZ313" i="2"/>
  <c r="DY313" i="2"/>
  <c r="DX313" i="2"/>
  <c r="DW313" i="2"/>
  <c r="EP313" i="2" s="1"/>
  <c r="DV313" i="2"/>
  <c r="DU313" i="2"/>
  <c r="DT313" i="2"/>
  <c r="EM313" i="2" s="1"/>
  <c r="DS313" i="2"/>
  <c r="EL313" i="2" s="1"/>
  <c r="DR313" i="2"/>
  <c r="DQ313" i="2"/>
  <c r="DP313" i="2"/>
  <c r="FT312" i="2"/>
  <c r="FS312" i="2"/>
  <c r="GL312" i="2" s="1"/>
  <c r="FQ312" i="2"/>
  <c r="GJ312" i="2" s="1"/>
  <c r="FP312" i="2"/>
  <c r="GI312" i="2" s="1"/>
  <c r="FO312" i="2"/>
  <c r="FN312" i="2"/>
  <c r="FM312" i="2"/>
  <c r="FL312" i="2"/>
  <c r="FK312" i="2"/>
  <c r="FJ312" i="2"/>
  <c r="FI312" i="2"/>
  <c r="GB312" i="2" s="1"/>
  <c r="FH312" i="2"/>
  <c r="FG312" i="2"/>
  <c r="FF312" i="2"/>
  <c r="FY312" i="2" s="1"/>
  <c r="FE312" i="2"/>
  <c r="FX312" i="2" s="1"/>
  <c r="FD312" i="2"/>
  <c r="FC312" i="2"/>
  <c r="FB312" i="2"/>
  <c r="FT311" i="2"/>
  <c r="FS311" i="2"/>
  <c r="GL311" i="2" s="1"/>
  <c r="FQ311" i="2"/>
  <c r="GJ311" i="2" s="1"/>
  <c r="FP311" i="2"/>
  <c r="GI311" i="2" s="1"/>
  <c r="FO311" i="2"/>
  <c r="FN311" i="2"/>
  <c r="FM311" i="2"/>
  <c r="FL311" i="2"/>
  <c r="FK311" i="2"/>
  <c r="FJ311" i="2"/>
  <c r="FI311" i="2"/>
  <c r="GB311" i="2" s="1"/>
  <c r="FH311" i="2"/>
  <c r="FG311" i="2"/>
  <c r="FF311" i="2"/>
  <c r="FY311" i="2" s="1"/>
  <c r="FE311" i="2"/>
  <c r="FX311" i="2" s="1"/>
  <c r="FD311" i="2"/>
  <c r="FC311" i="2"/>
  <c r="FB311" i="2"/>
  <c r="EH311" i="2"/>
  <c r="EG311" i="2"/>
  <c r="EZ311" i="2" s="1"/>
  <c r="EE311" i="2"/>
  <c r="EX311" i="2" s="1"/>
  <c r="ED311" i="2"/>
  <c r="EW311" i="2" s="1"/>
  <c r="EC311" i="2"/>
  <c r="EB311" i="2"/>
  <c r="EA311" i="2"/>
  <c r="DZ311" i="2"/>
  <c r="DY311" i="2"/>
  <c r="DX311" i="2"/>
  <c r="DW311" i="2"/>
  <c r="EP311" i="2" s="1"/>
  <c r="DV311" i="2"/>
  <c r="DU311" i="2"/>
  <c r="DT311" i="2"/>
  <c r="EM311" i="2" s="1"/>
  <c r="DS311" i="2"/>
  <c r="EL311" i="2" s="1"/>
  <c r="DR311" i="2"/>
  <c r="DQ311" i="2"/>
  <c r="DP311" i="2"/>
  <c r="FT310" i="2"/>
  <c r="FS310" i="2"/>
  <c r="GL310" i="2" s="1"/>
  <c r="FQ310" i="2"/>
  <c r="GJ310" i="2" s="1"/>
  <c r="FP310" i="2"/>
  <c r="GI310" i="2" s="1"/>
  <c r="FO310" i="2"/>
  <c r="FN310" i="2"/>
  <c r="FM310" i="2"/>
  <c r="FL310" i="2"/>
  <c r="FK310" i="2"/>
  <c r="FJ310" i="2"/>
  <c r="FI310" i="2"/>
  <c r="GB310" i="2" s="1"/>
  <c r="FH310" i="2"/>
  <c r="FG310" i="2"/>
  <c r="FF310" i="2"/>
  <c r="FY310" i="2" s="1"/>
  <c r="FE310" i="2"/>
  <c r="FX310" i="2" s="1"/>
  <c r="FD310" i="2"/>
  <c r="FC310" i="2"/>
  <c r="FB310" i="2"/>
  <c r="FT309" i="2"/>
  <c r="FS309" i="2"/>
  <c r="GL309" i="2" s="1"/>
  <c r="FQ309" i="2"/>
  <c r="GJ309" i="2" s="1"/>
  <c r="FP309" i="2"/>
  <c r="GI309" i="2" s="1"/>
  <c r="FO309" i="2"/>
  <c r="FN309" i="2"/>
  <c r="FM309" i="2"/>
  <c r="FL309" i="2"/>
  <c r="FK309" i="2"/>
  <c r="FJ309" i="2"/>
  <c r="FI309" i="2"/>
  <c r="GB309" i="2" s="1"/>
  <c r="FH309" i="2"/>
  <c r="FG309" i="2"/>
  <c r="FF309" i="2"/>
  <c r="FY309" i="2" s="1"/>
  <c r="FE309" i="2"/>
  <c r="FX309" i="2" s="1"/>
  <c r="FD309" i="2"/>
  <c r="FC309" i="2"/>
  <c r="FB309" i="2"/>
  <c r="EH309" i="2"/>
  <c r="EG309" i="2"/>
  <c r="EZ309" i="2" s="1"/>
  <c r="EE309" i="2"/>
  <c r="EX309" i="2" s="1"/>
  <c r="ED309" i="2"/>
  <c r="EW309" i="2" s="1"/>
  <c r="EC309" i="2"/>
  <c r="EB309" i="2"/>
  <c r="EA309" i="2"/>
  <c r="DZ309" i="2"/>
  <c r="DY309" i="2"/>
  <c r="DX309" i="2"/>
  <c r="DW309" i="2"/>
  <c r="EP309" i="2" s="1"/>
  <c r="DV309" i="2"/>
  <c r="DU309" i="2"/>
  <c r="DT309" i="2"/>
  <c r="EM309" i="2" s="1"/>
  <c r="DS309" i="2"/>
  <c r="EL309" i="2" s="1"/>
  <c r="DR309" i="2"/>
  <c r="DQ309" i="2"/>
  <c r="DP309" i="2"/>
  <c r="FT308" i="2"/>
  <c r="FS308" i="2"/>
  <c r="GL308" i="2" s="1"/>
  <c r="FQ308" i="2"/>
  <c r="GJ308" i="2" s="1"/>
  <c r="FP308" i="2"/>
  <c r="GI308" i="2" s="1"/>
  <c r="FO308" i="2"/>
  <c r="FN308" i="2"/>
  <c r="FM308" i="2"/>
  <c r="FL308" i="2"/>
  <c r="FK308" i="2"/>
  <c r="FJ308" i="2"/>
  <c r="FI308" i="2"/>
  <c r="GB308" i="2" s="1"/>
  <c r="FH308" i="2"/>
  <c r="FG308" i="2"/>
  <c r="FF308" i="2"/>
  <c r="FY308" i="2" s="1"/>
  <c r="FE308" i="2"/>
  <c r="FX308" i="2" s="1"/>
  <c r="FD308" i="2"/>
  <c r="FC308" i="2"/>
  <c r="FB308" i="2"/>
  <c r="FT307" i="2"/>
  <c r="FS307" i="2"/>
  <c r="GL307" i="2" s="1"/>
  <c r="FQ307" i="2"/>
  <c r="GJ307" i="2" s="1"/>
  <c r="FP307" i="2"/>
  <c r="GI307" i="2" s="1"/>
  <c r="FO307" i="2"/>
  <c r="FN307" i="2"/>
  <c r="FM307" i="2"/>
  <c r="FL307" i="2"/>
  <c r="FK307" i="2"/>
  <c r="FJ307" i="2"/>
  <c r="FI307" i="2"/>
  <c r="GB307" i="2" s="1"/>
  <c r="FH307" i="2"/>
  <c r="FG307" i="2"/>
  <c r="FF307" i="2"/>
  <c r="FY307" i="2" s="1"/>
  <c r="FE307" i="2"/>
  <c r="FX307" i="2" s="1"/>
  <c r="FD307" i="2"/>
  <c r="FC307" i="2"/>
  <c r="FB307" i="2"/>
  <c r="EH307" i="2"/>
  <c r="EG307" i="2"/>
  <c r="EZ307" i="2" s="1"/>
  <c r="EE307" i="2"/>
  <c r="EX307" i="2" s="1"/>
  <c r="ED307" i="2"/>
  <c r="EW307" i="2" s="1"/>
  <c r="EC307" i="2"/>
  <c r="EB307" i="2"/>
  <c r="EA307" i="2"/>
  <c r="DZ307" i="2"/>
  <c r="DY307" i="2"/>
  <c r="DX307" i="2"/>
  <c r="DW307" i="2"/>
  <c r="EP307" i="2" s="1"/>
  <c r="DV307" i="2"/>
  <c r="DU307" i="2"/>
  <c r="DT307" i="2"/>
  <c r="EM307" i="2" s="1"/>
  <c r="DS307" i="2"/>
  <c r="EL307" i="2" s="1"/>
  <c r="DR307" i="2"/>
  <c r="DQ307" i="2"/>
  <c r="DP307" i="2"/>
  <c r="FT306" i="2"/>
  <c r="FS306" i="2"/>
  <c r="GL306" i="2" s="1"/>
  <c r="FQ306" i="2"/>
  <c r="GJ306" i="2" s="1"/>
  <c r="FP306" i="2"/>
  <c r="GI306" i="2" s="1"/>
  <c r="FO306" i="2"/>
  <c r="FN306" i="2"/>
  <c r="FM306" i="2"/>
  <c r="FL306" i="2"/>
  <c r="FK306" i="2"/>
  <c r="FJ306" i="2"/>
  <c r="FI306" i="2"/>
  <c r="GB306" i="2" s="1"/>
  <c r="FH306" i="2"/>
  <c r="FG306" i="2"/>
  <c r="FF306" i="2"/>
  <c r="FY306" i="2" s="1"/>
  <c r="FE306" i="2"/>
  <c r="FX306" i="2" s="1"/>
  <c r="FD306" i="2"/>
  <c r="FC306" i="2"/>
  <c r="FB306" i="2"/>
  <c r="FT305" i="2"/>
  <c r="FS305" i="2"/>
  <c r="GL305" i="2" s="1"/>
  <c r="FQ305" i="2"/>
  <c r="GJ305" i="2" s="1"/>
  <c r="FP305" i="2"/>
  <c r="GI305" i="2" s="1"/>
  <c r="FO305" i="2"/>
  <c r="FN305" i="2"/>
  <c r="FM305" i="2"/>
  <c r="FL305" i="2"/>
  <c r="FK305" i="2"/>
  <c r="FJ305" i="2"/>
  <c r="FI305" i="2"/>
  <c r="GB305" i="2" s="1"/>
  <c r="FH305" i="2"/>
  <c r="FG305" i="2"/>
  <c r="FF305" i="2"/>
  <c r="FY305" i="2" s="1"/>
  <c r="FE305" i="2"/>
  <c r="FX305" i="2" s="1"/>
  <c r="FD305" i="2"/>
  <c r="FC305" i="2"/>
  <c r="FB305" i="2"/>
  <c r="EH305" i="2"/>
  <c r="EG305" i="2"/>
  <c r="EZ305" i="2" s="1"/>
  <c r="EE305" i="2"/>
  <c r="EX305" i="2" s="1"/>
  <c r="ED305" i="2"/>
  <c r="EW305" i="2" s="1"/>
  <c r="EC305" i="2"/>
  <c r="EB305" i="2"/>
  <c r="EA305" i="2"/>
  <c r="DZ305" i="2"/>
  <c r="DY305" i="2"/>
  <c r="DX305" i="2"/>
  <c r="DW305" i="2"/>
  <c r="EP305" i="2" s="1"/>
  <c r="DV305" i="2"/>
  <c r="DU305" i="2"/>
  <c r="DT305" i="2"/>
  <c r="EM305" i="2" s="1"/>
  <c r="DS305" i="2"/>
  <c r="EL305" i="2" s="1"/>
  <c r="DR305" i="2"/>
  <c r="DQ305" i="2"/>
  <c r="DP305" i="2"/>
  <c r="FT304" i="2"/>
  <c r="FS304" i="2"/>
  <c r="GL304" i="2" s="1"/>
  <c r="FQ304" i="2"/>
  <c r="GJ304" i="2" s="1"/>
  <c r="FP304" i="2"/>
  <c r="GI304" i="2" s="1"/>
  <c r="FO304" i="2"/>
  <c r="FN304" i="2"/>
  <c r="FM304" i="2"/>
  <c r="FL304" i="2"/>
  <c r="FK304" i="2"/>
  <c r="FJ304" i="2"/>
  <c r="FI304" i="2"/>
  <c r="GB304" i="2" s="1"/>
  <c r="FH304" i="2"/>
  <c r="FG304" i="2"/>
  <c r="FF304" i="2"/>
  <c r="FY304" i="2" s="1"/>
  <c r="FE304" i="2"/>
  <c r="FX304" i="2" s="1"/>
  <c r="FD304" i="2"/>
  <c r="FC304" i="2"/>
  <c r="FB304" i="2"/>
  <c r="FT303" i="2"/>
  <c r="FS303" i="2"/>
  <c r="GL303" i="2" s="1"/>
  <c r="FQ303" i="2"/>
  <c r="GJ303" i="2" s="1"/>
  <c r="FP303" i="2"/>
  <c r="GI303" i="2" s="1"/>
  <c r="FO303" i="2"/>
  <c r="FN303" i="2"/>
  <c r="FM303" i="2"/>
  <c r="FL303" i="2"/>
  <c r="FK303" i="2"/>
  <c r="FI303" i="2"/>
  <c r="GB303" i="2" s="1"/>
  <c r="FH303" i="2"/>
  <c r="FG303" i="2"/>
  <c r="FF303" i="2"/>
  <c r="FY303" i="2" s="1"/>
  <c r="FE303" i="2"/>
  <c r="FX303" i="2" s="1"/>
  <c r="FD303" i="2"/>
  <c r="FC303" i="2"/>
  <c r="FB303" i="2"/>
  <c r="FT302" i="2"/>
  <c r="FS302" i="2"/>
  <c r="GL302" i="2" s="1"/>
  <c r="FQ302" i="2"/>
  <c r="GJ302" i="2" s="1"/>
  <c r="FP302" i="2"/>
  <c r="GI302" i="2" s="1"/>
  <c r="FO302" i="2"/>
  <c r="FN302" i="2"/>
  <c r="FM302" i="2"/>
  <c r="FL302" i="2"/>
  <c r="FK302" i="2"/>
  <c r="FJ302" i="2"/>
  <c r="FI302" i="2"/>
  <c r="GB302" i="2" s="1"/>
  <c r="FH302" i="2"/>
  <c r="FG302" i="2"/>
  <c r="FF302" i="2"/>
  <c r="FY302" i="2" s="1"/>
  <c r="FE302" i="2"/>
  <c r="FX302" i="2" s="1"/>
  <c r="FD302" i="2"/>
  <c r="FC302" i="2"/>
  <c r="FB302" i="2"/>
  <c r="EH302" i="2"/>
  <c r="EG302" i="2"/>
  <c r="EZ302" i="2" s="1"/>
  <c r="EE302" i="2"/>
  <c r="EX302" i="2" s="1"/>
  <c r="ED302" i="2"/>
  <c r="EW302" i="2" s="1"/>
  <c r="EC302" i="2"/>
  <c r="EB302" i="2"/>
  <c r="EA302" i="2"/>
  <c r="DZ302" i="2"/>
  <c r="DY302" i="2"/>
  <c r="DX302" i="2"/>
  <c r="DW302" i="2"/>
  <c r="EP302" i="2" s="1"/>
  <c r="DV302" i="2"/>
  <c r="DU302" i="2"/>
  <c r="DT302" i="2"/>
  <c r="EM302" i="2" s="1"/>
  <c r="DS302" i="2"/>
  <c r="EL302" i="2" s="1"/>
  <c r="DR302" i="2"/>
  <c r="DQ302" i="2"/>
  <c r="DP302" i="2"/>
  <c r="FT300" i="2"/>
  <c r="FS300" i="2"/>
  <c r="GL300" i="2" s="1"/>
  <c r="FQ300" i="2"/>
  <c r="GJ300" i="2" s="1"/>
  <c r="FP300" i="2"/>
  <c r="GI300" i="2" s="1"/>
  <c r="FO300" i="2"/>
  <c r="FN300" i="2"/>
  <c r="FM300" i="2"/>
  <c r="FL300" i="2"/>
  <c r="FK300" i="2"/>
  <c r="FJ300" i="2"/>
  <c r="FI300" i="2"/>
  <c r="GB300" i="2" s="1"/>
  <c r="FH300" i="2"/>
  <c r="FG300" i="2"/>
  <c r="FF300" i="2"/>
  <c r="FY300" i="2" s="1"/>
  <c r="FE300" i="2"/>
  <c r="FX300" i="2" s="1"/>
  <c r="FD300" i="2"/>
  <c r="FC300" i="2"/>
  <c r="FB300" i="2"/>
  <c r="FT299" i="2"/>
  <c r="FS299" i="2"/>
  <c r="GL299" i="2" s="1"/>
  <c r="FQ299" i="2"/>
  <c r="GJ299" i="2" s="1"/>
  <c r="FP299" i="2"/>
  <c r="GI299" i="2" s="1"/>
  <c r="FO299" i="2"/>
  <c r="FN299" i="2"/>
  <c r="FM299" i="2"/>
  <c r="FL299" i="2"/>
  <c r="FK299" i="2"/>
  <c r="FJ299" i="2"/>
  <c r="FI299" i="2"/>
  <c r="GB299" i="2" s="1"/>
  <c r="FH299" i="2"/>
  <c r="FG299" i="2"/>
  <c r="FF299" i="2"/>
  <c r="FY299" i="2" s="1"/>
  <c r="FE299" i="2"/>
  <c r="FX299" i="2" s="1"/>
  <c r="FD299" i="2"/>
  <c r="FC299" i="2"/>
  <c r="FB299" i="2"/>
  <c r="EH299" i="2"/>
  <c r="EG299" i="2"/>
  <c r="EZ299" i="2" s="1"/>
  <c r="EE299" i="2"/>
  <c r="EX299" i="2" s="1"/>
  <c r="ED299" i="2"/>
  <c r="EW299" i="2" s="1"/>
  <c r="EC299" i="2"/>
  <c r="EB299" i="2"/>
  <c r="EA299" i="2"/>
  <c r="DZ299" i="2"/>
  <c r="DY299" i="2"/>
  <c r="DX299" i="2"/>
  <c r="DW299" i="2"/>
  <c r="EP299" i="2" s="1"/>
  <c r="DV299" i="2"/>
  <c r="DU299" i="2"/>
  <c r="DT299" i="2"/>
  <c r="EM299" i="2" s="1"/>
  <c r="DS299" i="2"/>
  <c r="EL299" i="2" s="1"/>
  <c r="DR299" i="2"/>
  <c r="DQ299" i="2"/>
  <c r="DP299" i="2"/>
  <c r="FT297" i="2"/>
  <c r="FS297" i="2"/>
  <c r="GL297" i="2" s="1"/>
  <c r="FQ297" i="2"/>
  <c r="GJ297" i="2" s="1"/>
  <c r="FP297" i="2"/>
  <c r="GI297" i="2" s="1"/>
  <c r="FO297" i="2"/>
  <c r="FN297" i="2"/>
  <c r="FM297" i="2"/>
  <c r="FL297" i="2"/>
  <c r="FK297" i="2"/>
  <c r="FJ297" i="2"/>
  <c r="FI297" i="2"/>
  <c r="GB297" i="2" s="1"/>
  <c r="FH297" i="2"/>
  <c r="FG297" i="2"/>
  <c r="FF297" i="2"/>
  <c r="FY297" i="2" s="1"/>
  <c r="FE297" i="2"/>
  <c r="FX297" i="2" s="1"/>
  <c r="FD297" i="2"/>
  <c r="FC297" i="2"/>
  <c r="FB297" i="2"/>
  <c r="FT296" i="2"/>
  <c r="FS296" i="2"/>
  <c r="GL296" i="2" s="1"/>
  <c r="FQ296" i="2"/>
  <c r="GJ296" i="2" s="1"/>
  <c r="FP296" i="2"/>
  <c r="GI296" i="2" s="1"/>
  <c r="FO296" i="2"/>
  <c r="FN296" i="2"/>
  <c r="FM296" i="2"/>
  <c r="FL296" i="2"/>
  <c r="FK296" i="2"/>
  <c r="FJ296" i="2"/>
  <c r="FI296" i="2"/>
  <c r="GB296" i="2" s="1"/>
  <c r="FH296" i="2"/>
  <c r="FG296" i="2"/>
  <c r="FF296" i="2"/>
  <c r="FY296" i="2" s="1"/>
  <c r="FE296" i="2"/>
  <c r="FX296" i="2" s="1"/>
  <c r="FD296" i="2"/>
  <c r="FC296" i="2"/>
  <c r="FB296" i="2"/>
  <c r="EH296" i="2"/>
  <c r="EG296" i="2"/>
  <c r="EZ296" i="2" s="1"/>
  <c r="EE296" i="2"/>
  <c r="EX296" i="2" s="1"/>
  <c r="ED296" i="2"/>
  <c r="EW296" i="2" s="1"/>
  <c r="EC296" i="2"/>
  <c r="EB296" i="2"/>
  <c r="EA296" i="2"/>
  <c r="DZ296" i="2"/>
  <c r="DY296" i="2"/>
  <c r="DX296" i="2"/>
  <c r="DW296" i="2"/>
  <c r="EP296" i="2" s="1"/>
  <c r="DV296" i="2"/>
  <c r="DU296" i="2"/>
  <c r="DT296" i="2"/>
  <c r="EM296" i="2" s="1"/>
  <c r="DS296" i="2"/>
  <c r="EL296" i="2" s="1"/>
  <c r="DR296" i="2"/>
  <c r="DQ296" i="2"/>
  <c r="DP296" i="2"/>
  <c r="FT295" i="2"/>
  <c r="FS295" i="2"/>
  <c r="GL295" i="2" s="1"/>
  <c r="FQ295" i="2"/>
  <c r="GJ295" i="2" s="1"/>
  <c r="FP295" i="2"/>
  <c r="GI295" i="2" s="1"/>
  <c r="FO295" i="2"/>
  <c r="FN295" i="2"/>
  <c r="FM295" i="2"/>
  <c r="FL295" i="2"/>
  <c r="FK295" i="2"/>
  <c r="FJ295" i="2"/>
  <c r="FI295" i="2"/>
  <c r="GB295" i="2" s="1"/>
  <c r="FH295" i="2"/>
  <c r="FG295" i="2"/>
  <c r="FF295" i="2"/>
  <c r="FY295" i="2" s="1"/>
  <c r="FE295" i="2"/>
  <c r="FX295" i="2" s="1"/>
  <c r="FD295" i="2"/>
  <c r="FC295" i="2"/>
  <c r="FB295" i="2"/>
  <c r="FT294" i="2"/>
  <c r="FS294" i="2"/>
  <c r="GL294" i="2" s="1"/>
  <c r="FQ294" i="2"/>
  <c r="GJ294" i="2" s="1"/>
  <c r="FP294" i="2"/>
  <c r="GI294" i="2" s="1"/>
  <c r="FO294" i="2"/>
  <c r="FN294" i="2"/>
  <c r="FM294" i="2"/>
  <c r="FL294" i="2"/>
  <c r="FK294" i="2"/>
  <c r="FJ294" i="2"/>
  <c r="FI294" i="2"/>
  <c r="GB294" i="2" s="1"/>
  <c r="FH294" i="2"/>
  <c r="FG294" i="2"/>
  <c r="FF294" i="2"/>
  <c r="FY294" i="2" s="1"/>
  <c r="FE294" i="2"/>
  <c r="FX294" i="2" s="1"/>
  <c r="FD294" i="2"/>
  <c r="FC294" i="2"/>
  <c r="FB294" i="2"/>
  <c r="EH294" i="2"/>
  <c r="EG294" i="2"/>
  <c r="EZ294" i="2" s="1"/>
  <c r="EE294" i="2"/>
  <c r="EX294" i="2" s="1"/>
  <c r="ED294" i="2"/>
  <c r="EW294" i="2" s="1"/>
  <c r="EC294" i="2"/>
  <c r="EB294" i="2"/>
  <c r="EA294" i="2"/>
  <c r="DZ294" i="2"/>
  <c r="DY294" i="2"/>
  <c r="DX294" i="2"/>
  <c r="DW294" i="2"/>
  <c r="EP294" i="2" s="1"/>
  <c r="DV294" i="2"/>
  <c r="DU294" i="2"/>
  <c r="DT294" i="2"/>
  <c r="EM294" i="2" s="1"/>
  <c r="DS294" i="2"/>
  <c r="EL294" i="2" s="1"/>
  <c r="DR294" i="2"/>
  <c r="DQ294" i="2"/>
  <c r="DP294" i="2"/>
  <c r="FT293" i="2"/>
  <c r="FS293" i="2"/>
  <c r="GL293" i="2" s="1"/>
  <c r="FQ293" i="2"/>
  <c r="GJ293" i="2" s="1"/>
  <c r="FP293" i="2"/>
  <c r="GI293" i="2" s="1"/>
  <c r="FO293" i="2"/>
  <c r="FN293" i="2"/>
  <c r="FM293" i="2"/>
  <c r="FL293" i="2"/>
  <c r="FK293" i="2"/>
  <c r="FJ293" i="2"/>
  <c r="FI293" i="2"/>
  <c r="GB293" i="2" s="1"/>
  <c r="FH293" i="2"/>
  <c r="FG293" i="2"/>
  <c r="FF293" i="2"/>
  <c r="FY293" i="2" s="1"/>
  <c r="FE293" i="2"/>
  <c r="FX293" i="2" s="1"/>
  <c r="FD293" i="2"/>
  <c r="FC293" i="2"/>
  <c r="FB293" i="2"/>
  <c r="EH293" i="2"/>
  <c r="EG293" i="2"/>
  <c r="EZ293" i="2" s="1"/>
  <c r="EE293" i="2"/>
  <c r="EX293" i="2" s="1"/>
  <c r="ED293" i="2"/>
  <c r="EW293" i="2" s="1"/>
  <c r="EC293" i="2"/>
  <c r="EB293" i="2"/>
  <c r="EA293" i="2"/>
  <c r="DZ293" i="2"/>
  <c r="DY293" i="2"/>
  <c r="DX293" i="2"/>
  <c r="DW293" i="2"/>
  <c r="EP293" i="2" s="1"/>
  <c r="DV293" i="2"/>
  <c r="DU293" i="2"/>
  <c r="DT293" i="2"/>
  <c r="EM293" i="2" s="1"/>
  <c r="DS293" i="2"/>
  <c r="EL293" i="2" s="1"/>
  <c r="DR293" i="2"/>
  <c r="DQ293" i="2"/>
  <c r="DP293" i="2"/>
  <c r="FT292" i="2"/>
  <c r="FS292" i="2"/>
  <c r="GL292" i="2" s="1"/>
  <c r="FQ292" i="2"/>
  <c r="GJ292" i="2" s="1"/>
  <c r="FP292" i="2"/>
  <c r="GI292" i="2" s="1"/>
  <c r="FO292" i="2"/>
  <c r="FN292" i="2"/>
  <c r="FM292" i="2"/>
  <c r="FL292" i="2"/>
  <c r="FK292" i="2"/>
  <c r="FJ292" i="2"/>
  <c r="FI292" i="2"/>
  <c r="GB292" i="2" s="1"/>
  <c r="FH292" i="2"/>
  <c r="FG292" i="2"/>
  <c r="FF292" i="2"/>
  <c r="FY292" i="2" s="1"/>
  <c r="FE292" i="2"/>
  <c r="FX292" i="2" s="1"/>
  <c r="FD292" i="2"/>
  <c r="FC292" i="2"/>
  <c r="FB292" i="2"/>
  <c r="EH292" i="2"/>
  <c r="EG292" i="2"/>
  <c r="EZ292" i="2" s="1"/>
  <c r="EE292" i="2"/>
  <c r="EX292" i="2" s="1"/>
  <c r="ED292" i="2"/>
  <c r="EW292" i="2" s="1"/>
  <c r="EC292" i="2"/>
  <c r="EB292" i="2"/>
  <c r="EA292" i="2"/>
  <c r="DZ292" i="2"/>
  <c r="DY292" i="2"/>
  <c r="DX292" i="2"/>
  <c r="DW292" i="2"/>
  <c r="EP292" i="2" s="1"/>
  <c r="DV292" i="2"/>
  <c r="DU292" i="2"/>
  <c r="DT292" i="2"/>
  <c r="EM292" i="2" s="1"/>
  <c r="DS292" i="2"/>
  <c r="EL292" i="2" s="1"/>
  <c r="DR292" i="2"/>
  <c r="DQ292" i="2"/>
  <c r="DP292" i="2"/>
  <c r="FT291" i="2"/>
  <c r="FS291" i="2"/>
  <c r="GL291" i="2" s="1"/>
  <c r="FQ291" i="2"/>
  <c r="GJ291" i="2" s="1"/>
  <c r="FP291" i="2"/>
  <c r="GI291" i="2" s="1"/>
  <c r="FO291" i="2"/>
  <c r="FN291" i="2"/>
  <c r="FM291" i="2"/>
  <c r="FL291" i="2"/>
  <c r="FK291" i="2"/>
  <c r="FJ291" i="2"/>
  <c r="FI291" i="2"/>
  <c r="GB291" i="2" s="1"/>
  <c r="FH291" i="2"/>
  <c r="FG291" i="2"/>
  <c r="FF291" i="2"/>
  <c r="FY291" i="2" s="1"/>
  <c r="FE291" i="2"/>
  <c r="FX291" i="2" s="1"/>
  <c r="FD291" i="2"/>
  <c r="FC291" i="2"/>
  <c r="FB291" i="2"/>
  <c r="EH291" i="2"/>
  <c r="EG291" i="2"/>
  <c r="EZ291" i="2" s="1"/>
  <c r="EE291" i="2"/>
  <c r="EX291" i="2" s="1"/>
  <c r="ED291" i="2"/>
  <c r="EW291" i="2" s="1"/>
  <c r="EC291" i="2"/>
  <c r="EB291" i="2"/>
  <c r="EA291" i="2"/>
  <c r="DZ291" i="2"/>
  <c r="DY291" i="2"/>
  <c r="DX291" i="2"/>
  <c r="DW291" i="2"/>
  <c r="EP291" i="2" s="1"/>
  <c r="DV291" i="2"/>
  <c r="DU291" i="2"/>
  <c r="DT291" i="2"/>
  <c r="EM291" i="2" s="1"/>
  <c r="DS291" i="2"/>
  <c r="EL291" i="2" s="1"/>
  <c r="DR291" i="2"/>
  <c r="DQ291" i="2"/>
  <c r="DP291" i="2"/>
  <c r="FT290" i="2"/>
  <c r="FS290" i="2"/>
  <c r="GL290" i="2" s="1"/>
  <c r="FQ290" i="2"/>
  <c r="GJ290" i="2" s="1"/>
  <c r="FP290" i="2"/>
  <c r="GI290" i="2" s="1"/>
  <c r="FO290" i="2"/>
  <c r="FN290" i="2"/>
  <c r="FM290" i="2"/>
  <c r="FL290" i="2"/>
  <c r="FK290" i="2"/>
  <c r="FJ290" i="2"/>
  <c r="FI290" i="2"/>
  <c r="GB290" i="2" s="1"/>
  <c r="FH290" i="2"/>
  <c r="FG290" i="2"/>
  <c r="FF290" i="2"/>
  <c r="FY290" i="2" s="1"/>
  <c r="FE290" i="2"/>
  <c r="FX290" i="2" s="1"/>
  <c r="FD290" i="2"/>
  <c r="FC290" i="2"/>
  <c r="FB290" i="2"/>
  <c r="FT289" i="2"/>
  <c r="FS289" i="2"/>
  <c r="GL289" i="2" s="1"/>
  <c r="FQ289" i="2"/>
  <c r="GJ289" i="2" s="1"/>
  <c r="FP289" i="2"/>
  <c r="GI289" i="2" s="1"/>
  <c r="FO289" i="2"/>
  <c r="FN289" i="2"/>
  <c r="FM289" i="2"/>
  <c r="FL289" i="2"/>
  <c r="FK289" i="2"/>
  <c r="FJ289" i="2"/>
  <c r="FI289" i="2"/>
  <c r="GB289" i="2" s="1"/>
  <c r="FH289" i="2"/>
  <c r="FG289" i="2"/>
  <c r="FF289" i="2"/>
  <c r="FY289" i="2" s="1"/>
  <c r="FE289" i="2"/>
  <c r="FX289" i="2" s="1"/>
  <c r="FD289" i="2"/>
  <c r="FC289" i="2"/>
  <c r="FB289" i="2"/>
  <c r="EH289" i="2"/>
  <c r="EG289" i="2"/>
  <c r="EZ289" i="2" s="1"/>
  <c r="EE289" i="2"/>
  <c r="EX289" i="2" s="1"/>
  <c r="ED289" i="2"/>
  <c r="EW289" i="2" s="1"/>
  <c r="EC289" i="2"/>
  <c r="EB289" i="2"/>
  <c r="EA289" i="2"/>
  <c r="DZ289" i="2"/>
  <c r="DY289" i="2"/>
  <c r="DX289" i="2"/>
  <c r="DW289" i="2"/>
  <c r="EP289" i="2" s="1"/>
  <c r="DV289" i="2"/>
  <c r="DU289" i="2"/>
  <c r="DT289" i="2"/>
  <c r="EM289" i="2" s="1"/>
  <c r="DS289" i="2"/>
  <c r="EL289" i="2" s="1"/>
  <c r="DR289" i="2"/>
  <c r="DQ289" i="2"/>
  <c r="DP289" i="2"/>
  <c r="FT288" i="2"/>
  <c r="FS288" i="2"/>
  <c r="GL288" i="2" s="1"/>
  <c r="FQ288" i="2"/>
  <c r="GJ288" i="2" s="1"/>
  <c r="FP288" i="2"/>
  <c r="GI288" i="2" s="1"/>
  <c r="FO288" i="2"/>
  <c r="FN288" i="2"/>
  <c r="FM288" i="2"/>
  <c r="FL288" i="2"/>
  <c r="FK288" i="2"/>
  <c r="FJ288" i="2"/>
  <c r="FI288" i="2"/>
  <c r="GB288" i="2" s="1"/>
  <c r="FH288" i="2"/>
  <c r="FG288" i="2"/>
  <c r="FF288" i="2"/>
  <c r="FY288" i="2" s="1"/>
  <c r="FE288" i="2"/>
  <c r="FX288" i="2" s="1"/>
  <c r="FD288" i="2"/>
  <c r="FC288" i="2"/>
  <c r="FB288" i="2"/>
  <c r="FT205" i="2"/>
  <c r="FS205" i="2"/>
  <c r="GL205" i="2" s="1"/>
  <c r="FQ205" i="2"/>
  <c r="GJ205" i="2" s="1"/>
  <c r="FP205" i="2"/>
  <c r="GI205" i="2" s="1"/>
  <c r="FO205" i="2"/>
  <c r="FN205" i="2"/>
  <c r="FM205" i="2"/>
  <c r="FL205" i="2"/>
  <c r="FK205" i="2"/>
  <c r="FJ205" i="2"/>
  <c r="FI205" i="2"/>
  <c r="GB205" i="2" s="1"/>
  <c r="FH205" i="2"/>
  <c r="FG205" i="2"/>
  <c r="FF205" i="2"/>
  <c r="FY205" i="2" s="1"/>
  <c r="FE205" i="2"/>
  <c r="FX205" i="2" s="1"/>
  <c r="FD205" i="2"/>
  <c r="FC205" i="2"/>
  <c r="FB205" i="2"/>
  <c r="FT204" i="2"/>
  <c r="FS204" i="2"/>
  <c r="GL204" i="2" s="1"/>
  <c r="FQ204" i="2"/>
  <c r="GJ204" i="2" s="1"/>
  <c r="FP204" i="2"/>
  <c r="GI204" i="2" s="1"/>
  <c r="FO204" i="2"/>
  <c r="FN204" i="2"/>
  <c r="FM204" i="2"/>
  <c r="FL204" i="2"/>
  <c r="FK204" i="2"/>
  <c r="FJ204" i="2"/>
  <c r="FI204" i="2"/>
  <c r="GB204" i="2" s="1"/>
  <c r="FH204" i="2"/>
  <c r="FG204" i="2"/>
  <c r="FF204" i="2"/>
  <c r="FY204" i="2" s="1"/>
  <c r="FE204" i="2"/>
  <c r="FX204" i="2" s="1"/>
  <c r="FD204" i="2"/>
  <c r="FC204" i="2"/>
  <c r="FB204" i="2"/>
  <c r="EH204" i="2"/>
  <c r="EG204" i="2"/>
  <c r="EZ204" i="2" s="1"/>
  <c r="EE204" i="2"/>
  <c r="EX204" i="2" s="1"/>
  <c r="ED204" i="2"/>
  <c r="EW204" i="2" s="1"/>
  <c r="EC204" i="2"/>
  <c r="EB204" i="2"/>
  <c r="EA204" i="2"/>
  <c r="DZ204" i="2"/>
  <c r="DY204" i="2"/>
  <c r="DX204" i="2"/>
  <c r="DW204" i="2"/>
  <c r="EP204" i="2" s="1"/>
  <c r="DV204" i="2"/>
  <c r="DU204" i="2"/>
  <c r="DT204" i="2"/>
  <c r="EM204" i="2" s="1"/>
  <c r="DS204" i="2"/>
  <c r="EL204" i="2" s="1"/>
  <c r="DR204" i="2"/>
  <c r="DQ204" i="2"/>
  <c r="DP204" i="2"/>
  <c r="FT203" i="2"/>
  <c r="FS203" i="2"/>
  <c r="GL203" i="2" s="1"/>
  <c r="FQ203" i="2"/>
  <c r="GJ203" i="2" s="1"/>
  <c r="FP203" i="2"/>
  <c r="GI203" i="2" s="1"/>
  <c r="FO203" i="2"/>
  <c r="FN203" i="2"/>
  <c r="FM203" i="2"/>
  <c r="FL203" i="2"/>
  <c r="FK203" i="2"/>
  <c r="FJ203" i="2"/>
  <c r="FI203" i="2"/>
  <c r="GB203" i="2" s="1"/>
  <c r="FH203" i="2"/>
  <c r="FG203" i="2"/>
  <c r="FF203" i="2"/>
  <c r="FY203" i="2" s="1"/>
  <c r="FE203" i="2"/>
  <c r="FX203" i="2" s="1"/>
  <c r="FD203" i="2"/>
  <c r="FC203" i="2"/>
  <c r="FB203" i="2"/>
  <c r="EH203" i="2"/>
  <c r="EG203" i="2"/>
  <c r="EZ203" i="2" s="1"/>
  <c r="EE203" i="2"/>
  <c r="EX203" i="2" s="1"/>
  <c r="ED203" i="2"/>
  <c r="EW203" i="2" s="1"/>
  <c r="EC203" i="2"/>
  <c r="EB203" i="2"/>
  <c r="EA203" i="2"/>
  <c r="DZ203" i="2"/>
  <c r="DY203" i="2"/>
  <c r="DX203" i="2"/>
  <c r="DW203" i="2"/>
  <c r="EP203" i="2" s="1"/>
  <c r="DV203" i="2"/>
  <c r="DU203" i="2"/>
  <c r="DT203" i="2"/>
  <c r="EM203" i="2" s="1"/>
  <c r="DS203" i="2"/>
  <c r="EL203" i="2" s="1"/>
  <c r="DR203" i="2"/>
  <c r="DQ203" i="2"/>
  <c r="DP203" i="2"/>
  <c r="FT202" i="2"/>
  <c r="FS202" i="2"/>
  <c r="GL202" i="2" s="1"/>
  <c r="FQ202" i="2"/>
  <c r="GJ202" i="2" s="1"/>
  <c r="FP202" i="2"/>
  <c r="GI202" i="2" s="1"/>
  <c r="FO202" i="2"/>
  <c r="FN202" i="2"/>
  <c r="FM202" i="2"/>
  <c r="FL202" i="2"/>
  <c r="FK202" i="2"/>
  <c r="FJ202" i="2"/>
  <c r="FI202" i="2"/>
  <c r="GB202" i="2" s="1"/>
  <c r="FH202" i="2"/>
  <c r="FG202" i="2"/>
  <c r="FF202" i="2"/>
  <c r="FY202" i="2" s="1"/>
  <c r="FE202" i="2"/>
  <c r="FX202" i="2" s="1"/>
  <c r="FD202" i="2"/>
  <c r="FC202" i="2"/>
  <c r="FB202" i="2"/>
  <c r="EH202" i="2"/>
  <c r="EG202" i="2"/>
  <c r="EZ202" i="2" s="1"/>
  <c r="EE202" i="2"/>
  <c r="EX202" i="2" s="1"/>
  <c r="ED202" i="2"/>
  <c r="EW202" i="2" s="1"/>
  <c r="EC202" i="2"/>
  <c r="EB202" i="2"/>
  <c r="EA202" i="2"/>
  <c r="DZ202" i="2"/>
  <c r="DY202" i="2"/>
  <c r="DX202" i="2"/>
  <c r="DW202" i="2"/>
  <c r="EP202" i="2" s="1"/>
  <c r="DV202" i="2"/>
  <c r="DU202" i="2"/>
  <c r="DT202" i="2"/>
  <c r="EM202" i="2" s="1"/>
  <c r="DS202" i="2"/>
  <c r="EL202" i="2" s="1"/>
  <c r="DR202" i="2"/>
  <c r="DQ202" i="2"/>
  <c r="DP202" i="2"/>
  <c r="FT193" i="2"/>
  <c r="FS193" i="2"/>
  <c r="GL193" i="2" s="1"/>
  <c r="FQ193" i="2"/>
  <c r="GJ193" i="2" s="1"/>
  <c r="FP193" i="2"/>
  <c r="GI193" i="2" s="1"/>
  <c r="FO193" i="2"/>
  <c r="FN193" i="2"/>
  <c r="FM193" i="2"/>
  <c r="FL193" i="2"/>
  <c r="FK193" i="2"/>
  <c r="FJ193" i="2"/>
  <c r="FI193" i="2"/>
  <c r="GB193" i="2" s="1"/>
  <c r="FH193" i="2"/>
  <c r="FG193" i="2"/>
  <c r="FF193" i="2"/>
  <c r="FY193" i="2" s="1"/>
  <c r="FE193" i="2"/>
  <c r="FX193" i="2" s="1"/>
  <c r="FD193" i="2"/>
  <c r="FC193" i="2"/>
  <c r="FB193" i="2"/>
  <c r="EH193" i="2"/>
  <c r="EG193" i="2"/>
  <c r="EZ193" i="2" s="1"/>
  <c r="EE193" i="2"/>
  <c r="EX193" i="2" s="1"/>
  <c r="ED193" i="2"/>
  <c r="EW193" i="2" s="1"/>
  <c r="EC193" i="2"/>
  <c r="EB193" i="2"/>
  <c r="EA193" i="2"/>
  <c r="DZ193" i="2"/>
  <c r="DY193" i="2"/>
  <c r="DX193" i="2"/>
  <c r="DW193" i="2"/>
  <c r="EP193" i="2" s="1"/>
  <c r="DV193" i="2"/>
  <c r="DU193" i="2"/>
  <c r="DT193" i="2"/>
  <c r="EM193" i="2" s="1"/>
  <c r="DS193" i="2"/>
  <c r="EL193" i="2" s="1"/>
  <c r="DR193" i="2"/>
  <c r="DQ193" i="2"/>
  <c r="DP193" i="2"/>
  <c r="FT192" i="2"/>
  <c r="FS192" i="2"/>
  <c r="GL192" i="2" s="1"/>
  <c r="FQ192" i="2"/>
  <c r="GJ192" i="2" s="1"/>
  <c r="FP192" i="2"/>
  <c r="GI192" i="2" s="1"/>
  <c r="FO192" i="2"/>
  <c r="FN192" i="2"/>
  <c r="FM192" i="2"/>
  <c r="FL192" i="2"/>
  <c r="FK192" i="2"/>
  <c r="FJ192" i="2"/>
  <c r="FI192" i="2"/>
  <c r="GB192" i="2" s="1"/>
  <c r="FH192" i="2"/>
  <c r="FG192" i="2"/>
  <c r="FF192" i="2"/>
  <c r="FY192" i="2" s="1"/>
  <c r="FE192" i="2"/>
  <c r="FX192" i="2" s="1"/>
  <c r="FD192" i="2"/>
  <c r="FC192" i="2"/>
  <c r="FB192" i="2"/>
  <c r="EH192" i="2"/>
  <c r="EG192" i="2"/>
  <c r="EZ192" i="2" s="1"/>
  <c r="EE192" i="2"/>
  <c r="EX192" i="2" s="1"/>
  <c r="ED192" i="2"/>
  <c r="EW192" i="2" s="1"/>
  <c r="EC192" i="2"/>
  <c r="EB192" i="2"/>
  <c r="EA192" i="2"/>
  <c r="DZ192" i="2"/>
  <c r="DY192" i="2"/>
  <c r="DX192" i="2"/>
  <c r="DW192" i="2"/>
  <c r="EP192" i="2" s="1"/>
  <c r="DV192" i="2"/>
  <c r="DU192" i="2"/>
  <c r="DT192" i="2"/>
  <c r="EM192" i="2" s="1"/>
  <c r="DS192" i="2"/>
  <c r="EL192" i="2" s="1"/>
  <c r="DR192" i="2"/>
  <c r="DQ192" i="2"/>
  <c r="DP192" i="2"/>
  <c r="FT189" i="2"/>
  <c r="FS189" i="2"/>
  <c r="GL189" i="2" s="1"/>
  <c r="FQ189" i="2"/>
  <c r="GJ189" i="2" s="1"/>
  <c r="FP189" i="2"/>
  <c r="GI189" i="2" s="1"/>
  <c r="FO189" i="2"/>
  <c r="FN189" i="2"/>
  <c r="FM189" i="2"/>
  <c r="FL189" i="2"/>
  <c r="FK189" i="2"/>
  <c r="FJ189" i="2"/>
  <c r="FI189" i="2"/>
  <c r="GB189" i="2" s="1"/>
  <c r="FH189" i="2"/>
  <c r="FG189" i="2"/>
  <c r="FF189" i="2"/>
  <c r="FY189" i="2" s="1"/>
  <c r="FE189" i="2"/>
  <c r="FX189" i="2" s="1"/>
  <c r="FD189" i="2"/>
  <c r="FC189" i="2"/>
  <c r="FB189" i="2"/>
  <c r="EH189" i="2"/>
  <c r="EG189" i="2"/>
  <c r="EZ189" i="2" s="1"/>
  <c r="EE189" i="2"/>
  <c r="EX189" i="2" s="1"/>
  <c r="ED189" i="2"/>
  <c r="EW189" i="2" s="1"/>
  <c r="EC189" i="2"/>
  <c r="EB189" i="2"/>
  <c r="EA189" i="2"/>
  <c r="DZ189" i="2"/>
  <c r="DY189" i="2"/>
  <c r="DX189" i="2"/>
  <c r="DW189" i="2"/>
  <c r="EP189" i="2" s="1"/>
  <c r="DV189" i="2"/>
  <c r="DU189" i="2"/>
  <c r="DT189" i="2"/>
  <c r="EM189" i="2" s="1"/>
  <c r="DS189" i="2"/>
  <c r="EL189" i="2" s="1"/>
  <c r="DR189" i="2"/>
  <c r="DQ189" i="2"/>
  <c r="DP189" i="2"/>
  <c r="FT188" i="2"/>
  <c r="FS188" i="2"/>
  <c r="GL188" i="2" s="1"/>
  <c r="FQ188" i="2"/>
  <c r="GJ188" i="2" s="1"/>
  <c r="FP188" i="2"/>
  <c r="GI188" i="2" s="1"/>
  <c r="FO188" i="2"/>
  <c r="FN188" i="2"/>
  <c r="FM188" i="2"/>
  <c r="FL188" i="2"/>
  <c r="FK188" i="2"/>
  <c r="FJ188" i="2"/>
  <c r="FI188" i="2"/>
  <c r="GB188" i="2" s="1"/>
  <c r="FH188" i="2"/>
  <c r="FG188" i="2"/>
  <c r="FF188" i="2"/>
  <c r="FY188" i="2" s="1"/>
  <c r="FE188" i="2"/>
  <c r="FX188" i="2" s="1"/>
  <c r="FD188" i="2"/>
  <c r="FC188" i="2"/>
  <c r="FB188" i="2"/>
  <c r="EH188" i="2"/>
  <c r="EG188" i="2"/>
  <c r="EZ188" i="2" s="1"/>
  <c r="EE188" i="2"/>
  <c r="EX188" i="2" s="1"/>
  <c r="ED188" i="2"/>
  <c r="EW188" i="2" s="1"/>
  <c r="EC188" i="2"/>
  <c r="EB188" i="2"/>
  <c r="EA188" i="2"/>
  <c r="DZ188" i="2"/>
  <c r="DY188" i="2"/>
  <c r="DX188" i="2"/>
  <c r="DW188" i="2"/>
  <c r="EP188" i="2" s="1"/>
  <c r="DV188" i="2"/>
  <c r="DU188" i="2"/>
  <c r="DT188" i="2"/>
  <c r="EM188" i="2" s="1"/>
  <c r="DS188" i="2"/>
  <c r="EL188" i="2" s="1"/>
  <c r="DR188" i="2"/>
  <c r="DQ188" i="2"/>
  <c r="DP188" i="2"/>
  <c r="FT187" i="2"/>
  <c r="FS187" i="2"/>
  <c r="GL187" i="2" s="1"/>
  <c r="FQ187" i="2"/>
  <c r="GJ187" i="2" s="1"/>
  <c r="FP187" i="2"/>
  <c r="GI187" i="2" s="1"/>
  <c r="FO187" i="2"/>
  <c r="FN187" i="2"/>
  <c r="FM187" i="2"/>
  <c r="FL187" i="2"/>
  <c r="FK187" i="2"/>
  <c r="FJ187" i="2"/>
  <c r="FI187" i="2"/>
  <c r="GB187" i="2" s="1"/>
  <c r="FH187" i="2"/>
  <c r="FG187" i="2"/>
  <c r="FF187" i="2"/>
  <c r="FY187" i="2" s="1"/>
  <c r="FE187" i="2"/>
  <c r="FX187" i="2" s="1"/>
  <c r="FD187" i="2"/>
  <c r="FC187" i="2"/>
  <c r="FB187" i="2"/>
  <c r="EH187" i="2"/>
  <c r="EG187" i="2"/>
  <c r="EZ187" i="2" s="1"/>
  <c r="EE187" i="2"/>
  <c r="EX187" i="2" s="1"/>
  <c r="ED187" i="2"/>
  <c r="EW187" i="2" s="1"/>
  <c r="EC187" i="2"/>
  <c r="EB187" i="2"/>
  <c r="EA187" i="2"/>
  <c r="DZ187" i="2"/>
  <c r="DY187" i="2"/>
  <c r="DX187" i="2"/>
  <c r="DW187" i="2"/>
  <c r="EP187" i="2" s="1"/>
  <c r="DV187" i="2"/>
  <c r="DU187" i="2"/>
  <c r="DT187" i="2"/>
  <c r="EM187" i="2" s="1"/>
  <c r="DS187" i="2"/>
  <c r="EL187" i="2" s="1"/>
  <c r="DR187" i="2"/>
  <c r="DQ187" i="2"/>
  <c r="DP187" i="2"/>
  <c r="FT186" i="2"/>
  <c r="FS186" i="2"/>
  <c r="GL186" i="2" s="1"/>
  <c r="FQ186" i="2"/>
  <c r="GJ186" i="2" s="1"/>
  <c r="FP186" i="2"/>
  <c r="GI186" i="2" s="1"/>
  <c r="FO186" i="2"/>
  <c r="FN186" i="2"/>
  <c r="FM186" i="2"/>
  <c r="FL186" i="2"/>
  <c r="FK186" i="2"/>
  <c r="FJ186" i="2"/>
  <c r="FI186" i="2"/>
  <c r="GB186" i="2" s="1"/>
  <c r="FH186" i="2"/>
  <c r="FG186" i="2"/>
  <c r="FF186" i="2"/>
  <c r="FY186" i="2" s="1"/>
  <c r="FE186" i="2"/>
  <c r="FX186" i="2" s="1"/>
  <c r="FD186" i="2"/>
  <c r="FC186" i="2"/>
  <c r="FB186" i="2"/>
  <c r="EH186" i="2"/>
  <c r="EG186" i="2"/>
  <c r="EZ186" i="2" s="1"/>
  <c r="EE186" i="2"/>
  <c r="EX186" i="2" s="1"/>
  <c r="ED186" i="2"/>
  <c r="EW186" i="2" s="1"/>
  <c r="EC186" i="2"/>
  <c r="EB186" i="2"/>
  <c r="EA186" i="2"/>
  <c r="DZ186" i="2"/>
  <c r="DY186" i="2"/>
  <c r="DX186" i="2"/>
  <c r="DW186" i="2"/>
  <c r="EP186" i="2" s="1"/>
  <c r="DV186" i="2"/>
  <c r="DU186" i="2"/>
  <c r="DT186" i="2"/>
  <c r="EM186" i="2" s="1"/>
  <c r="DS186" i="2"/>
  <c r="EL186" i="2" s="1"/>
  <c r="DR186" i="2"/>
  <c r="DQ186" i="2"/>
  <c r="DP186" i="2"/>
  <c r="FT185" i="2"/>
  <c r="FS185" i="2"/>
  <c r="GL185" i="2" s="1"/>
  <c r="FQ185" i="2"/>
  <c r="GJ185" i="2" s="1"/>
  <c r="FP185" i="2"/>
  <c r="GI185" i="2" s="1"/>
  <c r="FO185" i="2"/>
  <c r="FN185" i="2"/>
  <c r="FM185" i="2"/>
  <c r="FL185" i="2"/>
  <c r="FK185" i="2"/>
  <c r="FJ185" i="2"/>
  <c r="FI185" i="2"/>
  <c r="GB185" i="2" s="1"/>
  <c r="FH185" i="2"/>
  <c r="FG185" i="2"/>
  <c r="FF185" i="2"/>
  <c r="FY185" i="2" s="1"/>
  <c r="FE185" i="2"/>
  <c r="FX185" i="2" s="1"/>
  <c r="FD185" i="2"/>
  <c r="FC185" i="2"/>
  <c r="FB185" i="2"/>
  <c r="EH185" i="2"/>
  <c r="EG185" i="2"/>
  <c r="EZ185" i="2" s="1"/>
  <c r="EE185" i="2"/>
  <c r="EX185" i="2" s="1"/>
  <c r="ED185" i="2"/>
  <c r="EW185" i="2" s="1"/>
  <c r="EC185" i="2"/>
  <c r="EB185" i="2"/>
  <c r="EA185" i="2"/>
  <c r="DZ185" i="2"/>
  <c r="DY185" i="2"/>
  <c r="DX185" i="2"/>
  <c r="DW185" i="2"/>
  <c r="EP185" i="2" s="1"/>
  <c r="DV185" i="2"/>
  <c r="DU185" i="2"/>
  <c r="DT185" i="2"/>
  <c r="EM185" i="2" s="1"/>
  <c r="DS185" i="2"/>
  <c r="EL185" i="2" s="1"/>
  <c r="DR185" i="2"/>
  <c r="DQ185" i="2"/>
  <c r="DP185" i="2"/>
  <c r="FT184" i="2"/>
  <c r="FS184" i="2"/>
  <c r="GL184" i="2" s="1"/>
  <c r="FQ184" i="2"/>
  <c r="GJ184" i="2" s="1"/>
  <c r="FP184" i="2"/>
  <c r="GI184" i="2" s="1"/>
  <c r="FO184" i="2"/>
  <c r="FN184" i="2"/>
  <c r="FM184" i="2"/>
  <c r="FL184" i="2"/>
  <c r="FK184" i="2"/>
  <c r="FJ184" i="2"/>
  <c r="FI184" i="2"/>
  <c r="GB184" i="2" s="1"/>
  <c r="FH184" i="2"/>
  <c r="FG184" i="2"/>
  <c r="FF184" i="2"/>
  <c r="FY184" i="2" s="1"/>
  <c r="FE184" i="2"/>
  <c r="FX184" i="2" s="1"/>
  <c r="FD184" i="2"/>
  <c r="FC184" i="2"/>
  <c r="FB184" i="2"/>
  <c r="EH184" i="2"/>
  <c r="EG184" i="2"/>
  <c r="EZ184" i="2" s="1"/>
  <c r="EE184" i="2"/>
  <c r="EX184" i="2" s="1"/>
  <c r="ED184" i="2"/>
  <c r="EW184" i="2" s="1"/>
  <c r="EC184" i="2"/>
  <c r="EB184" i="2"/>
  <c r="EA184" i="2"/>
  <c r="DZ184" i="2"/>
  <c r="DY184" i="2"/>
  <c r="DX184" i="2"/>
  <c r="DW184" i="2"/>
  <c r="EP184" i="2" s="1"/>
  <c r="DV184" i="2"/>
  <c r="DU184" i="2"/>
  <c r="DT184" i="2"/>
  <c r="EM184" i="2" s="1"/>
  <c r="DS184" i="2"/>
  <c r="EL184" i="2" s="1"/>
  <c r="DR184" i="2"/>
  <c r="DQ184" i="2"/>
  <c r="DP184" i="2"/>
  <c r="FT183" i="2"/>
  <c r="FS183" i="2"/>
  <c r="GL183" i="2" s="1"/>
  <c r="FQ183" i="2"/>
  <c r="GJ183" i="2" s="1"/>
  <c r="FP183" i="2"/>
  <c r="GI183" i="2" s="1"/>
  <c r="FO183" i="2"/>
  <c r="FN183" i="2"/>
  <c r="FM183" i="2"/>
  <c r="FL183" i="2"/>
  <c r="FK183" i="2"/>
  <c r="FJ183" i="2"/>
  <c r="FI183" i="2"/>
  <c r="GB183" i="2" s="1"/>
  <c r="FH183" i="2"/>
  <c r="FG183" i="2"/>
  <c r="FF183" i="2"/>
  <c r="FY183" i="2" s="1"/>
  <c r="FE183" i="2"/>
  <c r="FX183" i="2" s="1"/>
  <c r="FD183" i="2"/>
  <c r="FC183" i="2"/>
  <c r="FB183" i="2"/>
  <c r="EH183" i="2"/>
  <c r="EG183" i="2"/>
  <c r="EZ183" i="2" s="1"/>
  <c r="EE183" i="2"/>
  <c r="EX183" i="2" s="1"/>
  <c r="ED183" i="2"/>
  <c r="EW183" i="2" s="1"/>
  <c r="EC183" i="2"/>
  <c r="EB183" i="2"/>
  <c r="EA183" i="2"/>
  <c r="DZ183" i="2"/>
  <c r="DY183" i="2"/>
  <c r="DX183" i="2"/>
  <c r="DW183" i="2"/>
  <c r="EP183" i="2" s="1"/>
  <c r="DV183" i="2"/>
  <c r="DU183" i="2"/>
  <c r="DT183" i="2"/>
  <c r="EM183" i="2" s="1"/>
  <c r="DS183" i="2"/>
  <c r="EL183" i="2" s="1"/>
  <c r="DR183" i="2"/>
  <c r="DQ183" i="2"/>
  <c r="DP183" i="2"/>
  <c r="FT182" i="2"/>
  <c r="FS182" i="2"/>
  <c r="GL182" i="2" s="1"/>
  <c r="FQ182" i="2"/>
  <c r="GJ182" i="2" s="1"/>
  <c r="FP182" i="2"/>
  <c r="GI182" i="2" s="1"/>
  <c r="FO182" i="2"/>
  <c r="FN182" i="2"/>
  <c r="FM182" i="2"/>
  <c r="FL182" i="2"/>
  <c r="FK182" i="2"/>
  <c r="FJ182" i="2"/>
  <c r="FI182" i="2"/>
  <c r="GB182" i="2" s="1"/>
  <c r="FH182" i="2"/>
  <c r="FG182" i="2"/>
  <c r="FF182" i="2"/>
  <c r="FY182" i="2" s="1"/>
  <c r="FE182" i="2"/>
  <c r="FX182" i="2" s="1"/>
  <c r="FD182" i="2"/>
  <c r="FC182" i="2"/>
  <c r="FB182" i="2"/>
  <c r="EH182" i="2"/>
  <c r="EG182" i="2"/>
  <c r="EZ182" i="2" s="1"/>
  <c r="EE182" i="2"/>
  <c r="EX182" i="2" s="1"/>
  <c r="ED182" i="2"/>
  <c r="EW182" i="2" s="1"/>
  <c r="EC182" i="2"/>
  <c r="EB182" i="2"/>
  <c r="EA182" i="2"/>
  <c r="DZ182" i="2"/>
  <c r="DY182" i="2"/>
  <c r="DX182" i="2"/>
  <c r="DW182" i="2"/>
  <c r="EP182" i="2" s="1"/>
  <c r="DV182" i="2"/>
  <c r="DU182" i="2"/>
  <c r="DT182" i="2"/>
  <c r="EM182" i="2" s="1"/>
  <c r="DS182" i="2"/>
  <c r="EL182" i="2" s="1"/>
  <c r="DR182" i="2"/>
  <c r="DQ182" i="2"/>
  <c r="DP182" i="2"/>
  <c r="FT181" i="2"/>
  <c r="FS181" i="2"/>
  <c r="GL181" i="2" s="1"/>
  <c r="FQ181" i="2"/>
  <c r="GJ181" i="2" s="1"/>
  <c r="FP181" i="2"/>
  <c r="GI181" i="2" s="1"/>
  <c r="FO181" i="2"/>
  <c r="FN181" i="2"/>
  <c r="FM181" i="2"/>
  <c r="FL181" i="2"/>
  <c r="FK181" i="2"/>
  <c r="FJ181" i="2"/>
  <c r="FI181" i="2"/>
  <c r="GB181" i="2" s="1"/>
  <c r="FH181" i="2"/>
  <c r="FG181" i="2"/>
  <c r="FF181" i="2"/>
  <c r="FY181" i="2" s="1"/>
  <c r="FE181" i="2"/>
  <c r="FX181" i="2" s="1"/>
  <c r="FD181" i="2"/>
  <c r="FC181" i="2"/>
  <c r="FB181" i="2"/>
  <c r="EH181" i="2"/>
  <c r="EG181" i="2"/>
  <c r="EZ181" i="2" s="1"/>
  <c r="EE181" i="2"/>
  <c r="EX181" i="2" s="1"/>
  <c r="ED181" i="2"/>
  <c r="EW181" i="2" s="1"/>
  <c r="EC181" i="2"/>
  <c r="EB181" i="2"/>
  <c r="EA181" i="2"/>
  <c r="DZ181" i="2"/>
  <c r="DY181" i="2"/>
  <c r="DX181" i="2"/>
  <c r="DW181" i="2"/>
  <c r="EP181" i="2" s="1"/>
  <c r="DV181" i="2"/>
  <c r="DU181" i="2"/>
  <c r="DT181" i="2"/>
  <c r="EM181" i="2" s="1"/>
  <c r="DS181" i="2"/>
  <c r="EL181" i="2" s="1"/>
  <c r="DR181" i="2"/>
  <c r="DQ181" i="2"/>
  <c r="DP181" i="2"/>
  <c r="FT180" i="2"/>
  <c r="FS180" i="2"/>
  <c r="GL180" i="2" s="1"/>
  <c r="FQ180" i="2"/>
  <c r="GJ180" i="2" s="1"/>
  <c r="FP180" i="2"/>
  <c r="GI180" i="2" s="1"/>
  <c r="FO180" i="2"/>
  <c r="FN180" i="2"/>
  <c r="FM180" i="2"/>
  <c r="FL180" i="2"/>
  <c r="FK180" i="2"/>
  <c r="FJ180" i="2"/>
  <c r="FI180" i="2"/>
  <c r="GB180" i="2" s="1"/>
  <c r="FH180" i="2"/>
  <c r="FG180" i="2"/>
  <c r="FF180" i="2"/>
  <c r="FY180" i="2" s="1"/>
  <c r="FE180" i="2"/>
  <c r="FX180" i="2" s="1"/>
  <c r="FD180" i="2"/>
  <c r="FC180" i="2"/>
  <c r="FB180" i="2"/>
  <c r="EH180" i="2"/>
  <c r="EG180" i="2"/>
  <c r="EZ180" i="2" s="1"/>
  <c r="EE180" i="2"/>
  <c r="EX180" i="2" s="1"/>
  <c r="ED180" i="2"/>
  <c r="EW180" i="2" s="1"/>
  <c r="EC180" i="2"/>
  <c r="EB180" i="2"/>
  <c r="EA180" i="2"/>
  <c r="DZ180" i="2"/>
  <c r="DY180" i="2"/>
  <c r="DX180" i="2"/>
  <c r="DW180" i="2"/>
  <c r="EP180" i="2" s="1"/>
  <c r="DV180" i="2"/>
  <c r="DU180" i="2"/>
  <c r="DT180" i="2"/>
  <c r="EM180" i="2" s="1"/>
  <c r="DS180" i="2"/>
  <c r="EL180" i="2" s="1"/>
  <c r="DR180" i="2"/>
  <c r="DQ180" i="2"/>
  <c r="DP180" i="2"/>
  <c r="FT200" i="2"/>
  <c r="FS200" i="2"/>
  <c r="GL200" i="2" s="1"/>
  <c r="FQ200" i="2"/>
  <c r="GJ200" i="2" s="1"/>
  <c r="FP200" i="2"/>
  <c r="GI200" i="2" s="1"/>
  <c r="FO200" i="2"/>
  <c r="FN200" i="2"/>
  <c r="FM200" i="2"/>
  <c r="FL200" i="2"/>
  <c r="FK200" i="2"/>
  <c r="FJ200" i="2"/>
  <c r="FI200" i="2"/>
  <c r="GB200" i="2" s="1"/>
  <c r="FH200" i="2"/>
  <c r="FG200" i="2"/>
  <c r="FF200" i="2"/>
  <c r="FY200" i="2" s="1"/>
  <c r="FE200" i="2"/>
  <c r="FX200" i="2" s="1"/>
  <c r="FD200" i="2"/>
  <c r="FC200" i="2"/>
  <c r="FB200" i="2"/>
  <c r="EH200" i="2"/>
  <c r="EG200" i="2"/>
  <c r="EZ200" i="2" s="1"/>
  <c r="EE200" i="2"/>
  <c r="EX200" i="2" s="1"/>
  <c r="ED200" i="2"/>
  <c r="EW200" i="2" s="1"/>
  <c r="EC200" i="2"/>
  <c r="EB200" i="2"/>
  <c r="EA200" i="2"/>
  <c r="DZ200" i="2"/>
  <c r="DY200" i="2"/>
  <c r="DX200" i="2"/>
  <c r="DW200" i="2"/>
  <c r="EP200" i="2" s="1"/>
  <c r="DV200" i="2"/>
  <c r="DU200" i="2"/>
  <c r="DT200" i="2"/>
  <c r="EM200" i="2" s="1"/>
  <c r="DS200" i="2"/>
  <c r="EL200" i="2" s="1"/>
  <c r="DR200" i="2"/>
  <c r="DQ200" i="2"/>
  <c r="DP200" i="2"/>
  <c r="FT199" i="2"/>
  <c r="FS199" i="2"/>
  <c r="GL199" i="2" s="1"/>
  <c r="FQ199" i="2"/>
  <c r="GJ199" i="2" s="1"/>
  <c r="FP199" i="2"/>
  <c r="GI199" i="2" s="1"/>
  <c r="FO199" i="2"/>
  <c r="FN199" i="2"/>
  <c r="FM199" i="2"/>
  <c r="FL199" i="2"/>
  <c r="FK199" i="2"/>
  <c r="FJ199" i="2"/>
  <c r="FI199" i="2"/>
  <c r="GB199" i="2" s="1"/>
  <c r="FH199" i="2"/>
  <c r="FG199" i="2"/>
  <c r="FF199" i="2"/>
  <c r="FY199" i="2" s="1"/>
  <c r="FE199" i="2"/>
  <c r="FX199" i="2" s="1"/>
  <c r="FD199" i="2"/>
  <c r="FC199" i="2"/>
  <c r="FB199" i="2"/>
  <c r="EH199" i="2"/>
  <c r="EG199" i="2"/>
  <c r="EZ199" i="2" s="1"/>
  <c r="EE199" i="2"/>
  <c r="EX199" i="2" s="1"/>
  <c r="ED199" i="2"/>
  <c r="EW199" i="2" s="1"/>
  <c r="EC199" i="2"/>
  <c r="EB199" i="2"/>
  <c r="EA199" i="2"/>
  <c r="DZ199" i="2"/>
  <c r="DY199" i="2"/>
  <c r="DX199" i="2"/>
  <c r="DW199" i="2"/>
  <c r="EP199" i="2" s="1"/>
  <c r="DV199" i="2"/>
  <c r="DU199" i="2"/>
  <c r="DT199" i="2"/>
  <c r="EM199" i="2" s="1"/>
  <c r="DS199" i="2"/>
  <c r="EL199" i="2" s="1"/>
  <c r="DR199" i="2"/>
  <c r="DQ199" i="2"/>
  <c r="DP199" i="2"/>
  <c r="FT179" i="2"/>
  <c r="FS179" i="2"/>
  <c r="GL179" i="2" s="1"/>
  <c r="FQ179" i="2"/>
  <c r="GJ179" i="2" s="1"/>
  <c r="FP179" i="2"/>
  <c r="GI179" i="2" s="1"/>
  <c r="FO179" i="2"/>
  <c r="FN179" i="2"/>
  <c r="FM179" i="2"/>
  <c r="FL179" i="2"/>
  <c r="FK179" i="2"/>
  <c r="FJ179" i="2"/>
  <c r="FI179" i="2"/>
  <c r="GB179" i="2" s="1"/>
  <c r="FH179" i="2"/>
  <c r="FG179" i="2"/>
  <c r="FF179" i="2"/>
  <c r="FY179" i="2" s="1"/>
  <c r="FE179" i="2"/>
  <c r="FX179" i="2" s="1"/>
  <c r="FD179" i="2"/>
  <c r="FC179" i="2"/>
  <c r="FB179" i="2"/>
  <c r="EH179" i="2"/>
  <c r="EG179" i="2"/>
  <c r="EZ179" i="2" s="1"/>
  <c r="EE179" i="2"/>
  <c r="EX179" i="2" s="1"/>
  <c r="ED179" i="2"/>
  <c r="EW179" i="2" s="1"/>
  <c r="EC179" i="2"/>
  <c r="EB179" i="2"/>
  <c r="EA179" i="2"/>
  <c r="DZ179" i="2"/>
  <c r="DY179" i="2"/>
  <c r="DX179" i="2"/>
  <c r="DW179" i="2"/>
  <c r="EP179" i="2" s="1"/>
  <c r="DV179" i="2"/>
  <c r="DU179" i="2"/>
  <c r="DT179" i="2"/>
  <c r="EM179" i="2" s="1"/>
  <c r="DS179" i="2"/>
  <c r="EL179" i="2" s="1"/>
  <c r="DR179" i="2"/>
  <c r="DQ179" i="2"/>
  <c r="DP179" i="2"/>
  <c r="FT198" i="2"/>
  <c r="FS198" i="2"/>
  <c r="GL198" i="2" s="1"/>
  <c r="FQ198" i="2"/>
  <c r="GJ198" i="2" s="1"/>
  <c r="FP198" i="2"/>
  <c r="GI198" i="2" s="1"/>
  <c r="FO198" i="2"/>
  <c r="FN198" i="2"/>
  <c r="FM198" i="2"/>
  <c r="FL198" i="2"/>
  <c r="FK198" i="2"/>
  <c r="FJ198" i="2"/>
  <c r="FI198" i="2"/>
  <c r="GB198" i="2" s="1"/>
  <c r="FH198" i="2"/>
  <c r="FG198" i="2"/>
  <c r="FF198" i="2"/>
  <c r="FY198" i="2" s="1"/>
  <c r="FE198" i="2"/>
  <c r="FX198" i="2" s="1"/>
  <c r="FD198" i="2"/>
  <c r="FC198" i="2"/>
  <c r="FB198" i="2"/>
  <c r="EH198" i="2"/>
  <c r="EG198" i="2"/>
  <c r="EZ198" i="2" s="1"/>
  <c r="EE198" i="2"/>
  <c r="EX198" i="2" s="1"/>
  <c r="ED198" i="2"/>
  <c r="EW198" i="2" s="1"/>
  <c r="EC198" i="2"/>
  <c r="EB198" i="2"/>
  <c r="EA198" i="2"/>
  <c r="DZ198" i="2"/>
  <c r="DY198" i="2"/>
  <c r="DX198" i="2"/>
  <c r="DW198" i="2"/>
  <c r="EP198" i="2" s="1"/>
  <c r="DV198" i="2"/>
  <c r="DU198" i="2"/>
  <c r="DT198" i="2"/>
  <c r="EM198" i="2" s="1"/>
  <c r="DS198" i="2"/>
  <c r="EL198" i="2" s="1"/>
  <c r="DR198" i="2"/>
  <c r="DQ198" i="2"/>
  <c r="DP198" i="2"/>
  <c r="FT197" i="2"/>
  <c r="FS197" i="2"/>
  <c r="GL197" i="2" s="1"/>
  <c r="FQ197" i="2"/>
  <c r="GJ197" i="2" s="1"/>
  <c r="FP197" i="2"/>
  <c r="GI197" i="2" s="1"/>
  <c r="FO197" i="2"/>
  <c r="FN197" i="2"/>
  <c r="FM197" i="2"/>
  <c r="FL197" i="2"/>
  <c r="FK197" i="2"/>
  <c r="FJ197" i="2"/>
  <c r="FI197" i="2"/>
  <c r="GB197" i="2" s="1"/>
  <c r="FH197" i="2"/>
  <c r="FG197" i="2"/>
  <c r="FF197" i="2"/>
  <c r="FY197" i="2" s="1"/>
  <c r="FE197" i="2"/>
  <c r="FX197" i="2" s="1"/>
  <c r="FD197" i="2"/>
  <c r="FC197" i="2"/>
  <c r="FB197" i="2"/>
  <c r="EH197" i="2"/>
  <c r="EG197" i="2"/>
  <c r="EZ197" i="2" s="1"/>
  <c r="EE197" i="2"/>
  <c r="EX197" i="2" s="1"/>
  <c r="ED197" i="2"/>
  <c r="EW197" i="2" s="1"/>
  <c r="EC197" i="2"/>
  <c r="EB197" i="2"/>
  <c r="EA197" i="2"/>
  <c r="DZ197" i="2"/>
  <c r="DY197" i="2"/>
  <c r="DX197" i="2"/>
  <c r="DW197" i="2"/>
  <c r="EP197" i="2" s="1"/>
  <c r="DV197" i="2"/>
  <c r="DU197" i="2"/>
  <c r="DT197" i="2"/>
  <c r="EM197" i="2" s="1"/>
  <c r="DS197" i="2"/>
  <c r="EL197" i="2" s="1"/>
  <c r="DR197" i="2"/>
  <c r="DQ197" i="2"/>
  <c r="DP197" i="2"/>
  <c r="FT196" i="2"/>
  <c r="FS196" i="2"/>
  <c r="GL196" i="2" s="1"/>
  <c r="FQ196" i="2"/>
  <c r="GJ196" i="2" s="1"/>
  <c r="FP196" i="2"/>
  <c r="GI196" i="2" s="1"/>
  <c r="FO196" i="2"/>
  <c r="FN196" i="2"/>
  <c r="FM196" i="2"/>
  <c r="FL196" i="2"/>
  <c r="FK196" i="2"/>
  <c r="FJ196" i="2"/>
  <c r="FI196" i="2"/>
  <c r="GB196" i="2" s="1"/>
  <c r="FH196" i="2"/>
  <c r="FG196" i="2"/>
  <c r="FF196" i="2"/>
  <c r="FY196" i="2" s="1"/>
  <c r="FE196" i="2"/>
  <c r="FX196" i="2" s="1"/>
  <c r="FD196" i="2"/>
  <c r="FC196" i="2"/>
  <c r="FB196" i="2"/>
  <c r="EH196" i="2"/>
  <c r="EG196" i="2"/>
  <c r="EZ196" i="2" s="1"/>
  <c r="EE196" i="2"/>
  <c r="EX196" i="2" s="1"/>
  <c r="ED196" i="2"/>
  <c r="EW196" i="2" s="1"/>
  <c r="EC196" i="2"/>
  <c r="EB196" i="2"/>
  <c r="EA196" i="2"/>
  <c r="DZ196" i="2"/>
  <c r="DY196" i="2"/>
  <c r="DX196" i="2"/>
  <c r="DW196" i="2"/>
  <c r="EP196" i="2" s="1"/>
  <c r="DV196" i="2"/>
  <c r="DU196" i="2"/>
  <c r="DT196" i="2"/>
  <c r="EM196" i="2" s="1"/>
  <c r="DS196" i="2"/>
  <c r="EL196" i="2" s="1"/>
  <c r="DR196" i="2"/>
  <c r="DQ196" i="2"/>
  <c r="DP196" i="2"/>
  <c r="FT195" i="2"/>
  <c r="FS195" i="2"/>
  <c r="GL195" i="2" s="1"/>
  <c r="FQ195" i="2"/>
  <c r="GJ195" i="2" s="1"/>
  <c r="FP195" i="2"/>
  <c r="GI195" i="2" s="1"/>
  <c r="FO195" i="2"/>
  <c r="FN195" i="2"/>
  <c r="FM195" i="2"/>
  <c r="FL195" i="2"/>
  <c r="FK195" i="2"/>
  <c r="FJ195" i="2"/>
  <c r="FI195" i="2"/>
  <c r="GB195" i="2" s="1"/>
  <c r="FH195" i="2"/>
  <c r="FG195" i="2"/>
  <c r="FF195" i="2"/>
  <c r="FY195" i="2" s="1"/>
  <c r="FE195" i="2"/>
  <c r="FX195" i="2" s="1"/>
  <c r="FD195" i="2"/>
  <c r="FC195" i="2"/>
  <c r="FB195" i="2"/>
  <c r="EH195" i="2"/>
  <c r="EG195" i="2"/>
  <c r="EZ195" i="2" s="1"/>
  <c r="EE195" i="2"/>
  <c r="EX195" i="2" s="1"/>
  <c r="ED195" i="2"/>
  <c r="EW195" i="2" s="1"/>
  <c r="EC195" i="2"/>
  <c r="EB195" i="2"/>
  <c r="EA195" i="2"/>
  <c r="DZ195" i="2"/>
  <c r="DY195" i="2"/>
  <c r="DX195" i="2"/>
  <c r="DW195" i="2"/>
  <c r="EP195" i="2" s="1"/>
  <c r="DV195" i="2"/>
  <c r="DU195" i="2"/>
  <c r="DT195" i="2"/>
  <c r="EM195" i="2" s="1"/>
  <c r="DS195" i="2"/>
  <c r="EL195" i="2" s="1"/>
  <c r="DR195" i="2"/>
  <c r="DQ195" i="2"/>
  <c r="DP195" i="2"/>
  <c r="FT194" i="2"/>
  <c r="FS194" i="2"/>
  <c r="GL194" i="2" s="1"/>
  <c r="FQ194" i="2"/>
  <c r="GJ194" i="2" s="1"/>
  <c r="FP194" i="2"/>
  <c r="GI194" i="2" s="1"/>
  <c r="FO194" i="2"/>
  <c r="FN194" i="2"/>
  <c r="FM194" i="2"/>
  <c r="FL194" i="2"/>
  <c r="FK194" i="2"/>
  <c r="FJ194" i="2"/>
  <c r="FI194" i="2"/>
  <c r="GB194" i="2" s="1"/>
  <c r="FH194" i="2"/>
  <c r="FG194" i="2"/>
  <c r="FF194" i="2"/>
  <c r="FY194" i="2" s="1"/>
  <c r="FE194" i="2"/>
  <c r="FX194" i="2" s="1"/>
  <c r="FD194" i="2"/>
  <c r="FC194" i="2"/>
  <c r="FB194" i="2"/>
  <c r="EH194" i="2"/>
  <c r="EG194" i="2"/>
  <c r="EZ194" i="2" s="1"/>
  <c r="EE194" i="2"/>
  <c r="EX194" i="2" s="1"/>
  <c r="ED194" i="2"/>
  <c r="EW194" i="2" s="1"/>
  <c r="EC194" i="2"/>
  <c r="EB194" i="2"/>
  <c r="EA194" i="2"/>
  <c r="DZ194" i="2"/>
  <c r="DY194" i="2"/>
  <c r="DX194" i="2"/>
  <c r="DW194" i="2"/>
  <c r="EP194" i="2" s="1"/>
  <c r="DV194" i="2"/>
  <c r="DU194" i="2"/>
  <c r="DT194" i="2"/>
  <c r="EM194" i="2" s="1"/>
  <c r="DS194" i="2"/>
  <c r="EL194" i="2" s="1"/>
  <c r="DR194" i="2"/>
  <c r="DQ194" i="2"/>
  <c r="DP194" i="2"/>
  <c r="FT174" i="2"/>
  <c r="FS174" i="2"/>
  <c r="GL174" i="2" s="1"/>
  <c r="FQ174" i="2"/>
  <c r="GJ174" i="2" s="1"/>
  <c r="FP174" i="2"/>
  <c r="GI174" i="2" s="1"/>
  <c r="FO174" i="2"/>
  <c r="FN174" i="2"/>
  <c r="FM174" i="2"/>
  <c r="FL174" i="2"/>
  <c r="FK174" i="2"/>
  <c r="FJ174" i="2"/>
  <c r="FI174" i="2"/>
  <c r="GB174" i="2" s="1"/>
  <c r="FH174" i="2"/>
  <c r="FG174" i="2"/>
  <c r="FF174" i="2"/>
  <c r="FY174" i="2" s="1"/>
  <c r="FE174" i="2"/>
  <c r="FX174" i="2" s="1"/>
  <c r="FD174" i="2"/>
  <c r="FC174" i="2"/>
  <c r="FB174" i="2"/>
  <c r="EH174" i="2"/>
  <c r="EG174" i="2"/>
  <c r="EZ174" i="2" s="1"/>
  <c r="EE174" i="2"/>
  <c r="EX174" i="2" s="1"/>
  <c r="ED174" i="2"/>
  <c r="EW174" i="2" s="1"/>
  <c r="EC174" i="2"/>
  <c r="EB174" i="2"/>
  <c r="EA174" i="2"/>
  <c r="DZ174" i="2"/>
  <c r="DY174" i="2"/>
  <c r="DX174" i="2"/>
  <c r="DW174" i="2"/>
  <c r="EP174" i="2" s="1"/>
  <c r="DV174" i="2"/>
  <c r="DU174" i="2"/>
  <c r="DT174" i="2"/>
  <c r="EM174" i="2" s="1"/>
  <c r="DS174" i="2"/>
  <c r="EL174" i="2" s="1"/>
  <c r="DR174" i="2"/>
  <c r="DQ174" i="2"/>
  <c r="DP174" i="2"/>
  <c r="FT167" i="2"/>
  <c r="FS167" i="2"/>
  <c r="GL167" i="2" s="1"/>
  <c r="FQ167" i="2"/>
  <c r="GJ167" i="2" s="1"/>
  <c r="FP167" i="2"/>
  <c r="GI167" i="2" s="1"/>
  <c r="FO167" i="2"/>
  <c r="FN167" i="2"/>
  <c r="FM167" i="2"/>
  <c r="FL167" i="2"/>
  <c r="FK167" i="2"/>
  <c r="FJ167" i="2"/>
  <c r="FI167" i="2"/>
  <c r="GB167" i="2" s="1"/>
  <c r="FH167" i="2"/>
  <c r="FG167" i="2"/>
  <c r="FF167" i="2"/>
  <c r="FY167" i="2" s="1"/>
  <c r="FE167" i="2"/>
  <c r="FX167" i="2" s="1"/>
  <c r="FD167" i="2"/>
  <c r="FC167" i="2"/>
  <c r="FB167" i="2"/>
  <c r="EH167" i="2"/>
  <c r="EG167" i="2"/>
  <c r="EZ167" i="2" s="1"/>
  <c r="EE167" i="2"/>
  <c r="EX167" i="2" s="1"/>
  <c r="ED167" i="2"/>
  <c r="EW167" i="2" s="1"/>
  <c r="EC167" i="2"/>
  <c r="EB167" i="2"/>
  <c r="EA167" i="2"/>
  <c r="DZ167" i="2"/>
  <c r="DY167" i="2"/>
  <c r="DX167" i="2"/>
  <c r="DW167" i="2"/>
  <c r="EP167" i="2" s="1"/>
  <c r="DV167" i="2"/>
  <c r="DU167" i="2"/>
  <c r="DT167" i="2"/>
  <c r="EM167" i="2" s="1"/>
  <c r="DS167" i="2"/>
  <c r="EL167" i="2" s="1"/>
  <c r="DR167" i="2"/>
  <c r="DQ167" i="2"/>
  <c r="DP167" i="2"/>
  <c r="FT166" i="2"/>
  <c r="FS166" i="2"/>
  <c r="GL166" i="2" s="1"/>
  <c r="FQ166" i="2"/>
  <c r="GJ166" i="2" s="1"/>
  <c r="FP166" i="2"/>
  <c r="GI166" i="2" s="1"/>
  <c r="FO166" i="2"/>
  <c r="FN166" i="2"/>
  <c r="FM166" i="2"/>
  <c r="FL166" i="2"/>
  <c r="FK166" i="2"/>
  <c r="FJ166" i="2"/>
  <c r="FI166" i="2"/>
  <c r="GB166" i="2" s="1"/>
  <c r="FH166" i="2"/>
  <c r="FG166" i="2"/>
  <c r="FF166" i="2"/>
  <c r="FY166" i="2" s="1"/>
  <c r="FE166" i="2"/>
  <c r="FX166" i="2" s="1"/>
  <c r="FD166" i="2"/>
  <c r="FC166" i="2"/>
  <c r="FB166" i="2"/>
  <c r="EH166" i="2"/>
  <c r="EG166" i="2"/>
  <c r="EZ166" i="2" s="1"/>
  <c r="EE166" i="2"/>
  <c r="EX166" i="2" s="1"/>
  <c r="ED166" i="2"/>
  <c r="EW166" i="2" s="1"/>
  <c r="EC166" i="2"/>
  <c r="EB166" i="2"/>
  <c r="EA166" i="2"/>
  <c r="DZ166" i="2"/>
  <c r="DY166" i="2"/>
  <c r="DX166" i="2"/>
  <c r="DW166" i="2"/>
  <c r="EP166" i="2" s="1"/>
  <c r="DV166" i="2"/>
  <c r="DU166" i="2"/>
  <c r="DT166" i="2"/>
  <c r="EM166" i="2" s="1"/>
  <c r="DS166" i="2"/>
  <c r="EL166" i="2" s="1"/>
  <c r="DR166" i="2"/>
  <c r="DQ166" i="2"/>
  <c r="DP166" i="2"/>
  <c r="FT165" i="2"/>
  <c r="FS165" i="2"/>
  <c r="GL165" i="2" s="1"/>
  <c r="FQ165" i="2"/>
  <c r="GJ165" i="2" s="1"/>
  <c r="FP165" i="2"/>
  <c r="GI165" i="2" s="1"/>
  <c r="FO165" i="2"/>
  <c r="FN165" i="2"/>
  <c r="FM165" i="2"/>
  <c r="FL165" i="2"/>
  <c r="FK165" i="2"/>
  <c r="FJ165" i="2"/>
  <c r="FI165" i="2"/>
  <c r="GB165" i="2" s="1"/>
  <c r="FH165" i="2"/>
  <c r="FG165" i="2"/>
  <c r="FF165" i="2"/>
  <c r="FY165" i="2" s="1"/>
  <c r="FE165" i="2"/>
  <c r="FX165" i="2" s="1"/>
  <c r="FD165" i="2"/>
  <c r="FC165" i="2"/>
  <c r="FB165" i="2"/>
  <c r="EH165" i="2"/>
  <c r="EG165" i="2"/>
  <c r="EZ165" i="2" s="1"/>
  <c r="EE165" i="2"/>
  <c r="EX165" i="2" s="1"/>
  <c r="ED165" i="2"/>
  <c r="EW165" i="2" s="1"/>
  <c r="EC165" i="2"/>
  <c r="EB165" i="2"/>
  <c r="EA165" i="2"/>
  <c r="DZ165" i="2"/>
  <c r="DY165" i="2"/>
  <c r="DX165" i="2"/>
  <c r="DW165" i="2"/>
  <c r="EP165" i="2" s="1"/>
  <c r="DV165" i="2"/>
  <c r="DU165" i="2"/>
  <c r="DT165" i="2"/>
  <c r="EM165" i="2" s="1"/>
  <c r="DS165" i="2"/>
  <c r="EL165" i="2" s="1"/>
  <c r="DR165" i="2"/>
  <c r="DQ165" i="2"/>
  <c r="DP165" i="2"/>
  <c r="FT178" i="2"/>
  <c r="FS178" i="2"/>
  <c r="GL178" i="2" s="1"/>
  <c r="FQ178" i="2"/>
  <c r="GJ178" i="2" s="1"/>
  <c r="FP178" i="2"/>
  <c r="GI178" i="2" s="1"/>
  <c r="FO178" i="2"/>
  <c r="FN178" i="2"/>
  <c r="FM178" i="2"/>
  <c r="FL178" i="2"/>
  <c r="FK178" i="2"/>
  <c r="FJ178" i="2"/>
  <c r="FI178" i="2"/>
  <c r="GB178" i="2" s="1"/>
  <c r="FH178" i="2"/>
  <c r="FG178" i="2"/>
  <c r="FF178" i="2"/>
  <c r="FY178" i="2" s="1"/>
  <c r="FE178" i="2"/>
  <c r="FX178" i="2" s="1"/>
  <c r="FD178" i="2"/>
  <c r="FC178" i="2"/>
  <c r="FB178" i="2"/>
  <c r="EH178" i="2"/>
  <c r="EG178" i="2"/>
  <c r="EZ178" i="2" s="1"/>
  <c r="EE178" i="2"/>
  <c r="EX178" i="2" s="1"/>
  <c r="ED178" i="2"/>
  <c r="EW178" i="2" s="1"/>
  <c r="EC178" i="2"/>
  <c r="EB178" i="2"/>
  <c r="EA178" i="2"/>
  <c r="DZ178" i="2"/>
  <c r="DY178" i="2"/>
  <c r="DX178" i="2"/>
  <c r="DW178" i="2"/>
  <c r="EP178" i="2" s="1"/>
  <c r="DV178" i="2"/>
  <c r="DU178" i="2"/>
  <c r="DT178" i="2"/>
  <c r="EM178" i="2" s="1"/>
  <c r="DS178" i="2"/>
  <c r="EL178" i="2" s="1"/>
  <c r="DR178" i="2"/>
  <c r="DQ178" i="2"/>
  <c r="DP178" i="2"/>
  <c r="FT177" i="2"/>
  <c r="FS177" i="2"/>
  <c r="GL177" i="2" s="1"/>
  <c r="FQ177" i="2"/>
  <c r="GJ177" i="2" s="1"/>
  <c r="FP177" i="2"/>
  <c r="GI177" i="2" s="1"/>
  <c r="FO177" i="2"/>
  <c r="FN177" i="2"/>
  <c r="FM177" i="2"/>
  <c r="FL177" i="2"/>
  <c r="FK177" i="2"/>
  <c r="FJ177" i="2"/>
  <c r="FI177" i="2"/>
  <c r="GB177" i="2" s="1"/>
  <c r="FH177" i="2"/>
  <c r="FG177" i="2"/>
  <c r="FF177" i="2"/>
  <c r="FY177" i="2" s="1"/>
  <c r="FE177" i="2"/>
  <c r="FX177" i="2" s="1"/>
  <c r="FD177" i="2"/>
  <c r="FC177" i="2"/>
  <c r="FB177" i="2"/>
  <c r="FT176" i="2"/>
  <c r="FS176" i="2"/>
  <c r="GL176" i="2" s="1"/>
  <c r="FQ176" i="2"/>
  <c r="GJ176" i="2" s="1"/>
  <c r="FP176" i="2"/>
  <c r="GI176" i="2" s="1"/>
  <c r="FO176" i="2"/>
  <c r="FN176" i="2"/>
  <c r="FM176" i="2"/>
  <c r="FL176" i="2"/>
  <c r="FK176" i="2"/>
  <c r="FJ176" i="2"/>
  <c r="FI176" i="2"/>
  <c r="GB176" i="2" s="1"/>
  <c r="FH176" i="2"/>
  <c r="FG176" i="2"/>
  <c r="FF176" i="2"/>
  <c r="FY176" i="2" s="1"/>
  <c r="FE176" i="2"/>
  <c r="FX176" i="2" s="1"/>
  <c r="FD176" i="2"/>
  <c r="FC176" i="2"/>
  <c r="FB176" i="2"/>
  <c r="EH176" i="2"/>
  <c r="EG176" i="2"/>
  <c r="EZ176" i="2" s="1"/>
  <c r="EE176" i="2"/>
  <c r="EX176" i="2" s="1"/>
  <c r="ED176" i="2"/>
  <c r="EW176" i="2" s="1"/>
  <c r="EC176" i="2"/>
  <c r="EB176" i="2"/>
  <c r="EA176" i="2"/>
  <c r="DZ176" i="2"/>
  <c r="DY176" i="2"/>
  <c r="DX176" i="2"/>
  <c r="DW176" i="2"/>
  <c r="EP176" i="2" s="1"/>
  <c r="DV176" i="2"/>
  <c r="DU176" i="2"/>
  <c r="DT176" i="2"/>
  <c r="EM176" i="2" s="1"/>
  <c r="DS176" i="2"/>
  <c r="EL176" i="2" s="1"/>
  <c r="DR176" i="2"/>
  <c r="DQ176" i="2"/>
  <c r="DP176" i="2"/>
  <c r="FT164" i="2"/>
  <c r="FS164" i="2"/>
  <c r="GL164" i="2" s="1"/>
  <c r="FQ164" i="2"/>
  <c r="GJ164" i="2" s="1"/>
  <c r="FP164" i="2"/>
  <c r="GI164" i="2" s="1"/>
  <c r="FO164" i="2"/>
  <c r="FN164" i="2"/>
  <c r="FM164" i="2"/>
  <c r="FL164" i="2"/>
  <c r="FK164" i="2"/>
  <c r="FJ164" i="2"/>
  <c r="FI164" i="2"/>
  <c r="GB164" i="2" s="1"/>
  <c r="FH164" i="2"/>
  <c r="FG164" i="2"/>
  <c r="FF164" i="2"/>
  <c r="FY164" i="2" s="1"/>
  <c r="FE164" i="2"/>
  <c r="FX164" i="2" s="1"/>
  <c r="FD164" i="2"/>
  <c r="FC164" i="2"/>
  <c r="FB164" i="2"/>
  <c r="EH164" i="2"/>
  <c r="EG164" i="2"/>
  <c r="EZ164" i="2" s="1"/>
  <c r="EE164" i="2"/>
  <c r="EX164" i="2" s="1"/>
  <c r="ED164" i="2"/>
  <c r="EW164" i="2" s="1"/>
  <c r="EC164" i="2"/>
  <c r="EB164" i="2"/>
  <c r="EA164" i="2"/>
  <c r="DZ164" i="2"/>
  <c r="DY164" i="2"/>
  <c r="DX164" i="2"/>
  <c r="DW164" i="2"/>
  <c r="EP164" i="2" s="1"/>
  <c r="DV164" i="2"/>
  <c r="DU164" i="2"/>
  <c r="DT164" i="2"/>
  <c r="EM164" i="2" s="1"/>
  <c r="DS164" i="2"/>
  <c r="EL164" i="2" s="1"/>
  <c r="DR164" i="2"/>
  <c r="DQ164" i="2"/>
  <c r="DP164" i="2"/>
  <c r="FT172" i="2"/>
  <c r="FS172" i="2"/>
  <c r="GL172" i="2" s="1"/>
  <c r="FQ172" i="2"/>
  <c r="GJ172" i="2" s="1"/>
  <c r="FP172" i="2"/>
  <c r="GI172" i="2" s="1"/>
  <c r="FO172" i="2"/>
  <c r="FN172" i="2"/>
  <c r="FM172" i="2"/>
  <c r="FL172" i="2"/>
  <c r="FK172" i="2"/>
  <c r="FJ172" i="2"/>
  <c r="FI172" i="2"/>
  <c r="GB172" i="2" s="1"/>
  <c r="FH172" i="2"/>
  <c r="FG172" i="2"/>
  <c r="FF172" i="2"/>
  <c r="FY172" i="2" s="1"/>
  <c r="FE172" i="2"/>
  <c r="FX172" i="2" s="1"/>
  <c r="FD172" i="2"/>
  <c r="FC172" i="2"/>
  <c r="FB172" i="2"/>
  <c r="EH172" i="2"/>
  <c r="EG172" i="2"/>
  <c r="EZ172" i="2" s="1"/>
  <c r="EE172" i="2"/>
  <c r="EX172" i="2" s="1"/>
  <c r="ED172" i="2"/>
  <c r="EW172" i="2" s="1"/>
  <c r="EC172" i="2"/>
  <c r="EB172" i="2"/>
  <c r="EA172" i="2"/>
  <c r="DZ172" i="2"/>
  <c r="DY172" i="2"/>
  <c r="DX172" i="2"/>
  <c r="DW172" i="2"/>
  <c r="EP172" i="2" s="1"/>
  <c r="DV172" i="2"/>
  <c r="DU172" i="2"/>
  <c r="DT172" i="2"/>
  <c r="EM172" i="2" s="1"/>
  <c r="DS172" i="2"/>
  <c r="EL172" i="2" s="1"/>
  <c r="DR172" i="2"/>
  <c r="DQ172" i="2"/>
  <c r="DP172" i="2"/>
  <c r="FT163" i="2"/>
  <c r="FS163" i="2"/>
  <c r="GL163" i="2" s="1"/>
  <c r="FQ163" i="2"/>
  <c r="GJ163" i="2" s="1"/>
  <c r="FP163" i="2"/>
  <c r="GI163" i="2" s="1"/>
  <c r="FO163" i="2"/>
  <c r="FN163" i="2"/>
  <c r="FM163" i="2"/>
  <c r="FL163" i="2"/>
  <c r="FK163" i="2"/>
  <c r="FJ163" i="2"/>
  <c r="FI163" i="2"/>
  <c r="GB163" i="2" s="1"/>
  <c r="FH163" i="2"/>
  <c r="FG163" i="2"/>
  <c r="FF163" i="2"/>
  <c r="FY163" i="2" s="1"/>
  <c r="FE163" i="2"/>
  <c r="FX163" i="2" s="1"/>
  <c r="FD163" i="2"/>
  <c r="FC163" i="2"/>
  <c r="FB163" i="2"/>
  <c r="EH163" i="2"/>
  <c r="EG163" i="2"/>
  <c r="EZ163" i="2" s="1"/>
  <c r="EE163" i="2"/>
  <c r="EX163" i="2" s="1"/>
  <c r="ED163" i="2"/>
  <c r="EW163" i="2" s="1"/>
  <c r="EC163" i="2"/>
  <c r="EB163" i="2"/>
  <c r="EA163" i="2"/>
  <c r="DZ163" i="2"/>
  <c r="DY163" i="2"/>
  <c r="DX163" i="2"/>
  <c r="DW163" i="2"/>
  <c r="EP163" i="2" s="1"/>
  <c r="DV163" i="2"/>
  <c r="DU163" i="2"/>
  <c r="DT163" i="2"/>
  <c r="EM163" i="2" s="1"/>
  <c r="DS163" i="2"/>
  <c r="EL163" i="2" s="1"/>
  <c r="DR163" i="2"/>
  <c r="DQ163" i="2"/>
  <c r="DP163" i="2"/>
  <c r="FT162" i="2"/>
  <c r="FS162" i="2"/>
  <c r="GL162" i="2" s="1"/>
  <c r="FQ162" i="2"/>
  <c r="GJ162" i="2" s="1"/>
  <c r="FP162" i="2"/>
  <c r="GI162" i="2" s="1"/>
  <c r="FO162" i="2"/>
  <c r="FN162" i="2"/>
  <c r="FM162" i="2"/>
  <c r="FL162" i="2"/>
  <c r="FK162" i="2"/>
  <c r="FJ162" i="2"/>
  <c r="FI162" i="2"/>
  <c r="GB162" i="2" s="1"/>
  <c r="FH162" i="2"/>
  <c r="FG162" i="2"/>
  <c r="FF162" i="2"/>
  <c r="FY162" i="2" s="1"/>
  <c r="FE162" i="2"/>
  <c r="FX162" i="2" s="1"/>
  <c r="FD162" i="2"/>
  <c r="FC162" i="2"/>
  <c r="FB162" i="2"/>
  <c r="EH162" i="2"/>
  <c r="EG162" i="2"/>
  <c r="EZ162" i="2" s="1"/>
  <c r="EE162" i="2"/>
  <c r="EX162" i="2" s="1"/>
  <c r="ED162" i="2"/>
  <c r="EW162" i="2" s="1"/>
  <c r="EC162" i="2"/>
  <c r="EB162" i="2"/>
  <c r="EA162" i="2"/>
  <c r="DZ162" i="2"/>
  <c r="DY162" i="2"/>
  <c r="DX162" i="2"/>
  <c r="DW162" i="2"/>
  <c r="EP162" i="2" s="1"/>
  <c r="DV162" i="2"/>
  <c r="DU162" i="2"/>
  <c r="DT162" i="2"/>
  <c r="EM162" i="2" s="1"/>
  <c r="DS162" i="2"/>
  <c r="EL162" i="2" s="1"/>
  <c r="DR162" i="2"/>
  <c r="DQ162" i="2"/>
  <c r="DP162" i="2"/>
  <c r="FT161" i="2"/>
  <c r="FS161" i="2"/>
  <c r="GL161" i="2" s="1"/>
  <c r="FQ161" i="2"/>
  <c r="GJ161" i="2" s="1"/>
  <c r="FP161" i="2"/>
  <c r="GI161" i="2" s="1"/>
  <c r="FO161" i="2"/>
  <c r="FN161" i="2"/>
  <c r="FM161" i="2"/>
  <c r="FL161" i="2"/>
  <c r="FK161" i="2"/>
  <c r="FJ161" i="2"/>
  <c r="FI161" i="2"/>
  <c r="GB161" i="2" s="1"/>
  <c r="FH161" i="2"/>
  <c r="FG161" i="2"/>
  <c r="FF161" i="2"/>
  <c r="FY161" i="2" s="1"/>
  <c r="FE161" i="2"/>
  <c r="FX161" i="2" s="1"/>
  <c r="FD161" i="2"/>
  <c r="FC161" i="2"/>
  <c r="FB161" i="2"/>
  <c r="EH161" i="2"/>
  <c r="EG161" i="2"/>
  <c r="EZ161" i="2" s="1"/>
  <c r="EE161" i="2"/>
  <c r="EX161" i="2" s="1"/>
  <c r="ED161" i="2"/>
  <c r="EW161" i="2" s="1"/>
  <c r="EC161" i="2"/>
  <c r="EB161" i="2"/>
  <c r="EA161" i="2"/>
  <c r="DZ161" i="2"/>
  <c r="DY161" i="2"/>
  <c r="DX161" i="2"/>
  <c r="DW161" i="2"/>
  <c r="EP161" i="2" s="1"/>
  <c r="DV161" i="2"/>
  <c r="DU161" i="2"/>
  <c r="DT161" i="2"/>
  <c r="EM161" i="2" s="1"/>
  <c r="DS161" i="2"/>
  <c r="EL161" i="2" s="1"/>
  <c r="DR161" i="2"/>
  <c r="DQ161" i="2"/>
  <c r="DP161" i="2"/>
  <c r="FT160" i="2"/>
  <c r="FS160" i="2"/>
  <c r="GL160" i="2" s="1"/>
  <c r="FQ160" i="2"/>
  <c r="GJ160" i="2" s="1"/>
  <c r="FP160" i="2"/>
  <c r="GI160" i="2" s="1"/>
  <c r="FO160" i="2"/>
  <c r="FN160" i="2"/>
  <c r="FM160" i="2"/>
  <c r="FL160" i="2"/>
  <c r="FK160" i="2"/>
  <c r="FJ160" i="2"/>
  <c r="FI160" i="2"/>
  <c r="GB160" i="2" s="1"/>
  <c r="FH160" i="2"/>
  <c r="FG160" i="2"/>
  <c r="FF160" i="2"/>
  <c r="FY160" i="2" s="1"/>
  <c r="FE160" i="2"/>
  <c r="FX160" i="2" s="1"/>
  <c r="FD160" i="2"/>
  <c r="FC160" i="2"/>
  <c r="FB160" i="2"/>
  <c r="FT159" i="2"/>
  <c r="FS159" i="2"/>
  <c r="GL159" i="2" s="1"/>
  <c r="FQ159" i="2"/>
  <c r="GJ159" i="2" s="1"/>
  <c r="FP159" i="2"/>
  <c r="GI159" i="2" s="1"/>
  <c r="FO159" i="2"/>
  <c r="FN159" i="2"/>
  <c r="FM159" i="2"/>
  <c r="FL159" i="2"/>
  <c r="FK159" i="2"/>
  <c r="FJ159" i="2"/>
  <c r="FI159" i="2"/>
  <c r="GB159" i="2" s="1"/>
  <c r="FH159" i="2"/>
  <c r="FG159" i="2"/>
  <c r="FF159" i="2"/>
  <c r="FY159" i="2" s="1"/>
  <c r="FE159" i="2"/>
  <c r="FX159" i="2" s="1"/>
  <c r="FD159" i="2"/>
  <c r="FC159" i="2"/>
  <c r="FB159" i="2"/>
  <c r="FT158" i="2"/>
  <c r="FS158" i="2"/>
  <c r="GL158" i="2" s="1"/>
  <c r="FQ158" i="2"/>
  <c r="GJ158" i="2" s="1"/>
  <c r="FP158" i="2"/>
  <c r="GI158" i="2" s="1"/>
  <c r="FO158" i="2"/>
  <c r="FN158" i="2"/>
  <c r="FM158" i="2"/>
  <c r="FL158" i="2"/>
  <c r="FK158" i="2"/>
  <c r="FJ158" i="2"/>
  <c r="FI158" i="2"/>
  <c r="GB158" i="2" s="1"/>
  <c r="FH158" i="2"/>
  <c r="FG158" i="2"/>
  <c r="FF158" i="2"/>
  <c r="FY158" i="2" s="1"/>
  <c r="FE158" i="2"/>
  <c r="FX158" i="2" s="1"/>
  <c r="FD158" i="2"/>
  <c r="FC158" i="2"/>
  <c r="FB158" i="2"/>
  <c r="EH158" i="2"/>
  <c r="EG158" i="2"/>
  <c r="EZ158" i="2" s="1"/>
  <c r="EE158" i="2"/>
  <c r="EX158" i="2" s="1"/>
  <c r="ED158" i="2"/>
  <c r="EW158" i="2" s="1"/>
  <c r="EC158" i="2"/>
  <c r="EB158" i="2"/>
  <c r="EA158" i="2"/>
  <c r="DZ158" i="2"/>
  <c r="DY158" i="2"/>
  <c r="DX158" i="2"/>
  <c r="DW158" i="2"/>
  <c r="EP158" i="2" s="1"/>
  <c r="DV158" i="2"/>
  <c r="DU158" i="2"/>
  <c r="DT158" i="2"/>
  <c r="EM158" i="2" s="1"/>
  <c r="DS158" i="2"/>
  <c r="EL158" i="2" s="1"/>
  <c r="DR158" i="2"/>
  <c r="DQ158" i="2"/>
  <c r="DP158" i="2"/>
  <c r="FT157" i="2"/>
  <c r="FS157" i="2"/>
  <c r="GL157" i="2" s="1"/>
  <c r="FQ157" i="2"/>
  <c r="GJ157" i="2" s="1"/>
  <c r="FP157" i="2"/>
  <c r="GI157" i="2" s="1"/>
  <c r="FO157" i="2"/>
  <c r="FN157" i="2"/>
  <c r="FM157" i="2"/>
  <c r="FL157" i="2"/>
  <c r="FK157" i="2"/>
  <c r="FJ157" i="2"/>
  <c r="FI157" i="2"/>
  <c r="GB157" i="2" s="1"/>
  <c r="FH157" i="2"/>
  <c r="FG157" i="2"/>
  <c r="FF157" i="2"/>
  <c r="FY157" i="2" s="1"/>
  <c r="FE157" i="2"/>
  <c r="FX157" i="2" s="1"/>
  <c r="FD157" i="2"/>
  <c r="FC157" i="2"/>
  <c r="FB157" i="2"/>
  <c r="EH157" i="2"/>
  <c r="EG157" i="2"/>
  <c r="EZ157" i="2" s="1"/>
  <c r="EE157" i="2"/>
  <c r="EX157" i="2" s="1"/>
  <c r="ED157" i="2"/>
  <c r="EW157" i="2" s="1"/>
  <c r="EC157" i="2"/>
  <c r="EB157" i="2"/>
  <c r="EA157" i="2"/>
  <c r="DZ157" i="2"/>
  <c r="DY157" i="2"/>
  <c r="DX157" i="2"/>
  <c r="DW157" i="2"/>
  <c r="EP157" i="2" s="1"/>
  <c r="DV157" i="2"/>
  <c r="DU157" i="2"/>
  <c r="DT157" i="2"/>
  <c r="EM157" i="2" s="1"/>
  <c r="DS157" i="2"/>
  <c r="EL157" i="2" s="1"/>
  <c r="DR157" i="2"/>
  <c r="DQ157" i="2"/>
  <c r="DP157" i="2"/>
  <c r="FT156" i="2"/>
  <c r="FS156" i="2"/>
  <c r="GL156" i="2" s="1"/>
  <c r="FQ156" i="2"/>
  <c r="GJ156" i="2" s="1"/>
  <c r="FP156" i="2"/>
  <c r="GI156" i="2" s="1"/>
  <c r="FO156" i="2"/>
  <c r="FN156" i="2"/>
  <c r="FM156" i="2"/>
  <c r="FL156" i="2"/>
  <c r="FK156" i="2"/>
  <c r="FJ156" i="2"/>
  <c r="FI156" i="2"/>
  <c r="GB156" i="2" s="1"/>
  <c r="FH156" i="2"/>
  <c r="FG156" i="2"/>
  <c r="FF156" i="2"/>
  <c r="FY156" i="2" s="1"/>
  <c r="FE156" i="2"/>
  <c r="FX156" i="2" s="1"/>
  <c r="FD156" i="2"/>
  <c r="FC156" i="2"/>
  <c r="FB156" i="2"/>
  <c r="EH156" i="2"/>
  <c r="EG156" i="2"/>
  <c r="EZ156" i="2" s="1"/>
  <c r="EE156" i="2"/>
  <c r="EX156" i="2" s="1"/>
  <c r="ED156" i="2"/>
  <c r="EW156" i="2" s="1"/>
  <c r="EC156" i="2"/>
  <c r="EB156" i="2"/>
  <c r="EA156" i="2"/>
  <c r="DZ156" i="2"/>
  <c r="DY156" i="2"/>
  <c r="DX156" i="2"/>
  <c r="DW156" i="2"/>
  <c r="EP156" i="2" s="1"/>
  <c r="DV156" i="2"/>
  <c r="DU156" i="2"/>
  <c r="DT156" i="2"/>
  <c r="EM156" i="2" s="1"/>
  <c r="DS156" i="2"/>
  <c r="EL156" i="2" s="1"/>
  <c r="DR156" i="2"/>
  <c r="DQ156" i="2"/>
  <c r="DP156" i="2"/>
  <c r="FT240" i="2"/>
  <c r="FS240" i="2"/>
  <c r="GL240" i="2" s="1"/>
  <c r="FQ240" i="2"/>
  <c r="GJ240" i="2" s="1"/>
  <c r="FP240" i="2"/>
  <c r="GI240" i="2" s="1"/>
  <c r="FO240" i="2"/>
  <c r="FN240" i="2"/>
  <c r="FM240" i="2"/>
  <c r="FL240" i="2"/>
  <c r="FK240" i="2"/>
  <c r="FJ240" i="2"/>
  <c r="FI240" i="2"/>
  <c r="GB240" i="2" s="1"/>
  <c r="FH240" i="2"/>
  <c r="FG240" i="2"/>
  <c r="FF240" i="2"/>
  <c r="FY240" i="2" s="1"/>
  <c r="FE240" i="2"/>
  <c r="FX240" i="2" s="1"/>
  <c r="FD240" i="2"/>
  <c r="FC240" i="2"/>
  <c r="FB240" i="2"/>
  <c r="EH240" i="2"/>
  <c r="EG240" i="2"/>
  <c r="EZ240" i="2" s="1"/>
  <c r="EE240" i="2"/>
  <c r="EX240" i="2" s="1"/>
  <c r="ED240" i="2"/>
  <c r="EW240" i="2" s="1"/>
  <c r="EC240" i="2"/>
  <c r="EB240" i="2"/>
  <c r="EA240" i="2"/>
  <c r="DZ240" i="2"/>
  <c r="DY240" i="2"/>
  <c r="DX240" i="2"/>
  <c r="DW240" i="2"/>
  <c r="EP240" i="2" s="1"/>
  <c r="DV240" i="2"/>
  <c r="DU240" i="2"/>
  <c r="DT240" i="2"/>
  <c r="EM240" i="2" s="1"/>
  <c r="DS240" i="2"/>
  <c r="EL240" i="2" s="1"/>
  <c r="DR240" i="2"/>
  <c r="DQ240" i="2"/>
  <c r="DP240" i="2"/>
  <c r="FT239" i="2"/>
  <c r="FS239" i="2"/>
  <c r="GL239" i="2" s="1"/>
  <c r="FQ239" i="2"/>
  <c r="GJ239" i="2" s="1"/>
  <c r="FP239" i="2"/>
  <c r="GI239" i="2" s="1"/>
  <c r="FO239" i="2"/>
  <c r="FN239" i="2"/>
  <c r="FM239" i="2"/>
  <c r="FL239" i="2"/>
  <c r="FK239" i="2"/>
  <c r="FJ239" i="2"/>
  <c r="FI239" i="2"/>
  <c r="GB239" i="2" s="1"/>
  <c r="FH239" i="2"/>
  <c r="FG239" i="2"/>
  <c r="FF239" i="2"/>
  <c r="FY239" i="2" s="1"/>
  <c r="FE239" i="2"/>
  <c r="FX239" i="2" s="1"/>
  <c r="FD239" i="2"/>
  <c r="FC239" i="2"/>
  <c r="FB239" i="2"/>
  <c r="EH239" i="2"/>
  <c r="EG239" i="2"/>
  <c r="EZ239" i="2" s="1"/>
  <c r="EE239" i="2"/>
  <c r="EX239" i="2" s="1"/>
  <c r="ED239" i="2"/>
  <c r="EW239" i="2" s="1"/>
  <c r="EC239" i="2"/>
  <c r="EB239" i="2"/>
  <c r="EA239" i="2"/>
  <c r="DZ239" i="2"/>
  <c r="DY239" i="2"/>
  <c r="DX239" i="2"/>
  <c r="DW239" i="2"/>
  <c r="EP239" i="2" s="1"/>
  <c r="DV239" i="2"/>
  <c r="DU239" i="2"/>
  <c r="DT239" i="2"/>
  <c r="EM239" i="2" s="1"/>
  <c r="DS239" i="2"/>
  <c r="EL239" i="2" s="1"/>
  <c r="DR239" i="2"/>
  <c r="DQ239" i="2"/>
  <c r="DP239" i="2"/>
  <c r="FT238" i="2"/>
  <c r="FS238" i="2"/>
  <c r="GL238" i="2" s="1"/>
  <c r="FQ238" i="2"/>
  <c r="GJ238" i="2" s="1"/>
  <c r="FP238" i="2"/>
  <c r="GI238" i="2" s="1"/>
  <c r="FO238" i="2"/>
  <c r="FN238" i="2"/>
  <c r="FM238" i="2"/>
  <c r="FL238" i="2"/>
  <c r="FK238" i="2"/>
  <c r="FJ238" i="2"/>
  <c r="FI238" i="2"/>
  <c r="GB238" i="2" s="1"/>
  <c r="FH238" i="2"/>
  <c r="FG238" i="2"/>
  <c r="FF238" i="2"/>
  <c r="FY238" i="2" s="1"/>
  <c r="FE238" i="2"/>
  <c r="FX238" i="2" s="1"/>
  <c r="FD238" i="2"/>
  <c r="FC238" i="2"/>
  <c r="FB238" i="2"/>
  <c r="EH238" i="2"/>
  <c r="EG238" i="2"/>
  <c r="EZ238" i="2" s="1"/>
  <c r="EE238" i="2"/>
  <c r="EX238" i="2" s="1"/>
  <c r="ED238" i="2"/>
  <c r="EW238" i="2" s="1"/>
  <c r="EC238" i="2"/>
  <c r="EB238" i="2"/>
  <c r="EA238" i="2"/>
  <c r="DZ238" i="2"/>
  <c r="DY238" i="2"/>
  <c r="DX238" i="2"/>
  <c r="DW238" i="2"/>
  <c r="EP238" i="2" s="1"/>
  <c r="DV238" i="2"/>
  <c r="DU238" i="2"/>
  <c r="DT238" i="2"/>
  <c r="EM238" i="2" s="1"/>
  <c r="DS238" i="2"/>
  <c r="EL238" i="2" s="1"/>
  <c r="DR238" i="2"/>
  <c r="DQ238" i="2"/>
  <c r="DP238" i="2"/>
  <c r="FT155" i="2"/>
  <c r="FS155" i="2"/>
  <c r="GL155" i="2" s="1"/>
  <c r="FQ155" i="2"/>
  <c r="GJ155" i="2" s="1"/>
  <c r="FP155" i="2"/>
  <c r="GI155" i="2" s="1"/>
  <c r="FO155" i="2"/>
  <c r="FN155" i="2"/>
  <c r="FM155" i="2"/>
  <c r="FL155" i="2"/>
  <c r="FK155" i="2"/>
  <c r="FJ155" i="2"/>
  <c r="FI155" i="2"/>
  <c r="GB155" i="2" s="1"/>
  <c r="FH155" i="2"/>
  <c r="FG155" i="2"/>
  <c r="FF155" i="2"/>
  <c r="FY155" i="2" s="1"/>
  <c r="FE155" i="2"/>
  <c r="FX155" i="2" s="1"/>
  <c r="FD155" i="2"/>
  <c r="FC155" i="2"/>
  <c r="FB155" i="2"/>
  <c r="EH155" i="2"/>
  <c r="EG155" i="2"/>
  <c r="EZ155" i="2" s="1"/>
  <c r="EE155" i="2"/>
  <c r="EX155" i="2" s="1"/>
  <c r="ED155" i="2"/>
  <c r="EW155" i="2" s="1"/>
  <c r="EC155" i="2"/>
  <c r="EB155" i="2"/>
  <c r="EA155" i="2"/>
  <c r="DZ155" i="2"/>
  <c r="DY155" i="2"/>
  <c r="DX155" i="2"/>
  <c r="DW155" i="2"/>
  <c r="EP155" i="2" s="1"/>
  <c r="DV155" i="2"/>
  <c r="DU155" i="2"/>
  <c r="DT155" i="2"/>
  <c r="EM155" i="2" s="1"/>
  <c r="DS155" i="2"/>
  <c r="EL155" i="2" s="1"/>
  <c r="DR155" i="2"/>
  <c r="DQ155" i="2"/>
  <c r="DP155" i="2"/>
  <c r="FT154" i="2"/>
  <c r="FS154" i="2"/>
  <c r="GL154" i="2" s="1"/>
  <c r="FQ154" i="2"/>
  <c r="GJ154" i="2" s="1"/>
  <c r="FP154" i="2"/>
  <c r="GI154" i="2" s="1"/>
  <c r="FO154" i="2"/>
  <c r="FN154" i="2"/>
  <c r="FM154" i="2"/>
  <c r="FL154" i="2"/>
  <c r="FK154" i="2"/>
  <c r="FJ154" i="2"/>
  <c r="FI154" i="2"/>
  <c r="GB154" i="2" s="1"/>
  <c r="FH154" i="2"/>
  <c r="FG154" i="2"/>
  <c r="FF154" i="2"/>
  <c r="FY154" i="2" s="1"/>
  <c r="FE154" i="2"/>
  <c r="FX154" i="2" s="1"/>
  <c r="FD154" i="2"/>
  <c r="FC154" i="2"/>
  <c r="FB154" i="2"/>
  <c r="EH154" i="2"/>
  <c r="EG154" i="2"/>
  <c r="EZ154" i="2" s="1"/>
  <c r="EE154" i="2"/>
  <c r="EX154" i="2" s="1"/>
  <c r="ED154" i="2"/>
  <c r="EW154" i="2" s="1"/>
  <c r="EC154" i="2"/>
  <c r="EB154" i="2"/>
  <c r="EA154" i="2"/>
  <c r="DZ154" i="2"/>
  <c r="DY154" i="2"/>
  <c r="DX154" i="2"/>
  <c r="DW154" i="2"/>
  <c r="EP154" i="2" s="1"/>
  <c r="DV154" i="2"/>
  <c r="DU154" i="2"/>
  <c r="DT154" i="2"/>
  <c r="EM154" i="2" s="1"/>
  <c r="DS154" i="2"/>
  <c r="EL154" i="2" s="1"/>
  <c r="DR154" i="2"/>
  <c r="DQ154" i="2"/>
  <c r="DP154" i="2"/>
  <c r="FT153" i="2"/>
  <c r="FS153" i="2"/>
  <c r="GL153" i="2" s="1"/>
  <c r="FQ153" i="2"/>
  <c r="GJ153" i="2" s="1"/>
  <c r="FP153" i="2"/>
  <c r="GI153" i="2" s="1"/>
  <c r="FO153" i="2"/>
  <c r="FN153" i="2"/>
  <c r="FM153" i="2"/>
  <c r="FL153" i="2"/>
  <c r="FK153" i="2"/>
  <c r="FJ153" i="2"/>
  <c r="FI153" i="2"/>
  <c r="GB153" i="2" s="1"/>
  <c r="FH153" i="2"/>
  <c r="FG153" i="2"/>
  <c r="FF153" i="2"/>
  <c r="FY153" i="2" s="1"/>
  <c r="FE153" i="2"/>
  <c r="FX153" i="2" s="1"/>
  <c r="FD153" i="2"/>
  <c r="FC153" i="2"/>
  <c r="FB153" i="2"/>
  <c r="FT152" i="2"/>
  <c r="FS152" i="2"/>
  <c r="GL152" i="2" s="1"/>
  <c r="FQ152" i="2"/>
  <c r="GJ152" i="2" s="1"/>
  <c r="FP152" i="2"/>
  <c r="GI152" i="2" s="1"/>
  <c r="FO152" i="2"/>
  <c r="FN152" i="2"/>
  <c r="FM152" i="2"/>
  <c r="FL152" i="2"/>
  <c r="FK152" i="2"/>
  <c r="FJ152" i="2"/>
  <c r="FI152" i="2"/>
  <c r="GB152" i="2" s="1"/>
  <c r="FH152" i="2"/>
  <c r="FG152" i="2"/>
  <c r="FF152" i="2"/>
  <c r="FY152" i="2" s="1"/>
  <c r="FE152" i="2"/>
  <c r="FX152" i="2" s="1"/>
  <c r="FD152" i="2"/>
  <c r="FC152" i="2"/>
  <c r="FB152" i="2"/>
  <c r="EH152" i="2"/>
  <c r="EG152" i="2"/>
  <c r="EZ152" i="2" s="1"/>
  <c r="EE152" i="2"/>
  <c r="EX152" i="2" s="1"/>
  <c r="ED152" i="2"/>
  <c r="EW152" i="2" s="1"/>
  <c r="EC152" i="2"/>
  <c r="EB152" i="2"/>
  <c r="EA152" i="2"/>
  <c r="DZ152" i="2"/>
  <c r="DY152" i="2"/>
  <c r="DX152" i="2"/>
  <c r="DW152" i="2"/>
  <c r="EP152" i="2" s="1"/>
  <c r="DV152" i="2"/>
  <c r="DU152" i="2"/>
  <c r="DT152" i="2"/>
  <c r="EM152" i="2" s="1"/>
  <c r="DS152" i="2"/>
  <c r="EL152" i="2" s="1"/>
  <c r="DR152" i="2"/>
  <c r="DQ152" i="2"/>
  <c r="DP152" i="2"/>
  <c r="FT151" i="2"/>
  <c r="FS151" i="2"/>
  <c r="GL151" i="2" s="1"/>
  <c r="FQ151" i="2"/>
  <c r="GJ151" i="2" s="1"/>
  <c r="FP151" i="2"/>
  <c r="GI151" i="2" s="1"/>
  <c r="FO151" i="2"/>
  <c r="FN151" i="2"/>
  <c r="FM151" i="2"/>
  <c r="FL151" i="2"/>
  <c r="FK151" i="2"/>
  <c r="FJ151" i="2"/>
  <c r="FI151" i="2"/>
  <c r="GB151" i="2" s="1"/>
  <c r="FH151" i="2"/>
  <c r="FG151" i="2"/>
  <c r="FF151" i="2"/>
  <c r="FY151" i="2" s="1"/>
  <c r="FE151" i="2"/>
  <c r="FX151" i="2" s="1"/>
  <c r="FD151" i="2"/>
  <c r="FC151" i="2"/>
  <c r="FB151" i="2"/>
  <c r="EH151" i="2"/>
  <c r="EG151" i="2"/>
  <c r="EZ151" i="2" s="1"/>
  <c r="EE151" i="2"/>
  <c r="EX151" i="2" s="1"/>
  <c r="ED151" i="2"/>
  <c r="EW151" i="2" s="1"/>
  <c r="EC151" i="2"/>
  <c r="EB151" i="2"/>
  <c r="EA151" i="2"/>
  <c r="DZ151" i="2"/>
  <c r="DY151" i="2"/>
  <c r="DX151" i="2"/>
  <c r="DW151" i="2"/>
  <c r="EP151" i="2" s="1"/>
  <c r="DV151" i="2"/>
  <c r="DU151" i="2"/>
  <c r="DT151" i="2"/>
  <c r="EM151" i="2" s="1"/>
  <c r="DS151" i="2"/>
  <c r="EL151" i="2" s="1"/>
  <c r="DR151" i="2"/>
  <c r="DQ151" i="2"/>
  <c r="DP151" i="2"/>
  <c r="FT150" i="2"/>
  <c r="FS150" i="2"/>
  <c r="GL150" i="2" s="1"/>
  <c r="FQ150" i="2"/>
  <c r="GJ150" i="2" s="1"/>
  <c r="FP150" i="2"/>
  <c r="GI150" i="2" s="1"/>
  <c r="FO150" i="2"/>
  <c r="FN150" i="2"/>
  <c r="FM150" i="2"/>
  <c r="FL150" i="2"/>
  <c r="FK150" i="2"/>
  <c r="FJ150" i="2"/>
  <c r="FI150" i="2"/>
  <c r="GB150" i="2" s="1"/>
  <c r="FH150" i="2"/>
  <c r="FG150" i="2"/>
  <c r="FF150" i="2"/>
  <c r="FY150" i="2" s="1"/>
  <c r="FE150" i="2"/>
  <c r="FX150" i="2" s="1"/>
  <c r="FD150" i="2"/>
  <c r="FC150" i="2"/>
  <c r="FB150" i="2"/>
  <c r="EH150" i="2"/>
  <c r="EG150" i="2"/>
  <c r="EZ150" i="2" s="1"/>
  <c r="EE150" i="2"/>
  <c r="EX150" i="2" s="1"/>
  <c r="ED150" i="2"/>
  <c r="EW150" i="2" s="1"/>
  <c r="EC150" i="2"/>
  <c r="EB150" i="2"/>
  <c r="EA150" i="2"/>
  <c r="DZ150" i="2"/>
  <c r="DY150" i="2"/>
  <c r="DX150" i="2"/>
  <c r="DW150" i="2"/>
  <c r="EP150" i="2" s="1"/>
  <c r="DV150" i="2"/>
  <c r="DU150" i="2"/>
  <c r="DT150" i="2"/>
  <c r="EM150" i="2" s="1"/>
  <c r="DS150" i="2"/>
  <c r="EL150" i="2" s="1"/>
  <c r="DR150" i="2"/>
  <c r="DQ150" i="2"/>
  <c r="DP150" i="2"/>
  <c r="FT149" i="2"/>
  <c r="FS149" i="2"/>
  <c r="GL149" i="2" s="1"/>
  <c r="FQ149" i="2"/>
  <c r="GJ149" i="2" s="1"/>
  <c r="FP149" i="2"/>
  <c r="GI149" i="2" s="1"/>
  <c r="FO149" i="2"/>
  <c r="FN149" i="2"/>
  <c r="FM149" i="2"/>
  <c r="FL149" i="2"/>
  <c r="FK149" i="2"/>
  <c r="FJ149" i="2"/>
  <c r="FI149" i="2"/>
  <c r="GB149" i="2" s="1"/>
  <c r="FH149" i="2"/>
  <c r="FG149" i="2"/>
  <c r="FF149" i="2"/>
  <c r="FY149" i="2" s="1"/>
  <c r="FE149" i="2"/>
  <c r="FX149" i="2" s="1"/>
  <c r="FD149" i="2"/>
  <c r="FC149" i="2"/>
  <c r="FB149" i="2"/>
  <c r="EH149" i="2"/>
  <c r="EG149" i="2"/>
  <c r="EZ149" i="2" s="1"/>
  <c r="EE149" i="2"/>
  <c r="EX149" i="2" s="1"/>
  <c r="ED149" i="2"/>
  <c r="EW149" i="2" s="1"/>
  <c r="EC149" i="2"/>
  <c r="EB149" i="2"/>
  <c r="EA149" i="2"/>
  <c r="DZ149" i="2"/>
  <c r="DY149" i="2"/>
  <c r="DX149" i="2"/>
  <c r="DW149" i="2"/>
  <c r="EP149" i="2" s="1"/>
  <c r="DV149" i="2"/>
  <c r="DU149" i="2"/>
  <c r="DT149" i="2"/>
  <c r="EM149" i="2" s="1"/>
  <c r="DS149" i="2"/>
  <c r="EL149" i="2" s="1"/>
  <c r="DR149" i="2"/>
  <c r="DQ149" i="2"/>
  <c r="DP149" i="2"/>
  <c r="FT254" i="2"/>
  <c r="FS254" i="2"/>
  <c r="GL254" i="2" s="1"/>
  <c r="FQ254" i="2"/>
  <c r="GJ254" i="2" s="1"/>
  <c r="FP254" i="2"/>
  <c r="GI254" i="2" s="1"/>
  <c r="FO254" i="2"/>
  <c r="FN254" i="2"/>
  <c r="FM254" i="2"/>
  <c r="FL254" i="2"/>
  <c r="FK254" i="2"/>
  <c r="FJ254" i="2"/>
  <c r="FI254" i="2"/>
  <c r="GB254" i="2" s="1"/>
  <c r="FH254" i="2"/>
  <c r="FG254" i="2"/>
  <c r="FF254" i="2"/>
  <c r="FY254" i="2" s="1"/>
  <c r="FE254" i="2"/>
  <c r="FX254" i="2" s="1"/>
  <c r="FD254" i="2"/>
  <c r="FC254" i="2"/>
  <c r="FB254" i="2"/>
  <c r="EH254" i="2"/>
  <c r="EG254" i="2"/>
  <c r="EZ254" i="2" s="1"/>
  <c r="EE254" i="2"/>
  <c r="EX254" i="2" s="1"/>
  <c r="ED254" i="2"/>
  <c r="EW254" i="2" s="1"/>
  <c r="EC254" i="2"/>
  <c r="EB254" i="2"/>
  <c r="EA254" i="2"/>
  <c r="DZ254" i="2"/>
  <c r="DY254" i="2"/>
  <c r="DX254" i="2"/>
  <c r="DW254" i="2"/>
  <c r="EP254" i="2" s="1"/>
  <c r="DV254" i="2"/>
  <c r="DU254" i="2"/>
  <c r="DT254" i="2"/>
  <c r="EM254" i="2" s="1"/>
  <c r="DS254" i="2"/>
  <c r="EL254" i="2" s="1"/>
  <c r="DR254" i="2"/>
  <c r="DQ254" i="2"/>
  <c r="DP254" i="2"/>
  <c r="FT122" i="2"/>
  <c r="FS122" i="2"/>
  <c r="GL122" i="2" s="1"/>
  <c r="FQ122" i="2"/>
  <c r="GJ122" i="2" s="1"/>
  <c r="FP122" i="2"/>
  <c r="GI122" i="2" s="1"/>
  <c r="FO122" i="2"/>
  <c r="FN122" i="2"/>
  <c r="FM122" i="2"/>
  <c r="FL122" i="2"/>
  <c r="FK122" i="2"/>
  <c r="FJ122" i="2"/>
  <c r="FI122" i="2"/>
  <c r="GB122" i="2" s="1"/>
  <c r="FH122" i="2"/>
  <c r="FG122" i="2"/>
  <c r="FF122" i="2"/>
  <c r="FY122" i="2" s="1"/>
  <c r="FE122" i="2"/>
  <c r="FX122" i="2" s="1"/>
  <c r="FD122" i="2"/>
  <c r="FC122" i="2"/>
  <c r="FB122" i="2"/>
  <c r="EH122" i="2"/>
  <c r="EG122" i="2"/>
  <c r="EZ122" i="2" s="1"/>
  <c r="EE122" i="2"/>
  <c r="EX122" i="2" s="1"/>
  <c r="ED122" i="2"/>
  <c r="EW122" i="2" s="1"/>
  <c r="EC122" i="2"/>
  <c r="EB122" i="2"/>
  <c r="EA122" i="2"/>
  <c r="DZ122" i="2"/>
  <c r="DY122" i="2"/>
  <c r="DX122" i="2"/>
  <c r="DW122" i="2"/>
  <c r="EP122" i="2" s="1"/>
  <c r="DV122" i="2"/>
  <c r="DU122" i="2"/>
  <c r="DT122" i="2"/>
  <c r="EM122" i="2" s="1"/>
  <c r="DS122" i="2"/>
  <c r="EL122" i="2" s="1"/>
  <c r="DR122" i="2"/>
  <c r="DQ122" i="2"/>
  <c r="DP122" i="2"/>
  <c r="FT80" i="2"/>
  <c r="FS80" i="2"/>
  <c r="GL80" i="2" s="1"/>
  <c r="FQ80" i="2"/>
  <c r="GJ80" i="2" s="1"/>
  <c r="FP80" i="2"/>
  <c r="GI80" i="2" s="1"/>
  <c r="FO80" i="2"/>
  <c r="FN80" i="2"/>
  <c r="FM80" i="2"/>
  <c r="FL80" i="2"/>
  <c r="FK80" i="2"/>
  <c r="FJ80" i="2"/>
  <c r="FI80" i="2"/>
  <c r="GB80" i="2" s="1"/>
  <c r="FH80" i="2"/>
  <c r="FG80" i="2"/>
  <c r="FF80" i="2"/>
  <c r="FY80" i="2" s="1"/>
  <c r="FE80" i="2"/>
  <c r="FX80" i="2" s="1"/>
  <c r="FD80" i="2"/>
  <c r="FC80" i="2"/>
  <c r="FB80" i="2"/>
  <c r="EH80" i="2"/>
  <c r="EG80" i="2"/>
  <c r="EZ80" i="2" s="1"/>
  <c r="EE80" i="2"/>
  <c r="EX80" i="2" s="1"/>
  <c r="ED80" i="2"/>
  <c r="EW80" i="2" s="1"/>
  <c r="EC80" i="2"/>
  <c r="EB80" i="2"/>
  <c r="EA80" i="2"/>
  <c r="DZ80" i="2"/>
  <c r="DY80" i="2"/>
  <c r="DX80" i="2"/>
  <c r="DW80" i="2"/>
  <c r="EP80" i="2" s="1"/>
  <c r="DV80" i="2"/>
  <c r="DU80" i="2"/>
  <c r="DT80" i="2"/>
  <c r="EM80" i="2" s="1"/>
  <c r="DS80" i="2"/>
  <c r="EL80" i="2" s="1"/>
  <c r="DR80" i="2"/>
  <c r="DQ80" i="2"/>
  <c r="DP80" i="2"/>
  <c r="FT79" i="2"/>
  <c r="FS79" i="2"/>
  <c r="GL79" i="2" s="1"/>
  <c r="FQ79" i="2"/>
  <c r="GJ79" i="2" s="1"/>
  <c r="FP79" i="2"/>
  <c r="GI79" i="2" s="1"/>
  <c r="FO79" i="2"/>
  <c r="FN79" i="2"/>
  <c r="FM79" i="2"/>
  <c r="FL79" i="2"/>
  <c r="FK79" i="2"/>
  <c r="FJ79" i="2"/>
  <c r="FI79" i="2"/>
  <c r="GB79" i="2" s="1"/>
  <c r="FH79" i="2"/>
  <c r="FG79" i="2"/>
  <c r="FF79" i="2"/>
  <c r="FY79" i="2" s="1"/>
  <c r="FE79" i="2"/>
  <c r="FX79" i="2" s="1"/>
  <c r="FD79" i="2"/>
  <c r="FC79" i="2"/>
  <c r="FB79" i="2"/>
  <c r="EH79" i="2"/>
  <c r="EG79" i="2"/>
  <c r="EZ79" i="2" s="1"/>
  <c r="EE79" i="2"/>
  <c r="EX79" i="2" s="1"/>
  <c r="ED79" i="2"/>
  <c r="EW79" i="2" s="1"/>
  <c r="EC79" i="2"/>
  <c r="EB79" i="2"/>
  <c r="EA79" i="2"/>
  <c r="DZ79" i="2"/>
  <c r="DY79" i="2"/>
  <c r="DX79" i="2"/>
  <c r="DW79" i="2"/>
  <c r="EP79" i="2" s="1"/>
  <c r="DV79" i="2"/>
  <c r="DU79" i="2"/>
  <c r="DT79" i="2"/>
  <c r="EM79" i="2" s="1"/>
  <c r="DS79" i="2"/>
  <c r="EL79" i="2" s="1"/>
  <c r="DR79" i="2"/>
  <c r="DQ79" i="2"/>
  <c r="DP79" i="2"/>
  <c r="FT78" i="2"/>
  <c r="FS78" i="2"/>
  <c r="GL78" i="2" s="1"/>
  <c r="FQ78" i="2"/>
  <c r="GJ78" i="2" s="1"/>
  <c r="FP78" i="2"/>
  <c r="GI78" i="2" s="1"/>
  <c r="FO78" i="2"/>
  <c r="FN78" i="2"/>
  <c r="FM78" i="2"/>
  <c r="FL78" i="2"/>
  <c r="FK78" i="2"/>
  <c r="FJ78" i="2"/>
  <c r="FI78" i="2"/>
  <c r="GB78" i="2" s="1"/>
  <c r="FH78" i="2"/>
  <c r="FG78" i="2"/>
  <c r="FF78" i="2"/>
  <c r="FY78" i="2" s="1"/>
  <c r="FE78" i="2"/>
  <c r="FX78" i="2" s="1"/>
  <c r="FD78" i="2"/>
  <c r="FC78" i="2"/>
  <c r="FB78" i="2"/>
  <c r="EH78" i="2"/>
  <c r="EG78" i="2"/>
  <c r="EZ78" i="2" s="1"/>
  <c r="EE78" i="2"/>
  <c r="EX78" i="2" s="1"/>
  <c r="ED78" i="2"/>
  <c r="EW78" i="2" s="1"/>
  <c r="EC78" i="2"/>
  <c r="EB78" i="2"/>
  <c r="EA78" i="2"/>
  <c r="DZ78" i="2"/>
  <c r="DY78" i="2"/>
  <c r="DX78" i="2"/>
  <c r="DW78" i="2"/>
  <c r="EP78" i="2" s="1"/>
  <c r="DV78" i="2"/>
  <c r="DU78" i="2"/>
  <c r="DT78" i="2"/>
  <c r="EM78" i="2" s="1"/>
  <c r="DS78" i="2"/>
  <c r="EL78" i="2" s="1"/>
  <c r="DR78" i="2"/>
  <c r="DQ78" i="2"/>
  <c r="DP78" i="2"/>
  <c r="FT89" i="2"/>
  <c r="FS89" i="2"/>
  <c r="GL89" i="2" s="1"/>
  <c r="FQ89" i="2"/>
  <c r="GJ89" i="2" s="1"/>
  <c r="FP89" i="2"/>
  <c r="GI89" i="2" s="1"/>
  <c r="FO89" i="2"/>
  <c r="FN89" i="2"/>
  <c r="FM89" i="2"/>
  <c r="FL89" i="2"/>
  <c r="FK89" i="2"/>
  <c r="FJ89" i="2"/>
  <c r="FI89" i="2"/>
  <c r="GB89" i="2" s="1"/>
  <c r="FH89" i="2"/>
  <c r="FG89" i="2"/>
  <c r="FF89" i="2"/>
  <c r="FY89" i="2" s="1"/>
  <c r="FE89" i="2"/>
  <c r="FX89" i="2" s="1"/>
  <c r="FD89" i="2"/>
  <c r="FC89" i="2"/>
  <c r="FB89" i="2"/>
  <c r="EH89" i="2"/>
  <c r="EG89" i="2"/>
  <c r="EZ89" i="2" s="1"/>
  <c r="EE89" i="2"/>
  <c r="EX89" i="2" s="1"/>
  <c r="ED89" i="2"/>
  <c r="EW89" i="2" s="1"/>
  <c r="EC89" i="2"/>
  <c r="EB89" i="2"/>
  <c r="EA89" i="2"/>
  <c r="DZ89" i="2"/>
  <c r="DY89" i="2"/>
  <c r="DX89" i="2"/>
  <c r="DW89" i="2"/>
  <c r="EP89" i="2" s="1"/>
  <c r="DV89" i="2"/>
  <c r="DU89" i="2"/>
  <c r="DT89" i="2"/>
  <c r="EM89" i="2" s="1"/>
  <c r="DS89" i="2"/>
  <c r="EL89" i="2" s="1"/>
  <c r="DR89" i="2"/>
  <c r="DQ89" i="2"/>
  <c r="DP89" i="2"/>
  <c r="FT75" i="2"/>
  <c r="FS75" i="2"/>
  <c r="GL75" i="2" s="1"/>
  <c r="FQ75" i="2"/>
  <c r="GJ75" i="2" s="1"/>
  <c r="FP75" i="2"/>
  <c r="GI75" i="2" s="1"/>
  <c r="FO75" i="2"/>
  <c r="FN75" i="2"/>
  <c r="FM75" i="2"/>
  <c r="FL75" i="2"/>
  <c r="FK75" i="2"/>
  <c r="FJ75" i="2"/>
  <c r="FI75" i="2"/>
  <c r="GB75" i="2" s="1"/>
  <c r="FH75" i="2"/>
  <c r="FG75" i="2"/>
  <c r="FF75" i="2"/>
  <c r="FY75" i="2" s="1"/>
  <c r="FE75" i="2"/>
  <c r="FX75" i="2" s="1"/>
  <c r="FD75" i="2"/>
  <c r="FC75" i="2"/>
  <c r="FB75" i="2"/>
  <c r="EH75" i="2"/>
  <c r="EG75" i="2"/>
  <c r="EZ75" i="2" s="1"/>
  <c r="EE75" i="2"/>
  <c r="EX75" i="2" s="1"/>
  <c r="ED75" i="2"/>
  <c r="EW75" i="2" s="1"/>
  <c r="EC75" i="2"/>
  <c r="EB75" i="2"/>
  <c r="EA75" i="2"/>
  <c r="DZ75" i="2"/>
  <c r="DY75" i="2"/>
  <c r="DX75" i="2"/>
  <c r="DW75" i="2"/>
  <c r="EP75" i="2" s="1"/>
  <c r="DV75" i="2"/>
  <c r="DU75" i="2"/>
  <c r="DT75" i="2"/>
  <c r="EM75" i="2" s="1"/>
  <c r="DS75" i="2"/>
  <c r="EL75" i="2" s="1"/>
  <c r="DR75" i="2"/>
  <c r="DQ75" i="2"/>
  <c r="DP75" i="2"/>
  <c r="FT74" i="2"/>
  <c r="FS74" i="2"/>
  <c r="GL74" i="2" s="1"/>
  <c r="FQ74" i="2"/>
  <c r="GJ74" i="2" s="1"/>
  <c r="FP74" i="2"/>
  <c r="GI74" i="2" s="1"/>
  <c r="FO74" i="2"/>
  <c r="FN74" i="2"/>
  <c r="FM74" i="2"/>
  <c r="FL74" i="2"/>
  <c r="FK74" i="2"/>
  <c r="FJ74" i="2"/>
  <c r="FI74" i="2"/>
  <c r="GB74" i="2" s="1"/>
  <c r="FH74" i="2"/>
  <c r="FG74" i="2"/>
  <c r="FF74" i="2"/>
  <c r="FY74" i="2" s="1"/>
  <c r="FE74" i="2"/>
  <c r="FX74" i="2" s="1"/>
  <c r="FD74" i="2"/>
  <c r="FC74" i="2"/>
  <c r="FB74" i="2"/>
  <c r="EH74" i="2"/>
  <c r="EG74" i="2"/>
  <c r="EZ74" i="2" s="1"/>
  <c r="ED74" i="2"/>
  <c r="EW74" i="2" s="1"/>
  <c r="EC74" i="2"/>
  <c r="EB74" i="2"/>
  <c r="EA74" i="2"/>
  <c r="DZ74" i="2"/>
  <c r="DY74" i="2"/>
  <c r="DX74" i="2"/>
  <c r="DW74" i="2"/>
  <c r="EP74" i="2" s="1"/>
  <c r="DV74" i="2"/>
  <c r="DU74" i="2"/>
  <c r="DT74" i="2"/>
  <c r="EM74" i="2" s="1"/>
  <c r="DS74" i="2"/>
  <c r="EL74" i="2" s="1"/>
  <c r="DR74" i="2"/>
  <c r="DQ74" i="2"/>
  <c r="DP74" i="2"/>
  <c r="FT77" i="2"/>
  <c r="FS77" i="2"/>
  <c r="GL77" i="2" s="1"/>
  <c r="FQ77" i="2"/>
  <c r="GJ77" i="2" s="1"/>
  <c r="FP77" i="2"/>
  <c r="GI77" i="2" s="1"/>
  <c r="FO77" i="2"/>
  <c r="FN77" i="2"/>
  <c r="FM77" i="2"/>
  <c r="FL77" i="2"/>
  <c r="FK77" i="2"/>
  <c r="FJ77" i="2"/>
  <c r="FI77" i="2"/>
  <c r="GB77" i="2" s="1"/>
  <c r="FH77" i="2"/>
  <c r="FG77" i="2"/>
  <c r="FF77" i="2"/>
  <c r="FY77" i="2" s="1"/>
  <c r="FE77" i="2"/>
  <c r="FX77" i="2" s="1"/>
  <c r="FD77" i="2"/>
  <c r="FC77" i="2"/>
  <c r="FB77" i="2"/>
  <c r="EH77" i="2"/>
  <c r="EG77" i="2"/>
  <c r="EZ77" i="2" s="1"/>
  <c r="EE77" i="2"/>
  <c r="EX77" i="2" s="1"/>
  <c r="ED77" i="2"/>
  <c r="EW77" i="2" s="1"/>
  <c r="EC77" i="2"/>
  <c r="EB77" i="2"/>
  <c r="EA77" i="2"/>
  <c r="DZ77" i="2"/>
  <c r="DY77" i="2"/>
  <c r="DX77" i="2"/>
  <c r="DW77" i="2"/>
  <c r="EP77" i="2" s="1"/>
  <c r="DV77" i="2"/>
  <c r="DU77" i="2"/>
  <c r="DT77" i="2"/>
  <c r="EM77" i="2" s="1"/>
  <c r="DS77" i="2"/>
  <c r="EL77" i="2" s="1"/>
  <c r="DR77" i="2"/>
  <c r="DQ77" i="2"/>
  <c r="DP77" i="2"/>
  <c r="FT73" i="2"/>
  <c r="FS73" i="2"/>
  <c r="GL73" i="2" s="1"/>
  <c r="FQ73" i="2"/>
  <c r="GJ73" i="2" s="1"/>
  <c r="FP73" i="2"/>
  <c r="GI73" i="2" s="1"/>
  <c r="FO73" i="2"/>
  <c r="FN73" i="2"/>
  <c r="FM73" i="2"/>
  <c r="FL73" i="2"/>
  <c r="FK73" i="2"/>
  <c r="FJ73" i="2"/>
  <c r="FI73" i="2"/>
  <c r="GB73" i="2" s="1"/>
  <c r="FH73" i="2"/>
  <c r="FG73" i="2"/>
  <c r="FF73" i="2"/>
  <c r="FY73" i="2" s="1"/>
  <c r="FE73" i="2"/>
  <c r="FX73" i="2" s="1"/>
  <c r="FD73" i="2"/>
  <c r="FC73" i="2"/>
  <c r="FB73" i="2"/>
  <c r="EH73" i="2"/>
  <c r="EG73" i="2"/>
  <c r="EZ73" i="2" s="1"/>
  <c r="EE73" i="2"/>
  <c r="EX73" i="2" s="1"/>
  <c r="ED73" i="2"/>
  <c r="EW73" i="2" s="1"/>
  <c r="EC73" i="2"/>
  <c r="EB73" i="2"/>
  <c r="EA73" i="2"/>
  <c r="DZ73" i="2"/>
  <c r="DY73" i="2"/>
  <c r="DX73" i="2"/>
  <c r="DW73" i="2"/>
  <c r="EP73" i="2" s="1"/>
  <c r="DV73" i="2"/>
  <c r="DU73" i="2"/>
  <c r="DT73" i="2"/>
  <c r="EM73" i="2" s="1"/>
  <c r="DS73" i="2"/>
  <c r="EL73" i="2" s="1"/>
  <c r="DR73" i="2"/>
  <c r="DQ73" i="2"/>
  <c r="DP73" i="2"/>
  <c r="FT76" i="2"/>
  <c r="FS76" i="2"/>
  <c r="GL76" i="2" s="1"/>
  <c r="FQ76" i="2"/>
  <c r="GJ76" i="2" s="1"/>
  <c r="FP76" i="2"/>
  <c r="GI76" i="2" s="1"/>
  <c r="FO76" i="2"/>
  <c r="FN76" i="2"/>
  <c r="FM76" i="2"/>
  <c r="FL76" i="2"/>
  <c r="FK76" i="2"/>
  <c r="FJ76" i="2"/>
  <c r="FI76" i="2"/>
  <c r="GB76" i="2" s="1"/>
  <c r="FH76" i="2"/>
  <c r="FG76" i="2"/>
  <c r="FF76" i="2"/>
  <c r="FY76" i="2" s="1"/>
  <c r="FE76" i="2"/>
  <c r="FX76" i="2" s="1"/>
  <c r="FD76" i="2"/>
  <c r="FC76" i="2"/>
  <c r="FB76" i="2"/>
  <c r="FT72" i="2"/>
  <c r="FS72" i="2"/>
  <c r="GL72" i="2" s="1"/>
  <c r="FQ72" i="2"/>
  <c r="GJ72" i="2" s="1"/>
  <c r="FP72" i="2"/>
  <c r="GI72" i="2" s="1"/>
  <c r="FO72" i="2"/>
  <c r="FN72" i="2"/>
  <c r="FM72" i="2"/>
  <c r="FL72" i="2"/>
  <c r="FK72" i="2"/>
  <c r="FJ72" i="2"/>
  <c r="FI72" i="2"/>
  <c r="GB72" i="2" s="1"/>
  <c r="FH72" i="2"/>
  <c r="FG72" i="2"/>
  <c r="FF72" i="2"/>
  <c r="FY72" i="2" s="1"/>
  <c r="FE72" i="2"/>
  <c r="FX72" i="2" s="1"/>
  <c r="FD72" i="2"/>
  <c r="FC72" i="2"/>
  <c r="FB72" i="2"/>
  <c r="EH72" i="2"/>
  <c r="EG72" i="2"/>
  <c r="EZ72" i="2" s="1"/>
  <c r="EE72" i="2"/>
  <c r="EX72" i="2" s="1"/>
  <c r="ED72" i="2"/>
  <c r="EW72" i="2" s="1"/>
  <c r="EC72" i="2"/>
  <c r="EB72" i="2"/>
  <c r="EA72" i="2"/>
  <c r="DZ72" i="2"/>
  <c r="DY72" i="2"/>
  <c r="DX72" i="2"/>
  <c r="DW72" i="2"/>
  <c r="EP72" i="2" s="1"/>
  <c r="DV72" i="2"/>
  <c r="DU72" i="2"/>
  <c r="DT72" i="2"/>
  <c r="EM72" i="2" s="1"/>
  <c r="DS72" i="2"/>
  <c r="EL72" i="2" s="1"/>
  <c r="DR72" i="2"/>
  <c r="DQ72" i="2"/>
  <c r="DP72" i="2"/>
  <c r="FT70" i="2"/>
  <c r="FS70" i="2"/>
  <c r="GL70" i="2" s="1"/>
  <c r="FQ70" i="2"/>
  <c r="GJ70" i="2" s="1"/>
  <c r="FP70" i="2"/>
  <c r="GI70" i="2" s="1"/>
  <c r="FO70" i="2"/>
  <c r="FN70" i="2"/>
  <c r="FM70" i="2"/>
  <c r="FL70" i="2"/>
  <c r="FK70" i="2"/>
  <c r="FJ70" i="2"/>
  <c r="FI70" i="2"/>
  <c r="GB70" i="2" s="1"/>
  <c r="FH70" i="2"/>
  <c r="FG70" i="2"/>
  <c r="FF70" i="2"/>
  <c r="FY70" i="2" s="1"/>
  <c r="FE70" i="2"/>
  <c r="FX70" i="2" s="1"/>
  <c r="FD70" i="2"/>
  <c r="FC70" i="2"/>
  <c r="FB70" i="2"/>
  <c r="EH70" i="2"/>
  <c r="EG70" i="2"/>
  <c r="EZ70" i="2" s="1"/>
  <c r="EE70" i="2"/>
  <c r="EX70" i="2" s="1"/>
  <c r="ED70" i="2"/>
  <c r="EW70" i="2" s="1"/>
  <c r="EC70" i="2"/>
  <c r="EB70" i="2"/>
  <c r="EA70" i="2"/>
  <c r="DZ70" i="2"/>
  <c r="DY70" i="2"/>
  <c r="DX70" i="2"/>
  <c r="DW70" i="2"/>
  <c r="EP70" i="2" s="1"/>
  <c r="DV70" i="2"/>
  <c r="DU70" i="2"/>
  <c r="DT70" i="2"/>
  <c r="EM70" i="2" s="1"/>
  <c r="DS70" i="2"/>
  <c r="EL70" i="2" s="1"/>
  <c r="DR70" i="2"/>
  <c r="DQ70" i="2"/>
  <c r="DP70" i="2"/>
  <c r="FT68" i="2"/>
  <c r="FS68" i="2"/>
  <c r="GL68" i="2" s="1"/>
  <c r="FQ68" i="2"/>
  <c r="GJ68" i="2" s="1"/>
  <c r="FP68" i="2"/>
  <c r="GI68" i="2" s="1"/>
  <c r="FO68" i="2"/>
  <c r="FN68" i="2"/>
  <c r="FM68" i="2"/>
  <c r="FL68" i="2"/>
  <c r="FK68" i="2"/>
  <c r="FJ68" i="2"/>
  <c r="FI68" i="2"/>
  <c r="GB68" i="2" s="1"/>
  <c r="FH68" i="2"/>
  <c r="FG68" i="2"/>
  <c r="FF68" i="2"/>
  <c r="FY68" i="2" s="1"/>
  <c r="FE68" i="2"/>
  <c r="FX68" i="2" s="1"/>
  <c r="FD68" i="2"/>
  <c r="FC68" i="2"/>
  <c r="FB68" i="2"/>
  <c r="EH68" i="2"/>
  <c r="EG68" i="2"/>
  <c r="EZ68" i="2" s="1"/>
  <c r="EE68" i="2"/>
  <c r="EX68" i="2" s="1"/>
  <c r="ED68" i="2"/>
  <c r="EW68" i="2" s="1"/>
  <c r="EC68" i="2"/>
  <c r="EB68" i="2"/>
  <c r="EA68" i="2"/>
  <c r="DZ68" i="2"/>
  <c r="DY68" i="2"/>
  <c r="DX68" i="2"/>
  <c r="DW68" i="2"/>
  <c r="EP68" i="2" s="1"/>
  <c r="DV68" i="2"/>
  <c r="DU68" i="2"/>
  <c r="DT68" i="2"/>
  <c r="EM68" i="2" s="1"/>
  <c r="DS68" i="2"/>
  <c r="EL68" i="2" s="1"/>
  <c r="DR68" i="2"/>
  <c r="DQ68" i="2"/>
  <c r="DP68" i="2"/>
  <c r="FT67" i="2"/>
  <c r="FS67" i="2"/>
  <c r="GL67" i="2" s="1"/>
  <c r="FQ67" i="2"/>
  <c r="GJ67" i="2" s="1"/>
  <c r="FP67" i="2"/>
  <c r="GI67" i="2" s="1"/>
  <c r="FO67" i="2"/>
  <c r="FN67" i="2"/>
  <c r="FM67" i="2"/>
  <c r="FL67" i="2"/>
  <c r="FK67" i="2"/>
  <c r="FJ67" i="2"/>
  <c r="FI67" i="2"/>
  <c r="GB67" i="2" s="1"/>
  <c r="FH67" i="2"/>
  <c r="FG67" i="2"/>
  <c r="FF67" i="2"/>
  <c r="FY67" i="2" s="1"/>
  <c r="FE67" i="2"/>
  <c r="FX67" i="2" s="1"/>
  <c r="FD67" i="2"/>
  <c r="FC67" i="2"/>
  <c r="FB67" i="2"/>
  <c r="EH67" i="2"/>
  <c r="EG67" i="2"/>
  <c r="EZ67" i="2" s="1"/>
  <c r="EE67" i="2"/>
  <c r="EX67" i="2" s="1"/>
  <c r="ED67" i="2"/>
  <c r="EW67" i="2" s="1"/>
  <c r="EC67" i="2"/>
  <c r="EB67" i="2"/>
  <c r="EA67" i="2"/>
  <c r="DZ67" i="2"/>
  <c r="DY67" i="2"/>
  <c r="DX67" i="2"/>
  <c r="DW67" i="2"/>
  <c r="EP67" i="2" s="1"/>
  <c r="DV67" i="2"/>
  <c r="DU67" i="2"/>
  <c r="DT67" i="2"/>
  <c r="EM67" i="2" s="1"/>
  <c r="DS67" i="2"/>
  <c r="EL67" i="2" s="1"/>
  <c r="DR67" i="2"/>
  <c r="DQ67" i="2"/>
  <c r="DP67" i="2"/>
  <c r="FT66" i="2"/>
  <c r="FS66" i="2"/>
  <c r="GL66" i="2" s="1"/>
  <c r="FQ66" i="2"/>
  <c r="GJ66" i="2" s="1"/>
  <c r="FP66" i="2"/>
  <c r="GI66" i="2" s="1"/>
  <c r="FO66" i="2"/>
  <c r="FN66" i="2"/>
  <c r="FM66" i="2"/>
  <c r="FL66" i="2"/>
  <c r="FK66" i="2"/>
  <c r="FJ66" i="2"/>
  <c r="FI66" i="2"/>
  <c r="GB66" i="2" s="1"/>
  <c r="FH66" i="2"/>
  <c r="FG66" i="2"/>
  <c r="FF66" i="2"/>
  <c r="FY66" i="2" s="1"/>
  <c r="FE66" i="2"/>
  <c r="FX66" i="2" s="1"/>
  <c r="FD66" i="2"/>
  <c r="FC66" i="2"/>
  <c r="FB66" i="2"/>
  <c r="EH66" i="2"/>
  <c r="EG66" i="2"/>
  <c r="EZ66" i="2" s="1"/>
  <c r="EE66" i="2"/>
  <c r="EX66" i="2" s="1"/>
  <c r="ED66" i="2"/>
  <c r="EW66" i="2" s="1"/>
  <c r="EC66" i="2"/>
  <c r="EB66" i="2"/>
  <c r="EA66" i="2"/>
  <c r="DZ66" i="2"/>
  <c r="DY66" i="2"/>
  <c r="DX66" i="2"/>
  <c r="DW66" i="2"/>
  <c r="EP66" i="2" s="1"/>
  <c r="DV66" i="2"/>
  <c r="DU66" i="2"/>
  <c r="DT66" i="2"/>
  <c r="EM66" i="2" s="1"/>
  <c r="DS66" i="2"/>
  <c r="EL66" i="2" s="1"/>
  <c r="DR66" i="2"/>
  <c r="DQ66" i="2"/>
  <c r="DP66" i="2"/>
  <c r="FT52" i="2"/>
  <c r="FS52" i="2"/>
  <c r="GL52" i="2" s="1"/>
  <c r="FQ52" i="2"/>
  <c r="GJ52" i="2" s="1"/>
  <c r="FP52" i="2"/>
  <c r="GI52" i="2" s="1"/>
  <c r="FO52" i="2"/>
  <c r="FN52" i="2"/>
  <c r="FM52" i="2"/>
  <c r="FL52" i="2"/>
  <c r="FK52" i="2"/>
  <c r="FJ52" i="2"/>
  <c r="FI52" i="2"/>
  <c r="GB52" i="2" s="1"/>
  <c r="FH52" i="2"/>
  <c r="FG52" i="2"/>
  <c r="FF52" i="2"/>
  <c r="FY52" i="2" s="1"/>
  <c r="FE52" i="2"/>
  <c r="FX52" i="2" s="1"/>
  <c r="FD52" i="2"/>
  <c r="FC52" i="2"/>
  <c r="FB52" i="2"/>
  <c r="EH52" i="2"/>
  <c r="EG52" i="2"/>
  <c r="EZ52" i="2" s="1"/>
  <c r="EE52" i="2"/>
  <c r="EX52" i="2" s="1"/>
  <c r="ED52" i="2"/>
  <c r="EW52" i="2" s="1"/>
  <c r="EC52" i="2"/>
  <c r="EB52" i="2"/>
  <c r="EA52" i="2"/>
  <c r="DZ52" i="2"/>
  <c r="DY52" i="2"/>
  <c r="DX52" i="2"/>
  <c r="DW52" i="2"/>
  <c r="EP52" i="2" s="1"/>
  <c r="DV52" i="2"/>
  <c r="DU52" i="2"/>
  <c r="DT52" i="2"/>
  <c r="EM52" i="2" s="1"/>
  <c r="DS52" i="2"/>
  <c r="EL52" i="2" s="1"/>
  <c r="DR52" i="2"/>
  <c r="DQ52" i="2"/>
  <c r="DP52" i="2"/>
  <c r="FT65" i="2"/>
  <c r="FS65" i="2"/>
  <c r="GL65" i="2" s="1"/>
  <c r="FQ65" i="2"/>
  <c r="GJ65" i="2" s="1"/>
  <c r="FP65" i="2"/>
  <c r="GI65" i="2" s="1"/>
  <c r="FO65" i="2"/>
  <c r="FN65" i="2"/>
  <c r="FM65" i="2"/>
  <c r="FL65" i="2"/>
  <c r="FK65" i="2"/>
  <c r="FJ65" i="2"/>
  <c r="FI65" i="2"/>
  <c r="GB65" i="2" s="1"/>
  <c r="FH65" i="2"/>
  <c r="FG65" i="2"/>
  <c r="FF65" i="2"/>
  <c r="FY65" i="2" s="1"/>
  <c r="FE65" i="2"/>
  <c r="FX65" i="2" s="1"/>
  <c r="FD65" i="2"/>
  <c r="FC65" i="2"/>
  <c r="FB65" i="2"/>
  <c r="EH65" i="2"/>
  <c r="EG65" i="2"/>
  <c r="EZ65" i="2" s="1"/>
  <c r="EE65" i="2"/>
  <c r="EX65" i="2" s="1"/>
  <c r="ED65" i="2"/>
  <c r="EW65" i="2" s="1"/>
  <c r="EC65" i="2"/>
  <c r="EB65" i="2"/>
  <c r="EA65" i="2"/>
  <c r="DZ65" i="2"/>
  <c r="DY65" i="2"/>
  <c r="DX65" i="2"/>
  <c r="DW65" i="2"/>
  <c r="EP65" i="2" s="1"/>
  <c r="DV65" i="2"/>
  <c r="DU65" i="2"/>
  <c r="DT65" i="2"/>
  <c r="EM65" i="2" s="1"/>
  <c r="DS65" i="2"/>
  <c r="EL65" i="2" s="1"/>
  <c r="DR65" i="2"/>
  <c r="DQ65" i="2"/>
  <c r="DP65" i="2"/>
  <c r="FT64" i="2"/>
  <c r="FS64" i="2"/>
  <c r="GL64" i="2" s="1"/>
  <c r="FQ64" i="2"/>
  <c r="GJ64" i="2" s="1"/>
  <c r="FP64" i="2"/>
  <c r="GI64" i="2" s="1"/>
  <c r="FO64" i="2"/>
  <c r="FN64" i="2"/>
  <c r="FM64" i="2"/>
  <c r="FL64" i="2"/>
  <c r="FK64" i="2"/>
  <c r="FJ64" i="2"/>
  <c r="FI64" i="2"/>
  <c r="GB64" i="2" s="1"/>
  <c r="FH64" i="2"/>
  <c r="FG64" i="2"/>
  <c r="FF64" i="2"/>
  <c r="FY64" i="2" s="1"/>
  <c r="FE64" i="2"/>
  <c r="FX64" i="2" s="1"/>
  <c r="FD64" i="2"/>
  <c r="FC64" i="2"/>
  <c r="FB64" i="2"/>
  <c r="EH64" i="2"/>
  <c r="EG64" i="2"/>
  <c r="EZ64" i="2" s="1"/>
  <c r="EE64" i="2"/>
  <c r="EX64" i="2" s="1"/>
  <c r="ED64" i="2"/>
  <c r="EW64" i="2" s="1"/>
  <c r="EC64" i="2"/>
  <c r="EB64" i="2"/>
  <c r="EA64" i="2"/>
  <c r="DZ64" i="2"/>
  <c r="DY64" i="2"/>
  <c r="DX64" i="2"/>
  <c r="DW64" i="2"/>
  <c r="EP64" i="2" s="1"/>
  <c r="DV64" i="2"/>
  <c r="DU64" i="2"/>
  <c r="DT64" i="2"/>
  <c r="EM64" i="2" s="1"/>
  <c r="DS64" i="2"/>
  <c r="EL64" i="2" s="1"/>
  <c r="DR64" i="2"/>
  <c r="DQ64" i="2"/>
  <c r="DP64" i="2"/>
  <c r="FT63" i="2"/>
  <c r="FS63" i="2"/>
  <c r="GL63" i="2" s="1"/>
  <c r="FQ63" i="2"/>
  <c r="GJ63" i="2" s="1"/>
  <c r="FP63" i="2"/>
  <c r="GI63" i="2" s="1"/>
  <c r="FO63" i="2"/>
  <c r="FN63" i="2"/>
  <c r="FM63" i="2"/>
  <c r="FL63" i="2"/>
  <c r="FK63" i="2"/>
  <c r="FJ63" i="2"/>
  <c r="FI63" i="2"/>
  <c r="GB63" i="2" s="1"/>
  <c r="FH63" i="2"/>
  <c r="FG63" i="2"/>
  <c r="FF63" i="2"/>
  <c r="FY63" i="2" s="1"/>
  <c r="FE63" i="2"/>
  <c r="FX63" i="2" s="1"/>
  <c r="FD63" i="2"/>
  <c r="FC63" i="2"/>
  <c r="FB63" i="2"/>
  <c r="EH63" i="2"/>
  <c r="EG63" i="2"/>
  <c r="EZ63" i="2" s="1"/>
  <c r="EE63" i="2"/>
  <c r="EX63" i="2" s="1"/>
  <c r="ED63" i="2"/>
  <c r="EW63" i="2" s="1"/>
  <c r="EC63" i="2"/>
  <c r="EB63" i="2"/>
  <c r="EA63" i="2"/>
  <c r="DZ63" i="2"/>
  <c r="DY63" i="2"/>
  <c r="DX63" i="2"/>
  <c r="DW63" i="2"/>
  <c r="EP63" i="2" s="1"/>
  <c r="DV63" i="2"/>
  <c r="DU63" i="2"/>
  <c r="DT63" i="2"/>
  <c r="EM63" i="2" s="1"/>
  <c r="DS63" i="2"/>
  <c r="EL63" i="2" s="1"/>
  <c r="DR63" i="2"/>
  <c r="DQ63" i="2"/>
  <c r="DP63" i="2"/>
  <c r="FT62" i="2"/>
  <c r="FS62" i="2"/>
  <c r="GL62" i="2" s="1"/>
  <c r="FQ62" i="2"/>
  <c r="GJ62" i="2" s="1"/>
  <c r="FP62" i="2"/>
  <c r="GI62" i="2" s="1"/>
  <c r="FO62" i="2"/>
  <c r="FN62" i="2"/>
  <c r="FM62" i="2"/>
  <c r="FL62" i="2"/>
  <c r="FK62" i="2"/>
  <c r="FJ62" i="2"/>
  <c r="FI62" i="2"/>
  <c r="GB62" i="2" s="1"/>
  <c r="FH62" i="2"/>
  <c r="FG62" i="2"/>
  <c r="FF62" i="2"/>
  <c r="FY62" i="2" s="1"/>
  <c r="FE62" i="2"/>
  <c r="FX62" i="2" s="1"/>
  <c r="FD62" i="2"/>
  <c r="FC62" i="2"/>
  <c r="FB62" i="2"/>
  <c r="EH62" i="2"/>
  <c r="EG62" i="2"/>
  <c r="EZ62" i="2" s="1"/>
  <c r="EE62" i="2"/>
  <c r="EX62" i="2" s="1"/>
  <c r="ED62" i="2"/>
  <c r="EW62" i="2" s="1"/>
  <c r="EC62" i="2"/>
  <c r="EB62" i="2"/>
  <c r="EA62" i="2"/>
  <c r="DZ62" i="2"/>
  <c r="DY62" i="2"/>
  <c r="DX62" i="2"/>
  <c r="DW62" i="2"/>
  <c r="EP62" i="2" s="1"/>
  <c r="DV62" i="2"/>
  <c r="DU62" i="2"/>
  <c r="DT62" i="2"/>
  <c r="EM62" i="2" s="1"/>
  <c r="DS62" i="2"/>
  <c r="EL62" i="2" s="1"/>
  <c r="DR62" i="2"/>
  <c r="DQ62" i="2"/>
  <c r="DP62" i="2"/>
  <c r="FT61" i="2"/>
  <c r="FS61" i="2"/>
  <c r="GL61" i="2" s="1"/>
  <c r="FQ61" i="2"/>
  <c r="GJ61" i="2" s="1"/>
  <c r="FP61" i="2"/>
  <c r="GI61" i="2" s="1"/>
  <c r="FO61" i="2"/>
  <c r="FN61" i="2"/>
  <c r="FM61" i="2"/>
  <c r="FL61" i="2"/>
  <c r="FK61" i="2"/>
  <c r="FJ61" i="2"/>
  <c r="FI61" i="2"/>
  <c r="GB61" i="2" s="1"/>
  <c r="FH61" i="2"/>
  <c r="FG61" i="2"/>
  <c r="FF61" i="2"/>
  <c r="FY61" i="2" s="1"/>
  <c r="FE61" i="2"/>
  <c r="FX61" i="2" s="1"/>
  <c r="FD61" i="2"/>
  <c r="FC61" i="2"/>
  <c r="FB61" i="2"/>
  <c r="EH61" i="2"/>
  <c r="EG61" i="2"/>
  <c r="EZ61" i="2" s="1"/>
  <c r="EE61" i="2"/>
  <c r="EX61" i="2" s="1"/>
  <c r="ED61" i="2"/>
  <c r="EW61" i="2" s="1"/>
  <c r="EC61" i="2"/>
  <c r="EB61" i="2"/>
  <c r="EA61" i="2"/>
  <c r="DZ61" i="2"/>
  <c r="DY61" i="2"/>
  <c r="DX61" i="2"/>
  <c r="DW61" i="2"/>
  <c r="EP61" i="2" s="1"/>
  <c r="DV61" i="2"/>
  <c r="DU61" i="2"/>
  <c r="DT61" i="2"/>
  <c r="EM61" i="2" s="1"/>
  <c r="DS61" i="2"/>
  <c r="EL61" i="2" s="1"/>
  <c r="DR61" i="2"/>
  <c r="DQ61" i="2"/>
  <c r="DP61" i="2"/>
  <c r="FT60" i="2"/>
  <c r="FS60" i="2"/>
  <c r="GL60" i="2" s="1"/>
  <c r="FQ60" i="2"/>
  <c r="GJ60" i="2" s="1"/>
  <c r="FP60" i="2"/>
  <c r="GI60" i="2" s="1"/>
  <c r="FO60" i="2"/>
  <c r="FN60" i="2"/>
  <c r="FM60" i="2"/>
  <c r="FL60" i="2"/>
  <c r="FK60" i="2"/>
  <c r="FJ60" i="2"/>
  <c r="FI60" i="2"/>
  <c r="GB60" i="2" s="1"/>
  <c r="FH60" i="2"/>
  <c r="FG60" i="2"/>
  <c r="FF60" i="2"/>
  <c r="FY60" i="2" s="1"/>
  <c r="FE60" i="2"/>
  <c r="FX60" i="2" s="1"/>
  <c r="FD60" i="2"/>
  <c r="FC60" i="2"/>
  <c r="FB60" i="2"/>
  <c r="EH60" i="2"/>
  <c r="EG60" i="2"/>
  <c r="EZ60" i="2" s="1"/>
  <c r="EE60" i="2"/>
  <c r="EX60" i="2" s="1"/>
  <c r="ED60" i="2"/>
  <c r="EW60" i="2" s="1"/>
  <c r="EC60" i="2"/>
  <c r="EB60" i="2"/>
  <c r="EA60" i="2"/>
  <c r="DZ60" i="2"/>
  <c r="DY60" i="2"/>
  <c r="DX60" i="2"/>
  <c r="DW60" i="2"/>
  <c r="EP60" i="2" s="1"/>
  <c r="DV60" i="2"/>
  <c r="DU60" i="2"/>
  <c r="DT60" i="2"/>
  <c r="EM60" i="2" s="1"/>
  <c r="DS60" i="2"/>
  <c r="EL60" i="2" s="1"/>
  <c r="DR60" i="2"/>
  <c r="DQ60" i="2"/>
  <c r="DP60" i="2"/>
  <c r="FT59" i="2"/>
  <c r="FS59" i="2"/>
  <c r="GL59" i="2" s="1"/>
  <c r="FQ59" i="2"/>
  <c r="GJ59" i="2" s="1"/>
  <c r="FP59" i="2"/>
  <c r="GI59" i="2" s="1"/>
  <c r="FO59" i="2"/>
  <c r="FN59" i="2"/>
  <c r="FM59" i="2"/>
  <c r="FL59" i="2"/>
  <c r="FK59" i="2"/>
  <c r="FJ59" i="2"/>
  <c r="FI59" i="2"/>
  <c r="GB59" i="2" s="1"/>
  <c r="FH59" i="2"/>
  <c r="FG59" i="2"/>
  <c r="FF59" i="2"/>
  <c r="FY59" i="2" s="1"/>
  <c r="FE59" i="2"/>
  <c r="FX59" i="2" s="1"/>
  <c r="FD59" i="2"/>
  <c r="FC59" i="2"/>
  <c r="FB59" i="2"/>
  <c r="EH59" i="2"/>
  <c r="EG59" i="2"/>
  <c r="EZ59" i="2" s="1"/>
  <c r="EE59" i="2"/>
  <c r="EX59" i="2" s="1"/>
  <c r="ED59" i="2"/>
  <c r="EW59" i="2" s="1"/>
  <c r="EC59" i="2"/>
  <c r="EB59" i="2"/>
  <c r="EA59" i="2"/>
  <c r="DZ59" i="2"/>
  <c r="DY59" i="2"/>
  <c r="DX59" i="2"/>
  <c r="DW59" i="2"/>
  <c r="EP59" i="2" s="1"/>
  <c r="DV59" i="2"/>
  <c r="DU59" i="2"/>
  <c r="DT59" i="2"/>
  <c r="EM59" i="2" s="1"/>
  <c r="DS59" i="2"/>
  <c r="EL59" i="2" s="1"/>
  <c r="DR59" i="2"/>
  <c r="DQ59" i="2"/>
  <c r="DP59" i="2"/>
  <c r="FT58" i="2"/>
  <c r="FS58" i="2"/>
  <c r="GL58" i="2" s="1"/>
  <c r="FQ58" i="2"/>
  <c r="GJ58" i="2" s="1"/>
  <c r="FP58" i="2"/>
  <c r="GI58" i="2" s="1"/>
  <c r="FO58" i="2"/>
  <c r="FN58" i="2"/>
  <c r="FM58" i="2"/>
  <c r="FL58" i="2"/>
  <c r="FK58" i="2"/>
  <c r="FJ58" i="2"/>
  <c r="FI58" i="2"/>
  <c r="GB58" i="2" s="1"/>
  <c r="FH58" i="2"/>
  <c r="FG58" i="2"/>
  <c r="FF58" i="2"/>
  <c r="FY58" i="2" s="1"/>
  <c r="FE58" i="2"/>
  <c r="FX58" i="2" s="1"/>
  <c r="FD58" i="2"/>
  <c r="FC58" i="2"/>
  <c r="FB58" i="2"/>
  <c r="EH58" i="2"/>
  <c r="EG58" i="2"/>
  <c r="EZ58" i="2" s="1"/>
  <c r="EE58" i="2"/>
  <c r="EX58" i="2" s="1"/>
  <c r="ED58" i="2"/>
  <c r="EW58" i="2" s="1"/>
  <c r="EC58" i="2"/>
  <c r="EB58" i="2"/>
  <c r="EA58" i="2"/>
  <c r="DZ58" i="2"/>
  <c r="DY58" i="2"/>
  <c r="DX58" i="2"/>
  <c r="DW58" i="2"/>
  <c r="EP58" i="2" s="1"/>
  <c r="DV58" i="2"/>
  <c r="DU58" i="2"/>
  <c r="DT58" i="2"/>
  <c r="EM58" i="2" s="1"/>
  <c r="DS58" i="2"/>
  <c r="EL58" i="2" s="1"/>
  <c r="DR58" i="2"/>
  <c r="DQ58" i="2"/>
  <c r="DP58" i="2"/>
  <c r="FT57" i="2"/>
  <c r="FS57" i="2"/>
  <c r="GL57" i="2" s="1"/>
  <c r="FQ57" i="2"/>
  <c r="GJ57" i="2" s="1"/>
  <c r="FP57" i="2"/>
  <c r="GI57" i="2" s="1"/>
  <c r="FO57" i="2"/>
  <c r="FN57" i="2"/>
  <c r="FM57" i="2"/>
  <c r="FL57" i="2"/>
  <c r="FK57" i="2"/>
  <c r="FJ57" i="2"/>
  <c r="FI57" i="2"/>
  <c r="GB57" i="2" s="1"/>
  <c r="FH57" i="2"/>
  <c r="FG57" i="2"/>
  <c r="FF57" i="2"/>
  <c r="FY57" i="2" s="1"/>
  <c r="FE57" i="2"/>
  <c r="FX57" i="2" s="1"/>
  <c r="FD57" i="2"/>
  <c r="FC57" i="2"/>
  <c r="FB57" i="2"/>
  <c r="EH57" i="2"/>
  <c r="EG57" i="2"/>
  <c r="EZ57" i="2" s="1"/>
  <c r="EE57" i="2"/>
  <c r="EX57" i="2" s="1"/>
  <c r="ED57" i="2"/>
  <c r="EW57" i="2" s="1"/>
  <c r="EC57" i="2"/>
  <c r="EB57" i="2"/>
  <c r="EA57" i="2"/>
  <c r="DZ57" i="2"/>
  <c r="DY57" i="2"/>
  <c r="DX57" i="2"/>
  <c r="DW57" i="2"/>
  <c r="EP57" i="2" s="1"/>
  <c r="DV57" i="2"/>
  <c r="DU57" i="2"/>
  <c r="DT57" i="2"/>
  <c r="EM57" i="2" s="1"/>
  <c r="DS57" i="2"/>
  <c r="EL57" i="2" s="1"/>
  <c r="DR57" i="2"/>
  <c r="DQ57" i="2"/>
  <c r="DP57" i="2"/>
  <c r="FT56" i="2"/>
  <c r="FS56" i="2"/>
  <c r="GL56" i="2" s="1"/>
  <c r="FQ56" i="2"/>
  <c r="GJ56" i="2" s="1"/>
  <c r="FP56" i="2"/>
  <c r="GI56" i="2" s="1"/>
  <c r="FO56" i="2"/>
  <c r="FN56" i="2"/>
  <c r="FM56" i="2"/>
  <c r="FL56" i="2"/>
  <c r="FK56" i="2"/>
  <c r="FJ56" i="2"/>
  <c r="FI56" i="2"/>
  <c r="GB56" i="2" s="1"/>
  <c r="FH56" i="2"/>
  <c r="FG56" i="2"/>
  <c r="FF56" i="2"/>
  <c r="FY56" i="2" s="1"/>
  <c r="FE56" i="2"/>
  <c r="FX56" i="2" s="1"/>
  <c r="FD56" i="2"/>
  <c r="FC56" i="2"/>
  <c r="FB56" i="2"/>
  <c r="EH56" i="2"/>
  <c r="EG56" i="2"/>
  <c r="EZ56" i="2" s="1"/>
  <c r="EE56" i="2"/>
  <c r="EX56" i="2" s="1"/>
  <c r="ED56" i="2"/>
  <c r="EW56" i="2" s="1"/>
  <c r="EC56" i="2"/>
  <c r="EB56" i="2"/>
  <c r="EA56" i="2"/>
  <c r="DZ56" i="2"/>
  <c r="DY56" i="2"/>
  <c r="DX56" i="2"/>
  <c r="DW56" i="2"/>
  <c r="EP56" i="2" s="1"/>
  <c r="DV56" i="2"/>
  <c r="DU56" i="2"/>
  <c r="DT56" i="2"/>
  <c r="EM56" i="2" s="1"/>
  <c r="DS56" i="2"/>
  <c r="EL56" i="2" s="1"/>
  <c r="DR56" i="2"/>
  <c r="DQ56" i="2"/>
  <c r="DP56" i="2"/>
  <c r="FT81" i="2"/>
  <c r="FS81" i="2"/>
  <c r="GL81" i="2" s="1"/>
  <c r="FQ81" i="2"/>
  <c r="GJ81" i="2" s="1"/>
  <c r="FP81" i="2"/>
  <c r="GI81" i="2" s="1"/>
  <c r="FO81" i="2"/>
  <c r="FN81" i="2"/>
  <c r="FM81" i="2"/>
  <c r="FL81" i="2"/>
  <c r="FK81" i="2"/>
  <c r="FJ81" i="2"/>
  <c r="FI81" i="2"/>
  <c r="GB81" i="2" s="1"/>
  <c r="FH81" i="2"/>
  <c r="FG81" i="2"/>
  <c r="FF81" i="2"/>
  <c r="FY81" i="2" s="1"/>
  <c r="FE81" i="2"/>
  <c r="FX81" i="2" s="1"/>
  <c r="FD81" i="2"/>
  <c r="FC81" i="2"/>
  <c r="FB81" i="2"/>
  <c r="EH81" i="2"/>
  <c r="EG81" i="2"/>
  <c r="EZ81" i="2" s="1"/>
  <c r="EE81" i="2"/>
  <c r="EX81" i="2" s="1"/>
  <c r="ED81" i="2"/>
  <c r="EW81" i="2" s="1"/>
  <c r="EC81" i="2"/>
  <c r="EB81" i="2"/>
  <c r="EA81" i="2"/>
  <c r="DZ81" i="2"/>
  <c r="DY81" i="2"/>
  <c r="DX81" i="2"/>
  <c r="DW81" i="2"/>
  <c r="EP81" i="2" s="1"/>
  <c r="DV81" i="2"/>
  <c r="DU81" i="2"/>
  <c r="DT81" i="2"/>
  <c r="EM81" i="2" s="1"/>
  <c r="DS81" i="2"/>
  <c r="EL81" i="2" s="1"/>
  <c r="DR81" i="2"/>
  <c r="DQ81" i="2"/>
  <c r="DP81" i="2"/>
  <c r="FT55" i="2"/>
  <c r="FS55" i="2"/>
  <c r="GL55" i="2" s="1"/>
  <c r="FQ55" i="2"/>
  <c r="GJ55" i="2" s="1"/>
  <c r="FP55" i="2"/>
  <c r="GI55" i="2" s="1"/>
  <c r="FO55" i="2"/>
  <c r="FN55" i="2"/>
  <c r="FM55" i="2"/>
  <c r="FL55" i="2"/>
  <c r="FK55" i="2"/>
  <c r="FJ55" i="2"/>
  <c r="FI55" i="2"/>
  <c r="GB55" i="2" s="1"/>
  <c r="FH55" i="2"/>
  <c r="FG55" i="2"/>
  <c r="FF55" i="2"/>
  <c r="FY55" i="2" s="1"/>
  <c r="FE55" i="2"/>
  <c r="FX55" i="2" s="1"/>
  <c r="FD55" i="2"/>
  <c r="FC55" i="2"/>
  <c r="FB55" i="2"/>
  <c r="EH55" i="2"/>
  <c r="EG55" i="2"/>
  <c r="EZ55" i="2" s="1"/>
  <c r="EE55" i="2"/>
  <c r="EX55" i="2" s="1"/>
  <c r="ED55" i="2"/>
  <c r="EW55" i="2" s="1"/>
  <c r="EC55" i="2"/>
  <c r="EB55" i="2"/>
  <c r="EA55" i="2"/>
  <c r="DZ55" i="2"/>
  <c r="DY55" i="2"/>
  <c r="DX55" i="2"/>
  <c r="DW55" i="2"/>
  <c r="EP55" i="2" s="1"/>
  <c r="DV55" i="2"/>
  <c r="DU55" i="2"/>
  <c r="DT55" i="2"/>
  <c r="EM55" i="2" s="1"/>
  <c r="DS55" i="2"/>
  <c r="EL55" i="2" s="1"/>
  <c r="DR55" i="2"/>
  <c r="DQ55" i="2"/>
  <c r="DP55" i="2"/>
  <c r="FT54" i="2"/>
  <c r="FS54" i="2"/>
  <c r="GL54" i="2" s="1"/>
  <c r="FQ54" i="2"/>
  <c r="GJ54" i="2" s="1"/>
  <c r="FP54" i="2"/>
  <c r="GI54" i="2" s="1"/>
  <c r="FO54" i="2"/>
  <c r="FN54" i="2"/>
  <c r="FM54" i="2"/>
  <c r="FL54" i="2"/>
  <c r="FK54" i="2"/>
  <c r="FJ54" i="2"/>
  <c r="FI54" i="2"/>
  <c r="GB54" i="2" s="1"/>
  <c r="FH54" i="2"/>
  <c r="FG54" i="2"/>
  <c r="FF54" i="2"/>
  <c r="FY54" i="2" s="1"/>
  <c r="FE54" i="2"/>
  <c r="FX54" i="2" s="1"/>
  <c r="FD54" i="2"/>
  <c r="FC54" i="2"/>
  <c r="FB54" i="2"/>
  <c r="EH54" i="2"/>
  <c r="EG54" i="2"/>
  <c r="EZ54" i="2" s="1"/>
  <c r="EE54" i="2"/>
  <c r="EX54" i="2" s="1"/>
  <c r="ED54" i="2"/>
  <c r="EW54" i="2" s="1"/>
  <c r="EC54" i="2"/>
  <c r="EB54" i="2"/>
  <c r="EA54" i="2"/>
  <c r="DZ54" i="2"/>
  <c r="DY54" i="2"/>
  <c r="DX54" i="2"/>
  <c r="DW54" i="2"/>
  <c r="EP54" i="2" s="1"/>
  <c r="DV54" i="2"/>
  <c r="DU54" i="2"/>
  <c r="DT54" i="2"/>
  <c r="EM54" i="2" s="1"/>
  <c r="DS54" i="2"/>
  <c r="EL54" i="2" s="1"/>
  <c r="DR54" i="2"/>
  <c r="DQ54" i="2"/>
  <c r="DP54" i="2"/>
  <c r="FT53" i="2"/>
  <c r="FS53" i="2"/>
  <c r="GL53" i="2" s="1"/>
  <c r="FQ53" i="2"/>
  <c r="GJ53" i="2" s="1"/>
  <c r="FP53" i="2"/>
  <c r="GI53" i="2" s="1"/>
  <c r="FO53" i="2"/>
  <c r="FN53" i="2"/>
  <c r="FM53" i="2"/>
  <c r="FL53" i="2"/>
  <c r="FK53" i="2"/>
  <c r="FJ53" i="2"/>
  <c r="FI53" i="2"/>
  <c r="GB53" i="2" s="1"/>
  <c r="FH53" i="2"/>
  <c r="FG53" i="2"/>
  <c r="FF53" i="2"/>
  <c r="FY53" i="2" s="1"/>
  <c r="FE53" i="2"/>
  <c r="FX53" i="2" s="1"/>
  <c r="FD53" i="2"/>
  <c r="FC53" i="2"/>
  <c r="FB53" i="2"/>
  <c r="EH53" i="2"/>
  <c r="EG53" i="2"/>
  <c r="EZ53" i="2" s="1"/>
  <c r="EE53" i="2"/>
  <c r="EX53" i="2" s="1"/>
  <c r="ED53" i="2"/>
  <c r="EW53" i="2" s="1"/>
  <c r="EC53" i="2"/>
  <c r="EB53" i="2"/>
  <c r="EA53" i="2"/>
  <c r="DZ53" i="2"/>
  <c r="DY53" i="2"/>
  <c r="DX53" i="2"/>
  <c r="DW53" i="2"/>
  <c r="EP53" i="2" s="1"/>
  <c r="DV53" i="2"/>
  <c r="DU53" i="2"/>
  <c r="DT53" i="2"/>
  <c r="EM53" i="2" s="1"/>
  <c r="DS53" i="2"/>
  <c r="EL53" i="2" s="1"/>
  <c r="DR53" i="2"/>
  <c r="DQ53" i="2"/>
  <c r="DP53" i="2"/>
  <c r="FT51" i="2"/>
  <c r="FS51" i="2"/>
  <c r="GL51" i="2" s="1"/>
  <c r="FQ51" i="2"/>
  <c r="GJ51" i="2" s="1"/>
  <c r="FP51" i="2"/>
  <c r="GI51" i="2" s="1"/>
  <c r="FO51" i="2"/>
  <c r="FN51" i="2"/>
  <c r="FM51" i="2"/>
  <c r="FL51" i="2"/>
  <c r="FK51" i="2"/>
  <c r="FJ51" i="2"/>
  <c r="FI51" i="2"/>
  <c r="GB51" i="2" s="1"/>
  <c r="FH51" i="2"/>
  <c r="FG51" i="2"/>
  <c r="FF51" i="2"/>
  <c r="FY51" i="2" s="1"/>
  <c r="FE51" i="2"/>
  <c r="FX51" i="2" s="1"/>
  <c r="FD51" i="2"/>
  <c r="FC51" i="2"/>
  <c r="FB51" i="2"/>
  <c r="EH51" i="2"/>
  <c r="EG51" i="2"/>
  <c r="EZ51" i="2" s="1"/>
  <c r="EE51" i="2"/>
  <c r="EX51" i="2" s="1"/>
  <c r="ED51" i="2"/>
  <c r="EW51" i="2" s="1"/>
  <c r="EC51" i="2"/>
  <c r="EB51" i="2"/>
  <c r="EA51" i="2"/>
  <c r="DZ51" i="2"/>
  <c r="DY51" i="2"/>
  <c r="DX51" i="2"/>
  <c r="DW51" i="2"/>
  <c r="EP51" i="2" s="1"/>
  <c r="DV51" i="2"/>
  <c r="DU51" i="2"/>
  <c r="DT51" i="2"/>
  <c r="EM51" i="2" s="1"/>
  <c r="DS51" i="2"/>
  <c r="EL51" i="2" s="1"/>
  <c r="DR51" i="2"/>
  <c r="DQ51" i="2"/>
  <c r="DP51" i="2"/>
  <c r="FT50" i="2"/>
  <c r="FS50" i="2"/>
  <c r="GL50" i="2" s="1"/>
  <c r="FQ50" i="2"/>
  <c r="GJ50" i="2" s="1"/>
  <c r="FP50" i="2"/>
  <c r="GI50" i="2" s="1"/>
  <c r="FO50" i="2"/>
  <c r="FN50" i="2"/>
  <c r="FM50" i="2"/>
  <c r="FL50" i="2"/>
  <c r="FK50" i="2"/>
  <c r="FJ50" i="2"/>
  <c r="FI50" i="2"/>
  <c r="GB50" i="2" s="1"/>
  <c r="FH50" i="2"/>
  <c r="FG50" i="2"/>
  <c r="FF50" i="2"/>
  <c r="FY50" i="2" s="1"/>
  <c r="FE50" i="2"/>
  <c r="FX50" i="2" s="1"/>
  <c r="FD50" i="2"/>
  <c r="FC50" i="2"/>
  <c r="FB50" i="2"/>
  <c r="EH50" i="2"/>
  <c r="EG50" i="2"/>
  <c r="EZ50" i="2" s="1"/>
  <c r="EE50" i="2"/>
  <c r="EX50" i="2" s="1"/>
  <c r="ED50" i="2"/>
  <c r="EW50" i="2" s="1"/>
  <c r="EC50" i="2"/>
  <c r="EB50" i="2"/>
  <c r="EA50" i="2"/>
  <c r="DZ50" i="2"/>
  <c r="DY50" i="2"/>
  <c r="DX50" i="2"/>
  <c r="DW50" i="2"/>
  <c r="EP50" i="2" s="1"/>
  <c r="DV50" i="2"/>
  <c r="DU50" i="2"/>
  <c r="DT50" i="2"/>
  <c r="EM50" i="2" s="1"/>
  <c r="DS50" i="2"/>
  <c r="EL50" i="2" s="1"/>
  <c r="DR50" i="2"/>
  <c r="DQ50" i="2"/>
  <c r="DP50" i="2"/>
  <c r="FT30" i="2"/>
  <c r="FS30" i="2"/>
  <c r="GL30" i="2" s="1"/>
  <c r="FQ30" i="2"/>
  <c r="GJ30" i="2" s="1"/>
  <c r="FP30" i="2"/>
  <c r="GI30" i="2" s="1"/>
  <c r="FO30" i="2"/>
  <c r="FN30" i="2"/>
  <c r="FM30" i="2"/>
  <c r="FL30" i="2"/>
  <c r="FK30" i="2"/>
  <c r="FJ30" i="2"/>
  <c r="FI30" i="2"/>
  <c r="GB30" i="2" s="1"/>
  <c r="FH30" i="2"/>
  <c r="FG30" i="2"/>
  <c r="FF30" i="2"/>
  <c r="FY30" i="2" s="1"/>
  <c r="FE30" i="2"/>
  <c r="FX30" i="2" s="1"/>
  <c r="FD30" i="2"/>
  <c r="FC30" i="2"/>
  <c r="FB30" i="2"/>
  <c r="EH30" i="2"/>
  <c r="EG30" i="2"/>
  <c r="EZ30" i="2" s="1"/>
  <c r="EE30" i="2"/>
  <c r="EX30" i="2" s="1"/>
  <c r="ED30" i="2"/>
  <c r="EW30" i="2" s="1"/>
  <c r="EC30" i="2"/>
  <c r="EB30" i="2"/>
  <c r="EA30" i="2"/>
  <c r="DZ30" i="2"/>
  <c r="DY30" i="2"/>
  <c r="DX30" i="2"/>
  <c r="DW30" i="2"/>
  <c r="EP30" i="2" s="1"/>
  <c r="DV30" i="2"/>
  <c r="DU30" i="2"/>
  <c r="DT30" i="2"/>
  <c r="EM30" i="2" s="1"/>
  <c r="DS30" i="2"/>
  <c r="EL30" i="2" s="1"/>
  <c r="DR30" i="2"/>
  <c r="DQ30" i="2"/>
  <c r="DP30" i="2"/>
  <c r="FT49" i="2"/>
  <c r="FS49" i="2"/>
  <c r="GL49" i="2" s="1"/>
  <c r="FQ49" i="2"/>
  <c r="GJ49" i="2" s="1"/>
  <c r="FP49" i="2"/>
  <c r="GI49" i="2" s="1"/>
  <c r="FO49" i="2"/>
  <c r="FN49" i="2"/>
  <c r="FM49" i="2"/>
  <c r="FL49" i="2"/>
  <c r="FK49" i="2"/>
  <c r="FJ49" i="2"/>
  <c r="FI49" i="2"/>
  <c r="GB49" i="2" s="1"/>
  <c r="FH49" i="2"/>
  <c r="FG49" i="2"/>
  <c r="FF49" i="2"/>
  <c r="FY49" i="2" s="1"/>
  <c r="FE49" i="2"/>
  <c r="FX49" i="2" s="1"/>
  <c r="FD49" i="2"/>
  <c r="FC49" i="2"/>
  <c r="FB49" i="2"/>
  <c r="EH49" i="2"/>
  <c r="EG49" i="2"/>
  <c r="EZ49" i="2" s="1"/>
  <c r="EE49" i="2"/>
  <c r="EX49" i="2" s="1"/>
  <c r="ED49" i="2"/>
  <c r="EW49" i="2" s="1"/>
  <c r="EC49" i="2"/>
  <c r="EB49" i="2"/>
  <c r="EA49" i="2"/>
  <c r="DZ49" i="2"/>
  <c r="DY49" i="2"/>
  <c r="DX49" i="2"/>
  <c r="DW49" i="2"/>
  <c r="EP49" i="2" s="1"/>
  <c r="DV49" i="2"/>
  <c r="DU49" i="2"/>
  <c r="DT49" i="2"/>
  <c r="EM49" i="2" s="1"/>
  <c r="DS49" i="2"/>
  <c r="EL49" i="2" s="1"/>
  <c r="DR49" i="2"/>
  <c r="DQ49" i="2"/>
  <c r="DP49" i="2"/>
  <c r="FT519" i="2"/>
  <c r="FS519" i="2"/>
  <c r="GL519" i="2" s="1"/>
  <c r="FQ519" i="2"/>
  <c r="GJ519" i="2" s="1"/>
  <c r="FP519" i="2"/>
  <c r="GI519" i="2" s="1"/>
  <c r="FO519" i="2"/>
  <c r="FN519" i="2"/>
  <c r="FM519" i="2"/>
  <c r="FL519" i="2"/>
  <c r="FK519" i="2"/>
  <c r="FJ519" i="2"/>
  <c r="FI519" i="2"/>
  <c r="GB519" i="2" s="1"/>
  <c r="FH519" i="2"/>
  <c r="FG519" i="2"/>
  <c r="FF519" i="2"/>
  <c r="FY519" i="2" s="1"/>
  <c r="FE519" i="2"/>
  <c r="FX519" i="2" s="1"/>
  <c r="FD519" i="2"/>
  <c r="FC519" i="2"/>
  <c r="FB519" i="2"/>
  <c r="EH519" i="2"/>
  <c r="EG519" i="2"/>
  <c r="EZ519" i="2" s="1"/>
  <c r="EE519" i="2"/>
  <c r="EX519" i="2" s="1"/>
  <c r="ED519" i="2"/>
  <c r="EW519" i="2" s="1"/>
  <c r="EC519" i="2"/>
  <c r="EB519" i="2"/>
  <c r="EA519" i="2"/>
  <c r="DZ519" i="2"/>
  <c r="DY519" i="2"/>
  <c r="DX519" i="2"/>
  <c r="DW519" i="2"/>
  <c r="EP519" i="2" s="1"/>
  <c r="DV519" i="2"/>
  <c r="DU519" i="2"/>
  <c r="DT519" i="2"/>
  <c r="EM519" i="2" s="1"/>
  <c r="DS519" i="2"/>
  <c r="EL519" i="2" s="1"/>
  <c r="DR519" i="2"/>
  <c r="DQ519" i="2"/>
  <c r="DP519" i="2"/>
  <c r="FT92" i="2"/>
  <c r="FS92" i="2"/>
  <c r="GL92" i="2" s="1"/>
  <c r="FQ92" i="2"/>
  <c r="GJ92" i="2" s="1"/>
  <c r="FP92" i="2"/>
  <c r="GI92" i="2" s="1"/>
  <c r="FO92" i="2"/>
  <c r="FN92" i="2"/>
  <c r="FM92" i="2"/>
  <c r="FL92" i="2"/>
  <c r="FK92" i="2"/>
  <c r="FJ92" i="2"/>
  <c r="FI92" i="2"/>
  <c r="GB92" i="2" s="1"/>
  <c r="FH92" i="2"/>
  <c r="FG92" i="2"/>
  <c r="FF92" i="2"/>
  <c r="FY92" i="2" s="1"/>
  <c r="FE92" i="2"/>
  <c r="FX92" i="2" s="1"/>
  <c r="FD92" i="2"/>
  <c r="FC92" i="2"/>
  <c r="FB92" i="2"/>
  <c r="EH92" i="2"/>
  <c r="EG92" i="2"/>
  <c r="EZ92" i="2" s="1"/>
  <c r="EE92" i="2"/>
  <c r="EX92" i="2" s="1"/>
  <c r="ED92" i="2"/>
  <c r="EW92" i="2" s="1"/>
  <c r="EC92" i="2"/>
  <c r="EB92" i="2"/>
  <c r="EA92" i="2"/>
  <c r="DZ92" i="2"/>
  <c r="DY92" i="2"/>
  <c r="DX92" i="2"/>
  <c r="DW92" i="2"/>
  <c r="EP92" i="2" s="1"/>
  <c r="DV92" i="2"/>
  <c r="DU92" i="2"/>
  <c r="DT92" i="2"/>
  <c r="EM92" i="2" s="1"/>
  <c r="DS92" i="2"/>
  <c r="EL92" i="2" s="1"/>
  <c r="DR92" i="2"/>
  <c r="DQ92" i="2"/>
  <c r="DP92" i="2"/>
  <c r="FT91" i="2"/>
  <c r="FS91" i="2"/>
  <c r="GL91" i="2" s="1"/>
  <c r="FQ91" i="2"/>
  <c r="GJ91" i="2" s="1"/>
  <c r="FP91" i="2"/>
  <c r="GI91" i="2" s="1"/>
  <c r="FO91" i="2"/>
  <c r="FN91" i="2"/>
  <c r="FM91" i="2"/>
  <c r="FL91" i="2"/>
  <c r="FK91" i="2"/>
  <c r="FJ91" i="2"/>
  <c r="FI91" i="2"/>
  <c r="GB91" i="2" s="1"/>
  <c r="FH91" i="2"/>
  <c r="FG91" i="2"/>
  <c r="FF91" i="2"/>
  <c r="FY91" i="2" s="1"/>
  <c r="FE91" i="2"/>
  <c r="FX91" i="2" s="1"/>
  <c r="FD91" i="2"/>
  <c r="FC91" i="2"/>
  <c r="FB91" i="2"/>
  <c r="EH91" i="2"/>
  <c r="EG91" i="2"/>
  <c r="EZ91" i="2" s="1"/>
  <c r="EE91" i="2"/>
  <c r="EX91" i="2" s="1"/>
  <c r="ED91" i="2"/>
  <c r="EW91" i="2" s="1"/>
  <c r="EC91" i="2"/>
  <c r="EB91" i="2"/>
  <c r="EA91" i="2"/>
  <c r="DZ91" i="2"/>
  <c r="DY91" i="2"/>
  <c r="DX91" i="2"/>
  <c r="DW91" i="2"/>
  <c r="EP91" i="2" s="1"/>
  <c r="DV91" i="2"/>
  <c r="DU91" i="2"/>
  <c r="DT91" i="2"/>
  <c r="EM91" i="2" s="1"/>
  <c r="DS91" i="2"/>
  <c r="EL91" i="2" s="1"/>
  <c r="DR91" i="2"/>
  <c r="DQ91" i="2"/>
  <c r="DP91" i="2"/>
  <c r="FS90" i="2"/>
  <c r="GL90" i="2" s="1"/>
  <c r="FN90" i="2"/>
  <c r="FO90" i="2"/>
  <c r="FM90" i="2"/>
  <c r="FL90" i="2"/>
  <c r="FK90" i="2"/>
  <c r="FD90" i="2"/>
  <c r="FC90" i="2"/>
  <c r="FT90" i="2"/>
  <c r="FQ90" i="2"/>
  <c r="GJ90" i="2" s="1"/>
  <c r="FP90" i="2"/>
  <c r="GI90" i="2" s="1"/>
  <c r="FI90" i="2"/>
  <c r="GB90" i="2" s="1"/>
  <c r="FJ90" i="2"/>
  <c r="FH90" i="2"/>
  <c r="FG90" i="2"/>
  <c r="FF90" i="2"/>
  <c r="FY90" i="2" s="1"/>
  <c r="FE90" i="2"/>
  <c r="FX90" i="2" s="1"/>
  <c r="FB90" i="2"/>
  <c r="GM1" i="2"/>
  <c r="GH1" i="2"/>
  <c r="GH569" i="2" s="1"/>
  <c r="GG1" i="2"/>
  <c r="GF1" i="2"/>
  <c r="GF569" i="2" s="1"/>
  <c r="GE1" i="2"/>
  <c r="GD1" i="2"/>
  <c r="GC1" i="2"/>
  <c r="GC569" i="2" s="1"/>
  <c r="GA1" i="2"/>
  <c r="GA569" i="2" s="1"/>
  <c r="FZ1" i="2"/>
  <c r="FW1" i="2"/>
  <c r="FV1" i="2"/>
  <c r="FV569" i="2" s="1"/>
  <c r="FU1" i="2"/>
  <c r="FA1" i="2"/>
  <c r="EV1" i="2"/>
  <c r="EU1" i="2"/>
  <c r="ET1" i="2"/>
  <c r="ES1" i="2"/>
  <c r="ER1" i="2"/>
  <c r="EQ1" i="2"/>
  <c r="EO1" i="2"/>
  <c r="EN1" i="2"/>
  <c r="EK1" i="2"/>
  <c r="EJ1" i="2"/>
  <c r="EI1" i="2"/>
  <c r="GW449" i="2"/>
  <c r="GO449" i="2"/>
  <c r="DM449" i="2"/>
  <c r="DL449" i="2"/>
  <c r="GW448" i="2"/>
  <c r="GO448" i="2"/>
  <c r="GP448" i="2" s="1"/>
  <c r="GQ448" i="2" s="1"/>
  <c r="DM448" i="2"/>
  <c r="DL448" i="2"/>
  <c r="GW447" i="2"/>
  <c r="GX447" i="2" s="1"/>
  <c r="GY447" i="2" s="1"/>
  <c r="GO447" i="2"/>
  <c r="GP447" i="2" s="1"/>
  <c r="GQ447" i="2" s="1"/>
  <c r="DM447" i="2"/>
  <c r="DL447" i="2"/>
  <c r="GW446" i="2"/>
  <c r="GX446" i="2" s="1"/>
  <c r="GO446" i="2"/>
  <c r="DM446" i="2"/>
  <c r="DL446" i="2"/>
  <c r="GW445" i="2"/>
  <c r="GO445" i="2"/>
  <c r="GP445" i="2" s="1"/>
  <c r="GQ445" i="2" s="1"/>
  <c r="DM445" i="2"/>
  <c r="DL445" i="2"/>
  <c r="GW345" i="2"/>
  <c r="GX345" i="2" s="1"/>
  <c r="GY345" i="2" s="1"/>
  <c r="GO345" i="2"/>
  <c r="GP345" i="2" s="1"/>
  <c r="GQ345" i="2" s="1"/>
  <c r="DM345" i="2"/>
  <c r="DL345" i="2"/>
  <c r="GW561" i="2"/>
  <c r="GO561" i="2"/>
  <c r="GP561" i="2" s="1"/>
  <c r="DM561" i="2"/>
  <c r="DL561" i="2"/>
  <c r="GW26" i="2"/>
  <c r="AD26" i="2"/>
  <c r="GW25" i="2"/>
  <c r="GX25" i="2" s="1"/>
  <c r="GY25" i="2" s="1"/>
  <c r="ID10" i="2" s="1"/>
  <c r="AD25" i="2"/>
  <c r="GW138" i="2"/>
  <c r="GO138" i="2"/>
  <c r="GP138" i="2" s="1"/>
  <c r="DM138" i="2"/>
  <c r="DL138" i="2"/>
  <c r="GW626" i="2"/>
  <c r="AY626" i="2"/>
  <c r="GV626" i="2" s="1"/>
  <c r="GW625" i="2"/>
  <c r="AY625" i="2"/>
  <c r="GV625" i="2" s="1"/>
  <c r="GW575" i="2"/>
  <c r="AY575" i="2"/>
  <c r="GV575" i="2" s="1"/>
  <c r="GW564" i="2"/>
  <c r="AY564" i="2"/>
  <c r="DL564" i="2" s="1"/>
  <c r="GW563" i="2"/>
  <c r="GO563" i="2"/>
  <c r="GP563" i="2" s="1"/>
  <c r="GQ563" i="2" s="1"/>
  <c r="DM563" i="2"/>
  <c r="DL563" i="2"/>
  <c r="GW568" i="2"/>
  <c r="AY568" i="2"/>
  <c r="GV568" i="2" s="1"/>
  <c r="GW619" i="2"/>
  <c r="BG619" i="2"/>
  <c r="AZ619" i="2"/>
  <c r="AY619" i="2"/>
  <c r="GW562" i="2"/>
  <c r="BB562" i="2"/>
  <c r="AY562" i="2"/>
  <c r="GV562" i="2" s="1"/>
  <c r="GW567" i="2"/>
  <c r="AY567" i="2"/>
  <c r="GV567" i="2" s="1"/>
  <c r="GW508" i="2"/>
  <c r="GO508" i="2"/>
  <c r="DM508" i="2"/>
  <c r="DL508" i="2"/>
  <c r="GW618" i="2"/>
  <c r="AY618" i="2"/>
  <c r="GO618" i="2" s="1"/>
  <c r="GW566" i="2"/>
  <c r="BG566" i="2"/>
  <c r="AY566" i="2"/>
  <c r="GW507" i="2"/>
  <c r="GO507" i="2"/>
  <c r="DM507" i="2"/>
  <c r="DL507" i="2"/>
  <c r="GW506" i="2"/>
  <c r="GO506" i="2"/>
  <c r="GP506" i="2" s="1"/>
  <c r="GQ506" i="2" s="1"/>
  <c r="DM506" i="2"/>
  <c r="DL506" i="2"/>
  <c r="GW565" i="2"/>
  <c r="AY565" i="2"/>
  <c r="GW505" i="2"/>
  <c r="GO505" i="2"/>
  <c r="DL505" i="2"/>
  <c r="BJ505" i="2"/>
  <c r="BI505" i="2"/>
  <c r="BH505" i="2"/>
  <c r="BB505" i="2"/>
  <c r="BA505" i="2"/>
  <c r="AO505" i="2"/>
  <c r="AN505" i="2"/>
  <c r="AM505" i="2"/>
  <c r="AG505" i="2"/>
  <c r="AF505" i="2"/>
  <c r="GW504" i="2"/>
  <c r="GO504" i="2"/>
  <c r="DL504" i="2"/>
  <c r="BJ504" i="2"/>
  <c r="BI504" i="2"/>
  <c r="BH504" i="2"/>
  <c r="BB504" i="2"/>
  <c r="BA504" i="2"/>
  <c r="AO504" i="2"/>
  <c r="AN504" i="2"/>
  <c r="AM504" i="2"/>
  <c r="AG504" i="2"/>
  <c r="AF504" i="2"/>
  <c r="T504" i="2"/>
  <c r="S504" i="2"/>
  <c r="R504" i="2"/>
  <c r="L504" i="2"/>
  <c r="L1" i="2" s="1"/>
  <c r="K504" i="2"/>
  <c r="CO560" i="2"/>
  <c r="AY560" i="2"/>
  <c r="BG560" i="2" s="1"/>
  <c r="GV560" i="2" s="1"/>
  <c r="AD560" i="2"/>
  <c r="GW503" i="2"/>
  <c r="GO503" i="2"/>
  <c r="GP503" i="2" s="1"/>
  <c r="DM503" i="2"/>
  <c r="DL503" i="2"/>
  <c r="GW471" i="2"/>
  <c r="AY471" i="2"/>
  <c r="GV471" i="2" s="1"/>
  <c r="GW470" i="2"/>
  <c r="AY470" i="2"/>
  <c r="GV470" i="2" s="1"/>
  <c r="CZ444" i="2"/>
  <c r="CY444" i="2"/>
  <c r="CO444" i="2"/>
  <c r="HC444" i="2" s="1"/>
  <c r="CE444" i="2"/>
  <c r="CD444" i="2"/>
  <c r="BT444" i="2"/>
  <c r="HB444" i="2" s="1"/>
  <c r="BJ444" i="2"/>
  <c r="BI444" i="2"/>
  <c r="AY444" i="2"/>
  <c r="GV444" i="2" s="1"/>
  <c r="AO444" i="2"/>
  <c r="AN444" i="2"/>
  <c r="AD444" i="2"/>
  <c r="GU444" i="2" s="1"/>
  <c r="T444" i="2"/>
  <c r="S444" i="2"/>
  <c r="I444" i="2"/>
  <c r="GT444" i="2" s="1"/>
  <c r="GW137" i="2"/>
  <c r="GO137" i="2"/>
  <c r="DM137" i="2"/>
  <c r="DL137" i="2"/>
  <c r="GW136" i="2"/>
  <c r="AY136" i="2"/>
  <c r="GV136" i="2" s="1"/>
  <c r="GW135" i="2"/>
  <c r="AY135" i="2"/>
  <c r="DM135" i="2" s="1"/>
  <c r="GW21" i="2"/>
  <c r="GO21" i="2"/>
  <c r="DM21" i="2"/>
  <c r="BG21" i="2"/>
  <c r="GV21" i="2" s="1"/>
  <c r="GW20" i="2"/>
  <c r="AY20" i="2"/>
  <c r="GV20" i="2" s="1"/>
  <c r="GW250" i="2"/>
  <c r="GO250" i="2"/>
  <c r="DM250" i="2"/>
  <c r="DL250" i="2"/>
  <c r="GW249" i="2"/>
  <c r="GO249" i="2"/>
  <c r="GP249" i="2" s="1"/>
  <c r="GQ249" i="2" s="1"/>
  <c r="DM249" i="2"/>
  <c r="DL249" i="2"/>
  <c r="GW134" i="2"/>
  <c r="GO134" i="2"/>
  <c r="DM134" i="2"/>
  <c r="DL134" i="2"/>
  <c r="GW559" i="2"/>
  <c r="GO559" i="2"/>
  <c r="GP559" i="2" s="1"/>
  <c r="GQ559" i="2" s="1"/>
  <c r="DM559" i="2"/>
  <c r="DL559" i="2"/>
  <c r="GW558" i="2"/>
  <c r="GO558" i="2"/>
  <c r="DM558" i="2"/>
  <c r="DL558" i="2"/>
  <c r="GW253" i="2"/>
  <c r="GO253" i="2"/>
  <c r="GP253" i="2" s="1"/>
  <c r="DM253" i="2"/>
  <c r="DL253" i="2"/>
  <c r="GW171" i="2"/>
  <c r="AY171" i="2"/>
  <c r="BP171" i="2" s="1"/>
  <c r="AD171" i="2"/>
  <c r="GW557" i="2"/>
  <c r="GO557" i="2"/>
  <c r="GP557" i="2" s="1"/>
  <c r="DM557" i="2"/>
  <c r="DL557" i="2"/>
  <c r="GW556" i="2"/>
  <c r="GO556" i="2"/>
  <c r="GP556" i="2" s="1"/>
  <c r="GQ556" i="2" s="1"/>
  <c r="DM556" i="2"/>
  <c r="DL556" i="2"/>
  <c r="GW555" i="2"/>
  <c r="GO555" i="2"/>
  <c r="GP555" i="2" s="1"/>
  <c r="DM555" i="2"/>
  <c r="DL555" i="2"/>
  <c r="GW617" i="2"/>
  <c r="GO617" i="2"/>
  <c r="GP617" i="2" s="1"/>
  <c r="GQ617" i="2" s="1"/>
  <c r="DM617" i="2"/>
  <c r="DL617" i="2"/>
  <c r="GW616" i="2"/>
  <c r="GO616" i="2"/>
  <c r="GP616" i="2" s="1"/>
  <c r="DM616" i="2"/>
  <c r="DL616" i="2"/>
  <c r="GW615" i="2"/>
  <c r="GO615" i="2"/>
  <c r="GP615" i="2" s="1"/>
  <c r="GQ615" i="2" s="1"/>
  <c r="DM615" i="2"/>
  <c r="DL615" i="2"/>
  <c r="GW614" i="2"/>
  <c r="GO614" i="2"/>
  <c r="GP614" i="2" s="1"/>
  <c r="DM614" i="2"/>
  <c r="DL614" i="2"/>
  <c r="GW496" i="2"/>
  <c r="GO496" i="2"/>
  <c r="GP496" i="2" s="1"/>
  <c r="GQ496" i="2" s="1"/>
  <c r="DM496" i="2"/>
  <c r="DL496" i="2"/>
  <c r="GW495" i="2"/>
  <c r="GO495" i="2"/>
  <c r="GP495" i="2" s="1"/>
  <c r="DM495" i="2"/>
  <c r="DL495" i="2"/>
  <c r="GW502" i="2"/>
  <c r="GO502" i="2"/>
  <c r="GP502" i="2" s="1"/>
  <c r="GQ502" i="2" s="1"/>
  <c r="DM502" i="2"/>
  <c r="DL502" i="2"/>
  <c r="GW29" i="2"/>
  <c r="GO29" i="2"/>
  <c r="GP29" i="2" s="1"/>
  <c r="DM29" i="2"/>
  <c r="DL29" i="2"/>
  <c r="BC29" i="2"/>
  <c r="AH29" i="2"/>
  <c r="GW28" i="2"/>
  <c r="GO28" i="2"/>
  <c r="DM28" i="2"/>
  <c r="DL28" i="2"/>
  <c r="BC28" i="2"/>
  <c r="DS28" i="2" s="1"/>
  <c r="EL28" i="2" s="1"/>
  <c r="DA554" i="2"/>
  <c r="CZ554" i="2"/>
  <c r="CY554" i="2"/>
  <c r="CY1" i="2" s="1"/>
  <c r="CF554" i="2"/>
  <c r="CE554" i="2"/>
  <c r="CD554" i="2"/>
  <c r="BT554" i="2"/>
  <c r="BK554" i="2"/>
  <c r="BJ554" i="2"/>
  <c r="BI554" i="2"/>
  <c r="AP554" i="2"/>
  <c r="AO554" i="2"/>
  <c r="AN554" i="2"/>
  <c r="U554" i="2"/>
  <c r="T554" i="2"/>
  <c r="S554" i="2"/>
  <c r="I554" i="2"/>
  <c r="GW553" i="2"/>
  <c r="AY553" i="2"/>
  <c r="AZ553" i="2" s="1"/>
  <c r="DP553" i="2" s="1"/>
  <c r="GW384" i="2"/>
  <c r="AY384" i="2"/>
  <c r="GV384" i="2" s="1"/>
  <c r="AD384" i="2"/>
  <c r="GU384" i="2" s="1"/>
  <c r="I384" i="2"/>
  <c r="GT384" i="2" s="1"/>
  <c r="GW443" i="2"/>
  <c r="GX443" i="2" s="1"/>
  <c r="GY443" i="2" s="1"/>
  <c r="DA443" i="2"/>
  <c r="CQ443" i="2"/>
  <c r="CI443" i="2"/>
  <c r="FP443" i="2" s="1"/>
  <c r="GI443" i="2" s="1"/>
  <c r="CF443" i="2"/>
  <c r="BV443" i="2"/>
  <c r="BV1" i="2" s="1"/>
  <c r="BN443" i="2"/>
  <c r="BK443" i="2"/>
  <c r="BH443" i="2"/>
  <c r="BG443" i="2"/>
  <c r="BA443" i="2"/>
  <c r="AZ443" i="2"/>
  <c r="AY443" i="2"/>
  <c r="AS443" i="2"/>
  <c r="AP443" i="2"/>
  <c r="AF443" i="2"/>
  <c r="X443" i="2"/>
  <c r="U443" i="2"/>
  <c r="K443" i="2"/>
  <c r="GW442" i="2"/>
  <c r="GO442" i="2"/>
  <c r="DM442" i="2"/>
  <c r="BJ442" i="2"/>
  <c r="DZ442" i="2" s="1"/>
  <c r="BI442" i="2"/>
  <c r="DY442" i="2" s="1"/>
  <c r="BG442" i="2"/>
  <c r="DW442" i="2" s="1"/>
  <c r="EP442" i="2" s="1"/>
  <c r="BA442" i="2"/>
  <c r="DQ442" i="2" s="1"/>
  <c r="AZ442" i="2"/>
  <c r="DP442" i="2" s="1"/>
  <c r="GW383" i="2"/>
  <c r="GO383" i="2"/>
  <c r="GP383" i="2" s="1"/>
  <c r="DM383" i="2"/>
  <c r="DL383" i="2"/>
  <c r="GW467" i="2"/>
  <c r="GO467" i="2"/>
  <c r="DM467" i="2"/>
  <c r="DL467" i="2"/>
  <c r="GW382" i="2"/>
  <c r="GO382" i="2"/>
  <c r="GP382" i="2" s="1"/>
  <c r="DM382" i="2"/>
  <c r="DL382" i="2"/>
  <c r="GW441" i="2"/>
  <c r="GO441" i="2"/>
  <c r="DM441" i="2"/>
  <c r="DL441" i="2"/>
  <c r="GW381" i="2"/>
  <c r="GO381" i="2"/>
  <c r="GP381" i="2" s="1"/>
  <c r="DM381" i="2"/>
  <c r="DL381" i="2"/>
  <c r="GW440" i="2"/>
  <c r="GO440" i="2"/>
  <c r="DM440" i="2"/>
  <c r="DL440" i="2"/>
  <c r="GW439" i="2"/>
  <c r="GO439" i="2"/>
  <c r="GP439" i="2" s="1"/>
  <c r="DM439" i="2"/>
  <c r="DL439" i="2"/>
  <c r="GW380" i="2"/>
  <c r="GO380" i="2"/>
  <c r="GP380" i="2" s="1"/>
  <c r="GQ380" i="2" s="1"/>
  <c r="DM380" i="2"/>
  <c r="DL380" i="2"/>
  <c r="GW438" i="2"/>
  <c r="GX438" i="2" s="1"/>
  <c r="GY438" i="2" s="1"/>
  <c r="GO438" i="2"/>
  <c r="DM438" i="2"/>
  <c r="DL438" i="2"/>
  <c r="GW437" i="2"/>
  <c r="GO437" i="2"/>
  <c r="GP437" i="2" s="1"/>
  <c r="GQ437" i="2" s="1"/>
  <c r="DM437" i="2"/>
  <c r="DL437" i="2"/>
  <c r="GW436" i="2"/>
  <c r="GX436" i="2" s="1"/>
  <c r="GY436" i="2" s="1"/>
  <c r="GO436" i="2"/>
  <c r="DM436" i="2"/>
  <c r="DL436" i="2"/>
  <c r="GW435" i="2"/>
  <c r="GO435" i="2"/>
  <c r="DM435" i="2"/>
  <c r="DL435" i="2"/>
  <c r="GW434" i="2"/>
  <c r="GO434" i="2"/>
  <c r="GP434" i="2" s="1"/>
  <c r="GQ434" i="2" s="1"/>
  <c r="DM434" i="2"/>
  <c r="DL434" i="2"/>
  <c r="GW433" i="2"/>
  <c r="GX433" i="2" s="1"/>
  <c r="GY433" i="2" s="1"/>
  <c r="GO433" i="2"/>
  <c r="GP433" i="2" s="1"/>
  <c r="GQ433" i="2" s="1"/>
  <c r="DM433" i="2"/>
  <c r="DL433" i="2"/>
  <c r="GW432" i="2"/>
  <c r="GO432" i="2"/>
  <c r="GP432" i="2" s="1"/>
  <c r="GQ432" i="2" s="1"/>
  <c r="DM432" i="2"/>
  <c r="DL432" i="2"/>
  <c r="GW431" i="2"/>
  <c r="GO431" i="2"/>
  <c r="GP431" i="2" s="1"/>
  <c r="GQ431" i="2" s="1"/>
  <c r="DM431" i="2"/>
  <c r="DL431" i="2"/>
  <c r="GW430" i="2"/>
  <c r="GO430" i="2"/>
  <c r="GP430" i="2" s="1"/>
  <c r="GQ430" i="2" s="1"/>
  <c r="DM430" i="2"/>
  <c r="DL430" i="2"/>
  <c r="GW429" i="2"/>
  <c r="GO429" i="2"/>
  <c r="GP429" i="2" s="1"/>
  <c r="GQ429" i="2" s="1"/>
  <c r="DM429" i="2"/>
  <c r="DL429" i="2"/>
  <c r="GW428" i="2"/>
  <c r="GX428" i="2" s="1"/>
  <c r="GO428" i="2"/>
  <c r="GP428" i="2" s="1"/>
  <c r="DM428" i="2"/>
  <c r="DL428" i="2"/>
  <c r="GW427" i="2"/>
  <c r="GO427" i="2"/>
  <c r="GP427" i="2" s="1"/>
  <c r="GQ427" i="2" s="1"/>
  <c r="DM427" i="2"/>
  <c r="DL427" i="2"/>
  <c r="GW426" i="2"/>
  <c r="GX426" i="2" s="1"/>
  <c r="GY426" i="2" s="1"/>
  <c r="GO426" i="2"/>
  <c r="DM426" i="2"/>
  <c r="DL426" i="2"/>
  <c r="GW425" i="2"/>
  <c r="GX425" i="2" s="1"/>
  <c r="GO425" i="2"/>
  <c r="GP425" i="2" s="1"/>
  <c r="DM425" i="2"/>
  <c r="DL425" i="2"/>
  <c r="GW424" i="2"/>
  <c r="GO424" i="2"/>
  <c r="GP424" i="2" s="1"/>
  <c r="GQ424" i="2" s="1"/>
  <c r="DM424" i="2"/>
  <c r="DL424" i="2"/>
  <c r="GW423" i="2"/>
  <c r="GO423" i="2"/>
  <c r="DM423" i="2"/>
  <c r="DL423" i="2"/>
  <c r="GW422" i="2"/>
  <c r="GO422" i="2"/>
  <c r="GP422" i="2" s="1"/>
  <c r="GQ422" i="2" s="1"/>
  <c r="DM422" i="2"/>
  <c r="DL422" i="2"/>
  <c r="GW379" i="2"/>
  <c r="GX379" i="2" s="1"/>
  <c r="GY379" i="2" s="1"/>
  <c r="GO379" i="2"/>
  <c r="GP379" i="2" s="1"/>
  <c r="GQ379" i="2" s="1"/>
  <c r="DM379" i="2"/>
  <c r="DL379" i="2"/>
  <c r="GW421" i="2"/>
  <c r="GO421" i="2"/>
  <c r="GP421" i="2" s="1"/>
  <c r="DM421" i="2"/>
  <c r="DL421" i="2"/>
  <c r="GW420" i="2"/>
  <c r="GX420" i="2" s="1"/>
  <c r="GY420" i="2" s="1"/>
  <c r="GO420" i="2"/>
  <c r="DM420" i="2"/>
  <c r="DL420" i="2"/>
  <c r="GW419" i="2"/>
  <c r="GX419" i="2" s="1"/>
  <c r="GY419" i="2" s="1"/>
  <c r="GO419" i="2"/>
  <c r="DM419" i="2"/>
  <c r="DL419" i="2"/>
  <c r="GW418" i="2"/>
  <c r="GO418" i="2"/>
  <c r="GP418" i="2" s="1"/>
  <c r="DM418" i="2"/>
  <c r="DL418" i="2"/>
  <c r="GW417" i="2"/>
  <c r="GO417" i="2"/>
  <c r="GP417" i="2" s="1"/>
  <c r="GQ417" i="2" s="1"/>
  <c r="DM417" i="2"/>
  <c r="DL417" i="2"/>
  <c r="GW416" i="2"/>
  <c r="GO416" i="2"/>
  <c r="GP416" i="2" s="1"/>
  <c r="DM416" i="2"/>
  <c r="DL416" i="2"/>
  <c r="GW415" i="2"/>
  <c r="GX415" i="2" s="1"/>
  <c r="GY415" i="2" s="1"/>
  <c r="GO415" i="2"/>
  <c r="DM415" i="2"/>
  <c r="DL415" i="2"/>
  <c r="GW414" i="2"/>
  <c r="GO414" i="2"/>
  <c r="GP414" i="2" s="1"/>
  <c r="DM414" i="2"/>
  <c r="DL414" i="2"/>
  <c r="GW413" i="2"/>
  <c r="GO413" i="2"/>
  <c r="GP413" i="2" s="1"/>
  <c r="GQ413" i="2" s="1"/>
  <c r="DM413" i="2"/>
  <c r="DL413" i="2"/>
  <c r="GW412" i="2"/>
  <c r="GX412" i="2" s="1"/>
  <c r="GY412" i="2" s="1"/>
  <c r="GO412" i="2"/>
  <c r="GP412" i="2" s="1"/>
  <c r="GQ412" i="2" s="1"/>
  <c r="DM412" i="2"/>
  <c r="DL412" i="2"/>
  <c r="GW411" i="2"/>
  <c r="GX411" i="2" s="1"/>
  <c r="GO411" i="2"/>
  <c r="GP411" i="2" s="1"/>
  <c r="DM411" i="2"/>
  <c r="DL411" i="2"/>
  <c r="GW450" i="2"/>
  <c r="GO450" i="2"/>
  <c r="DM450" i="2"/>
  <c r="DL450" i="2"/>
  <c r="GW410" i="2"/>
  <c r="GO410" i="2"/>
  <c r="GP410" i="2" s="1"/>
  <c r="DM410" i="2"/>
  <c r="DL410" i="2"/>
  <c r="GW409" i="2"/>
  <c r="GO409" i="2"/>
  <c r="DM409" i="2"/>
  <c r="DL409" i="2"/>
  <c r="GW408" i="2"/>
  <c r="GO408" i="2"/>
  <c r="GP408" i="2" s="1"/>
  <c r="DM408" i="2"/>
  <c r="DL408" i="2"/>
  <c r="GW407" i="2"/>
  <c r="GO407" i="2"/>
  <c r="GP407" i="2" s="1"/>
  <c r="GQ407" i="2" s="1"/>
  <c r="DM407" i="2"/>
  <c r="DL407" i="2"/>
  <c r="GW406" i="2"/>
  <c r="GO406" i="2"/>
  <c r="DM406" i="2"/>
  <c r="DL406" i="2"/>
  <c r="GW405" i="2"/>
  <c r="GO405" i="2"/>
  <c r="GP405" i="2" s="1"/>
  <c r="GQ405" i="2" s="1"/>
  <c r="DM405" i="2"/>
  <c r="DL405" i="2"/>
  <c r="GW404" i="2"/>
  <c r="GX404" i="2" s="1"/>
  <c r="GY404" i="2" s="1"/>
  <c r="GO404" i="2"/>
  <c r="DM404" i="2"/>
  <c r="DL404" i="2"/>
  <c r="GW403" i="2"/>
  <c r="GO403" i="2"/>
  <c r="GP403" i="2" s="1"/>
  <c r="DM403" i="2"/>
  <c r="DL403" i="2"/>
  <c r="GW402" i="2"/>
  <c r="GO402" i="2"/>
  <c r="DM402" i="2"/>
  <c r="DL402" i="2"/>
  <c r="GW401" i="2"/>
  <c r="GO401" i="2"/>
  <c r="GP401" i="2" s="1"/>
  <c r="DM401" i="2"/>
  <c r="DL401" i="2"/>
  <c r="GW400" i="2"/>
  <c r="GO400" i="2"/>
  <c r="GP400" i="2" s="1"/>
  <c r="DM400" i="2"/>
  <c r="DL400" i="2"/>
  <c r="GW399" i="2"/>
  <c r="GO399" i="2"/>
  <c r="DM399" i="2"/>
  <c r="DL399" i="2"/>
  <c r="GW398" i="2"/>
  <c r="GX398" i="2" s="1"/>
  <c r="GY398" i="2" s="1"/>
  <c r="GO398" i="2"/>
  <c r="DM398" i="2"/>
  <c r="DL398" i="2"/>
  <c r="FP398" i="2"/>
  <c r="GI398" i="2" s="1"/>
  <c r="BN398" i="2"/>
  <c r="X398" i="2"/>
  <c r="GW397" i="2"/>
  <c r="GO397" i="2"/>
  <c r="GP397" i="2" s="1"/>
  <c r="DM397" i="2"/>
  <c r="DL397" i="2"/>
  <c r="GW396" i="2"/>
  <c r="GO396" i="2"/>
  <c r="GP396" i="2" s="1"/>
  <c r="GQ396" i="2" s="1"/>
  <c r="DM396" i="2"/>
  <c r="DL396" i="2"/>
  <c r="GW395" i="2"/>
  <c r="GO395" i="2"/>
  <c r="DM395" i="2"/>
  <c r="DL395" i="2"/>
  <c r="GW378" i="2"/>
  <c r="GO378" i="2"/>
  <c r="GP378" i="2" s="1"/>
  <c r="GQ378" i="2" s="1"/>
  <c r="DM378" i="2"/>
  <c r="DL378" i="2"/>
  <c r="GW377" i="2"/>
  <c r="GO377" i="2"/>
  <c r="DM377" i="2"/>
  <c r="DL377" i="2"/>
  <c r="GW394" i="2"/>
  <c r="GO394" i="2"/>
  <c r="GP394" i="2" s="1"/>
  <c r="DM394" i="2"/>
  <c r="DL394" i="2"/>
  <c r="GW393" i="2"/>
  <c r="GO393" i="2"/>
  <c r="DM393" i="2"/>
  <c r="DL393" i="2"/>
  <c r="GW392" i="2"/>
  <c r="GX392" i="2" s="1"/>
  <c r="GO392" i="2"/>
  <c r="GP392" i="2" s="1"/>
  <c r="DM392" i="2"/>
  <c r="DL392" i="2"/>
  <c r="GW376" i="2"/>
  <c r="GO376" i="2"/>
  <c r="GP376" i="2" s="1"/>
  <c r="GQ376" i="2" s="1"/>
  <c r="DM376" i="2"/>
  <c r="DL376" i="2"/>
  <c r="GW391" i="2"/>
  <c r="GX391" i="2" s="1"/>
  <c r="GY391" i="2" s="1"/>
  <c r="GO391" i="2"/>
  <c r="GP391" i="2" s="1"/>
  <c r="DM391" i="2"/>
  <c r="DL391" i="2"/>
  <c r="GW390" i="2"/>
  <c r="GX390" i="2" s="1"/>
  <c r="GO390" i="2"/>
  <c r="DM390" i="2"/>
  <c r="DL390" i="2"/>
  <c r="GW389" i="2"/>
  <c r="GO389" i="2"/>
  <c r="DM389" i="2"/>
  <c r="DL389" i="2"/>
  <c r="BN389" i="2"/>
  <c r="AS389" i="2"/>
  <c r="X389" i="2"/>
  <c r="GW388" i="2"/>
  <c r="GO388" i="2"/>
  <c r="GP388" i="2" s="1"/>
  <c r="GQ388" i="2" s="1"/>
  <c r="DM388" i="2"/>
  <c r="DL388" i="2"/>
  <c r="GW344" i="2"/>
  <c r="AY344" i="2"/>
  <c r="GW280" i="2"/>
  <c r="GO280" i="2"/>
  <c r="DM280" i="2"/>
  <c r="DL280" i="2"/>
  <c r="GW225" i="2"/>
  <c r="GO225" i="2"/>
  <c r="GP225" i="2" s="1"/>
  <c r="GQ225" i="2" s="1"/>
  <c r="DM225" i="2"/>
  <c r="DL225" i="2"/>
  <c r="GW127" i="2"/>
  <c r="GO127" i="2"/>
  <c r="DM127" i="2"/>
  <c r="DL127" i="2"/>
  <c r="GW279" i="2"/>
  <c r="GO279" i="2"/>
  <c r="GP279" i="2" s="1"/>
  <c r="GQ279" i="2" s="1"/>
  <c r="DM279" i="2"/>
  <c r="DL279" i="2"/>
  <c r="GW87" i="2"/>
  <c r="GO87" i="2"/>
  <c r="DM87" i="2"/>
  <c r="DL87" i="2"/>
  <c r="GW82" i="2"/>
  <c r="GO82" i="2"/>
  <c r="GP82" i="2" s="1"/>
  <c r="GQ82" i="2" s="1"/>
  <c r="DM82" i="2"/>
  <c r="DL82" i="2"/>
  <c r="GW613" i="2"/>
  <c r="GO613" i="2"/>
  <c r="DM613" i="2"/>
  <c r="DL613" i="2"/>
  <c r="GW612" i="2"/>
  <c r="GO612" i="2"/>
  <c r="GP612" i="2" s="1"/>
  <c r="GQ612" i="2" s="1"/>
  <c r="DM612" i="2"/>
  <c r="DL612" i="2"/>
  <c r="GW611" i="2"/>
  <c r="GO611" i="2"/>
  <c r="DM611" i="2"/>
  <c r="DL611" i="2"/>
  <c r="GW513" i="2"/>
  <c r="GX513" i="2" s="1"/>
  <c r="GO513" i="2"/>
  <c r="GP513" i="2" s="1"/>
  <c r="GQ513" i="2" s="1"/>
  <c r="DL513" i="2"/>
  <c r="CX513" i="2"/>
  <c r="CC513" i="2"/>
  <c r="BH513" i="2"/>
  <c r="AM513" i="2"/>
  <c r="GW610" i="2"/>
  <c r="GO610" i="2"/>
  <c r="GP610" i="2" s="1"/>
  <c r="GQ610" i="2" s="1"/>
  <c r="DM610" i="2"/>
  <c r="DL610" i="2"/>
  <c r="GW609" i="2"/>
  <c r="GO609" i="2"/>
  <c r="DM609" i="2"/>
  <c r="DL609" i="2"/>
  <c r="GW512" i="2"/>
  <c r="GO512" i="2"/>
  <c r="GP512" i="2" s="1"/>
  <c r="DM512" i="2"/>
  <c r="DL512" i="2"/>
  <c r="GW608" i="2"/>
  <c r="GO608" i="2"/>
  <c r="DM608" i="2"/>
  <c r="DL608" i="2"/>
  <c r="GW607" i="2"/>
  <c r="GO607" i="2"/>
  <c r="GP607" i="2" s="1"/>
  <c r="GQ607" i="2" s="1"/>
  <c r="DM607" i="2"/>
  <c r="DL607" i="2"/>
  <c r="GW552" i="2"/>
  <c r="GO552" i="2"/>
  <c r="DM552" i="2"/>
  <c r="DL552" i="2"/>
  <c r="GW511" i="2"/>
  <c r="GO511" i="2"/>
  <c r="GP511" i="2" s="1"/>
  <c r="DM511" i="2"/>
  <c r="DL511" i="2"/>
  <c r="GW510" i="2"/>
  <c r="GO510" i="2"/>
  <c r="DM510" i="2"/>
  <c r="DL510" i="2"/>
  <c r="GW509" i="2"/>
  <c r="GO509" i="2"/>
  <c r="GP509" i="2" s="1"/>
  <c r="GQ509" i="2" s="1"/>
  <c r="DM509" i="2"/>
  <c r="DL509" i="2"/>
  <c r="GW606" i="2"/>
  <c r="GO606" i="2"/>
  <c r="DM606" i="2"/>
  <c r="DL606" i="2"/>
  <c r="GW484" i="2"/>
  <c r="GO484" i="2"/>
  <c r="GP484" i="2" s="1"/>
  <c r="GQ484" i="2" s="1"/>
  <c r="DM484" i="2"/>
  <c r="DL484" i="2"/>
  <c r="AO484" i="2"/>
  <c r="DZ484" i="2" s="1"/>
  <c r="AN484" i="2"/>
  <c r="DY484" i="2" s="1"/>
  <c r="GW483" i="2"/>
  <c r="GO483" i="2"/>
  <c r="GP483" i="2" s="1"/>
  <c r="DL483" i="2"/>
  <c r="CX483" i="2"/>
  <c r="CC483" i="2"/>
  <c r="BH483" i="2"/>
  <c r="AM483" i="2"/>
  <c r="GW501" i="2"/>
  <c r="GO501" i="2"/>
  <c r="DM501" i="2"/>
  <c r="DL501" i="2"/>
  <c r="GW482" i="2"/>
  <c r="GO482" i="2"/>
  <c r="GP482" i="2" s="1"/>
  <c r="GQ482" i="2" s="1"/>
  <c r="DM482" i="2"/>
  <c r="DL482" i="2"/>
  <c r="GW465" i="2"/>
  <c r="GO465" i="2"/>
  <c r="GP465" i="2" s="1"/>
  <c r="DM465" i="2"/>
  <c r="DL465" i="2"/>
  <c r="CE465" i="2"/>
  <c r="FL465" i="2" s="1"/>
  <c r="CD465" i="2"/>
  <c r="FK465" i="2" s="1"/>
  <c r="T465" i="2"/>
  <c r="DZ465" i="2" s="1"/>
  <c r="S465" i="2"/>
  <c r="DY465" i="2" s="1"/>
  <c r="GW464" i="2"/>
  <c r="GO464" i="2"/>
  <c r="GP464" i="2" s="1"/>
  <c r="DM464" i="2"/>
  <c r="DL464" i="2"/>
  <c r="CE464" i="2"/>
  <c r="CD464" i="2"/>
  <c r="FK464" i="2" s="1"/>
  <c r="T464" i="2"/>
  <c r="DZ464" i="2" s="1"/>
  <c r="S464" i="2"/>
  <c r="DY464" i="2" s="1"/>
  <c r="GW387" i="2"/>
  <c r="GO387" i="2"/>
  <c r="DM387" i="2"/>
  <c r="DL387" i="2"/>
  <c r="GW481" i="2"/>
  <c r="GO481" i="2"/>
  <c r="GP481" i="2" s="1"/>
  <c r="GQ481" i="2" s="1"/>
  <c r="DM481" i="2"/>
  <c r="DL481" i="2"/>
  <c r="GW480" i="2"/>
  <c r="GO480" i="2"/>
  <c r="DM480" i="2"/>
  <c r="DL480" i="2"/>
  <c r="GW479" i="2"/>
  <c r="GO479" i="2"/>
  <c r="DM479" i="2"/>
  <c r="DL479" i="2"/>
  <c r="GW478" i="2"/>
  <c r="GO478" i="2"/>
  <c r="DM478" i="2"/>
  <c r="DL478" i="2"/>
  <c r="GW469" i="2"/>
  <c r="GO469" i="2"/>
  <c r="GP469" i="2" s="1"/>
  <c r="DM469" i="2"/>
  <c r="DL469" i="2"/>
  <c r="GW477" i="2"/>
  <c r="GO477" i="2"/>
  <c r="DM477" i="2"/>
  <c r="DL477" i="2"/>
  <c r="GW463" i="2"/>
  <c r="GO463" i="2"/>
  <c r="DM463" i="2"/>
  <c r="DL463" i="2"/>
  <c r="BJ463" i="2"/>
  <c r="DZ463" i="2" s="1"/>
  <c r="BI463" i="2"/>
  <c r="DY463" i="2" s="1"/>
  <c r="GW462" i="2"/>
  <c r="GO462" i="2"/>
  <c r="GP462" i="2" s="1"/>
  <c r="DM462" i="2"/>
  <c r="DL462" i="2"/>
  <c r="GW621" i="2"/>
  <c r="GO621" i="2"/>
  <c r="GP621" i="2" s="1"/>
  <c r="GQ621" i="2" s="1"/>
  <c r="DM621" i="2"/>
  <c r="DL621" i="2"/>
  <c r="BJ621" i="2"/>
  <c r="DZ621" i="2" s="1"/>
  <c r="BI621" i="2"/>
  <c r="DY621" i="2" s="1"/>
  <c r="ER621" i="2" s="1"/>
  <c r="GW356" i="2"/>
  <c r="GO356" i="2"/>
  <c r="GP356" i="2" s="1"/>
  <c r="DM356" i="2"/>
  <c r="DL356" i="2"/>
  <c r="GW355" i="2"/>
  <c r="GO355" i="2"/>
  <c r="DM355" i="2"/>
  <c r="DL355" i="2"/>
  <c r="GW354" i="2"/>
  <c r="GO354" i="2"/>
  <c r="GP354" i="2" s="1"/>
  <c r="DM354" i="2"/>
  <c r="DL354" i="2"/>
  <c r="GW353" i="2"/>
  <c r="GO353" i="2"/>
  <c r="DM353" i="2"/>
  <c r="DL353" i="2"/>
  <c r="GW352" i="2"/>
  <c r="GO352" i="2"/>
  <c r="GP352" i="2" s="1"/>
  <c r="DM352" i="2"/>
  <c r="DL352" i="2"/>
  <c r="GW351" i="2"/>
  <c r="GO351" i="2"/>
  <c r="DM351" i="2"/>
  <c r="DL351" i="2"/>
  <c r="GW350" i="2"/>
  <c r="GO350" i="2"/>
  <c r="GP350" i="2" s="1"/>
  <c r="DM350" i="2"/>
  <c r="DL350" i="2"/>
  <c r="GW349" i="2"/>
  <c r="GO349" i="2"/>
  <c r="DM349" i="2"/>
  <c r="DL349" i="2"/>
  <c r="GW348" i="2"/>
  <c r="GO348" i="2"/>
  <c r="GP348" i="2" s="1"/>
  <c r="DM348" i="2"/>
  <c r="DL348" i="2"/>
  <c r="GW468" i="2"/>
  <c r="GO468" i="2"/>
  <c r="DM468" i="2"/>
  <c r="DL468" i="2"/>
  <c r="GW148" i="2"/>
  <c r="GO148" i="2"/>
  <c r="GP148" i="2" s="1"/>
  <c r="DM148" i="2"/>
  <c r="DL148" i="2"/>
  <c r="GW147" i="2"/>
  <c r="GO147" i="2"/>
  <c r="DM147" i="2"/>
  <c r="DL147" i="2"/>
  <c r="GW146" i="2"/>
  <c r="GO146" i="2"/>
  <c r="GP146" i="2" s="1"/>
  <c r="DM146" i="2"/>
  <c r="DL146" i="2"/>
  <c r="GW145" i="2"/>
  <c r="BG145" i="2"/>
  <c r="AY145" i="2"/>
  <c r="GW128" i="2"/>
  <c r="GO128" i="2"/>
  <c r="GP128" i="2" s="1"/>
  <c r="DM128" i="2"/>
  <c r="DL128" i="2"/>
  <c r="GW46" i="2"/>
  <c r="GO46" i="2"/>
  <c r="GP46" i="2" s="1"/>
  <c r="DM46" i="2"/>
  <c r="DL46" i="2"/>
  <c r="GO48" i="2"/>
  <c r="DM48" i="2"/>
  <c r="DL48" i="2"/>
  <c r="CO48" i="2"/>
  <c r="GW278" i="2"/>
  <c r="BO278" i="2"/>
  <c r="BN278" i="2"/>
  <c r="BH278" i="2"/>
  <c r="BG278" i="2"/>
  <c r="AY278" i="2"/>
  <c r="GW277" i="2"/>
  <c r="BO277" i="2"/>
  <c r="BN277" i="2"/>
  <c r="BH277" i="2"/>
  <c r="BG277" i="2"/>
  <c r="AY277" i="2"/>
  <c r="GW276" i="2"/>
  <c r="GO276" i="2"/>
  <c r="GP276" i="2" s="1"/>
  <c r="GQ276" i="2" s="1"/>
  <c r="DM276" i="2"/>
  <c r="DL276" i="2"/>
  <c r="GW275" i="2"/>
  <c r="GO275" i="2"/>
  <c r="GP275" i="2" s="1"/>
  <c r="GQ275" i="2" s="1"/>
  <c r="DM275" i="2"/>
  <c r="DL275" i="2"/>
  <c r="GW95" i="2"/>
  <c r="GO95" i="2"/>
  <c r="GP95" i="2" s="1"/>
  <c r="DM95" i="2"/>
  <c r="DL95" i="2"/>
  <c r="GW274" i="2"/>
  <c r="BG274" i="2"/>
  <c r="AY274" i="2"/>
  <c r="D274" i="2"/>
  <c r="C274" i="2"/>
  <c r="GW273" i="2"/>
  <c r="AY273" i="2"/>
  <c r="GV273" i="2" s="1"/>
  <c r="D273" i="2"/>
  <c r="C273" i="2"/>
  <c r="GW272" i="2"/>
  <c r="GO272" i="2"/>
  <c r="GP272" i="2" s="1"/>
  <c r="DM272" i="2"/>
  <c r="DL272" i="2"/>
  <c r="D272" i="2"/>
  <c r="C272" i="2"/>
  <c r="GW224" i="2"/>
  <c r="GO224" i="2"/>
  <c r="GP224" i="2" s="1"/>
  <c r="DM224" i="2"/>
  <c r="DL224" i="2"/>
  <c r="D224" i="2"/>
  <c r="C224" i="2"/>
  <c r="GW223" i="2"/>
  <c r="GO223" i="2"/>
  <c r="DM223" i="2"/>
  <c r="DL223" i="2"/>
  <c r="D223" i="2"/>
  <c r="C223" i="2"/>
  <c r="GW170" i="2"/>
  <c r="GO170" i="2"/>
  <c r="GP170" i="2" s="1"/>
  <c r="DM170" i="2"/>
  <c r="DL170" i="2"/>
  <c r="D170" i="2"/>
  <c r="C170" i="2"/>
  <c r="GW237" i="2"/>
  <c r="GO237" i="2"/>
  <c r="GP237" i="2" s="1"/>
  <c r="GQ237" i="2" s="1"/>
  <c r="DM237" i="2"/>
  <c r="DL237" i="2"/>
  <c r="AX237" i="2"/>
  <c r="AC237" i="2"/>
  <c r="DP237" i="2"/>
  <c r="GW236" i="2"/>
  <c r="GO236" i="2"/>
  <c r="DM236" i="2"/>
  <c r="DL236" i="2"/>
  <c r="AX236" i="2"/>
  <c r="AC236" i="2"/>
  <c r="GW285" i="2"/>
  <c r="GO285" i="2"/>
  <c r="GP285" i="2" s="1"/>
  <c r="GQ285" i="2" s="1"/>
  <c r="DM285" i="2"/>
  <c r="DL285" i="2"/>
  <c r="GW222" i="2"/>
  <c r="GO222" i="2"/>
  <c r="GP222" i="2" s="1"/>
  <c r="GQ222" i="2" s="1"/>
  <c r="DM222" i="2"/>
  <c r="DL222" i="2"/>
  <c r="GW271" i="2"/>
  <c r="GO271" i="2"/>
  <c r="GP271" i="2" s="1"/>
  <c r="GQ271" i="2" s="1"/>
  <c r="DM271" i="2"/>
  <c r="DL271" i="2"/>
  <c r="GW270" i="2"/>
  <c r="GO270" i="2"/>
  <c r="GP270" i="2" s="1"/>
  <c r="GQ270" i="2" s="1"/>
  <c r="DM270" i="2"/>
  <c r="DL270" i="2"/>
  <c r="GW284" i="2"/>
  <c r="GO284" i="2"/>
  <c r="GP284" i="2" s="1"/>
  <c r="GQ284" i="2" s="1"/>
  <c r="DM284" i="2"/>
  <c r="DL284" i="2"/>
  <c r="GW221" i="2"/>
  <c r="GO221" i="2"/>
  <c r="GP221" i="2" s="1"/>
  <c r="GQ221" i="2" s="1"/>
  <c r="DM221" i="2"/>
  <c r="DL221" i="2"/>
  <c r="GW220" i="2"/>
  <c r="GO220" i="2"/>
  <c r="GP220" i="2" s="1"/>
  <c r="GQ220" i="2" s="1"/>
  <c r="DM220" i="2"/>
  <c r="DL220" i="2"/>
  <c r="AS220" i="2"/>
  <c r="ED220" i="2" s="1"/>
  <c r="EW220" i="2" s="1"/>
  <c r="GW269" i="2"/>
  <c r="GO269" i="2"/>
  <c r="GP269" i="2" s="1"/>
  <c r="DM269" i="2"/>
  <c r="DL269" i="2"/>
  <c r="GW283" i="2"/>
  <c r="GO283" i="2"/>
  <c r="DM283" i="2"/>
  <c r="DL283" i="2"/>
  <c r="GW219" i="2"/>
  <c r="GO219" i="2"/>
  <c r="GP219" i="2" s="1"/>
  <c r="DM219" i="2"/>
  <c r="DL219" i="2"/>
  <c r="AT219" i="2"/>
  <c r="EE219" i="2" s="1"/>
  <c r="EX219" i="2" s="1"/>
  <c r="DI218" i="2"/>
  <c r="CO218" i="2"/>
  <c r="BS218" i="2"/>
  <c r="AY218" i="2"/>
  <c r="AX218" i="2"/>
  <c r="AD218" i="2"/>
  <c r="DI217" i="2"/>
  <c r="CO217" i="2"/>
  <c r="BS217" i="2"/>
  <c r="AX217" i="2"/>
  <c r="AD217" i="2"/>
  <c r="GW191" i="2"/>
  <c r="GO191" i="2"/>
  <c r="GP191" i="2" s="1"/>
  <c r="DM191" i="2"/>
  <c r="DL191" i="2"/>
  <c r="GW201" i="2"/>
  <c r="GO201" i="2"/>
  <c r="DM201" i="2"/>
  <c r="DL201" i="2"/>
  <c r="GW257" i="2"/>
  <c r="GO257" i="2"/>
  <c r="GP257" i="2" s="1"/>
  <c r="DM257" i="2"/>
  <c r="DL257" i="2"/>
  <c r="GW175" i="2"/>
  <c r="GO175" i="2"/>
  <c r="GP175" i="2" s="1"/>
  <c r="GQ175" i="2" s="1"/>
  <c r="DM175" i="2"/>
  <c r="DL175" i="2"/>
  <c r="GW173" i="2"/>
  <c r="GO173" i="2"/>
  <c r="DM173" i="2"/>
  <c r="DL173" i="2"/>
  <c r="GW248" i="2"/>
  <c r="GO248" i="2"/>
  <c r="GP248" i="2" s="1"/>
  <c r="GQ248" i="2" s="1"/>
  <c r="DM248" i="2"/>
  <c r="DL248" i="2"/>
  <c r="DI169" i="2"/>
  <c r="CO169" i="2"/>
  <c r="BS169" i="2"/>
  <c r="AY169" i="2"/>
  <c r="BO169" i="2" s="1"/>
  <c r="AX169" i="2"/>
  <c r="AD169" i="2"/>
  <c r="GW168" i="2"/>
  <c r="GX168" i="2" s="1"/>
  <c r="GY168" i="2" s="1"/>
  <c r="GO168" i="2"/>
  <c r="DM168" i="2"/>
  <c r="DL168" i="2"/>
  <c r="GW247" i="2"/>
  <c r="GO247" i="2"/>
  <c r="GP247" i="2" s="1"/>
  <c r="DM247" i="2"/>
  <c r="DL247" i="2"/>
  <c r="GW114" i="2"/>
  <c r="GO114" i="2"/>
  <c r="DM114" i="2"/>
  <c r="DL114" i="2"/>
  <c r="GW113" i="2"/>
  <c r="GO113" i="2"/>
  <c r="GP113" i="2" s="1"/>
  <c r="DM113" i="2"/>
  <c r="DL113" i="2"/>
  <c r="GW121" i="2"/>
  <c r="GO121" i="2"/>
  <c r="DM121" i="2"/>
  <c r="DL121" i="2"/>
  <c r="GW120" i="2"/>
  <c r="AY120" i="2"/>
  <c r="GW110" i="2"/>
  <c r="GO110" i="2"/>
  <c r="DM110" i="2"/>
  <c r="DL110" i="2"/>
  <c r="GW109" i="2"/>
  <c r="GO109" i="2"/>
  <c r="DM109" i="2"/>
  <c r="DL109" i="2"/>
  <c r="DI112" i="2"/>
  <c r="CO112" i="2"/>
  <c r="BS112" i="2"/>
  <c r="AY112" i="2"/>
  <c r="BO112" i="2" s="1"/>
  <c r="AX112" i="2"/>
  <c r="AD112" i="2"/>
  <c r="GW111" i="2"/>
  <c r="GO111" i="2"/>
  <c r="GP111" i="2" s="1"/>
  <c r="GQ111" i="2" s="1"/>
  <c r="DM111" i="2"/>
  <c r="DL111" i="2"/>
  <c r="AT111" i="2"/>
  <c r="EE111" i="2" s="1"/>
  <c r="EX111" i="2" s="1"/>
  <c r="DI108" i="2"/>
  <c r="CO108" i="2"/>
  <c r="BS108" i="2"/>
  <c r="AY108" i="2"/>
  <c r="BG108" i="2" s="1"/>
  <c r="GV108" i="2" s="1"/>
  <c r="AX108" i="2"/>
  <c r="AD108" i="2"/>
  <c r="GW107" i="2"/>
  <c r="GO107" i="2"/>
  <c r="GP107" i="2" s="1"/>
  <c r="DM107" i="2"/>
  <c r="DL107" i="2"/>
  <c r="GW106" i="2"/>
  <c r="GO106" i="2"/>
  <c r="GP106" i="2" s="1"/>
  <c r="GQ106" i="2" s="1"/>
  <c r="DM106" i="2"/>
  <c r="DL106" i="2"/>
  <c r="GW246" i="2"/>
  <c r="GO246" i="2"/>
  <c r="GP246" i="2" s="1"/>
  <c r="DM246" i="2"/>
  <c r="DL246" i="2"/>
  <c r="GW605" i="2"/>
  <c r="GO605" i="2"/>
  <c r="DM605" i="2"/>
  <c r="DL605" i="2"/>
  <c r="GW604" i="2"/>
  <c r="GO604" i="2"/>
  <c r="GP604" i="2" s="1"/>
  <c r="DM604" i="2"/>
  <c r="DL604" i="2"/>
  <c r="GW603" i="2"/>
  <c r="GO603" i="2"/>
  <c r="GP603" i="2" s="1"/>
  <c r="DM603" i="2"/>
  <c r="DL603" i="2"/>
  <c r="GW551" i="2"/>
  <c r="GO551" i="2"/>
  <c r="DM551" i="2"/>
  <c r="DL551" i="2"/>
  <c r="GW602" i="2"/>
  <c r="GO602" i="2"/>
  <c r="GP602" i="2" s="1"/>
  <c r="GQ602" i="2" s="1"/>
  <c r="DM602" i="2"/>
  <c r="DL602" i="2"/>
  <c r="GW550" i="2"/>
  <c r="GO550" i="2"/>
  <c r="GP550" i="2" s="1"/>
  <c r="DM550" i="2"/>
  <c r="DL550" i="2"/>
  <c r="GW268" i="2"/>
  <c r="GO268" i="2"/>
  <c r="GP268" i="2" s="1"/>
  <c r="GQ268" i="2" s="1"/>
  <c r="DM268" i="2"/>
  <c r="DL268" i="2"/>
  <c r="GW216" i="2"/>
  <c r="AY216" i="2"/>
  <c r="GW105" i="2"/>
  <c r="GX105" i="2" s="1"/>
  <c r="GO105" i="2"/>
  <c r="GP105" i="2" s="1"/>
  <c r="GQ105" i="2" s="1"/>
  <c r="DM105" i="2"/>
  <c r="DL105" i="2"/>
  <c r="GW104" i="2"/>
  <c r="GX104" i="2" s="1"/>
  <c r="GY104" i="2" s="1"/>
  <c r="GO104" i="2"/>
  <c r="GP104" i="2" s="1"/>
  <c r="GQ104" i="2" s="1"/>
  <c r="DM104" i="2"/>
  <c r="DL104" i="2"/>
  <c r="GW267" i="2"/>
  <c r="GO267" i="2"/>
  <c r="DM267" i="2"/>
  <c r="DL267" i="2"/>
  <c r="GW126" i="2"/>
  <c r="GO126" i="2"/>
  <c r="GP126" i="2" s="1"/>
  <c r="GQ126" i="2" s="1"/>
  <c r="DM126" i="2"/>
  <c r="DL126" i="2"/>
  <c r="D126" i="2"/>
  <c r="C126" i="2"/>
  <c r="CO601" i="2"/>
  <c r="HC601" i="2" s="1"/>
  <c r="AY601" i="2"/>
  <c r="GV601" i="2" s="1"/>
  <c r="GW94" i="2"/>
  <c r="GO94" i="2"/>
  <c r="GP94" i="2" s="1"/>
  <c r="DM94" i="2"/>
  <c r="DL94" i="2"/>
  <c r="GW266" i="2"/>
  <c r="GO266" i="2"/>
  <c r="GP266" i="2" s="1"/>
  <c r="DM266" i="2"/>
  <c r="DL266" i="2"/>
  <c r="GW215" i="2"/>
  <c r="AD215" i="2"/>
  <c r="I215" i="2"/>
  <c r="GW256" i="2"/>
  <c r="AY256" i="2"/>
  <c r="DL256" i="2" s="1"/>
  <c r="GW86" i="2"/>
  <c r="AY86" i="2"/>
  <c r="GV86" i="2" s="1"/>
  <c r="GW265" i="2"/>
  <c r="GO265" i="2"/>
  <c r="GP265" i="2" s="1"/>
  <c r="DM265" i="2"/>
  <c r="DL265" i="2"/>
  <c r="GW85" i="2"/>
  <c r="GO85" i="2"/>
  <c r="GP85" i="2" s="1"/>
  <c r="DM85" i="2"/>
  <c r="DL85" i="2"/>
  <c r="GW84" i="2"/>
  <c r="GO84" i="2"/>
  <c r="GP84" i="2" s="1"/>
  <c r="DM84" i="2"/>
  <c r="DL84" i="2"/>
  <c r="GW19" i="2"/>
  <c r="GO19" i="2"/>
  <c r="DM19" i="2"/>
  <c r="DL19" i="2"/>
  <c r="GW18" i="2"/>
  <c r="GO18" i="2"/>
  <c r="BR18" i="2"/>
  <c r="EH18" i="2" s="1"/>
  <c r="BH18" i="2"/>
  <c r="BG18" i="2"/>
  <c r="DW18" i="2" s="1"/>
  <c r="EP18" i="2" s="1"/>
  <c r="AZ18" i="2"/>
  <c r="DP18" i="2" s="1"/>
  <c r="GW17" i="2"/>
  <c r="GO17" i="2"/>
  <c r="GP17" i="2" s="1"/>
  <c r="DM17" i="2"/>
  <c r="DL17" i="2"/>
  <c r="GW16" i="2"/>
  <c r="AY16" i="2"/>
  <c r="GV16" i="2" s="1"/>
  <c r="AD16" i="2"/>
  <c r="GU16" i="2" s="1"/>
  <c r="I16" i="2"/>
  <c r="GT16" i="2" s="1"/>
  <c r="GW15" i="2"/>
  <c r="AY15" i="2"/>
  <c r="GV15" i="2" s="1"/>
  <c r="AD15" i="2"/>
  <c r="GU15" i="2" s="1"/>
  <c r="I15" i="2"/>
  <c r="GT15" i="2" s="1"/>
  <c r="GW235" i="2"/>
  <c r="AY235" i="2"/>
  <c r="BG235" i="2" s="1"/>
  <c r="GV235" i="2" s="1"/>
  <c r="AD235" i="2"/>
  <c r="AT235" i="2" s="1"/>
  <c r="I235" i="2"/>
  <c r="GW234" i="2"/>
  <c r="AY234" i="2"/>
  <c r="BG234" i="2" s="1"/>
  <c r="GV234" i="2" s="1"/>
  <c r="AD234" i="2"/>
  <c r="AL234" i="2" s="1"/>
  <c r="GU234" i="2" s="1"/>
  <c r="I234" i="2"/>
  <c r="GW214" i="2"/>
  <c r="GO214" i="2"/>
  <c r="GP214" i="2" s="1"/>
  <c r="GQ214" i="2" s="1"/>
  <c r="DM214" i="2"/>
  <c r="DL214" i="2"/>
  <c r="GW213" i="2"/>
  <c r="GO213" i="2"/>
  <c r="GP213" i="2" s="1"/>
  <c r="DM213" i="2"/>
  <c r="DL213" i="2"/>
  <c r="GW233" i="2"/>
  <c r="GX233" i="2" s="1"/>
  <c r="GY233" i="2" s="1"/>
  <c r="GO233" i="2"/>
  <c r="GP233" i="2" s="1"/>
  <c r="DM233" i="2"/>
  <c r="DL233" i="2"/>
  <c r="GW232" i="2"/>
  <c r="GX232" i="2" s="1"/>
  <c r="GY232" i="2" s="1"/>
  <c r="GO232" i="2"/>
  <c r="GP232" i="2" s="1"/>
  <c r="GQ232" i="2" s="1"/>
  <c r="DM232" i="2"/>
  <c r="DL232" i="2"/>
  <c r="GW264" i="2"/>
  <c r="GO264" i="2"/>
  <c r="DM264" i="2"/>
  <c r="DL264" i="2"/>
  <c r="GW231" i="2"/>
  <c r="AY231" i="2"/>
  <c r="CO230" i="2"/>
  <c r="CX230" i="2" s="1"/>
  <c r="BT230" i="2"/>
  <c r="AY230" i="2"/>
  <c r="BG230" i="2" s="1"/>
  <c r="GV230" i="2" s="1"/>
  <c r="AD230" i="2"/>
  <c r="AU230" i="2" s="1"/>
  <c r="I230" i="2"/>
  <c r="GW282" i="2"/>
  <c r="GO282" i="2"/>
  <c r="DM282" i="2"/>
  <c r="DL282" i="2"/>
  <c r="CO229" i="2"/>
  <c r="DF229" i="2" s="1"/>
  <c r="BT229" i="2"/>
  <c r="AY229" i="2"/>
  <c r="AD229" i="2"/>
  <c r="AT229" i="2" s="1"/>
  <c r="I229" i="2"/>
  <c r="GW281" i="2"/>
  <c r="GO281" i="2"/>
  <c r="DM281" i="2"/>
  <c r="DL281" i="2"/>
  <c r="GW103" i="2"/>
  <c r="GX103" i="2" s="1"/>
  <c r="GO103" i="2"/>
  <c r="GP103" i="2" s="1"/>
  <c r="GQ103" i="2" s="1"/>
  <c r="DM103" i="2"/>
  <c r="DL103" i="2"/>
  <c r="GW119" i="2"/>
  <c r="GO119" i="2"/>
  <c r="GP119" i="2" s="1"/>
  <c r="DM119" i="2"/>
  <c r="DL119" i="2"/>
  <c r="GW118" i="2"/>
  <c r="GO118" i="2"/>
  <c r="DM118" i="2"/>
  <c r="DL118" i="2"/>
  <c r="CO117" i="2"/>
  <c r="DE117" i="2" s="1"/>
  <c r="BT117" i="2"/>
  <c r="AY117" i="2"/>
  <c r="AD117" i="2"/>
  <c r="AU117" i="2" s="1"/>
  <c r="I117" i="2"/>
  <c r="R117" i="2" s="1"/>
  <c r="CO116" i="2"/>
  <c r="DF116" i="2" s="1"/>
  <c r="BT116" i="2"/>
  <c r="AY116" i="2"/>
  <c r="AD116" i="2"/>
  <c r="AT116" i="2" s="1"/>
  <c r="I116" i="2"/>
  <c r="GW133" i="2"/>
  <c r="GO133" i="2"/>
  <c r="GP133" i="2" s="1"/>
  <c r="DM133" i="2"/>
  <c r="DL133" i="2"/>
  <c r="GW132" i="2"/>
  <c r="GO132" i="2"/>
  <c r="GP132" i="2" s="1"/>
  <c r="GQ132" i="2" s="1"/>
  <c r="DM132" i="2"/>
  <c r="DL132" i="2"/>
  <c r="GW125" i="2"/>
  <c r="GO125" i="2"/>
  <c r="GP125" i="2" s="1"/>
  <c r="DM125" i="2"/>
  <c r="DL125" i="2"/>
  <c r="GW263" i="2"/>
  <c r="GO263" i="2"/>
  <c r="GP263" i="2" s="1"/>
  <c r="GQ263" i="2" s="1"/>
  <c r="DM263" i="2"/>
  <c r="DL263" i="2"/>
  <c r="GW262" i="2"/>
  <c r="GO262" i="2"/>
  <c r="DM262" i="2"/>
  <c r="DL262" i="2"/>
  <c r="GW261" i="2"/>
  <c r="GO261" i="2"/>
  <c r="GP261" i="2" s="1"/>
  <c r="GQ261" i="2" s="1"/>
  <c r="DM261" i="2"/>
  <c r="DL261" i="2"/>
  <c r="GW252" i="2"/>
  <c r="GO252" i="2"/>
  <c r="GP252" i="2" s="1"/>
  <c r="GQ252" i="2" s="1"/>
  <c r="DM252" i="2"/>
  <c r="DL252" i="2"/>
  <c r="GW245" i="2"/>
  <c r="GO245" i="2"/>
  <c r="GP245" i="2" s="1"/>
  <c r="GQ245" i="2" s="1"/>
  <c r="DM245" i="2"/>
  <c r="DL245" i="2"/>
  <c r="GW228" i="2"/>
  <c r="GO228" i="2"/>
  <c r="GP228" i="2" s="1"/>
  <c r="DM228" i="2"/>
  <c r="DL228" i="2"/>
  <c r="GW212" i="2"/>
  <c r="GO212" i="2"/>
  <c r="GP212" i="2" s="1"/>
  <c r="GQ212" i="2" s="1"/>
  <c r="DL212" i="2"/>
  <c r="BH212" i="2"/>
  <c r="AM212" i="2"/>
  <c r="GW211" i="2"/>
  <c r="AY211" i="2"/>
  <c r="BG211" i="2" s="1"/>
  <c r="GV211" i="2" s="1"/>
  <c r="AD211" i="2"/>
  <c r="AM211" i="2" s="1"/>
  <c r="I211" i="2"/>
  <c r="GW88" i="2"/>
  <c r="GO88" i="2"/>
  <c r="GP88" i="2" s="1"/>
  <c r="DM88" i="2"/>
  <c r="DL88" i="2"/>
  <c r="GW260" i="2"/>
  <c r="AY260" i="2"/>
  <c r="GV260" i="2" s="1"/>
  <c r="GW244" i="2"/>
  <c r="AY244" i="2"/>
  <c r="GV244" i="2" s="1"/>
  <c r="GW243" i="2"/>
  <c r="AY243" i="2"/>
  <c r="GV243" i="2" s="1"/>
  <c r="GW624" i="2"/>
  <c r="AY624" i="2"/>
  <c r="GW600" i="2"/>
  <c r="GO600" i="2"/>
  <c r="GP600" i="2" s="1"/>
  <c r="GQ600" i="2" s="1"/>
  <c r="DM600" i="2"/>
  <c r="DL600" i="2"/>
  <c r="GW549" i="2"/>
  <c r="GO549" i="2"/>
  <c r="GP549" i="2" s="1"/>
  <c r="GQ549" i="2" s="1"/>
  <c r="DM549" i="2"/>
  <c r="DL549" i="2"/>
  <c r="GW599" i="2"/>
  <c r="GO599" i="2"/>
  <c r="GP599" i="2" s="1"/>
  <c r="GQ599" i="2" s="1"/>
  <c r="DM599" i="2"/>
  <c r="DL599" i="2"/>
  <c r="GW598" i="2"/>
  <c r="GO598" i="2"/>
  <c r="GP598" i="2" s="1"/>
  <c r="GQ598" i="2" s="1"/>
  <c r="DM598" i="2"/>
  <c r="DL598" i="2"/>
  <c r="GW548" i="2"/>
  <c r="GO548" i="2"/>
  <c r="GP548" i="2" s="1"/>
  <c r="GQ548" i="2" s="1"/>
  <c r="DM548" i="2"/>
  <c r="DL548" i="2"/>
  <c r="GW597" i="2"/>
  <c r="GO597" i="2"/>
  <c r="GP597" i="2" s="1"/>
  <c r="GQ597" i="2" s="1"/>
  <c r="DM597" i="2"/>
  <c r="DL597" i="2"/>
  <c r="GW596" i="2"/>
  <c r="GO596" i="2"/>
  <c r="GP596" i="2" s="1"/>
  <c r="GQ596" i="2" s="1"/>
  <c r="DM596" i="2"/>
  <c r="DL596" i="2"/>
  <c r="GW595" i="2"/>
  <c r="GO595" i="2"/>
  <c r="GP595" i="2" s="1"/>
  <c r="GQ595" i="2" s="1"/>
  <c r="DM595" i="2"/>
  <c r="DL595" i="2"/>
  <c r="GW594" i="2"/>
  <c r="GO594" i="2"/>
  <c r="GP594" i="2" s="1"/>
  <c r="GQ594" i="2" s="1"/>
  <c r="DM594" i="2"/>
  <c r="DL594" i="2"/>
  <c r="GW593" i="2"/>
  <c r="GO593" i="2"/>
  <c r="GP593" i="2" s="1"/>
  <c r="GQ593" i="2" s="1"/>
  <c r="DM593" i="2"/>
  <c r="DL593" i="2"/>
  <c r="GW592" i="2"/>
  <c r="GO592" i="2"/>
  <c r="GP592" i="2" s="1"/>
  <c r="GQ592" i="2" s="1"/>
  <c r="DM592" i="2"/>
  <c r="DL592" i="2"/>
  <c r="GW591" i="2"/>
  <c r="GO591" i="2"/>
  <c r="GP591" i="2" s="1"/>
  <c r="GQ591" i="2" s="1"/>
  <c r="DM591" i="2"/>
  <c r="DL591" i="2"/>
  <c r="GW547" i="2"/>
  <c r="GO547" i="2"/>
  <c r="GP547" i="2" s="1"/>
  <c r="GQ547" i="2" s="1"/>
  <c r="DM547" i="2"/>
  <c r="DL547" i="2"/>
  <c r="GW546" i="2"/>
  <c r="GO546" i="2"/>
  <c r="GP546" i="2" s="1"/>
  <c r="GQ546" i="2" s="1"/>
  <c r="DM546" i="2"/>
  <c r="DL546" i="2"/>
  <c r="GW545" i="2"/>
  <c r="GO545" i="2"/>
  <c r="GP545" i="2" s="1"/>
  <c r="GQ545" i="2" s="1"/>
  <c r="DM545" i="2"/>
  <c r="DL545" i="2"/>
  <c r="GW544" i="2"/>
  <c r="GO544" i="2"/>
  <c r="GP544" i="2" s="1"/>
  <c r="GQ544" i="2" s="1"/>
  <c r="DM544" i="2"/>
  <c r="DL544" i="2"/>
  <c r="CO543" i="2"/>
  <c r="AD543" i="2"/>
  <c r="I543" i="2"/>
  <c r="GW542" i="2"/>
  <c r="GO542" i="2"/>
  <c r="DM542" i="2"/>
  <c r="DL542" i="2"/>
  <c r="GW590" i="2"/>
  <c r="GO590" i="2"/>
  <c r="GP590" i="2" s="1"/>
  <c r="DM590" i="2"/>
  <c r="DL590" i="2"/>
  <c r="GW375" i="2"/>
  <c r="CX375" i="2"/>
  <c r="CW375" i="2"/>
  <c r="FI375" i="2" s="1"/>
  <c r="GB375" i="2" s="1"/>
  <c r="CC375" i="2"/>
  <c r="BH375" i="2"/>
  <c r="BG375" i="2"/>
  <c r="GV375" i="2" s="1"/>
  <c r="AM375" i="2"/>
  <c r="AL375" i="2"/>
  <c r="AD375" i="2"/>
  <c r="R375" i="2"/>
  <c r="Q375" i="2"/>
  <c r="I375" i="2"/>
  <c r="GW374" i="2"/>
  <c r="GO374" i="2"/>
  <c r="DM374" i="2"/>
  <c r="DL374" i="2"/>
  <c r="GW373" i="2"/>
  <c r="GO373" i="2"/>
  <c r="DM373" i="2"/>
  <c r="DL373" i="2"/>
  <c r="GW343" i="2"/>
  <c r="GO343" i="2"/>
  <c r="DM343" i="2"/>
  <c r="DL343" i="2"/>
  <c r="GW342" i="2"/>
  <c r="GO342" i="2"/>
  <c r="GP342" i="2" s="1"/>
  <c r="DM342" i="2"/>
  <c r="DL342" i="2"/>
  <c r="GW45" i="2"/>
  <c r="GO45" i="2"/>
  <c r="DM45" i="2"/>
  <c r="DL45" i="2"/>
  <c r="GW44" i="2"/>
  <c r="GO44" i="2"/>
  <c r="GP44" i="2" s="1"/>
  <c r="DM44" i="2"/>
  <c r="DL44" i="2"/>
  <c r="GW43" i="2"/>
  <c r="GO43" i="2"/>
  <c r="DM43" i="2"/>
  <c r="DL43" i="2"/>
  <c r="GW41" i="2"/>
  <c r="GO41" i="2"/>
  <c r="GP41" i="2" s="1"/>
  <c r="DM41" i="2"/>
  <c r="DL41" i="2"/>
  <c r="GW40" i="2"/>
  <c r="GO40" i="2"/>
  <c r="DM40" i="2"/>
  <c r="DL40" i="2"/>
  <c r="GW39" i="2"/>
  <c r="GO39" i="2"/>
  <c r="DM39" i="2"/>
  <c r="DL39" i="2"/>
  <c r="GW38" i="2"/>
  <c r="GO38" i="2"/>
  <c r="DM38" i="2"/>
  <c r="DL38" i="2"/>
  <c r="GW37" i="2"/>
  <c r="GO37" i="2"/>
  <c r="GP37" i="2" s="1"/>
  <c r="DM37" i="2"/>
  <c r="DL37" i="2"/>
  <c r="GW36" i="2"/>
  <c r="GO36" i="2"/>
  <c r="DM36" i="2"/>
  <c r="DL36" i="2"/>
  <c r="GW35" i="2"/>
  <c r="GO35" i="2"/>
  <c r="GP35" i="2" s="1"/>
  <c r="DM35" i="2"/>
  <c r="DL35" i="2"/>
  <c r="GW42" i="2"/>
  <c r="GO42" i="2"/>
  <c r="DM42" i="2"/>
  <c r="DL42" i="2"/>
  <c r="GW34" i="2"/>
  <c r="AD34" i="2"/>
  <c r="AM34" i="2" s="1"/>
  <c r="I34" i="2"/>
  <c r="P34" i="2" s="1"/>
  <c r="GW24" i="2"/>
  <c r="GO24" i="2"/>
  <c r="GP24" i="2" s="1"/>
  <c r="GQ24" i="2" s="1"/>
  <c r="DM24" i="2"/>
  <c r="DL24" i="2"/>
  <c r="GW47" i="2"/>
  <c r="GO47" i="2"/>
  <c r="HQ17" i="2" s="1"/>
  <c r="DM47" i="2"/>
  <c r="DL47" i="2"/>
  <c r="GW14" i="2"/>
  <c r="GO14" i="2"/>
  <c r="GP14" i="2" s="1"/>
  <c r="GQ14" i="2" s="1"/>
  <c r="DM14" i="2"/>
  <c r="DL14" i="2"/>
  <c r="GW13" i="2"/>
  <c r="GO13" i="2"/>
  <c r="GP13" i="2" s="1"/>
  <c r="DM13" i="2"/>
  <c r="DL13" i="2"/>
  <c r="GW12" i="2"/>
  <c r="GO12" i="2"/>
  <c r="GP12" i="2" s="1"/>
  <c r="GQ12" i="2" s="1"/>
  <c r="DM12" i="2"/>
  <c r="DL12" i="2"/>
  <c r="GW11" i="2"/>
  <c r="GO11" i="2"/>
  <c r="GP11" i="2" s="1"/>
  <c r="DM11" i="2"/>
  <c r="DL11" i="2"/>
  <c r="GW10" i="2"/>
  <c r="GO10" i="2"/>
  <c r="GP10" i="2" s="1"/>
  <c r="GQ10" i="2" s="1"/>
  <c r="DM10" i="2"/>
  <c r="DL10" i="2"/>
  <c r="GW9" i="2"/>
  <c r="GO9" i="2"/>
  <c r="DM9" i="2"/>
  <c r="DL9" i="2"/>
  <c r="GW8" i="2"/>
  <c r="GO8" i="2"/>
  <c r="GP8" i="2" s="1"/>
  <c r="GQ8" i="2" s="1"/>
  <c r="DM8" i="2"/>
  <c r="DL8" i="2"/>
  <c r="GW7" i="2"/>
  <c r="GO7" i="2"/>
  <c r="GP7" i="2" s="1"/>
  <c r="DM7" i="2"/>
  <c r="DL7" i="2"/>
  <c r="GW129" i="2"/>
  <c r="GO129" i="2"/>
  <c r="GP129" i="2" s="1"/>
  <c r="GQ129" i="2" s="1"/>
  <c r="DM129" i="2"/>
  <c r="DL129" i="2"/>
  <c r="GW102" i="2"/>
  <c r="GX102" i="2" s="1"/>
  <c r="GY102" i="2" s="1"/>
  <c r="GO102" i="2"/>
  <c r="GP102" i="2" s="1"/>
  <c r="GQ102" i="2" s="1"/>
  <c r="DM102" i="2"/>
  <c r="DL102" i="2"/>
  <c r="GW97" i="2"/>
  <c r="GO97" i="2"/>
  <c r="GP97" i="2" s="1"/>
  <c r="GQ97" i="2" s="1"/>
  <c r="DM97" i="2"/>
  <c r="DL97" i="2"/>
  <c r="GW259" i="2"/>
  <c r="GO259" i="2"/>
  <c r="GP259" i="2" s="1"/>
  <c r="GQ259" i="2" s="1"/>
  <c r="DM259" i="2"/>
  <c r="DL259" i="2"/>
  <c r="GW258" i="2"/>
  <c r="GO258" i="2"/>
  <c r="GP258" i="2" s="1"/>
  <c r="GQ258" i="2" s="1"/>
  <c r="DM258" i="2"/>
  <c r="DL258" i="2"/>
  <c r="CO210" i="2"/>
  <c r="CW210" i="2" s="1"/>
  <c r="HC210" i="2" s="1"/>
  <c r="BT210" i="2"/>
  <c r="AY210" i="2"/>
  <c r="BO210" i="2" s="1"/>
  <c r="AD210" i="2"/>
  <c r="I210" i="2"/>
  <c r="CO209" i="2"/>
  <c r="BT209" i="2"/>
  <c r="AY209" i="2"/>
  <c r="AD209" i="2"/>
  <c r="AM209" i="2" s="1"/>
  <c r="I209" i="2"/>
  <c r="CO208" i="2"/>
  <c r="BT208" i="2"/>
  <c r="AY208" i="2"/>
  <c r="BO208" i="2" s="1"/>
  <c r="AD208" i="2"/>
  <c r="AT208" i="2" s="1"/>
  <c r="I208" i="2"/>
  <c r="GW255" i="2"/>
  <c r="GO255" i="2"/>
  <c r="GP255" i="2" s="1"/>
  <c r="GQ255" i="2" s="1"/>
  <c r="DM255" i="2"/>
  <c r="DL255" i="2"/>
  <c r="GW251" i="2"/>
  <c r="GO251" i="2"/>
  <c r="GP251" i="2" s="1"/>
  <c r="GQ251" i="2" s="1"/>
  <c r="DM251" i="2"/>
  <c r="DL251" i="2"/>
  <c r="GW242" i="2"/>
  <c r="GO242" i="2"/>
  <c r="GP242" i="2" s="1"/>
  <c r="GQ242" i="2" s="1"/>
  <c r="DM242" i="2"/>
  <c r="DL242" i="2"/>
  <c r="GW241" i="2"/>
  <c r="GO241" i="2"/>
  <c r="GP241" i="2" s="1"/>
  <c r="GQ241" i="2" s="1"/>
  <c r="DM241" i="2"/>
  <c r="DL241" i="2"/>
  <c r="GW461" i="2"/>
  <c r="GO461" i="2"/>
  <c r="GP461" i="2" s="1"/>
  <c r="GQ461" i="2" s="1"/>
  <c r="DM461" i="2"/>
  <c r="DL461" i="2"/>
  <c r="GW131" i="2"/>
  <c r="GO131" i="2"/>
  <c r="GP131" i="2" s="1"/>
  <c r="GQ131" i="2" s="1"/>
  <c r="DM131" i="2"/>
  <c r="DL131" i="2"/>
  <c r="CO71" i="2"/>
  <c r="CW71" i="2" s="1"/>
  <c r="HC71" i="2" s="1"/>
  <c r="BT71" i="2"/>
  <c r="AD71" i="2"/>
  <c r="AL71" i="2" s="1"/>
  <c r="GU71" i="2" s="1"/>
  <c r="I71" i="2"/>
  <c r="GW574" i="2"/>
  <c r="GO574" i="2"/>
  <c r="GP574" i="2" s="1"/>
  <c r="GQ574" i="2" s="1"/>
  <c r="DM574" i="2"/>
  <c r="DL574" i="2"/>
  <c r="GW589" i="2"/>
  <c r="GO589" i="2"/>
  <c r="GP589" i="2" s="1"/>
  <c r="DM589" i="2"/>
  <c r="DL589" i="2"/>
  <c r="GW588" i="2"/>
  <c r="GO588" i="2"/>
  <c r="DM588" i="2"/>
  <c r="DL588" i="2"/>
  <c r="GW587" i="2"/>
  <c r="GO587" i="2"/>
  <c r="GP587" i="2" s="1"/>
  <c r="DM587" i="2"/>
  <c r="DL587" i="2"/>
  <c r="GW573" i="2"/>
  <c r="GO573" i="2"/>
  <c r="GP573" i="2" s="1"/>
  <c r="GQ573" i="2" s="1"/>
  <c r="DM573" i="2"/>
  <c r="DL573" i="2"/>
  <c r="GW572" i="2"/>
  <c r="GO572" i="2"/>
  <c r="GP572" i="2" s="1"/>
  <c r="DM572" i="2"/>
  <c r="DL572" i="2"/>
  <c r="GW571" i="2"/>
  <c r="GO571" i="2"/>
  <c r="GP571" i="2" s="1"/>
  <c r="GQ571" i="2" s="1"/>
  <c r="DM571" i="2"/>
  <c r="DL571" i="2"/>
  <c r="GW586" i="2"/>
  <c r="GO586" i="2"/>
  <c r="GP586" i="2" s="1"/>
  <c r="DM586" i="2"/>
  <c r="DL586" i="2"/>
  <c r="GW585" i="2"/>
  <c r="GO585" i="2"/>
  <c r="GP585" i="2" s="1"/>
  <c r="GQ585" i="2" s="1"/>
  <c r="DM585" i="2"/>
  <c r="DL585" i="2"/>
  <c r="GW584" i="2"/>
  <c r="GO584" i="2"/>
  <c r="GP584" i="2" s="1"/>
  <c r="DM584" i="2"/>
  <c r="DL584" i="2"/>
  <c r="GW570" i="2"/>
  <c r="GO570" i="2"/>
  <c r="DM570" i="2"/>
  <c r="DL570" i="2"/>
  <c r="GW583" i="2"/>
  <c r="GO583" i="2"/>
  <c r="GP583" i="2" s="1"/>
  <c r="DM583" i="2"/>
  <c r="DL583" i="2"/>
  <c r="GW541" i="2"/>
  <c r="GX541" i="2" s="1"/>
  <c r="GO541" i="2"/>
  <c r="GP541" i="2" s="1"/>
  <c r="GQ541" i="2" s="1"/>
  <c r="DM541" i="2"/>
  <c r="DL541" i="2"/>
  <c r="GW540" i="2"/>
  <c r="GX540" i="2" s="1"/>
  <c r="GO540" i="2"/>
  <c r="DM540" i="2"/>
  <c r="DL540" i="2"/>
  <c r="GW582" i="2"/>
  <c r="GO582" i="2"/>
  <c r="GP582" i="2" s="1"/>
  <c r="DM582" i="2"/>
  <c r="DL582" i="2"/>
  <c r="GW631" i="2"/>
  <c r="BC631" i="2"/>
  <c r="AY631" i="2"/>
  <c r="GV631" i="2" s="1"/>
  <c r="GW630" i="2"/>
  <c r="GO630" i="2"/>
  <c r="GP630" i="2" s="1"/>
  <c r="DM630" i="2"/>
  <c r="DL630" i="2"/>
  <c r="GW581" i="2"/>
  <c r="GO581" i="2"/>
  <c r="GP581" i="2" s="1"/>
  <c r="GQ581" i="2" s="1"/>
  <c r="DM581" i="2"/>
  <c r="DL581" i="2"/>
  <c r="GW539" i="2"/>
  <c r="GO539" i="2"/>
  <c r="GP539" i="2" s="1"/>
  <c r="DM539" i="2"/>
  <c r="DL539" i="2"/>
  <c r="GW518" i="2"/>
  <c r="GX518" i="2" s="1"/>
  <c r="GO518" i="2"/>
  <c r="GP518" i="2" s="1"/>
  <c r="GQ518" i="2" s="1"/>
  <c r="DM518" i="2"/>
  <c r="DL518" i="2"/>
  <c r="GW517" i="2"/>
  <c r="AY517" i="2"/>
  <c r="BJ517" i="2" s="1"/>
  <c r="AD517" i="2"/>
  <c r="GW516" i="2"/>
  <c r="GO516" i="2"/>
  <c r="GP516" i="2" s="1"/>
  <c r="DM516" i="2"/>
  <c r="DL516" i="2"/>
  <c r="GW515" i="2"/>
  <c r="GO515" i="2"/>
  <c r="GP515" i="2" s="1"/>
  <c r="GQ515" i="2" s="1"/>
  <c r="DM515" i="2"/>
  <c r="DL515" i="2"/>
  <c r="GW514" i="2"/>
  <c r="GX514" i="2" s="1"/>
  <c r="GY514" i="2" s="1"/>
  <c r="AY514" i="2"/>
  <c r="BI514" i="2" s="1"/>
  <c r="AD514" i="2"/>
  <c r="GW538" i="2"/>
  <c r="GO538" i="2"/>
  <c r="DM538" i="2"/>
  <c r="DL538" i="2"/>
  <c r="GW537" i="2"/>
  <c r="GO537" i="2"/>
  <c r="DM537" i="2"/>
  <c r="DL537" i="2"/>
  <c r="GW580" i="2"/>
  <c r="GO580" i="2"/>
  <c r="DM580" i="2"/>
  <c r="DL580" i="2"/>
  <c r="GW536" i="2"/>
  <c r="GO536" i="2"/>
  <c r="DM536" i="2"/>
  <c r="DL536" i="2"/>
  <c r="GW535" i="2"/>
  <c r="GO535" i="2"/>
  <c r="DM535" i="2"/>
  <c r="DL535" i="2"/>
  <c r="GW534" i="2"/>
  <c r="GO534" i="2"/>
  <c r="DM534" i="2"/>
  <c r="DL534" i="2"/>
  <c r="GW533" i="2"/>
  <c r="GO533" i="2"/>
  <c r="GP533" i="2" s="1"/>
  <c r="DM533" i="2"/>
  <c r="DL533" i="2"/>
  <c r="GW579" i="2"/>
  <c r="GO579" i="2"/>
  <c r="DM579" i="2"/>
  <c r="DL579" i="2"/>
  <c r="GW532" i="2"/>
  <c r="GO532" i="2"/>
  <c r="DM532" i="2"/>
  <c r="DL532" i="2"/>
  <c r="GW531" i="2"/>
  <c r="GO531" i="2"/>
  <c r="DM531" i="2"/>
  <c r="DL531" i="2"/>
  <c r="GW530" i="2"/>
  <c r="GO530" i="2"/>
  <c r="GP530" i="2" s="1"/>
  <c r="GQ530" i="2" s="1"/>
  <c r="DM530" i="2"/>
  <c r="DL530" i="2"/>
  <c r="GW578" i="2"/>
  <c r="GO578" i="2"/>
  <c r="GP578" i="2" s="1"/>
  <c r="GQ578" i="2" s="1"/>
  <c r="DM578" i="2"/>
  <c r="DL578" i="2"/>
  <c r="GW529" i="2"/>
  <c r="GO529" i="2"/>
  <c r="GP529" i="2" s="1"/>
  <c r="GQ529" i="2" s="1"/>
  <c r="DM529" i="2"/>
  <c r="DL529" i="2"/>
  <c r="GW500" i="2"/>
  <c r="GO500" i="2"/>
  <c r="GP500" i="2" s="1"/>
  <c r="GQ500" i="2" s="1"/>
  <c r="DM500" i="2"/>
  <c r="DL500" i="2"/>
  <c r="GW499" i="2"/>
  <c r="AY499" i="2"/>
  <c r="BJ499" i="2" s="1"/>
  <c r="AD499" i="2"/>
  <c r="GW498" i="2"/>
  <c r="GX498" i="2" s="1"/>
  <c r="GY498" i="2" s="1"/>
  <c r="GO498" i="2"/>
  <c r="DM498" i="2"/>
  <c r="DL498" i="2"/>
  <c r="GW497" i="2"/>
  <c r="GX497" i="2" s="1"/>
  <c r="AD497" i="2"/>
  <c r="AL497" i="2" s="1"/>
  <c r="GU497" i="2" s="1"/>
  <c r="I497" i="2"/>
  <c r="BT485" i="2"/>
  <c r="CB485" i="2" s="1"/>
  <c r="FI485" i="2" s="1"/>
  <c r="GB485" i="2" s="1"/>
  <c r="I485" i="2"/>
  <c r="GW494" i="2"/>
  <c r="GO494" i="2"/>
  <c r="DM494" i="2"/>
  <c r="BG494" i="2"/>
  <c r="GV494" i="2" s="1"/>
  <c r="AL494" i="2"/>
  <c r="GU494" i="2" s="1"/>
  <c r="Q494" i="2"/>
  <c r="GT494" i="2" s="1"/>
  <c r="GW493" i="2"/>
  <c r="GO493" i="2"/>
  <c r="DM493" i="2"/>
  <c r="DL493" i="2"/>
  <c r="GW476" i="2"/>
  <c r="GO476" i="2"/>
  <c r="GP476" i="2" s="1"/>
  <c r="GQ476" i="2" s="1"/>
  <c r="DM476" i="2"/>
  <c r="DL476" i="2"/>
  <c r="BJ476" i="2"/>
  <c r="DZ476" i="2" s="1"/>
  <c r="BI476" i="2"/>
  <c r="DY476" i="2" s="1"/>
  <c r="GW475" i="2"/>
  <c r="GO475" i="2"/>
  <c r="GP475" i="2" s="1"/>
  <c r="DM475" i="2"/>
  <c r="DL475" i="2"/>
  <c r="GW372" i="2"/>
  <c r="GO372" i="2"/>
  <c r="DM372" i="2"/>
  <c r="DL372" i="2"/>
  <c r="GW371" i="2"/>
  <c r="GX371" i="2" s="1"/>
  <c r="GY371" i="2" s="1"/>
  <c r="AD371" i="2"/>
  <c r="AO371" i="2" s="1"/>
  <c r="I371" i="2"/>
  <c r="GW460" i="2"/>
  <c r="GO460" i="2"/>
  <c r="DM460" i="2"/>
  <c r="DL460" i="2"/>
  <c r="GW474" i="2"/>
  <c r="GO474" i="2"/>
  <c r="DM474" i="2"/>
  <c r="DL474" i="2"/>
  <c r="GW366" i="2"/>
  <c r="GO366" i="2"/>
  <c r="DM366" i="2"/>
  <c r="DL366" i="2"/>
  <c r="D366" i="2"/>
  <c r="C366" i="2"/>
  <c r="GW365" i="2"/>
  <c r="GO365" i="2"/>
  <c r="GP365" i="2" s="1"/>
  <c r="DM365" i="2"/>
  <c r="DL365" i="2"/>
  <c r="D365" i="2"/>
  <c r="C365" i="2"/>
  <c r="GW364" i="2"/>
  <c r="GO364" i="2"/>
  <c r="GP364" i="2" s="1"/>
  <c r="DM364" i="2"/>
  <c r="DL364" i="2"/>
  <c r="BJ364" i="2"/>
  <c r="DZ364" i="2" s="1"/>
  <c r="BI364" i="2"/>
  <c r="DY364" i="2" s="1"/>
  <c r="BB364" i="2"/>
  <c r="DR364" i="2" s="1"/>
  <c r="BA364" i="2"/>
  <c r="DQ364" i="2" s="1"/>
  <c r="D364" i="2"/>
  <c r="C364" i="2"/>
  <c r="GW363" i="2"/>
  <c r="GO363" i="2"/>
  <c r="GP363" i="2" s="1"/>
  <c r="DM363" i="2"/>
  <c r="DL363" i="2"/>
  <c r="D363" i="2"/>
  <c r="C363" i="2"/>
  <c r="GW362" i="2"/>
  <c r="GO362" i="2"/>
  <c r="DM362" i="2"/>
  <c r="DL362" i="2"/>
  <c r="D362" i="2"/>
  <c r="C362" i="2"/>
  <c r="GW361" i="2"/>
  <c r="BJ361" i="2"/>
  <c r="BI361" i="2"/>
  <c r="AO361" i="2"/>
  <c r="AN361" i="2"/>
  <c r="AD361" i="2"/>
  <c r="T361" i="2"/>
  <c r="S361" i="2"/>
  <c r="D361" i="2"/>
  <c r="C361" i="2"/>
  <c r="GW360" i="2"/>
  <c r="GO360" i="2"/>
  <c r="GP360" i="2" s="1"/>
  <c r="GQ360" i="2" s="1"/>
  <c r="DM360" i="2"/>
  <c r="DL360" i="2"/>
  <c r="D360" i="2"/>
  <c r="C360" i="2"/>
  <c r="BT359" i="2"/>
  <c r="AD359" i="2"/>
  <c r="D359" i="2"/>
  <c r="C359" i="2"/>
  <c r="GW369" i="2"/>
  <c r="AY369" i="2"/>
  <c r="GV369" i="2" s="1"/>
  <c r="HP27" i="2" s="1"/>
  <c r="D369" i="2"/>
  <c r="C369" i="2"/>
  <c r="GW358" i="2"/>
  <c r="GX358" i="2" s="1"/>
  <c r="GO358" i="2"/>
  <c r="GP358" i="2" s="1"/>
  <c r="GQ358" i="2" s="1"/>
  <c r="DM358" i="2"/>
  <c r="DL358" i="2"/>
  <c r="D358" i="2"/>
  <c r="C358" i="2"/>
  <c r="GW357" i="2"/>
  <c r="GX357" i="2" s="1"/>
  <c r="GY357" i="2" s="1"/>
  <c r="GO357" i="2"/>
  <c r="GP357" i="2" s="1"/>
  <c r="DM357" i="2"/>
  <c r="DL357" i="2"/>
  <c r="D357" i="2"/>
  <c r="C357" i="2"/>
  <c r="GW370" i="2"/>
  <c r="GO370" i="2"/>
  <c r="GP370" i="2" s="1"/>
  <c r="DM370" i="2"/>
  <c r="DL370" i="2"/>
  <c r="GW368" i="2"/>
  <c r="GO368" i="2"/>
  <c r="DM368" i="2"/>
  <c r="DL368" i="2"/>
  <c r="GW367" i="2"/>
  <c r="GO367" i="2"/>
  <c r="GP367" i="2" s="1"/>
  <c r="DM367" i="2"/>
  <c r="DL367" i="2"/>
  <c r="GW346" i="2"/>
  <c r="GO346" i="2"/>
  <c r="GP346" i="2" s="1"/>
  <c r="DM346" i="2"/>
  <c r="DL346" i="2"/>
  <c r="GW341" i="2"/>
  <c r="GX341" i="2" s="1"/>
  <c r="GY341" i="2" s="1"/>
  <c r="GO341" i="2"/>
  <c r="GP341" i="2" s="1"/>
  <c r="DM341" i="2"/>
  <c r="DL341" i="2"/>
  <c r="GW340" i="2"/>
  <c r="GX340" i="2" s="1"/>
  <c r="GY340" i="2" s="1"/>
  <c r="GO340" i="2"/>
  <c r="GP340" i="2" s="1"/>
  <c r="GQ340" i="2" s="1"/>
  <c r="DM340" i="2"/>
  <c r="DL340" i="2"/>
  <c r="GW339" i="2"/>
  <c r="GO339" i="2"/>
  <c r="DM339" i="2"/>
  <c r="BG339" i="2"/>
  <c r="DW339" i="2" s="1"/>
  <c r="EP339" i="2" s="1"/>
  <c r="GW347" i="2"/>
  <c r="GO347" i="2"/>
  <c r="GP347" i="2" s="1"/>
  <c r="GQ347" i="2" s="1"/>
  <c r="DM347" i="2"/>
  <c r="DL347" i="2"/>
  <c r="GW338" i="2"/>
  <c r="GO338" i="2"/>
  <c r="GP338" i="2" s="1"/>
  <c r="DM338" i="2"/>
  <c r="DL338" i="2"/>
  <c r="GW337" i="2"/>
  <c r="GO337" i="2"/>
  <c r="GP337" i="2" s="1"/>
  <c r="GQ337" i="2" s="1"/>
  <c r="DM337" i="2"/>
  <c r="DL337" i="2"/>
  <c r="GW336" i="2"/>
  <c r="GO336" i="2"/>
  <c r="GP336" i="2" s="1"/>
  <c r="DM336" i="2"/>
  <c r="DL336" i="2"/>
  <c r="GW335" i="2"/>
  <c r="GO335" i="2"/>
  <c r="GP335" i="2" s="1"/>
  <c r="GQ335" i="2" s="1"/>
  <c r="DM335" i="2"/>
  <c r="DL335" i="2"/>
  <c r="GW334" i="2"/>
  <c r="GX334" i="2" s="1"/>
  <c r="GY334" i="2" s="1"/>
  <c r="GO334" i="2"/>
  <c r="GP334" i="2" s="1"/>
  <c r="GQ334" i="2" s="1"/>
  <c r="DM334" i="2"/>
  <c r="DL334" i="2"/>
  <c r="GW333" i="2"/>
  <c r="AY333" i="2"/>
  <c r="BH333" i="2" s="1"/>
  <c r="AD333" i="2"/>
  <c r="AL333" i="2" s="1"/>
  <c r="GU333" i="2" s="1"/>
  <c r="I333" i="2"/>
  <c r="GW332" i="2"/>
  <c r="GO332" i="2"/>
  <c r="GP332" i="2" s="1"/>
  <c r="GQ332" i="2" s="1"/>
  <c r="DM332" i="2"/>
  <c r="DL332" i="2"/>
  <c r="GW620" i="2"/>
  <c r="GO620" i="2"/>
  <c r="GP620" i="2" s="1"/>
  <c r="DM620" i="2"/>
  <c r="DL620" i="2"/>
  <c r="GW33" i="2"/>
  <c r="GO33" i="2"/>
  <c r="GP33" i="2" s="1"/>
  <c r="GQ33" i="2" s="1"/>
  <c r="DM33" i="2"/>
  <c r="DL33" i="2"/>
  <c r="BC33" i="2"/>
  <c r="AH33" i="2"/>
  <c r="GW31" i="2"/>
  <c r="AY31" i="2"/>
  <c r="BG31" i="2" s="1"/>
  <c r="GV31" i="2" s="1"/>
  <c r="AD31" i="2"/>
  <c r="GW27" i="2"/>
  <c r="AY27" i="2"/>
  <c r="AZ27" i="2" s="1"/>
  <c r="AI27" i="2"/>
  <c r="AH27" i="2"/>
  <c r="AD27" i="2"/>
  <c r="GU27" i="2" s="1"/>
  <c r="HO12" i="2" s="1"/>
  <c r="GW23" i="2"/>
  <c r="GO23" i="2"/>
  <c r="DM23" i="2"/>
  <c r="DL23" i="2"/>
  <c r="GW5" i="2"/>
  <c r="GO5" i="2"/>
  <c r="HQ5" i="2" s="1"/>
  <c r="DM5" i="2"/>
  <c r="DL5" i="2"/>
  <c r="GW190" i="2"/>
  <c r="AY190" i="2"/>
  <c r="AD190" i="2"/>
  <c r="GW207" i="2"/>
  <c r="BJ207" i="2"/>
  <c r="BI207" i="2"/>
  <c r="BA207" i="2"/>
  <c r="AY207" i="2"/>
  <c r="AZ207" i="2" s="1"/>
  <c r="AD207" i="2"/>
  <c r="GW101" i="2"/>
  <c r="GO101" i="2"/>
  <c r="GP101" i="2" s="1"/>
  <c r="GQ101" i="2" s="1"/>
  <c r="DM101" i="2"/>
  <c r="DL101" i="2"/>
  <c r="GW100" i="2"/>
  <c r="GO100" i="2"/>
  <c r="GP100" i="2" s="1"/>
  <c r="DM100" i="2"/>
  <c r="DL100" i="2"/>
  <c r="GW577" i="2"/>
  <c r="GO577" i="2"/>
  <c r="GP577" i="2" s="1"/>
  <c r="DM577" i="2"/>
  <c r="DL577" i="2"/>
  <c r="GW386" i="2"/>
  <c r="GO386" i="2"/>
  <c r="GP386" i="2" s="1"/>
  <c r="DM386" i="2"/>
  <c r="DL386" i="2"/>
  <c r="BN386" i="2"/>
  <c r="ED386" i="2" s="1"/>
  <c r="EW386" i="2" s="1"/>
  <c r="GW473" i="2"/>
  <c r="GO473" i="2"/>
  <c r="DM473" i="2"/>
  <c r="DL473" i="2"/>
  <c r="GW472" i="2"/>
  <c r="GO472" i="2"/>
  <c r="GP472" i="2" s="1"/>
  <c r="GQ472" i="2" s="1"/>
  <c r="DM472" i="2"/>
  <c r="DL472" i="2"/>
  <c r="GW385" i="2"/>
  <c r="GO385" i="2"/>
  <c r="DM385" i="2"/>
  <c r="BG385" i="2"/>
  <c r="GV385" i="2" s="1"/>
  <c r="AL385" i="2"/>
  <c r="GU385" i="2" s="1"/>
  <c r="Q385" i="2"/>
  <c r="GT385" i="2" s="1"/>
  <c r="GW227" i="2"/>
  <c r="GO227" i="2"/>
  <c r="DM227" i="2"/>
  <c r="DL227" i="2"/>
  <c r="GW206" i="2"/>
  <c r="AY206" i="2"/>
  <c r="BG206" i="2" s="1"/>
  <c r="GV206" i="2" s="1"/>
  <c r="AD206" i="2"/>
  <c r="GW226" i="2"/>
  <c r="GO226" i="2"/>
  <c r="DM226" i="2"/>
  <c r="DL226" i="2"/>
  <c r="BO226" i="2"/>
  <c r="AT226" i="2"/>
  <c r="Y226" i="2"/>
  <c r="GW144" i="2"/>
  <c r="AY144" i="2"/>
  <c r="GW143" i="2"/>
  <c r="GO143" i="2"/>
  <c r="GP143" i="2" s="1"/>
  <c r="GQ143" i="2" s="1"/>
  <c r="DM143" i="2"/>
  <c r="DL143" i="2"/>
  <c r="GW142" i="2"/>
  <c r="GO142" i="2"/>
  <c r="DM142" i="2"/>
  <c r="DL142" i="2"/>
  <c r="GW141" i="2"/>
  <c r="GO141" i="2"/>
  <c r="GP141" i="2" s="1"/>
  <c r="GQ141" i="2" s="1"/>
  <c r="DM141" i="2"/>
  <c r="DL141" i="2"/>
  <c r="GW140" i="2"/>
  <c r="GO140" i="2"/>
  <c r="DM140" i="2"/>
  <c r="DL140" i="2"/>
  <c r="GW139" i="2"/>
  <c r="AY139" i="2"/>
  <c r="GV139" i="2" s="1"/>
  <c r="GW99" i="2"/>
  <c r="GO99" i="2"/>
  <c r="DM99" i="2"/>
  <c r="DL99" i="2"/>
  <c r="GW115" i="2"/>
  <c r="GO115" i="2"/>
  <c r="GP115" i="2" s="1"/>
  <c r="DM115" i="2"/>
  <c r="DL115" i="2"/>
  <c r="GW98" i="2"/>
  <c r="GO98" i="2"/>
  <c r="GP98" i="2" s="1"/>
  <c r="DM98" i="2"/>
  <c r="DL98" i="2"/>
  <c r="GW130" i="2"/>
  <c r="GO130" i="2"/>
  <c r="GP130" i="2" s="1"/>
  <c r="DM130" i="2"/>
  <c r="DL130" i="2"/>
  <c r="GW96" i="2"/>
  <c r="GX96" i="2" s="1"/>
  <c r="AD96" i="2"/>
  <c r="GW93" i="2"/>
  <c r="AY93" i="2"/>
  <c r="BG93" i="2" s="1"/>
  <c r="GV93" i="2" s="1"/>
  <c r="AD93" i="2"/>
  <c r="AL93" i="2" s="1"/>
  <c r="GU93" i="2" s="1"/>
  <c r="I93" i="2"/>
  <c r="GW124" i="2"/>
  <c r="GO124" i="2"/>
  <c r="GP124" i="2" s="1"/>
  <c r="DM124" i="2"/>
  <c r="DL124" i="2"/>
  <c r="GW123" i="2"/>
  <c r="GO123" i="2"/>
  <c r="GP123" i="2" s="1"/>
  <c r="DM123" i="2"/>
  <c r="DL123" i="2"/>
  <c r="GW69" i="2"/>
  <c r="GO69" i="2"/>
  <c r="DM69" i="2"/>
  <c r="DL69" i="2"/>
  <c r="AT69" i="2"/>
  <c r="Y69" i="2"/>
  <c r="GW83" i="2"/>
  <c r="GO83" i="2"/>
  <c r="GP83" i="2" s="1"/>
  <c r="DM83" i="2"/>
  <c r="DL83" i="2"/>
  <c r="GW6" i="2"/>
  <c r="GO6" i="2"/>
  <c r="GP6" i="2" s="1"/>
  <c r="DM6" i="2"/>
  <c r="DL6" i="2"/>
  <c r="GW528" i="2"/>
  <c r="GO528" i="2"/>
  <c r="GP528" i="2" s="1"/>
  <c r="GQ528" i="2" s="1"/>
  <c r="DM528" i="2"/>
  <c r="DL528" i="2"/>
  <c r="GW527" i="2"/>
  <c r="GO527" i="2"/>
  <c r="GP527" i="2" s="1"/>
  <c r="DM527" i="2"/>
  <c r="DL527" i="2"/>
  <c r="GW526" i="2"/>
  <c r="GO526" i="2"/>
  <c r="GP526" i="2" s="1"/>
  <c r="GQ526" i="2" s="1"/>
  <c r="DM526" i="2"/>
  <c r="DL526" i="2"/>
  <c r="GW525" i="2"/>
  <c r="GO525" i="2"/>
  <c r="GP525" i="2" s="1"/>
  <c r="DM525" i="2"/>
  <c r="DL525" i="2"/>
  <c r="GW524" i="2"/>
  <c r="GO524" i="2"/>
  <c r="GP524" i="2" s="1"/>
  <c r="GQ524" i="2" s="1"/>
  <c r="DM524" i="2"/>
  <c r="DL524" i="2"/>
  <c r="GW523" i="2"/>
  <c r="GO523" i="2"/>
  <c r="GP523" i="2" s="1"/>
  <c r="DM523" i="2"/>
  <c r="DL523" i="2"/>
  <c r="GW522" i="2"/>
  <c r="GO522" i="2"/>
  <c r="GP522" i="2" s="1"/>
  <c r="GQ522" i="2" s="1"/>
  <c r="DM522" i="2"/>
  <c r="DL522" i="2"/>
  <c r="GW459" i="2"/>
  <c r="GO459" i="2"/>
  <c r="GP459" i="2" s="1"/>
  <c r="DM459" i="2"/>
  <c r="DL459" i="2"/>
  <c r="GW629" i="2"/>
  <c r="GO629" i="2"/>
  <c r="GP629" i="2" s="1"/>
  <c r="DM629" i="2"/>
  <c r="DL629" i="2"/>
  <c r="GW628" i="2"/>
  <c r="GO628" i="2"/>
  <c r="GP628" i="2" s="1"/>
  <c r="DM628" i="2"/>
  <c r="DL628" i="2"/>
  <c r="GW627" i="2"/>
  <c r="GO627" i="2"/>
  <c r="GP627" i="2" s="1"/>
  <c r="DM627" i="2"/>
  <c r="DL627" i="2"/>
  <c r="GW576" i="2"/>
  <c r="AY576" i="2"/>
  <c r="GW521" i="2"/>
  <c r="GO521" i="2"/>
  <c r="GP521" i="2" s="1"/>
  <c r="GQ521" i="2" s="1"/>
  <c r="DM521" i="2"/>
  <c r="DL521" i="2"/>
  <c r="GW520" i="2"/>
  <c r="GO520" i="2"/>
  <c r="GP520" i="2" s="1"/>
  <c r="GQ520" i="2" s="1"/>
  <c r="DM520" i="2"/>
  <c r="DL520" i="2"/>
  <c r="GW623" i="2"/>
  <c r="GO623" i="2"/>
  <c r="GP623" i="2" s="1"/>
  <c r="GQ623" i="2" s="1"/>
  <c r="DM623" i="2"/>
  <c r="DL623" i="2"/>
  <c r="GW622" i="2"/>
  <c r="GO622" i="2"/>
  <c r="GP622" i="2" s="1"/>
  <c r="GQ622" i="2" s="1"/>
  <c r="DM622" i="2"/>
  <c r="DL622" i="2"/>
  <c r="GW492" i="2"/>
  <c r="GO492" i="2"/>
  <c r="GP492" i="2" s="1"/>
  <c r="GQ492" i="2" s="1"/>
  <c r="DM492" i="2"/>
  <c r="DL492" i="2"/>
  <c r="GW491" i="2"/>
  <c r="AY491" i="2"/>
  <c r="BH491" i="2" s="1"/>
  <c r="AD491" i="2"/>
  <c r="GW490" i="2"/>
  <c r="GO490" i="2"/>
  <c r="DM490" i="2"/>
  <c r="DL490" i="2"/>
  <c r="GW489" i="2"/>
  <c r="GO489" i="2"/>
  <c r="GP489" i="2" s="1"/>
  <c r="GQ489" i="2" s="1"/>
  <c r="DM489" i="2"/>
  <c r="DL489" i="2"/>
  <c r="GW488" i="2"/>
  <c r="GO488" i="2"/>
  <c r="GP488" i="2" s="1"/>
  <c r="GQ488" i="2" s="1"/>
  <c r="DM488" i="2"/>
  <c r="DL488" i="2"/>
  <c r="GW487" i="2"/>
  <c r="GO487" i="2"/>
  <c r="GP487" i="2" s="1"/>
  <c r="GQ487" i="2" s="1"/>
  <c r="DM487" i="2"/>
  <c r="DL487" i="2"/>
  <c r="GW486" i="2"/>
  <c r="I486" i="2"/>
  <c r="GW458" i="2"/>
  <c r="AY458" i="2"/>
  <c r="BJ458" i="2" s="1"/>
  <c r="AD458" i="2"/>
  <c r="GW457" i="2"/>
  <c r="GO457" i="2"/>
  <c r="GP457" i="2" s="1"/>
  <c r="DM457" i="2"/>
  <c r="DL457" i="2"/>
  <c r="GW456" i="2"/>
  <c r="GO456" i="2"/>
  <c r="GP456" i="2" s="1"/>
  <c r="GQ456" i="2" s="1"/>
  <c r="DM456" i="2"/>
  <c r="DL456" i="2"/>
  <c r="GW455" i="2"/>
  <c r="GO455" i="2"/>
  <c r="GP455" i="2" s="1"/>
  <c r="DM455" i="2"/>
  <c r="DL455" i="2"/>
  <c r="GW454" i="2"/>
  <c r="AY454" i="2"/>
  <c r="BG454" i="2" s="1"/>
  <c r="GV454" i="2" s="1"/>
  <c r="AD454" i="2"/>
  <c r="AL454" i="2" s="1"/>
  <c r="GU454" i="2" s="1"/>
  <c r="I454" i="2"/>
  <c r="CO453" i="2"/>
  <c r="AY453" i="2"/>
  <c r="AZ453" i="2" s="1"/>
  <c r="AD453" i="2"/>
  <c r="AL453" i="2" s="1"/>
  <c r="GU453" i="2" s="1"/>
  <c r="I453" i="2"/>
  <c r="GW452" i="2"/>
  <c r="AY452" i="2"/>
  <c r="GW451" i="2"/>
  <c r="AY451" i="2"/>
  <c r="GW466" i="2"/>
  <c r="GO466" i="2"/>
  <c r="GP466" i="2" s="1"/>
  <c r="DM466" i="2"/>
  <c r="DL466" i="2"/>
  <c r="GW331" i="2"/>
  <c r="AY331" i="2"/>
  <c r="AD331" i="2"/>
  <c r="GW330" i="2"/>
  <c r="GO330" i="2"/>
  <c r="GP330" i="2" s="1"/>
  <c r="DM330" i="2"/>
  <c r="DL330" i="2"/>
  <c r="GW329" i="2"/>
  <c r="GO329" i="2"/>
  <c r="GP329" i="2" s="1"/>
  <c r="DM329" i="2"/>
  <c r="DL329" i="2"/>
  <c r="GW328" i="2"/>
  <c r="GO328" i="2"/>
  <c r="GP328" i="2" s="1"/>
  <c r="DM328" i="2"/>
  <c r="DL328" i="2"/>
  <c r="GW327" i="2"/>
  <c r="GO327" i="2"/>
  <c r="DM327" i="2"/>
  <c r="DL327" i="2"/>
  <c r="GW326" i="2"/>
  <c r="AY326" i="2"/>
  <c r="GW325" i="2"/>
  <c r="GO325" i="2"/>
  <c r="GP325" i="2" s="1"/>
  <c r="DM325" i="2"/>
  <c r="DL325" i="2"/>
  <c r="GW324" i="2"/>
  <c r="GO324" i="2"/>
  <c r="GP324" i="2" s="1"/>
  <c r="DM324" i="2"/>
  <c r="DL324" i="2"/>
  <c r="GW323" i="2"/>
  <c r="GO323" i="2"/>
  <c r="GP323" i="2" s="1"/>
  <c r="DM323" i="2"/>
  <c r="DL323" i="2"/>
  <c r="GW322" i="2"/>
  <c r="GO322" i="2"/>
  <c r="GP322" i="2" s="1"/>
  <c r="DM322" i="2"/>
  <c r="DL322" i="2"/>
  <c r="GW321" i="2"/>
  <c r="GO321" i="2"/>
  <c r="GP321" i="2" s="1"/>
  <c r="GQ321" i="2" s="1"/>
  <c r="DM321" i="2"/>
  <c r="DL321" i="2"/>
  <c r="GW320" i="2"/>
  <c r="AY320" i="2"/>
  <c r="AD320" i="2"/>
  <c r="GW319" i="2"/>
  <c r="GX319" i="2" s="1"/>
  <c r="AY319" i="2"/>
  <c r="GW318" i="2"/>
  <c r="GO318" i="2"/>
  <c r="DM318" i="2"/>
  <c r="DL318" i="2"/>
  <c r="GW317" i="2"/>
  <c r="AY317" i="2"/>
  <c r="BG317" i="2" s="1"/>
  <c r="GV317" i="2" s="1"/>
  <c r="AD317" i="2"/>
  <c r="GW316" i="2"/>
  <c r="GO316" i="2"/>
  <c r="GP316" i="2" s="1"/>
  <c r="DM316" i="2"/>
  <c r="DL316" i="2"/>
  <c r="GW315" i="2"/>
  <c r="GO315" i="2"/>
  <c r="GP315" i="2" s="1"/>
  <c r="GQ315" i="2" s="1"/>
  <c r="DM315" i="2"/>
  <c r="DL315" i="2"/>
  <c r="GW314" i="2"/>
  <c r="GO314" i="2"/>
  <c r="GP314" i="2" s="1"/>
  <c r="DM314" i="2"/>
  <c r="DL314" i="2"/>
  <c r="GW313" i="2"/>
  <c r="GO313" i="2"/>
  <c r="GP313" i="2" s="1"/>
  <c r="GQ313" i="2" s="1"/>
  <c r="DM313" i="2"/>
  <c r="DL313" i="2"/>
  <c r="GW312" i="2"/>
  <c r="AY312" i="2"/>
  <c r="GW311" i="2"/>
  <c r="GO311" i="2"/>
  <c r="GP311" i="2" s="1"/>
  <c r="DM311" i="2"/>
  <c r="DL311" i="2"/>
  <c r="GW310" i="2"/>
  <c r="AD310" i="2"/>
  <c r="GW309" i="2"/>
  <c r="GO309" i="2"/>
  <c r="DM309" i="2"/>
  <c r="DL309" i="2"/>
  <c r="GW308" i="2"/>
  <c r="AY308" i="2"/>
  <c r="BG308" i="2" s="1"/>
  <c r="GV308" i="2" s="1"/>
  <c r="AD308" i="2"/>
  <c r="GW307" i="2"/>
  <c r="GO307" i="2"/>
  <c r="GP307" i="2" s="1"/>
  <c r="GQ307" i="2" s="1"/>
  <c r="DM307" i="2"/>
  <c r="DL307" i="2"/>
  <c r="GW306" i="2"/>
  <c r="BH306" i="2"/>
  <c r="AZ306" i="2"/>
  <c r="AY306" i="2"/>
  <c r="BG306" i="2" s="1"/>
  <c r="GV306" i="2" s="1"/>
  <c r="AM306" i="2"/>
  <c r="AE306" i="2"/>
  <c r="AD306" i="2"/>
  <c r="GW305" i="2"/>
  <c r="GO305" i="2"/>
  <c r="GP305" i="2" s="1"/>
  <c r="DM305" i="2"/>
  <c r="DL305" i="2"/>
  <c r="GW304" i="2"/>
  <c r="BH304" i="2"/>
  <c r="AZ304" i="2"/>
  <c r="AY304" i="2"/>
  <c r="BG304" i="2" s="1"/>
  <c r="GV304" i="2" s="1"/>
  <c r="AM304" i="2"/>
  <c r="AE304" i="2"/>
  <c r="AD304" i="2"/>
  <c r="GW303" i="2"/>
  <c r="CX303" i="2"/>
  <c r="FJ303" i="2" s="1"/>
  <c r="BH303" i="2"/>
  <c r="AY303" i="2"/>
  <c r="BG303" i="2" s="1"/>
  <c r="GV303" i="2" s="1"/>
  <c r="AM303" i="2"/>
  <c r="AD303" i="2"/>
  <c r="GW302" i="2"/>
  <c r="GO302" i="2"/>
  <c r="GP302" i="2" s="1"/>
  <c r="GQ302" i="2" s="1"/>
  <c r="DM302" i="2"/>
  <c r="DL302" i="2"/>
  <c r="CO301" i="2"/>
  <c r="AY301" i="2"/>
  <c r="BG301" i="2" s="1"/>
  <c r="GV301" i="2" s="1"/>
  <c r="AD301" i="2"/>
  <c r="GW300" i="2"/>
  <c r="GX300" i="2" s="1"/>
  <c r="GY300" i="2" s="1"/>
  <c r="AD300" i="2"/>
  <c r="GW299" i="2"/>
  <c r="GO299" i="2"/>
  <c r="GP299" i="2" s="1"/>
  <c r="GQ299" i="2" s="1"/>
  <c r="DM299" i="2"/>
  <c r="DL299" i="2"/>
  <c r="CO298" i="2"/>
  <c r="AY298" i="2"/>
  <c r="BG298" i="2" s="1"/>
  <c r="GV298" i="2" s="1"/>
  <c r="AD298" i="2"/>
  <c r="I298" i="2"/>
  <c r="GW297" i="2"/>
  <c r="GX297" i="2" s="1"/>
  <c r="GY297" i="2" s="1"/>
  <c r="AY297" i="2"/>
  <c r="AD297" i="2"/>
  <c r="AL297" i="2" s="1"/>
  <c r="GU297" i="2" s="1"/>
  <c r="I297" i="2"/>
  <c r="GW296" i="2"/>
  <c r="GO296" i="2"/>
  <c r="GP296" i="2" s="1"/>
  <c r="GQ296" i="2" s="1"/>
  <c r="DM296" i="2"/>
  <c r="DL296" i="2"/>
  <c r="GW295" i="2"/>
  <c r="AY295" i="2"/>
  <c r="AD295" i="2"/>
  <c r="GW294" i="2"/>
  <c r="GO294" i="2"/>
  <c r="GP294" i="2" s="1"/>
  <c r="DM294" i="2"/>
  <c r="DL294" i="2"/>
  <c r="GW293" i="2"/>
  <c r="GO293" i="2"/>
  <c r="DM293" i="2"/>
  <c r="DL293" i="2"/>
  <c r="GW292" i="2"/>
  <c r="GO292" i="2"/>
  <c r="GP292" i="2" s="1"/>
  <c r="DM292" i="2"/>
  <c r="DL292" i="2"/>
  <c r="GW291" i="2"/>
  <c r="GO291" i="2"/>
  <c r="DM291" i="2"/>
  <c r="DL291" i="2"/>
  <c r="GW290" i="2"/>
  <c r="AY290" i="2"/>
  <c r="GW289" i="2"/>
  <c r="GX289" i="2" s="1"/>
  <c r="GO289" i="2"/>
  <c r="DM289" i="2"/>
  <c r="DL289" i="2"/>
  <c r="GW288" i="2"/>
  <c r="GX288" i="2" s="1"/>
  <c r="AY288" i="2"/>
  <c r="BG288" i="2" s="1"/>
  <c r="GV288" i="2" s="1"/>
  <c r="AD288" i="2"/>
  <c r="CO287" i="2"/>
  <c r="CW287" i="2" s="1"/>
  <c r="HC287" i="2" s="1"/>
  <c r="BT287" i="2"/>
  <c r="I287" i="2"/>
  <c r="CO286" i="2"/>
  <c r="BT286" i="2"/>
  <c r="AY286" i="2"/>
  <c r="BG286" i="2" s="1"/>
  <c r="GV286" i="2" s="1"/>
  <c r="AD286" i="2"/>
  <c r="I286" i="2"/>
  <c r="GW205" i="2"/>
  <c r="AY205" i="2"/>
  <c r="BG205" i="2" s="1"/>
  <c r="GV205" i="2" s="1"/>
  <c r="AD205" i="2"/>
  <c r="GW204" i="2"/>
  <c r="GX204" i="2" s="1"/>
  <c r="GO204" i="2"/>
  <c r="DM204" i="2"/>
  <c r="DL204" i="2"/>
  <c r="GW203" i="2"/>
  <c r="GO203" i="2"/>
  <c r="GP203" i="2" s="1"/>
  <c r="DM203" i="2"/>
  <c r="DL203" i="2"/>
  <c r="GW202" i="2"/>
  <c r="GO202" i="2"/>
  <c r="DM202" i="2"/>
  <c r="DL202" i="2"/>
  <c r="GW193" i="2"/>
  <c r="GO193" i="2"/>
  <c r="GP193" i="2" s="1"/>
  <c r="DM193" i="2"/>
  <c r="DL193" i="2"/>
  <c r="GW192" i="2"/>
  <c r="GO192" i="2"/>
  <c r="DM192" i="2"/>
  <c r="DL192" i="2"/>
  <c r="GW189" i="2"/>
  <c r="GO189" i="2"/>
  <c r="GP189" i="2" s="1"/>
  <c r="DM189" i="2"/>
  <c r="DL189" i="2"/>
  <c r="GW188" i="2"/>
  <c r="GO188" i="2"/>
  <c r="DM188" i="2"/>
  <c r="DL188" i="2"/>
  <c r="GW187" i="2"/>
  <c r="GO187" i="2"/>
  <c r="GP187" i="2" s="1"/>
  <c r="DM187" i="2"/>
  <c r="DL187" i="2"/>
  <c r="GW186" i="2"/>
  <c r="GO186" i="2"/>
  <c r="DM186" i="2"/>
  <c r="DL186" i="2"/>
  <c r="GW185" i="2"/>
  <c r="GO185" i="2"/>
  <c r="GP185" i="2" s="1"/>
  <c r="DM185" i="2"/>
  <c r="DL185" i="2"/>
  <c r="GW184" i="2"/>
  <c r="GO184" i="2"/>
  <c r="DM184" i="2"/>
  <c r="DL184" i="2"/>
  <c r="GW183" i="2"/>
  <c r="GO183" i="2"/>
  <c r="GP183" i="2" s="1"/>
  <c r="DM183" i="2"/>
  <c r="DL183" i="2"/>
  <c r="GW182" i="2"/>
  <c r="GO182" i="2"/>
  <c r="DM182" i="2"/>
  <c r="DL182" i="2"/>
  <c r="GW181" i="2"/>
  <c r="GO181" i="2"/>
  <c r="GP181" i="2" s="1"/>
  <c r="GQ181" i="2" s="1"/>
  <c r="DM181" i="2"/>
  <c r="DL181" i="2"/>
  <c r="GW180" i="2"/>
  <c r="GO180" i="2"/>
  <c r="DM180" i="2"/>
  <c r="DL180" i="2"/>
  <c r="GW200" i="2"/>
  <c r="GO200" i="2"/>
  <c r="GP200" i="2" s="1"/>
  <c r="DM200" i="2"/>
  <c r="DL200" i="2"/>
  <c r="GW199" i="2"/>
  <c r="GO199" i="2"/>
  <c r="DM199" i="2"/>
  <c r="DL199" i="2"/>
  <c r="GW179" i="2"/>
  <c r="GO179" i="2"/>
  <c r="GP179" i="2" s="1"/>
  <c r="DM179" i="2"/>
  <c r="DL179" i="2"/>
  <c r="GW198" i="2"/>
  <c r="GO198" i="2"/>
  <c r="DM198" i="2"/>
  <c r="DL198" i="2"/>
  <c r="GW197" i="2"/>
  <c r="GO197" i="2"/>
  <c r="GP197" i="2" s="1"/>
  <c r="DM197" i="2"/>
  <c r="DL197" i="2"/>
  <c r="GW196" i="2"/>
  <c r="GO196" i="2"/>
  <c r="DM196" i="2"/>
  <c r="DL196" i="2"/>
  <c r="GW195" i="2"/>
  <c r="GO195" i="2"/>
  <c r="GP195" i="2" s="1"/>
  <c r="GQ195" i="2" s="1"/>
  <c r="DM195" i="2"/>
  <c r="DL195" i="2"/>
  <c r="GW194" i="2"/>
  <c r="GO194" i="2"/>
  <c r="DM194" i="2"/>
  <c r="DL194" i="2"/>
  <c r="GW174" i="2"/>
  <c r="GO174" i="2"/>
  <c r="GP174" i="2" s="1"/>
  <c r="DM174" i="2"/>
  <c r="DL174" i="2"/>
  <c r="GW167" i="2"/>
  <c r="GO167" i="2"/>
  <c r="DM167" i="2"/>
  <c r="DL167" i="2"/>
  <c r="GW166" i="2"/>
  <c r="GO166" i="2"/>
  <c r="GP166" i="2" s="1"/>
  <c r="DM166" i="2"/>
  <c r="DL166" i="2"/>
  <c r="GW165" i="2"/>
  <c r="GO165" i="2"/>
  <c r="DM165" i="2"/>
  <c r="DL165" i="2"/>
  <c r="GW178" i="2"/>
  <c r="GO178" i="2"/>
  <c r="GP178" i="2" s="1"/>
  <c r="DM178" i="2"/>
  <c r="DL178" i="2"/>
  <c r="GW177" i="2"/>
  <c r="AY177" i="2"/>
  <c r="BG177" i="2" s="1"/>
  <c r="GV177" i="2" s="1"/>
  <c r="AD177" i="2"/>
  <c r="GW176" i="2"/>
  <c r="GO176" i="2"/>
  <c r="GP176" i="2" s="1"/>
  <c r="GQ176" i="2" s="1"/>
  <c r="DM176" i="2"/>
  <c r="DL176" i="2"/>
  <c r="GW164" i="2"/>
  <c r="GO164" i="2"/>
  <c r="GP164" i="2" s="1"/>
  <c r="DM164" i="2"/>
  <c r="DL164" i="2"/>
  <c r="GW172" i="2"/>
  <c r="GO172" i="2"/>
  <c r="DM172" i="2"/>
  <c r="DL172" i="2"/>
  <c r="GW163" i="2"/>
  <c r="GO163" i="2"/>
  <c r="GP163" i="2" s="1"/>
  <c r="DM163" i="2"/>
  <c r="DL163" i="2"/>
  <c r="GW162" i="2"/>
  <c r="GO162" i="2"/>
  <c r="DM162" i="2"/>
  <c r="DL162" i="2"/>
  <c r="GW161" i="2"/>
  <c r="GO161" i="2"/>
  <c r="GP161" i="2" s="1"/>
  <c r="DM161" i="2"/>
  <c r="DL161" i="2"/>
  <c r="GW160" i="2"/>
  <c r="AD160" i="2"/>
  <c r="GW159" i="2"/>
  <c r="AY159" i="2"/>
  <c r="GW158" i="2"/>
  <c r="GO158" i="2"/>
  <c r="GP158" i="2" s="1"/>
  <c r="DM158" i="2"/>
  <c r="DL158" i="2"/>
  <c r="GW157" i="2"/>
  <c r="GO157" i="2"/>
  <c r="DM157" i="2"/>
  <c r="DL157" i="2"/>
  <c r="GW156" i="2"/>
  <c r="GX156" i="2" s="1"/>
  <c r="GO156" i="2"/>
  <c r="GP156" i="2" s="1"/>
  <c r="DM156" i="2"/>
  <c r="DL156" i="2"/>
  <c r="GW240" i="2"/>
  <c r="GO240" i="2"/>
  <c r="DM240" i="2"/>
  <c r="DL240" i="2"/>
  <c r="GW239" i="2"/>
  <c r="GO239" i="2"/>
  <c r="GP239" i="2" s="1"/>
  <c r="DM239" i="2"/>
  <c r="DL239" i="2"/>
  <c r="GW238" i="2"/>
  <c r="GO238" i="2"/>
  <c r="GP238" i="2" s="1"/>
  <c r="DM238" i="2"/>
  <c r="DL238" i="2"/>
  <c r="GW155" i="2"/>
  <c r="GO155" i="2"/>
  <c r="DM155" i="2"/>
  <c r="DL155" i="2"/>
  <c r="GW154" i="2"/>
  <c r="GX154" i="2" s="1"/>
  <c r="GO154" i="2"/>
  <c r="GP154" i="2" s="1"/>
  <c r="GQ154" i="2" s="1"/>
  <c r="DM154" i="2"/>
  <c r="DL154" i="2"/>
  <c r="GW153" i="2"/>
  <c r="GX153" i="2" s="1"/>
  <c r="I153" i="2"/>
  <c r="GW152" i="2"/>
  <c r="GO152" i="2"/>
  <c r="DM152" i="2"/>
  <c r="DL152" i="2"/>
  <c r="GW151" i="2"/>
  <c r="GO151" i="2"/>
  <c r="DM151" i="2"/>
  <c r="DL151" i="2"/>
  <c r="GW150" i="2"/>
  <c r="GO150" i="2"/>
  <c r="GP150" i="2" s="1"/>
  <c r="DM150" i="2"/>
  <c r="DL150" i="2"/>
  <c r="GW149" i="2"/>
  <c r="GO149" i="2"/>
  <c r="DM149" i="2"/>
  <c r="DL149" i="2"/>
  <c r="GW254" i="2"/>
  <c r="GO254" i="2"/>
  <c r="GP254" i="2" s="1"/>
  <c r="GQ254" i="2" s="1"/>
  <c r="DM254" i="2"/>
  <c r="DL254" i="2"/>
  <c r="GW122" i="2"/>
  <c r="GO122" i="2"/>
  <c r="DM122" i="2"/>
  <c r="DL122" i="2"/>
  <c r="GW80" i="2"/>
  <c r="GO80" i="2"/>
  <c r="DM80" i="2"/>
  <c r="DL80" i="2"/>
  <c r="GW79" i="2"/>
  <c r="GO79" i="2"/>
  <c r="DM79" i="2"/>
  <c r="DL79" i="2"/>
  <c r="GW78" i="2"/>
  <c r="GO78" i="2"/>
  <c r="DM78" i="2"/>
  <c r="DL78" i="2"/>
  <c r="GW89" i="2"/>
  <c r="GO89" i="2"/>
  <c r="GP89" i="2" s="1"/>
  <c r="GQ89" i="2" s="1"/>
  <c r="DM89" i="2"/>
  <c r="DL89" i="2"/>
  <c r="GW75" i="2"/>
  <c r="GO75" i="2"/>
  <c r="DM75" i="2"/>
  <c r="DL75" i="2"/>
  <c r="GW74" i="2"/>
  <c r="GO74" i="2"/>
  <c r="DM74" i="2"/>
  <c r="DL74" i="2"/>
  <c r="BO74" i="2"/>
  <c r="AT74" i="2"/>
  <c r="GW77" i="2"/>
  <c r="GO77" i="2"/>
  <c r="GP77" i="2" s="1"/>
  <c r="DM77" i="2"/>
  <c r="DL77" i="2"/>
  <c r="GW73" i="2"/>
  <c r="GO73" i="2"/>
  <c r="DM73" i="2"/>
  <c r="DL73" i="2"/>
  <c r="GW76" i="2"/>
  <c r="AY76" i="2"/>
  <c r="GW72" i="2"/>
  <c r="GO72" i="2"/>
  <c r="DM72" i="2"/>
  <c r="DL72" i="2"/>
  <c r="GW70" i="2"/>
  <c r="GO70" i="2"/>
  <c r="DM70" i="2"/>
  <c r="DL70" i="2"/>
  <c r="GW68" i="2"/>
  <c r="GO68" i="2"/>
  <c r="DM68" i="2"/>
  <c r="DL68" i="2"/>
  <c r="GW67" i="2"/>
  <c r="GO67" i="2"/>
  <c r="DM67" i="2"/>
  <c r="DL67" i="2"/>
  <c r="GW66" i="2"/>
  <c r="GO66" i="2"/>
  <c r="DM66" i="2"/>
  <c r="DL66" i="2"/>
  <c r="GW52" i="2"/>
  <c r="GO52" i="2"/>
  <c r="DM52" i="2"/>
  <c r="DL52" i="2"/>
  <c r="GW65" i="2"/>
  <c r="GO65" i="2"/>
  <c r="DM65" i="2"/>
  <c r="DL65" i="2"/>
  <c r="GW64" i="2"/>
  <c r="GO64" i="2"/>
  <c r="DM64" i="2"/>
  <c r="DL64" i="2"/>
  <c r="GW63" i="2"/>
  <c r="GO63" i="2"/>
  <c r="GP63" i="2" s="1"/>
  <c r="GQ63" i="2" s="1"/>
  <c r="DM63" i="2"/>
  <c r="DL63" i="2"/>
  <c r="GW62" i="2"/>
  <c r="GO62" i="2"/>
  <c r="DM62" i="2"/>
  <c r="DL62" i="2"/>
  <c r="GW61" i="2"/>
  <c r="GO61" i="2"/>
  <c r="GP61" i="2" s="1"/>
  <c r="GQ61" i="2" s="1"/>
  <c r="DM61" i="2"/>
  <c r="DL61" i="2"/>
  <c r="GW60" i="2"/>
  <c r="GO60" i="2"/>
  <c r="GP60" i="2" s="1"/>
  <c r="DM60" i="2"/>
  <c r="DL60" i="2"/>
  <c r="GW59" i="2"/>
  <c r="GO59" i="2"/>
  <c r="GP59" i="2" s="1"/>
  <c r="GQ59" i="2" s="1"/>
  <c r="DM59" i="2"/>
  <c r="DL59" i="2"/>
  <c r="GW58" i="2"/>
  <c r="GO58" i="2"/>
  <c r="GP58" i="2" s="1"/>
  <c r="DM58" i="2"/>
  <c r="DL58" i="2"/>
  <c r="GW57" i="2"/>
  <c r="GX57" i="2" s="1"/>
  <c r="GY57" i="2" s="1"/>
  <c r="GO57" i="2"/>
  <c r="DM57" i="2"/>
  <c r="DL57" i="2"/>
  <c r="GW56" i="2"/>
  <c r="GX56" i="2" s="1"/>
  <c r="GY56" i="2" s="1"/>
  <c r="GO56" i="2"/>
  <c r="DM56" i="2"/>
  <c r="DL56" i="2"/>
  <c r="GW81" i="2"/>
  <c r="GO81" i="2"/>
  <c r="DM81" i="2"/>
  <c r="DL81" i="2"/>
  <c r="GW55" i="2"/>
  <c r="GO55" i="2"/>
  <c r="GP55" i="2" s="1"/>
  <c r="GQ55" i="2" s="1"/>
  <c r="DM55" i="2"/>
  <c r="DL55" i="2"/>
  <c r="GW54" i="2"/>
  <c r="GO54" i="2"/>
  <c r="DM54" i="2"/>
  <c r="DL54" i="2"/>
  <c r="GW53" i="2"/>
  <c r="GO53" i="2"/>
  <c r="GP53" i="2" s="1"/>
  <c r="GQ53" i="2" s="1"/>
  <c r="DM53" i="2"/>
  <c r="DL53" i="2"/>
  <c r="GW51" i="2"/>
  <c r="GO51" i="2"/>
  <c r="GP51" i="2" s="1"/>
  <c r="GQ51" i="2" s="1"/>
  <c r="DM51" i="2"/>
  <c r="DL51" i="2"/>
  <c r="GW50" i="2"/>
  <c r="GO50" i="2"/>
  <c r="DM50" i="2"/>
  <c r="DL50" i="2"/>
  <c r="GW30" i="2"/>
  <c r="GO30" i="2"/>
  <c r="DM30" i="2"/>
  <c r="DL30" i="2"/>
  <c r="GW49" i="2"/>
  <c r="GO49" i="2"/>
  <c r="DM49" i="2"/>
  <c r="DL49" i="2"/>
  <c r="GW519" i="2"/>
  <c r="GO519" i="2"/>
  <c r="GP519" i="2" s="1"/>
  <c r="GQ519" i="2" s="1"/>
  <c r="DM519" i="2"/>
  <c r="DL519" i="2"/>
  <c r="GW92" i="2"/>
  <c r="GO92" i="2"/>
  <c r="DM92" i="2"/>
  <c r="DL92" i="2"/>
  <c r="GW91" i="2"/>
  <c r="GO91" i="2"/>
  <c r="GP91" i="2" s="1"/>
  <c r="DM91" i="2"/>
  <c r="DL91" i="2"/>
  <c r="GW90" i="2"/>
  <c r="GO90" i="2"/>
  <c r="GP90" i="2" s="1"/>
  <c r="GQ90" i="2" s="1"/>
  <c r="EH90" i="2"/>
  <c r="EG90" i="2"/>
  <c r="EZ90" i="2" s="1"/>
  <c r="EE90" i="2"/>
  <c r="EX90" i="2" s="1"/>
  <c r="ED90" i="2"/>
  <c r="EW90" i="2" s="1"/>
  <c r="EC90" i="2"/>
  <c r="EB90" i="2"/>
  <c r="EA90" i="2"/>
  <c r="DZ90" i="2"/>
  <c r="DY90" i="2"/>
  <c r="DX90" i="2"/>
  <c r="DW90" i="2"/>
  <c r="EP90" i="2" s="1"/>
  <c r="DV90" i="2"/>
  <c r="DU90" i="2"/>
  <c r="DT90" i="2"/>
  <c r="EM90" i="2" s="1"/>
  <c r="DS90" i="2"/>
  <c r="EL90" i="2" s="1"/>
  <c r="DR90" i="2"/>
  <c r="DQ90" i="2"/>
  <c r="DP90" i="2"/>
  <c r="DM90" i="2"/>
  <c r="DL90" i="2"/>
  <c r="DH1" i="2"/>
  <c r="DG1" i="2"/>
  <c r="DC1" i="2"/>
  <c r="DB1" i="2"/>
  <c r="CV1" i="2"/>
  <c r="CU1" i="2"/>
  <c r="CT1" i="2"/>
  <c r="CS1" i="2"/>
  <c r="CR1" i="2"/>
  <c r="CN1" i="2"/>
  <c r="CM1" i="2"/>
  <c r="CL1" i="2"/>
  <c r="CH1" i="2"/>
  <c r="CG1" i="2"/>
  <c r="CA1" i="2"/>
  <c r="BZ1" i="2"/>
  <c r="BY1" i="2"/>
  <c r="BX1" i="2"/>
  <c r="BW1" i="2"/>
  <c r="BM1" i="2"/>
  <c r="BL1" i="2"/>
  <c r="BE1" i="2"/>
  <c r="AW1" i="2"/>
  <c r="AR1" i="2"/>
  <c r="AQ1" i="2"/>
  <c r="AJ1" i="2"/>
  <c r="AB1" i="2"/>
  <c r="AA1" i="2"/>
  <c r="W1" i="2"/>
  <c r="V1" i="2"/>
  <c r="O1" i="2"/>
  <c r="N1" i="2"/>
  <c r="M1" i="2"/>
  <c r="EV32" i="2" l="1"/>
  <c r="EV569" i="2"/>
  <c r="FA32" i="2"/>
  <c r="FA569" i="2"/>
  <c r="GM32" i="2"/>
  <c r="GM569" i="2"/>
  <c r="EI32" i="2"/>
  <c r="EI569" i="2"/>
  <c r="FU32" i="2"/>
  <c r="FU569" i="2"/>
  <c r="EJ32" i="2"/>
  <c r="EJ569" i="2"/>
  <c r="EK32" i="2"/>
  <c r="EK569" i="2"/>
  <c r="FW32" i="2"/>
  <c r="FW569" i="2"/>
  <c r="EN32" i="2"/>
  <c r="EN569" i="2"/>
  <c r="FZ32" i="2"/>
  <c r="FZ569" i="2"/>
  <c r="EO32" i="2"/>
  <c r="EO569" i="2"/>
  <c r="EQ32" i="2"/>
  <c r="EQ569" i="2"/>
  <c r="ER32" i="2"/>
  <c r="ER569" i="2"/>
  <c r="GD32" i="2"/>
  <c r="GD569" i="2"/>
  <c r="ES32" i="2"/>
  <c r="ES569" i="2"/>
  <c r="GE32" i="2"/>
  <c r="GE569" i="2"/>
  <c r="ET32" i="2"/>
  <c r="ET569" i="2"/>
  <c r="EU32" i="2"/>
  <c r="EU569" i="2"/>
  <c r="GG32" i="2"/>
  <c r="GG569" i="2"/>
  <c r="HP31" i="2"/>
  <c r="FA18" i="2"/>
  <c r="ES621" i="2"/>
  <c r="HY27" i="2"/>
  <c r="FA90" i="2"/>
  <c r="HN8" i="2"/>
  <c r="HN36" i="2"/>
  <c r="HN45" i="2" s="1"/>
  <c r="CZ1" i="2"/>
  <c r="GQ627" i="2"/>
  <c r="HS36" i="2"/>
  <c r="HT36" i="2"/>
  <c r="GQ238" i="2"/>
  <c r="GQ620" i="2"/>
  <c r="HU34" i="2" s="1"/>
  <c r="HS34" i="2"/>
  <c r="HT34" i="2"/>
  <c r="HS7" i="2"/>
  <c r="HT7" i="2"/>
  <c r="GV278" i="2"/>
  <c r="GH22" i="2"/>
  <c r="GH32" i="2"/>
  <c r="GV566" i="2"/>
  <c r="FV22" i="2"/>
  <c r="FV32" i="2"/>
  <c r="HO27" i="2"/>
  <c r="GA22" i="2"/>
  <c r="GA32" i="2"/>
  <c r="GC22" i="2"/>
  <c r="GC32" i="2"/>
  <c r="HO9" i="2"/>
  <c r="HX16" i="2"/>
  <c r="HX31" i="2"/>
  <c r="GF22" i="2"/>
  <c r="GF32" i="2"/>
  <c r="GT375" i="2"/>
  <c r="HQ31" i="2"/>
  <c r="GR32" i="2"/>
  <c r="GS32" i="2" s="1"/>
  <c r="HO31" i="2"/>
  <c r="HP37" i="2"/>
  <c r="HP46" i="2" s="1"/>
  <c r="HN34" i="2"/>
  <c r="HX34" i="2"/>
  <c r="HY11" i="2"/>
  <c r="HO21" i="2"/>
  <c r="HN6" i="2"/>
  <c r="HN9" i="2"/>
  <c r="HO15" i="2"/>
  <c r="HY8" i="2"/>
  <c r="HY12" i="2"/>
  <c r="HY14" i="2"/>
  <c r="HX9" i="2"/>
  <c r="HX10" i="2"/>
  <c r="HX15" i="2"/>
  <c r="HY21" i="2"/>
  <c r="HY23" i="2"/>
  <c r="HO8" i="2"/>
  <c r="HP8" i="2"/>
  <c r="HN31" i="2"/>
  <c r="HY7" i="2"/>
  <c r="HX27" i="2"/>
  <c r="HX29" i="2"/>
  <c r="HY35" i="2"/>
  <c r="HW34" i="2"/>
  <c r="HN16" i="2"/>
  <c r="HN19" i="2"/>
  <c r="HO34" i="2"/>
  <c r="HO35" i="2"/>
  <c r="HY9" i="2"/>
  <c r="HY10" i="2"/>
  <c r="HY15" i="2"/>
  <c r="HY31" i="2"/>
  <c r="HN13" i="2"/>
  <c r="HO16" i="2"/>
  <c r="HO18" i="2"/>
  <c r="HO19" i="2"/>
  <c r="HP34" i="2"/>
  <c r="HX7" i="2"/>
  <c r="HX13" i="2"/>
  <c r="HY30" i="2"/>
  <c r="HP16" i="2"/>
  <c r="HP19" i="2"/>
  <c r="HY13" i="2"/>
  <c r="HX19" i="2"/>
  <c r="HP13" i="2"/>
  <c r="HX6" i="2"/>
  <c r="HY19" i="2"/>
  <c r="HY29" i="2"/>
  <c r="HX35" i="2"/>
  <c r="GV277" i="2"/>
  <c r="GV145" i="2"/>
  <c r="GV443" i="2"/>
  <c r="HY6" i="2"/>
  <c r="HY26" i="2"/>
  <c r="HY34" i="2"/>
  <c r="HN11" i="2"/>
  <c r="HN21" i="2"/>
  <c r="HN23" i="2"/>
  <c r="HN26" i="2"/>
  <c r="HO33" i="2"/>
  <c r="HN35" i="2"/>
  <c r="HX11" i="2"/>
  <c r="HX25" i="2"/>
  <c r="HN12" i="2"/>
  <c r="HN15" i="2"/>
  <c r="HN29" i="2"/>
  <c r="HY25" i="2"/>
  <c r="HP26" i="2"/>
  <c r="HO29" i="2"/>
  <c r="HN33" i="2"/>
  <c r="HX8" i="2"/>
  <c r="HX12" i="2"/>
  <c r="HX14" i="2"/>
  <c r="HX23" i="2"/>
  <c r="HX36" i="2"/>
  <c r="HO6" i="2"/>
  <c r="HN10" i="2"/>
  <c r="HP14" i="2"/>
  <c r="HP15" i="2"/>
  <c r="HN25" i="2"/>
  <c r="HP29" i="2"/>
  <c r="HY36" i="2"/>
  <c r="HP6" i="2"/>
  <c r="HO25" i="2"/>
  <c r="HP10" i="2"/>
  <c r="HO23" i="2"/>
  <c r="HP25" i="2"/>
  <c r="HX21" i="2"/>
  <c r="HX33" i="2"/>
  <c r="HX28" i="2"/>
  <c r="HY18" i="2"/>
  <c r="HY33" i="2"/>
  <c r="GU375" i="2"/>
  <c r="GV619" i="2"/>
  <c r="HC375" i="2"/>
  <c r="GV274" i="2"/>
  <c r="HB485" i="2"/>
  <c r="HX30" i="2" s="1"/>
  <c r="HQ34" i="2"/>
  <c r="GV135" i="2"/>
  <c r="GV339" i="2"/>
  <c r="GV442" i="2"/>
  <c r="GV256" i="2"/>
  <c r="GV564" i="2"/>
  <c r="BR1" i="2"/>
  <c r="GV18" i="2"/>
  <c r="HP9" i="2" s="1"/>
  <c r="GV618" i="2"/>
  <c r="HP36" i="2"/>
  <c r="HP45" i="2" s="1"/>
  <c r="HQ36" i="2"/>
  <c r="HQ45" i="2" s="1"/>
  <c r="HQ25" i="2"/>
  <c r="ER465" i="2"/>
  <c r="GD465" i="2"/>
  <c r="ER364" i="2"/>
  <c r="ER90" i="2"/>
  <c r="ER476" i="2"/>
  <c r="ER463" i="2"/>
  <c r="GD464" i="2"/>
  <c r="EG22" i="2"/>
  <c r="EZ22" i="2" s="1"/>
  <c r="HZ14" i="2"/>
  <c r="HQ15" i="2"/>
  <c r="HQ16" i="2"/>
  <c r="AC1" i="2"/>
  <c r="HZ10" i="2"/>
  <c r="ET90" i="2"/>
  <c r="IB10" i="2"/>
  <c r="ER442" i="2"/>
  <c r="HQ6" i="2"/>
  <c r="HQ9" i="2"/>
  <c r="FW22" i="2"/>
  <c r="AM22" i="2"/>
  <c r="DM22" i="2" s="1"/>
  <c r="FZ22" i="2"/>
  <c r="GM22" i="2"/>
  <c r="AZ22" i="2"/>
  <c r="BG22" i="2"/>
  <c r="GV22" i="2" s="1"/>
  <c r="HP11" i="2" s="1"/>
  <c r="EE74" i="2"/>
  <c r="EX74" i="2" s="1"/>
  <c r="DS33" i="2"/>
  <c r="EL33" i="2" s="1"/>
  <c r="DU22" i="2"/>
  <c r="EN22" i="2" s="1"/>
  <c r="GD22" i="2"/>
  <c r="DZ22" i="2"/>
  <c r="ES22" i="2" s="1"/>
  <c r="GE22" i="2"/>
  <c r="HQ7" i="2"/>
  <c r="EH22" i="2"/>
  <c r="FA22" i="2" s="1"/>
  <c r="FU22" i="2"/>
  <c r="GG22" i="2"/>
  <c r="DV22" i="2"/>
  <c r="EO22" i="2" s="1"/>
  <c r="DY22" i="2"/>
  <c r="ER22" i="2" s="1"/>
  <c r="EA22" i="2"/>
  <c r="ET22" i="2" s="1"/>
  <c r="EB22" i="2"/>
  <c r="EU22" i="2" s="1"/>
  <c r="GO22" i="2"/>
  <c r="DQ22" i="2"/>
  <c r="EJ22" i="2" s="1"/>
  <c r="EC22" i="2"/>
  <c r="EV22" i="2" s="1"/>
  <c r="DR22" i="2"/>
  <c r="EK22" i="2" s="1"/>
  <c r="ED22" i="2"/>
  <c r="EW22" i="2" s="1"/>
  <c r="AE22" i="2"/>
  <c r="DS22" i="2"/>
  <c r="EL22" i="2" s="1"/>
  <c r="EE22" i="2"/>
  <c r="EX22" i="2" s="1"/>
  <c r="AL22" i="2"/>
  <c r="GU22" i="2" s="1"/>
  <c r="HO11" i="2" s="1"/>
  <c r="DT22" i="2"/>
  <c r="EM22" i="2" s="1"/>
  <c r="ER464" i="2"/>
  <c r="EV90" i="2"/>
  <c r="DX212" i="2"/>
  <c r="EQ212" i="2" s="1"/>
  <c r="ES463" i="2"/>
  <c r="DZ505" i="2"/>
  <c r="ES90" i="2"/>
  <c r="ES476" i="2"/>
  <c r="DI1" i="2"/>
  <c r="ES484" i="2"/>
  <c r="ES465" i="2"/>
  <c r="FA67" i="2"/>
  <c r="GE465" i="2"/>
  <c r="ES364" i="2"/>
  <c r="ES464" i="2"/>
  <c r="BK1" i="2"/>
  <c r="ET91" i="2"/>
  <c r="ET92" i="2"/>
  <c r="ET519" i="2"/>
  <c r="DS631" i="2"/>
  <c r="EL631" i="2" s="1"/>
  <c r="AP1" i="2"/>
  <c r="EO90" i="2"/>
  <c r="EI237" i="2"/>
  <c r="DP27" i="2"/>
  <c r="EI27" i="2" s="1"/>
  <c r="EI18" i="2"/>
  <c r="ER484" i="2"/>
  <c r="ER55" i="2"/>
  <c r="EI90" i="2"/>
  <c r="CD1" i="2"/>
  <c r="ER92" i="2"/>
  <c r="ER519" i="2"/>
  <c r="ES49" i="2"/>
  <c r="EU90" i="2"/>
  <c r="DW277" i="2"/>
  <c r="EP277" i="2" s="1"/>
  <c r="DW145" i="2"/>
  <c r="EP145" i="2" s="1"/>
  <c r="EU49" i="2"/>
  <c r="GA60" i="2"/>
  <c r="EU61" i="2"/>
  <c r="GA61" i="2"/>
  <c r="EU62" i="2"/>
  <c r="GA63" i="2"/>
  <c r="EU64" i="2"/>
  <c r="GA64" i="2"/>
  <c r="EU65" i="2"/>
  <c r="DQ505" i="2"/>
  <c r="EJ505" i="2" s="1"/>
  <c r="GH519" i="2"/>
  <c r="DS29" i="2"/>
  <c r="EL29" i="2" s="1"/>
  <c r="FL554" i="2"/>
  <c r="GE554" i="2" s="1"/>
  <c r="EN90" i="2"/>
  <c r="ED443" i="2"/>
  <c r="EW443" i="2" s="1"/>
  <c r="FZ91" i="2"/>
  <c r="GM91" i="2"/>
  <c r="FZ92" i="2"/>
  <c r="GM92" i="2"/>
  <c r="DQ504" i="2"/>
  <c r="EJ504" i="2" s="1"/>
  <c r="DZ458" i="2"/>
  <c r="ES458" i="2" s="1"/>
  <c r="EK364" i="2"/>
  <c r="DW494" i="2"/>
  <c r="EP494" i="2" s="1"/>
  <c r="DW619" i="2"/>
  <c r="EP619" i="2" s="1"/>
  <c r="EJ364" i="2"/>
  <c r="EE226" i="2"/>
  <c r="EX226" i="2" s="1"/>
  <c r="EJ442" i="2"/>
  <c r="DP619" i="2"/>
  <c r="GC90" i="2"/>
  <c r="FW152" i="2"/>
  <c r="EJ90" i="2"/>
  <c r="DW385" i="2"/>
  <c r="EP385" i="2" s="1"/>
  <c r="DP443" i="2"/>
  <c r="EI443" i="2" s="1"/>
  <c r="DR504" i="2"/>
  <c r="EK504" i="2" s="1"/>
  <c r="EU91" i="2"/>
  <c r="EN49" i="2"/>
  <c r="GE68" i="2"/>
  <c r="GE70" i="2"/>
  <c r="EK90" i="2"/>
  <c r="EJ91" i="2"/>
  <c r="EV91" i="2"/>
  <c r="FA59" i="2"/>
  <c r="GF59" i="2"/>
  <c r="EN60" i="2"/>
  <c r="DW443" i="2"/>
  <c r="EP443" i="2" s="1"/>
  <c r="FV519" i="2"/>
  <c r="FW49" i="2"/>
  <c r="FW30" i="2"/>
  <c r="FW57" i="2"/>
  <c r="FW58" i="2"/>
  <c r="EK149" i="2"/>
  <c r="DD1" i="2"/>
  <c r="DW566" i="2"/>
  <c r="EP566" i="2" s="1"/>
  <c r="FW519" i="2"/>
  <c r="CI1" i="2"/>
  <c r="DX306" i="2"/>
  <c r="FK444" i="2"/>
  <c r="GD444" i="2" s="1"/>
  <c r="GD90" i="2"/>
  <c r="EO91" i="2"/>
  <c r="ET49" i="2"/>
  <c r="GO160" i="2"/>
  <c r="EE160" i="2"/>
  <c r="EX160" i="2" s="1"/>
  <c r="DQ160" i="2"/>
  <c r="EJ160" i="2" s="1"/>
  <c r="ED160" i="2"/>
  <c r="EW160" i="2" s="1"/>
  <c r="DP160" i="2"/>
  <c r="EI160" i="2" s="1"/>
  <c r="EC160" i="2"/>
  <c r="EV160" i="2" s="1"/>
  <c r="EB160" i="2"/>
  <c r="EU160" i="2" s="1"/>
  <c r="EA160" i="2"/>
  <c r="ET160" i="2" s="1"/>
  <c r="DZ160" i="2"/>
  <c r="ES160" i="2" s="1"/>
  <c r="DY160" i="2"/>
  <c r="ER160" i="2" s="1"/>
  <c r="DV160" i="2"/>
  <c r="EO160" i="2" s="1"/>
  <c r="DU160" i="2"/>
  <c r="EN160" i="2" s="1"/>
  <c r="DT160" i="2"/>
  <c r="EM160" i="2" s="1"/>
  <c r="EH160" i="2"/>
  <c r="FA160" i="2" s="1"/>
  <c r="DS160" i="2"/>
  <c r="EL160" i="2" s="1"/>
  <c r="EG160" i="2"/>
  <c r="EZ160" i="2" s="1"/>
  <c r="DR160" i="2"/>
  <c r="EK160" i="2" s="1"/>
  <c r="DV384" i="2"/>
  <c r="EO384" i="2" s="1"/>
  <c r="EE384" i="2"/>
  <c r="EX384" i="2" s="1"/>
  <c r="DS384" i="2"/>
  <c r="EL384" i="2" s="1"/>
  <c r="ED384" i="2"/>
  <c r="EW384" i="2" s="1"/>
  <c r="DR384" i="2"/>
  <c r="EK384" i="2" s="1"/>
  <c r="EC384" i="2"/>
  <c r="EV384" i="2" s="1"/>
  <c r="DQ384" i="2"/>
  <c r="EJ384" i="2" s="1"/>
  <c r="EB384" i="2"/>
  <c r="EU384" i="2" s="1"/>
  <c r="DP384" i="2"/>
  <c r="EI384" i="2" s="1"/>
  <c r="EA384" i="2"/>
  <c r="ET384" i="2" s="1"/>
  <c r="DZ384" i="2"/>
  <c r="ES384" i="2" s="1"/>
  <c r="DW384" i="2"/>
  <c r="EP384" i="2" s="1"/>
  <c r="EG384" i="2"/>
  <c r="EZ384" i="2" s="1"/>
  <c r="DY384" i="2"/>
  <c r="ER384" i="2" s="1"/>
  <c r="DX384" i="2"/>
  <c r="EQ384" i="2" s="1"/>
  <c r="DU384" i="2"/>
  <c r="EN384" i="2" s="1"/>
  <c r="DT384" i="2"/>
  <c r="EM384" i="2" s="1"/>
  <c r="EH384" i="2"/>
  <c r="FA384" i="2" s="1"/>
  <c r="DL568" i="2"/>
  <c r="EB568" i="2"/>
  <c r="EU568" i="2" s="1"/>
  <c r="DP568" i="2"/>
  <c r="EI568" i="2" s="1"/>
  <c r="EA568" i="2"/>
  <c r="ET568" i="2" s="1"/>
  <c r="DZ568" i="2"/>
  <c r="ES568" i="2" s="1"/>
  <c r="DX568" i="2"/>
  <c r="EQ568" i="2" s="1"/>
  <c r="DW568" i="2"/>
  <c r="EP568" i="2" s="1"/>
  <c r="DV568" i="2"/>
  <c r="EO568" i="2" s="1"/>
  <c r="EH568" i="2"/>
  <c r="FA568" i="2" s="1"/>
  <c r="DU568" i="2"/>
  <c r="EN568" i="2" s="1"/>
  <c r="EE568" i="2"/>
  <c r="EX568" i="2" s="1"/>
  <c r="DS568" i="2"/>
  <c r="EL568" i="2" s="1"/>
  <c r="EC568" i="2"/>
  <c r="EV568" i="2" s="1"/>
  <c r="DQ568" i="2"/>
  <c r="EJ568" i="2" s="1"/>
  <c r="EG568" i="2"/>
  <c r="EZ568" i="2" s="1"/>
  <c r="ED568" i="2"/>
  <c r="EW568" i="2" s="1"/>
  <c r="DY568" i="2"/>
  <c r="ER568" i="2" s="1"/>
  <c r="DT568" i="2"/>
  <c r="EM568" i="2" s="1"/>
  <c r="DR568" i="2"/>
  <c r="EK568" i="2" s="1"/>
  <c r="EQ30" i="2"/>
  <c r="GO76" i="2"/>
  <c r="ED76" i="2"/>
  <c r="EW76" i="2" s="1"/>
  <c r="DP76" i="2"/>
  <c r="EI76" i="2" s="1"/>
  <c r="EC76" i="2"/>
  <c r="EV76" i="2" s="1"/>
  <c r="EB76" i="2"/>
  <c r="EU76" i="2" s="1"/>
  <c r="EA76" i="2"/>
  <c r="ET76" i="2" s="1"/>
  <c r="DZ76" i="2"/>
  <c r="ES76" i="2" s="1"/>
  <c r="DY76" i="2"/>
  <c r="ER76" i="2" s="1"/>
  <c r="DV76" i="2"/>
  <c r="EO76" i="2" s="1"/>
  <c r="DU76" i="2"/>
  <c r="EN76" i="2" s="1"/>
  <c r="DT76" i="2"/>
  <c r="EM76" i="2" s="1"/>
  <c r="DS76" i="2"/>
  <c r="EL76" i="2" s="1"/>
  <c r="EH76" i="2"/>
  <c r="DR76" i="2"/>
  <c r="EK76" i="2" s="1"/>
  <c r="GO153" i="2"/>
  <c r="DY153" i="2"/>
  <c r="ER153" i="2" s="1"/>
  <c r="DV153" i="2"/>
  <c r="EO153" i="2" s="1"/>
  <c r="DU153" i="2"/>
  <c r="EN153" i="2" s="1"/>
  <c r="DT153" i="2"/>
  <c r="EM153" i="2" s="1"/>
  <c r="EH153" i="2"/>
  <c r="FA153" i="2" s="1"/>
  <c r="DS153" i="2"/>
  <c r="EL153" i="2" s="1"/>
  <c r="EG153" i="2"/>
  <c r="EZ153" i="2" s="1"/>
  <c r="DR153" i="2"/>
  <c r="EK153" i="2" s="1"/>
  <c r="EE153" i="2"/>
  <c r="EX153" i="2" s="1"/>
  <c r="DQ153" i="2"/>
  <c r="EJ153" i="2" s="1"/>
  <c r="ED153" i="2"/>
  <c r="EW153" i="2" s="1"/>
  <c r="DP153" i="2"/>
  <c r="EI153" i="2" s="1"/>
  <c r="EC153" i="2"/>
  <c r="EV153" i="2" s="1"/>
  <c r="EB153" i="2"/>
  <c r="EU153" i="2" s="1"/>
  <c r="EA153" i="2"/>
  <c r="ET153" i="2" s="1"/>
  <c r="DX304" i="2"/>
  <c r="EQ304" i="2" s="1"/>
  <c r="DY320" i="2"/>
  <c r="ER320" i="2" s="1"/>
  <c r="DX320" i="2"/>
  <c r="EQ320" i="2" s="1"/>
  <c r="DV320" i="2"/>
  <c r="EO320" i="2" s="1"/>
  <c r="DU320" i="2"/>
  <c r="EN320" i="2" s="1"/>
  <c r="EH320" i="2"/>
  <c r="FA320" i="2" s="1"/>
  <c r="DT320" i="2"/>
  <c r="EM320" i="2" s="1"/>
  <c r="EG320" i="2"/>
  <c r="EZ320" i="2" s="1"/>
  <c r="DS320" i="2"/>
  <c r="EL320" i="2" s="1"/>
  <c r="EE320" i="2"/>
  <c r="EX320" i="2" s="1"/>
  <c r="DR320" i="2"/>
  <c r="EK320" i="2" s="1"/>
  <c r="ED320" i="2"/>
  <c r="EW320" i="2" s="1"/>
  <c r="DQ320" i="2"/>
  <c r="EJ320" i="2" s="1"/>
  <c r="EC320" i="2"/>
  <c r="EV320" i="2" s="1"/>
  <c r="DP320" i="2"/>
  <c r="EI320" i="2" s="1"/>
  <c r="EB320" i="2"/>
  <c r="EU320" i="2" s="1"/>
  <c r="EA320" i="2"/>
  <c r="ET320" i="2" s="1"/>
  <c r="DZ320" i="2"/>
  <c r="ES320" i="2" s="1"/>
  <c r="GO451" i="2"/>
  <c r="ED451" i="2"/>
  <c r="EW451" i="2" s="1"/>
  <c r="EC451" i="2"/>
  <c r="EV451" i="2" s="1"/>
  <c r="EB451" i="2"/>
  <c r="EU451" i="2" s="1"/>
  <c r="EA451" i="2"/>
  <c r="ET451" i="2" s="1"/>
  <c r="DX451" i="2"/>
  <c r="EQ451" i="2" s="1"/>
  <c r="DV451" i="2"/>
  <c r="EO451" i="2" s="1"/>
  <c r="DU451" i="2"/>
  <c r="EN451" i="2" s="1"/>
  <c r="DT451" i="2"/>
  <c r="EM451" i="2" s="1"/>
  <c r="DS451" i="2"/>
  <c r="EL451" i="2" s="1"/>
  <c r="EH451" i="2"/>
  <c r="FA451" i="2" s="1"/>
  <c r="DR451" i="2"/>
  <c r="EK451" i="2" s="1"/>
  <c r="EG451" i="2"/>
  <c r="EZ451" i="2" s="1"/>
  <c r="EE451" i="2"/>
  <c r="EX451" i="2" s="1"/>
  <c r="AE458" i="2"/>
  <c r="EE458" i="2"/>
  <c r="EX458" i="2" s="1"/>
  <c r="DQ458" i="2"/>
  <c r="EJ458" i="2" s="1"/>
  <c r="ED458" i="2"/>
  <c r="EW458" i="2" s="1"/>
  <c r="EC458" i="2"/>
  <c r="EV458" i="2" s="1"/>
  <c r="EB458" i="2"/>
  <c r="EU458" i="2" s="1"/>
  <c r="EA458" i="2"/>
  <c r="ET458" i="2" s="1"/>
  <c r="DY458" i="2"/>
  <c r="ER458" i="2" s="1"/>
  <c r="DX458" i="2"/>
  <c r="EQ458" i="2" s="1"/>
  <c r="DV458" i="2"/>
  <c r="EO458" i="2" s="1"/>
  <c r="DU458" i="2"/>
  <c r="EN458" i="2" s="1"/>
  <c r="DT458" i="2"/>
  <c r="EM458" i="2" s="1"/>
  <c r="EH458" i="2"/>
  <c r="FA458" i="2" s="1"/>
  <c r="DS458" i="2"/>
  <c r="EL458" i="2" s="1"/>
  <c r="EG458" i="2"/>
  <c r="EZ458" i="2" s="1"/>
  <c r="DR458" i="2"/>
  <c r="EK458" i="2" s="1"/>
  <c r="AO207" i="2"/>
  <c r="DZ207" i="2" s="1"/>
  <c r="ES207" i="2" s="1"/>
  <c r="DR207" i="2"/>
  <c r="EK207" i="2" s="1"/>
  <c r="EH207" i="2"/>
  <c r="FA207" i="2" s="1"/>
  <c r="EG207" i="2"/>
  <c r="EZ207" i="2" s="1"/>
  <c r="EE207" i="2"/>
  <c r="EX207" i="2" s="1"/>
  <c r="ED207" i="2"/>
  <c r="EW207" i="2" s="1"/>
  <c r="EC207" i="2"/>
  <c r="EV207" i="2" s="1"/>
  <c r="EB207" i="2"/>
  <c r="EU207" i="2" s="1"/>
  <c r="EA207" i="2"/>
  <c r="ET207" i="2" s="1"/>
  <c r="DV207" i="2"/>
  <c r="EO207" i="2" s="1"/>
  <c r="DU207" i="2"/>
  <c r="EN207" i="2" s="1"/>
  <c r="DT207" i="2"/>
  <c r="EM207" i="2" s="1"/>
  <c r="DS207" i="2"/>
  <c r="EL207" i="2" s="1"/>
  <c r="GW485" i="2"/>
  <c r="HZ30" i="2" s="1"/>
  <c r="FK485" i="2"/>
  <c r="GD485" i="2" s="1"/>
  <c r="FJ485" i="2"/>
  <c r="GC485" i="2" s="1"/>
  <c r="FH485" i="2"/>
  <c r="GA485" i="2" s="1"/>
  <c r="FG485" i="2"/>
  <c r="FZ485" i="2" s="1"/>
  <c r="FT485" i="2"/>
  <c r="GM485" i="2" s="1"/>
  <c r="FF485" i="2"/>
  <c r="FY485" i="2" s="1"/>
  <c r="FS485" i="2"/>
  <c r="GL485" i="2" s="1"/>
  <c r="FE485" i="2"/>
  <c r="FX485" i="2" s="1"/>
  <c r="FQ485" i="2"/>
  <c r="GJ485" i="2" s="1"/>
  <c r="FD485" i="2"/>
  <c r="FW485" i="2" s="1"/>
  <c r="FP485" i="2"/>
  <c r="GI485" i="2" s="1"/>
  <c r="FC485" i="2"/>
  <c r="FV485" i="2" s="1"/>
  <c r="FN485" i="2"/>
  <c r="GG485" i="2" s="1"/>
  <c r="FM485" i="2"/>
  <c r="GF485" i="2" s="1"/>
  <c r="FB485" i="2"/>
  <c r="FU485" i="2" s="1"/>
  <c r="FO485" i="2"/>
  <c r="GH485" i="2" s="1"/>
  <c r="FL485" i="2"/>
  <c r="GE485" i="2" s="1"/>
  <c r="FN208" i="2"/>
  <c r="GG208" i="2" s="1"/>
  <c r="FK208" i="2"/>
  <c r="GD208" i="2" s="1"/>
  <c r="FH208" i="2"/>
  <c r="GA208" i="2" s="1"/>
  <c r="FG208" i="2"/>
  <c r="FZ208" i="2" s="1"/>
  <c r="FF208" i="2"/>
  <c r="FY208" i="2" s="1"/>
  <c r="FE208" i="2"/>
  <c r="FX208" i="2" s="1"/>
  <c r="FP208" i="2"/>
  <c r="GI208" i="2" s="1"/>
  <c r="FB208" i="2"/>
  <c r="FU208" i="2" s="1"/>
  <c r="FO208" i="2"/>
  <c r="GH208" i="2" s="1"/>
  <c r="FM208" i="2"/>
  <c r="GF208" i="2" s="1"/>
  <c r="FL208" i="2"/>
  <c r="GE208" i="2" s="1"/>
  <c r="FD208" i="2"/>
  <c r="FW208" i="2" s="1"/>
  <c r="FC208" i="2"/>
  <c r="FV208" i="2" s="1"/>
  <c r="FT208" i="2"/>
  <c r="GM208" i="2" s="1"/>
  <c r="FS208" i="2"/>
  <c r="GL208" i="2" s="1"/>
  <c r="FO230" i="2"/>
  <c r="GH230" i="2" s="1"/>
  <c r="FN230" i="2"/>
  <c r="GG230" i="2" s="1"/>
  <c r="FK230" i="2"/>
  <c r="GD230" i="2" s="1"/>
  <c r="FG230" i="2"/>
  <c r="FZ230" i="2" s="1"/>
  <c r="FF230" i="2"/>
  <c r="FY230" i="2" s="1"/>
  <c r="FE230" i="2"/>
  <c r="FX230" i="2" s="1"/>
  <c r="FS230" i="2"/>
  <c r="GL230" i="2" s="1"/>
  <c r="FC230" i="2"/>
  <c r="FV230" i="2" s="1"/>
  <c r="FT230" i="2"/>
  <c r="GM230" i="2" s="1"/>
  <c r="FP230" i="2"/>
  <c r="GI230" i="2" s="1"/>
  <c r="FM230" i="2"/>
  <c r="GF230" i="2" s="1"/>
  <c r="FL230" i="2"/>
  <c r="GE230" i="2" s="1"/>
  <c r="FH230" i="2"/>
  <c r="GA230" i="2" s="1"/>
  <c r="FD230" i="2"/>
  <c r="FW230" i="2" s="1"/>
  <c r="FB230" i="2"/>
  <c r="FU230" i="2" s="1"/>
  <c r="DU234" i="2"/>
  <c r="EN234" i="2" s="1"/>
  <c r="EH234" i="2"/>
  <c r="FA234" i="2" s="1"/>
  <c r="DT234" i="2"/>
  <c r="EM234" i="2" s="1"/>
  <c r="ED234" i="2"/>
  <c r="EW234" i="2" s="1"/>
  <c r="DQ234" i="2"/>
  <c r="EJ234" i="2" s="1"/>
  <c r="EB234" i="2"/>
  <c r="EU234" i="2" s="1"/>
  <c r="EA234" i="2"/>
  <c r="ET234" i="2" s="1"/>
  <c r="DZ234" i="2"/>
  <c r="ES234" i="2" s="1"/>
  <c r="DX234" i="2"/>
  <c r="EQ234" i="2" s="1"/>
  <c r="EG234" i="2"/>
  <c r="EZ234" i="2" s="1"/>
  <c r="EE234" i="2"/>
  <c r="EX234" i="2" s="1"/>
  <c r="EC234" i="2"/>
  <c r="EV234" i="2" s="1"/>
  <c r="DY234" i="2"/>
  <c r="ER234" i="2" s="1"/>
  <c r="DV234" i="2"/>
  <c r="EO234" i="2" s="1"/>
  <c r="DS234" i="2"/>
  <c r="EL234" i="2" s="1"/>
  <c r="DR234" i="2"/>
  <c r="EK234" i="2" s="1"/>
  <c r="DP234" i="2"/>
  <c r="EI234" i="2" s="1"/>
  <c r="DW16" i="2"/>
  <c r="EP16" i="2" s="1"/>
  <c r="DV16" i="2"/>
  <c r="EO16" i="2" s="1"/>
  <c r="EE16" i="2"/>
  <c r="EX16" i="2" s="1"/>
  <c r="DS16" i="2"/>
  <c r="EL16" i="2" s="1"/>
  <c r="EC16" i="2"/>
  <c r="EV16" i="2" s="1"/>
  <c r="DQ16" i="2"/>
  <c r="EJ16" i="2" s="1"/>
  <c r="EB16" i="2"/>
  <c r="EU16" i="2" s="1"/>
  <c r="DP16" i="2"/>
  <c r="EI16" i="2" s="1"/>
  <c r="EA16" i="2"/>
  <c r="ET16" i="2" s="1"/>
  <c r="DY16" i="2"/>
  <c r="ER16" i="2" s="1"/>
  <c r="ED16" i="2"/>
  <c r="EW16" i="2" s="1"/>
  <c r="DZ16" i="2"/>
  <c r="ES16" i="2" s="1"/>
  <c r="DX16" i="2"/>
  <c r="EQ16" i="2" s="1"/>
  <c r="DU16" i="2"/>
  <c r="EN16" i="2" s="1"/>
  <c r="DT16" i="2"/>
  <c r="EM16" i="2" s="1"/>
  <c r="DR16" i="2"/>
  <c r="EK16" i="2" s="1"/>
  <c r="EH16" i="2"/>
  <c r="FA16" i="2" s="1"/>
  <c r="EG16" i="2"/>
  <c r="EZ16" i="2" s="1"/>
  <c r="GO256" i="2"/>
  <c r="EH256" i="2"/>
  <c r="FA256" i="2" s="1"/>
  <c r="DU256" i="2"/>
  <c r="EN256" i="2" s="1"/>
  <c r="EG256" i="2"/>
  <c r="EZ256" i="2" s="1"/>
  <c r="DT256" i="2"/>
  <c r="EM256" i="2" s="1"/>
  <c r="EE256" i="2"/>
  <c r="EX256" i="2" s="1"/>
  <c r="DS256" i="2"/>
  <c r="EL256" i="2" s="1"/>
  <c r="ED256" i="2"/>
  <c r="EW256" i="2" s="1"/>
  <c r="DR256" i="2"/>
  <c r="EK256" i="2" s="1"/>
  <c r="EC256" i="2"/>
  <c r="EV256" i="2" s="1"/>
  <c r="DQ256" i="2"/>
  <c r="EJ256" i="2" s="1"/>
  <c r="EB256" i="2"/>
  <c r="EU256" i="2" s="1"/>
  <c r="DP256" i="2"/>
  <c r="EI256" i="2" s="1"/>
  <c r="EA256" i="2"/>
  <c r="ET256" i="2" s="1"/>
  <c r="DZ256" i="2"/>
  <c r="ES256" i="2" s="1"/>
  <c r="DY256" i="2"/>
  <c r="ER256" i="2" s="1"/>
  <c r="DX256" i="2"/>
  <c r="EQ256" i="2" s="1"/>
  <c r="DW256" i="2"/>
  <c r="EP256" i="2" s="1"/>
  <c r="DV256" i="2"/>
  <c r="EO256" i="2" s="1"/>
  <c r="DW274" i="2"/>
  <c r="EP274" i="2" s="1"/>
  <c r="EE278" i="2"/>
  <c r="EX278" i="2" s="1"/>
  <c r="FJ513" i="2"/>
  <c r="GC513" i="2" s="1"/>
  <c r="GO443" i="2"/>
  <c r="DU443" i="2"/>
  <c r="EN443" i="2" s="1"/>
  <c r="EE443" i="2"/>
  <c r="EX443" i="2" s="1"/>
  <c r="DR443" i="2"/>
  <c r="EK443" i="2" s="1"/>
  <c r="EC443" i="2"/>
  <c r="EV443" i="2" s="1"/>
  <c r="EB443" i="2"/>
  <c r="EU443" i="2" s="1"/>
  <c r="DZ443" i="2"/>
  <c r="ES443" i="2" s="1"/>
  <c r="DV443" i="2"/>
  <c r="EO443" i="2" s="1"/>
  <c r="DT443" i="2"/>
  <c r="EM443" i="2" s="1"/>
  <c r="DS443" i="2"/>
  <c r="EL443" i="2" s="1"/>
  <c r="EH443" i="2"/>
  <c r="FA443" i="2" s="1"/>
  <c r="DY443" i="2"/>
  <c r="ER443" i="2" s="1"/>
  <c r="EG443" i="2"/>
  <c r="EZ443" i="2" s="1"/>
  <c r="DZ444" i="2"/>
  <c r="ES444" i="2" s="1"/>
  <c r="CX560" i="2"/>
  <c r="FJ560" i="2" s="1"/>
  <c r="GC560" i="2" s="1"/>
  <c r="FF560" i="2"/>
  <c r="FY560" i="2" s="1"/>
  <c r="FT560" i="2"/>
  <c r="GM560" i="2" s="1"/>
  <c r="FE560" i="2"/>
  <c r="FX560" i="2" s="1"/>
  <c r="FP560" i="2"/>
  <c r="GI560" i="2" s="1"/>
  <c r="FO560" i="2"/>
  <c r="GH560" i="2" s="1"/>
  <c r="FN560" i="2"/>
  <c r="GG560" i="2" s="1"/>
  <c r="FM560" i="2"/>
  <c r="GF560" i="2" s="1"/>
  <c r="FG560" i="2"/>
  <c r="FZ560" i="2" s="1"/>
  <c r="FS560" i="2"/>
  <c r="GL560" i="2" s="1"/>
  <c r="FQ560" i="2"/>
  <c r="GJ560" i="2" s="1"/>
  <c r="FL560" i="2"/>
  <c r="GE560" i="2" s="1"/>
  <c r="FH560" i="2"/>
  <c r="GA560" i="2" s="1"/>
  <c r="FD560" i="2"/>
  <c r="FW560" i="2" s="1"/>
  <c r="FK560" i="2"/>
  <c r="GD560" i="2" s="1"/>
  <c r="GO625" i="2"/>
  <c r="GP625" i="2" s="1"/>
  <c r="GQ625" i="2" s="1"/>
  <c r="DW625" i="2"/>
  <c r="EP625" i="2" s="1"/>
  <c r="DV625" i="2"/>
  <c r="EO625" i="2" s="1"/>
  <c r="EH625" i="2"/>
  <c r="FA625" i="2" s="1"/>
  <c r="DU625" i="2"/>
  <c r="EN625" i="2" s="1"/>
  <c r="EG625" i="2"/>
  <c r="EZ625" i="2" s="1"/>
  <c r="DT625" i="2"/>
  <c r="EM625" i="2" s="1"/>
  <c r="EE625" i="2"/>
  <c r="EX625" i="2" s="1"/>
  <c r="DS625" i="2"/>
  <c r="EL625" i="2" s="1"/>
  <c r="ED625" i="2"/>
  <c r="EW625" i="2" s="1"/>
  <c r="DR625" i="2"/>
  <c r="EK625" i="2" s="1"/>
  <c r="EC625" i="2"/>
  <c r="EV625" i="2" s="1"/>
  <c r="DQ625" i="2"/>
  <c r="EJ625" i="2" s="1"/>
  <c r="EB625" i="2"/>
  <c r="EU625" i="2" s="1"/>
  <c r="DP625" i="2"/>
  <c r="EI625" i="2" s="1"/>
  <c r="EA625" i="2"/>
  <c r="ET625" i="2" s="1"/>
  <c r="DZ625" i="2"/>
  <c r="ES625" i="2" s="1"/>
  <c r="DX625" i="2"/>
  <c r="EQ625" i="2" s="1"/>
  <c r="DY625" i="2"/>
  <c r="ER625" i="2" s="1"/>
  <c r="GO25" i="2"/>
  <c r="EH25" i="2"/>
  <c r="FA25" i="2" s="1"/>
  <c r="DT25" i="2"/>
  <c r="EM25" i="2" s="1"/>
  <c r="EG25" i="2"/>
  <c r="EZ25" i="2" s="1"/>
  <c r="DS25" i="2"/>
  <c r="EL25" i="2" s="1"/>
  <c r="EE25" i="2"/>
  <c r="EX25" i="2" s="1"/>
  <c r="DR25" i="2"/>
  <c r="EK25" i="2" s="1"/>
  <c r="ED25" i="2"/>
  <c r="EW25" i="2" s="1"/>
  <c r="DQ25" i="2"/>
  <c r="EJ25" i="2" s="1"/>
  <c r="EC25" i="2"/>
  <c r="EV25" i="2" s="1"/>
  <c r="DP25" i="2"/>
  <c r="EI25" i="2" s="1"/>
  <c r="EB25" i="2"/>
  <c r="EU25" i="2" s="1"/>
  <c r="EA25" i="2"/>
  <c r="ET25" i="2" s="1"/>
  <c r="DZ25" i="2"/>
  <c r="ES25" i="2" s="1"/>
  <c r="DY25" i="2"/>
  <c r="ER25" i="2" s="1"/>
  <c r="DX25" i="2"/>
  <c r="EQ25" i="2" s="1"/>
  <c r="DU25" i="2"/>
  <c r="EN25" i="2" s="1"/>
  <c r="DV25" i="2"/>
  <c r="EO25" i="2" s="1"/>
  <c r="EO442" i="2"/>
  <c r="EO413" i="2"/>
  <c r="EO418" i="2"/>
  <c r="EO412" i="2"/>
  <c r="EO382" i="2"/>
  <c r="EO421" i="2"/>
  <c r="EO405" i="2"/>
  <c r="EO414" i="2"/>
  <c r="EO411" i="2"/>
  <c r="EO388" i="2"/>
  <c r="EO399" i="2"/>
  <c r="EO398" i="2"/>
  <c r="EO87" i="2"/>
  <c r="EO391" i="2"/>
  <c r="EO419" i="2"/>
  <c r="EO148" i="2"/>
  <c r="EO350" i="2"/>
  <c r="EO610" i="2"/>
  <c r="EO468" i="2"/>
  <c r="EO48" i="2"/>
  <c r="EO272" i="2"/>
  <c r="EO349" i="2"/>
  <c r="EO348" i="2"/>
  <c r="EO128" i="2"/>
  <c r="EO46" i="2"/>
  <c r="EO512" i="2"/>
  <c r="EO147" i="2"/>
  <c r="EO146" i="2"/>
  <c r="EO276" i="2"/>
  <c r="EO603" i="2"/>
  <c r="EO275" i="2"/>
  <c r="EO266" i="2"/>
  <c r="EO214" i="2"/>
  <c r="EO85" i="2"/>
  <c r="EO246" i="2"/>
  <c r="EO18" i="2"/>
  <c r="EO550" i="2"/>
  <c r="EO118" i="2"/>
  <c r="EO105" i="2"/>
  <c r="EO595" i="2"/>
  <c r="EO36" i="2"/>
  <c r="EO132" i="2"/>
  <c r="EO126" i="2"/>
  <c r="EO599" i="2"/>
  <c r="EO103" i="2"/>
  <c r="EO598" i="2"/>
  <c r="EO232" i="2"/>
  <c r="EO548" i="2"/>
  <c r="EO596" i="2"/>
  <c r="EO42" i="2"/>
  <c r="EO591" i="2"/>
  <c r="EO13" i="2"/>
  <c r="EO40" i="2"/>
  <c r="EO11" i="2"/>
  <c r="EO538" i="2"/>
  <c r="EO24" i="2"/>
  <c r="EO536" i="2"/>
  <c r="EO529" i="2"/>
  <c r="EO494" i="2"/>
  <c r="EO500" i="2"/>
  <c r="EO368" i="2"/>
  <c r="EO472" i="2"/>
  <c r="EO69" i="2"/>
  <c r="EO6" i="2"/>
  <c r="EO226" i="2"/>
  <c r="EO579" i="2"/>
  <c r="EO527" i="2"/>
  <c r="EO101" i="2"/>
  <c r="EO577" i="2"/>
  <c r="EO124" i="2"/>
  <c r="EO473" i="2"/>
  <c r="EO154" i="2"/>
  <c r="EO163" i="2"/>
  <c r="EO157" i="2"/>
  <c r="EO149" i="2"/>
  <c r="GA90" i="2"/>
  <c r="GG90" i="2"/>
  <c r="ES91" i="2"/>
  <c r="FW91" i="2"/>
  <c r="EQ92" i="2"/>
  <c r="FW92" i="2"/>
  <c r="EQ519" i="2"/>
  <c r="FU519" i="2"/>
  <c r="GG519" i="2"/>
  <c r="ER49" i="2"/>
  <c r="FV49" i="2"/>
  <c r="FA56" i="2"/>
  <c r="GF56" i="2"/>
  <c r="EN57" i="2"/>
  <c r="GE60" i="2"/>
  <c r="GE61" i="2"/>
  <c r="FV89" i="2"/>
  <c r="GH89" i="2"/>
  <c r="GW298" i="2"/>
  <c r="FQ298" i="2"/>
  <c r="GJ298" i="2" s="1"/>
  <c r="FD298" i="2"/>
  <c r="FW298" i="2" s="1"/>
  <c r="FP298" i="2"/>
  <c r="GI298" i="2" s="1"/>
  <c r="FC298" i="2"/>
  <c r="FV298" i="2" s="1"/>
  <c r="FO298" i="2"/>
  <c r="GH298" i="2" s="1"/>
  <c r="FB298" i="2"/>
  <c r="FU298" i="2" s="1"/>
  <c r="FN298" i="2"/>
  <c r="GG298" i="2" s="1"/>
  <c r="FM298" i="2"/>
  <c r="GF298" i="2" s="1"/>
  <c r="FL298" i="2"/>
  <c r="GE298" i="2" s="1"/>
  <c r="FK298" i="2"/>
  <c r="GD298" i="2" s="1"/>
  <c r="FJ298" i="2"/>
  <c r="GC298" i="2" s="1"/>
  <c r="FH298" i="2"/>
  <c r="GA298" i="2" s="1"/>
  <c r="FG298" i="2"/>
  <c r="FZ298" i="2" s="1"/>
  <c r="FT298" i="2"/>
  <c r="GM298" i="2" s="1"/>
  <c r="FF298" i="2"/>
  <c r="FY298" i="2" s="1"/>
  <c r="FS298" i="2"/>
  <c r="GL298" i="2" s="1"/>
  <c r="FE298" i="2"/>
  <c r="FX298" i="2" s="1"/>
  <c r="DX144" i="2"/>
  <c r="EQ144" i="2" s="1"/>
  <c r="DV144" i="2"/>
  <c r="EO144" i="2" s="1"/>
  <c r="DU144" i="2"/>
  <c r="EN144" i="2" s="1"/>
  <c r="EH144" i="2"/>
  <c r="FA144" i="2" s="1"/>
  <c r="DT144" i="2"/>
  <c r="EM144" i="2" s="1"/>
  <c r="EG144" i="2"/>
  <c r="EZ144" i="2" s="1"/>
  <c r="DS144" i="2"/>
  <c r="EL144" i="2" s="1"/>
  <c r="EE144" i="2"/>
  <c r="EX144" i="2" s="1"/>
  <c r="DR144" i="2"/>
  <c r="EK144" i="2" s="1"/>
  <c r="ED144" i="2"/>
  <c r="EW144" i="2" s="1"/>
  <c r="DQ144" i="2"/>
  <c r="EJ144" i="2" s="1"/>
  <c r="EC144" i="2"/>
  <c r="EV144" i="2" s="1"/>
  <c r="DP144" i="2"/>
  <c r="EI144" i="2" s="1"/>
  <c r="EB144" i="2"/>
  <c r="EU144" i="2" s="1"/>
  <c r="EA144" i="2"/>
  <c r="ET144" i="2" s="1"/>
  <c r="DZ144" i="2"/>
  <c r="ES144" i="2" s="1"/>
  <c r="DY144" i="2"/>
  <c r="ER144" i="2" s="1"/>
  <c r="AL160" i="2"/>
  <c r="Q286" i="2"/>
  <c r="GT286" i="2" s="1"/>
  <c r="EB286" i="2"/>
  <c r="EU286" i="2" s="1"/>
  <c r="EA286" i="2"/>
  <c r="ET286" i="2" s="1"/>
  <c r="DZ286" i="2"/>
  <c r="ES286" i="2" s="1"/>
  <c r="DY286" i="2"/>
  <c r="ER286" i="2" s="1"/>
  <c r="DX286" i="2"/>
  <c r="EQ286" i="2" s="1"/>
  <c r="DV286" i="2"/>
  <c r="EO286" i="2" s="1"/>
  <c r="DU286" i="2"/>
  <c r="EN286" i="2" s="1"/>
  <c r="EH286" i="2"/>
  <c r="FA286" i="2" s="1"/>
  <c r="DT286" i="2"/>
  <c r="EM286" i="2" s="1"/>
  <c r="EG286" i="2"/>
  <c r="EZ286" i="2" s="1"/>
  <c r="DS286" i="2"/>
  <c r="EL286" i="2" s="1"/>
  <c r="EE286" i="2"/>
  <c r="EX286" i="2" s="1"/>
  <c r="DR286" i="2"/>
  <c r="EK286" i="2" s="1"/>
  <c r="ED286" i="2"/>
  <c r="EW286" i="2" s="1"/>
  <c r="DQ286" i="2"/>
  <c r="EJ286" i="2" s="1"/>
  <c r="EC286" i="2"/>
  <c r="EV286" i="2" s="1"/>
  <c r="DP286" i="2"/>
  <c r="EI286" i="2" s="1"/>
  <c r="EH452" i="2"/>
  <c r="FA452" i="2" s="1"/>
  <c r="DS452" i="2"/>
  <c r="EL452" i="2" s="1"/>
  <c r="EG452" i="2"/>
  <c r="EZ452" i="2" s="1"/>
  <c r="DR452" i="2"/>
  <c r="EK452" i="2" s="1"/>
  <c r="EE452" i="2"/>
  <c r="EX452" i="2" s="1"/>
  <c r="DQ452" i="2"/>
  <c r="EJ452" i="2" s="1"/>
  <c r="ED452" i="2"/>
  <c r="EW452" i="2" s="1"/>
  <c r="EC452" i="2"/>
  <c r="EV452" i="2" s="1"/>
  <c r="EB452" i="2"/>
  <c r="EU452" i="2" s="1"/>
  <c r="EA452" i="2"/>
  <c r="ET452" i="2" s="1"/>
  <c r="DZ452" i="2"/>
  <c r="ES452" i="2" s="1"/>
  <c r="DY452" i="2"/>
  <c r="ER452" i="2" s="1"/>
  <c r="DV452" i="2"/>
  <c r="EO452" i="2" s="1"/>
  <c r="DU452" i="2"/>
  <c r="EN452" i="2" s="1"/>
  <c r="DT452" i="2"/>
  <c r="EM452" i="2" s="1"/>
  <c r="EG497" i="2"/>
  <c r="EZ497" i="2" s="1"/>
  <c r="DS497" i="2"/>
  <c r="EL497" i="2" s="1"/>
  <c r="EE497" i="2"/>
  <c r="EX497" i="2" s="1"/>
  <c r="DR497" i="2"/>
  <c r="EK497" i="2" s="1"/>
  <c r="ED497" i="2"/>
  <c r="EW497" i="2" s="1"/>
  <c r="DQ497" i="2"/>
  <c r="EJ497" i="2" s="1"/>
  <c r="EC497" i="2"/>
  <c r="EV497" i="2" s="1"/>
  <c r="DP497" i="2"/>
  <c r="EI497" i="2" s="1"/>
  <c r="EB497" i="2"/>
  <c r="EU497" i="2" s="1"/>
  <c r="EA497" i="2"/>
  <c r="ET497" i="2" s="1"/>
  <c r="DZ497" i="2"/>
  <c r="ES497" i="2" s="1"/>
  <c r="DY497" i="2"/>
  <c r="ER497" i="2" s="1"/>
  <c r="DV497" i="2"/>
  <c r="EO497" i="2" s="1"/>
  <c r="DU497" i="2"/>
  <c r="EN497" i="2" s="1"/>
  <c r="EH497" i="2"/>
  <c r="FA497" i="2" s="1"/>
  <c r="DX497" i="2"/>
  <c r="EQ497" i="2" s="1"/>
  <c r="DT497" i="2"/>
  <c r="EM497" i="2" s="1"/>
  <c r="DM631" i="2"/>
  <c r="DV631" i="2"/>
  <c r="EO631" i="2" s="1"/>
  <c r="EH631" i="2"/>
  <c r="FA631" i="2" s="1"/>
  <c r="DU631" i="2"/>
  <c r="EN631" i="2" s="1"/>
  <c r="EG631" i="2"/>
  <c r="EZ631" i="2" s="1"/>
  <c r="DT631" i="2"/>
  <c r="EM631" i="2" s="1"/>
  <c r="EE631" i="2"/>
  <c r="EX631" i="2" s="1"/>
  <c r="ED631" i="2"/>
  <c r="EW631" i="2" s="1"/>
  <c r="DR631" i="2"/>
  <c r="EK631" i="2" s="1"/>
  <c r="EC631" i="2"/>
  <c r="EV631" i="2" s="1"/>
  <c r="DQ631" i="2"/>
  <c r="EJ631" i="2" s="1"/>
  <c r="EB631" i="2"/>
  <c r="EU631" i="2" s="1"/>
  <c r="DP631" i="2"/>
  <c r="EI631" i="2" s="1"/>
  <c r="EA631" i="2"/>
  <c r="ET631" i="2" s="1"/>
  <c r="DY631" i="2"/>
  <c r="ER631" i="2" s="1"/>
  <c r="DX631" i="2"/>
  <c r="EQ631" i="2" s="1"/>
  <c r="DZ631" i="2"/>
  <c r="ES631" i="2" s="1"/>
  <c r="DW631" i="2"/>
  <c r="EP631" i="2" s="1"/>
  <c r="R209" i="2"/>
  <c r="DY209" i="2"/>
  <c r="ER209" i="2" s="1"/>
  <c r="DT209" i="2"/>
  <c r="EM209" i="2" s="1"/>
  <c r="DS209" i="2"/>
  <c r="EL209" i="2" s="1"/>
  <c r="EH209" i="2"/>
  <c r="FA209" i="2" s="1"/>
  <c r="DR209" i="2"/>
  <c r="EK209" i="2" s="1"/>
  <c r="EG209" i="2"/>
  <c r="EZ209" i="2" s="1"/>
  <c r="DQ209" i="2"/>
  <c r="EJ209" i="2" s="1"/>
  <c r="ED209" i="2"/>
  <c r="EW209" i="2" s="1"/>
  <c r="DP209" i="2"/>
  <c r="EI209" i="2" s="1"/>
  <c r="EA209" i="2"/>
  <c r="ET209" i="2" s="1"/>
  <c r="EC209" i="2"/>
  <c r="EV209" i="2" s="1"/>
  <c r="EB209" i="2"/>
  <c r="EU209" i="2" s="1"/>
  <c r="DZ209" i="2"/>
  <c r="ES209" i="2" s="1"/>
  <c r="DU209" i="2"/>
  <c r="EN209" i="2" s="1"/>
  <c r="DV209" i="2"/>
  <c r="EO209" i="2" s="1"/>
  <c r="CC229" i="2"/>
  <c r="FM229" i="2"/>
  <c r="GF229" i="2" s="1"/>
  <c r="FL229" i="2"/>
  <c r="GE229" i="2" s="1"/>
  <c r="FG229" i="2"/>
  <c r="FZ229" i="2" s="1"/>
  <c r="FE229" i="2"/>
  <c r="FX229" i="2" s="1"/>
  <c r="FT229" i="2"/>
  <c r="GM229" i="2" s="1"/>
  <c r="FD229" i="2"/>
  <c r="FW229" i="2" s="1"/>
  <c r="FS229" i="2"/>
  <c r="GL229" i="2" s="1"/>
  <c r="FC229" i="2"/>
  <c r="FV229" i="2" s="1"/>
  <c r="FO229" i="2"/>
  <c r="GH229" i="2" s="1"/>
  <c r="FP229" i="2"/>
  <c r="GI229" i="2" s="1"/>
  <c r="FN229" i="2"/>
  <c r="GG229" i="2" s="1"/>
  <c r="FK229" i="2"/>
  <c r="GD229" i="2" s="1"/>
  <c r="FH229" i="2"/>
  <c r="GA229" i="2" s="1"/>
  <c r="FF229" i="2"/>
  <c r="FY229" i="2" s="1"/>
  <c r="FB229" i="2"/>
  <c r="FU229" i="2" s="1"/>
  <c r="BG231" i="2"/>
  <c r="GV231" i="2" s="1"/>
  <c r="DY231" i="2"/>
  <c r="ER231" i="2" s="1"/>
  <c r="DX231" i="2"/>
  <c r="EQ231" i="2" s="1"/>
  <c r="EH231" i="2"/>
  <c r="FA231" i="2" s="1"/>
  <c r="DT231" i="2"/>
  <c r="EM231" i="2" s="1"/>
  <c r="EE231" i="2"/>
  <c r="EX231" i="2" s="1"/>
  <c r="DR231" i="2"/>
  <c r="EK231" i="2" s="1"/>
  <c r="ED231" i="2"/>
  <c r="EW231" i="2" s="1"/>
  <c r="DQ231" i="2"/>
  <c r="EJ231" i="2" s="1"/>
  <c r="EC231" i="2"/>
  <c r="EV231" i="2" s="1"/>
  <c r="DP231" i="2"/>
  <c r="EI231" i="2" s="1"/>
  <c r="EA231" i="2"/>
  <c r="ET231" i="2" s="1"/>
  <c r="DU231" i="2"/>
  <c r="EN231" i="2" s="1"/>
  <c r="DS231" i="2"/>
  <c r="EL231" i="2" s="1"/>
  <c r="EG231" i="2"/>
  <c r="EZ231" i="2" s="1"/>
  <c r="EB231" i="2"/>
  <c r="EU231" i="2" s="1"/>
  <c r="DZ231" i="2"/>
  <c r="ES231" i="2" s="1"/>
  <c r="DV231" i="2"/>
  <c r="EO231" i="2" s="1"/>
  <c r="DE217" i="2"/>
  <c r="FQ217" i="2" s="1"/>
  <c r="GJ217" i="2" s="1"/>
  <c r="FF217" i="2"/>
  <c r="FY217" i="2" s="1"/>
  <c r="FO217" i="2"/>
  <c r="GH217" i="2" s="1"/>
  <c r="FB217" i="2"/>
  <c r="FU217" i="2" s="1"/>
  <c r="FM217" i="2"/>
  <c r="GF217" i="2" s="1"/>
  <c r="FL217" i="2"/>
  <c r="GE217" i="2" s="1"/>
  <c r="FG217" i="2"/>
  <c r="FZ217" i="2" s="1"/>
  <c r="FJ217" i="2"/>
  <c r="GC217" i="2" s="1"/>
  <c r="FH217" i="2"/>
  <c r="GA217" i="2" s="1"/>
  <c r="FE217" i="2"/>
  <c r="FX217" i="2" s="1"/>
  <c r="FD217" i="2"/>
  <c r="FW217" i="2" s="1"/>
  <c r="FC217" i="2"/>
  <c r="FV217" i="2" s="1"/>
  <c r="FT217" i="2"/>
  <c r="GM217" i="2" s="1"/>
  <c r="FS217" i="2"/>
  <c r="GL217" i="2" s="1"/>
  <c r="FP217" i="2"/>
  <c r="GI217" i="2" s="1"/>
  <c r="FK217" i="2"/>
  <c r="GD217" i="2" s="1"/>
  <c r="FN217" i="2"/>
  <c r="GG217" i="2" s="1"/>
  <c r="GO277" i="2"/>
  <c r="DR277" i="2"/>
  <c r="EK277" i="2" s="1"/>
  <c r="DZ277" i="2"/>
  <c r="ES277" i="2" s="1"/>
  <c r="DS277" i="2"/>
  <c r="EL277" i="2" s="1"/>
  <c r="EB277" i="2"/>
  <c r="EU277" i="2" s="1"/>
  <c r="DY277" i="2"/>
  <c r="ER277" i="2" s="1"/>
  <c r="DU277" i="2"/>
  <c r="EN277" i="2" s="1"/>
  <c r="DQ277" i="2"/>
  <c r="EJ277" i="2" s="1"/>
  <c r="DP277" i="2"/>
  <c r="EI277" i="2" s="1"/>
  <c r="EH277" i="2"/>
  <c r="FA277" i="2" s="1"/>
  <c r="EC277" i="2"/>
  <c r="EV277" i="2" s="1"/>
  <c r="EG277" i="2"/>
  <c r="EZ277" i="2" s="1"/>
  <c r="EA277" i="2"/>
  <c r="ET277" i="2" s="1"/>
  <c r="DV277" i="2"/>
  <c r="EO277" i="2" s="1"/>
  <c r="DT277" i="2"/>
  <c r="EM277" i="2" s="1"/>
  <c r="CP48" i="2"/>
  <c r="FB48" i="2" s="1"/>
  <c r="FU48" i="2" s="1"/>
  <c r="FP48" i="2"/>
  <c r="GI48" i="2" s="1"/>
  <c r="FC48" i="2"/>
  <c r="FV48" i="2" s="1"/>
  <c r="FL48" i="2"/>
  <c r="GE48" i="2" s="1"/>
  <c r="FJ48" i="2"/>
  <c r="GC48" i="2" s="1"/>
  <c r="FH48" i="2"/>
  <c r="GA48" i="2" s="1"/>
  <c r="FQ48" i="2"/>
  <c r="GJ48" i="2" s="1"/>
  <c r="FD48" i="2"/>
  <c r="FW48" i="2" s="1"/>
  <c r="FT48" i="2"/>
  <c r="GM48" i="2" s="1"/>
  <c r="FS48" i="2"/>
  <c r="GL48" i="2" s="1"/>
  <c r="FO48" i="2"/>
  <c r="GH48" i="2" s="1"/>
  <c r="FN48" i="2"/>
  <c r="GG48" i="2" s="1"/>
  <c r="FM48" i="2"/>
  <c r="GF48" i="2" s="1"/>
  <c r="FK48" i="2"/>
  <c r="GD48" i="2" s="1"/>
  <c r="FG48" i="2"/>
  <c r="FZ48" i="2" s="1"/>
  <c r="FF48" i="2"/>
  <c r="FY48" i="2" s="1"/>
  <c r="FE48" i="2"/>
  <c r="FX48" i="2" s="1"/>
  <c r="DM145" i="2"/>
  <c r="ED145" i="2"/>
  <c r="EW145" i="2" s="1"/>
  <c r="DR145" i="2"/>
  <c r="EK145" i="2" s="1"/>
  <c r="DZ145" i="2"/>
  <c r="ES145" i="2" s="1"/>
  <c r="DX145" i="2"/>
  <c r="EQ145" i="2" s="1"/>
  <c r="EE145" i="2"/>
  <c r="EX145" i="2" s="1"/>
  <c r="DS145" i="2"/>
  <c r="EL145" i="2" s="1"/>
  <c r="EG145" i="2"/>
  <c r="EZ145" i="2" s="1"/>
  <c r="EC145" i="2"/>
  <c r="EV145" i="2" s="1"/>
  <c r="EB145" i="2"/>
  <c r="EU145" i="2" s="1"/>
  <c r="EA145" i="2"/>
  <c r="ET145" i="2" s="1"/>
  <c r="DY145" i="2"/>
  <c r="ER145" i="2" s="1"/>
  <c r="DV145" i="2"/>
  <c r="EO145" i="2" s="1"/>
  <c r="DU145" i="2"/>
  <c r="EN145" i="2" s="1"/>
  <c r="DT145" i="2"/>
  <c r="EM145" i="2" s="1"/>
  <c r="DQ145" i="2"/>
  <c r="EJ145" i="2" s="1"/>
  <c r="DP145" i="2"/>
  <c r="EI145" i="2" s="1"/>
  <c r="EH145" i="2"/>
  <c r="FA145" i="2" s="1"/>
  <c r="ES442" i="2"/>
  <c r="DW626" i="2"/>
  <c r="EP626" i="2" s="1"/>
  <c r="DV626" i="2"/>
  <c r="EO626" i="2" s="1"/>
  <c r="EH626" i="2"/>
  <c r="DU626" i="2"/>
  <c r="EN626" i="2" s="1"/>
  <c r="EG626" i="2"/>
  <c r="EZ626" i="2" s="1"/>
  <c r="DT626" i="2"/>
  <c r="EM626" i="2" s="1"/>
  <c r="EE626" i="2"/>
  <c r="EX626" i="2" s="1"/>
  <c r="DS626" i="2"/>
  <c r="EL626" i="2" s="1"/>
  <c r="ED626" i="2"/>
  <c r="EW626" i="2" s="1"/>
  <c r="DR626" i="2"/>
  <c r="EK626" i="2" s="1"/>
  <c r="EC626" i="2"/>
  <c r="EV626" i="2" s="1"/>
  <c r="DQ626" i="2"/>
  <c r="EJ626" i="2" s="1"/>
  <c r="EB626" i="2"/>
  <c r="EU626" i="2" s="1"/>
  <c r="DP626" i="2"/>
  <c r="EI626" i="2" s="1"/>
  <c r="EA626" i="2"/>
  <c r="ET626" i="2" s="1"/>
  <c r="DZ626" i="2"/>
  <c r="ES626" i="2" s="1"/>
  <c r="DX626" i="2"/>
  <c r="EQ626" i="2" s="1"/>
  <c r="DY626" i="2"/>
  <c r="ER626" i="2" s="1"/>
  <c r="GO26" i="2"/>
  <c r="EH26" i="2"/>
  <c r="FA26" i="2" s="1"/>
  <c r="DS26" i="2"/>
  <c r="EL26" i="2" s="1"/>
  <c r="EG26" i="2"/>
  <c r="EZ26" i="2" s="1"/>
  <c r="DR26" i="2"/>
  <c r="EK26" i="2" s="1"/>
  <c r="EE26" i="2"/>
  <c r="EX26" i="2" s="1"/>
  <c r="DQ26" i="2"/>
  <c r="EJ26" i="2" s="1"/>
  <c r="ED26" i="2"/>
  <c r="EW26" i="2" s="1"/>
  <c r="EC26" i="2"/>
  <c r="EV26" i="2" s="1"/>
  <c r="EB26" i="2"/>
  <c r="EU26" i="2" s="1"/>
  <c r="EA26" i="2"/>
  <c r="ET26" i="2" s="1"/>
  <c r="DZ26" i="2"/>
  <c r="ES26" i="2" s="1"/>
  <c r="DY26" i="2"/>
  <c r="ER26" i="2" s="1"/>
  <c r="DV26" i="2"/>
  <c r="EO26" i="2" s="1"/>
  <c r="DT26" i="2"/>
  <c r="EM26" i="2" s="1"/>
  <c r="DU26" i="2"/>
  <c r="EN26" i="2" s="1"/>
  <c r="EI91" i="2"/>
  <c r="ES92" i="2"/>
  <c r="ES519" i="2"/>
  <c r="FW55" i="2"/>
  <c r="EQ81" i="2"/>
  <c r="FW81" i="2"/>
  <c r="EQ56" i="2"/>
  <c r="GF67" i="2"/>
  <c r="EN68" i="2"/>
  <c r="AL303" i="2"/>
  <c r="EC303" i="2"/>
  <c r="EV303" i="2" s="1"/>
  <c r="DP303" i="2"/>
  <c r="EI303" i="2" s="1"/>
  <c r="EB303" i="2"/>
  <c r="EU303" i="2" s="1"/>
  <c r="EA303" i="2"/>
  <c r="ET303" i="2" s="1"/>
  <c r="DZ303" i="2"/>
  <c r="ES303" i="2" s="1"/>
  <c r="DY303" i="2"/>
  <c r="ER303" i="2" s="1"/>
  <c r="DV303" i="2"/>
  <c r="EO303" i="2" s="1"/>
  <c r="DU303" i="2"/>
  <c r="EN303" i="2" s="1"/>
  <c r="EH303" i="2"/>
  <c r="FA303" i="2" s="1"/>
  <c r="DT303" i="2"/>
  <c r="EM303" i="2" s="1"/>
  <c r="EG303" i="2"/>
  <c r="EZ303" i="2" s="1"/>
  <c r="DS303" i="2"/>
  <c r="EL303" i="2" s="1"/>
  <c r="EE303" i="2"/>
  <c r="EX303" i="2" s="1"/>
  <c r="DR303" i="2"/>
  <c r="EK303" i="2" s="1"/>
  <c r="ED303" i="2"/>
  <c r="EW303" i="2" s="1"/>
  <c r="DQ303" i="2"/>
  <c r="EJ303" i="2" s="1"/>
  <c r="GO310" i="2"/>
  <c r="EH310" i="2"/>
  <c r="FA310" i="2" s="1"/>
  <c r="DT310" i="2"/>
  <c r="EM310" i="2" s="1"/>
  <c r="EG310" i="2"/>
  <c r="EZ310" i="2" s="1"/>
  <c r="DS310" i="2"/>
  <c r="EL310" i="2" s="1"/>
  <c r="EE310" i="2"/>
  <c r="EX310" i="2" s="1"/>
  <c r="DR310" i="2"/>
  <c r="EK310" i="2" s="1"/>
  <c r="ED310" i="2"/>
  <c r="EW310" i="2" s="1"/>
  <c r="DQ310" i="2"/>
  <c r="EJ310" i="2" s="1"/>
  <c r="EC310" i="2"/>
  <c r="EV310" i="2" s="1"/>
  <c r="DP310" i="2"/>
  <c r="EI310" i="2" s="1"/>
  <c r="EB310" i="2"/>
  <c r="EU310" i="2" s="1"/>
  <c r="EA310" i="2"/>
  <c r="ET310" i="2" s="1"/>
  <c r="DZ310" i="2"/>
  <c r="ES310" i="2" s="1"/>
  <c r="DY310" i="2"/>
  <c r="ER310" i="2" s="1"/>
  <c r="DX310" i="2"/>
  <c r="EQ310" i="2" s="1"/>
  <c r="DV310" i="2"/>
  <c r="EO310" i="2" s="1"/>
  <c r="DU310" i="2"/>
  <c r="EN310" i="2" s="1"/>
  <c r="AL317" i="2"/>
  <c r="DV317" i="2"/>
  <c r="EO317" i="2" s="1"/>
  <c r="DU317" i="2"/>
  <c r="EN317" i="2" s="1"/>
  <c r="EH317" i="2"/>
  <c r="FA317" i="2" s="1"/>
  <c r="DT317" i="2"/>
  <c r="EM317" i="2" s="1"/>
  <c r="EG317" i="2"/>
  <c r="EZ317" i="2" s="1"/>
  <c r="DS317" i="2"/>
  <c r="EL317" i="2" s="1"/>
  <c r="EE317" i="2"/>
  <c r="EX317" i="2" s="1"/>
  <c r="DR317" i="2"/>
  <c r="EK317" i="2" s="1"/>
  <c r="ED317" i="2"/>
  <c r="EW317" i="2" s="1"/>
  <c r="DQ317" i="2"/>
  <c r="EJ317" i="2" s="1"/>
  <c r="EC317" i="2"/>
  <c r="EV317" i="2" s="1"/>
  <c r="DP317" i="2"/>
  <c r="EI317" i="2" s="1"/>
  <c r="EB317" i="2"/>
  <c r="EU317" i="2" s="1"/>
  <c r="EA317" i="2"/>
  <c r="ET317" i="2" s="1"/>
  <c r="DZ317" i="2"/>
  <c r="ES317" i="2" s="1"/>
  <c r="DY317" i="2"/>
  <c r="ER317" i="2" s="1"/>
  <c r="DX317" i="2"/>
  <c r="EQ317" i="2" s="1"/>
  <c r="DT486" i="2"/>
  <c r="EM486" i="2" s="1"/>
  <c r="EH486" i="2"/>
  <c r="FA486" i="2" s="1"/>
  <c r="DS486" i="2"/>
  <c r="EL486" i="2" s="1"/>
  <c r="EG486" i="2"/>
  <c r="EZ486" i="2" s="1"/>
  <c r="DR486" i="2"/>
  <c r="EK486" i="2" s="1"/>
  <c r="EE486" i="2"/>
  <c r="EX486" i="2" s="1"/>
  <c r="DQ486" i="2"/>
  <c r="EJ486" i="2" s="1"/>
  <c r="ED486" i="2"/>
  <c r="EW486" i="2" s="1"/>
  <c r="EC486" i="2"/>
  <c r="EV486" i="2" s="1"/>
  <c r="EB486" i="2"/>
  <c r="EU486" i="2" s="1"/>
  <c r="EA486" i="2"/>
  <c r="ET486" i="2" s="1"/>
  <c r="DZ486" i="2"/>
  <c r="ES486" i="2" s="1"/>
  <c r="DY486" i="2"/>
  <c r="ER486" i="2" s="1"/>
  <c r="DV486" i="2"/>
  <c r="EO486" i="2" s="1"/>
  <c r="DU486" i="2"/>
  <c r="EN486" i="2" s="1"/>
  <c r="EC244" i="2"/>
  <c r="EV244" i="2" s="1"/>
  <c r="DQ244" i="2"/>
  <c r="EJ244" i="2" s="1"/>
  <c r="EB244" i="2"/>
  <c r="EU244" i="2" s="1"/>
  <c r="DP244" i="2"/>
  <c r="EI244" i="2" s="1"/>
  <c r="EA244" i="2"/>
  <c r="ET244" i="2" s="1"/>
  <c r="DZ244" i="2"/>
  <c r="ES244" i="2" s="1"/>
  <c r="DY244" i="2"/>
  <c r="ER244" i="2" s="1"/>
  <c r="DX244" i="2"/>
  <c r="EQ244" i="2" s="1"/>
  <c r="DW244" i="2"/>
  <c r="EP244" i="2" s="1"/>
  <c r="DV244" i="2"/>
  <c r="EO244" i="2" s="1"/>
  <c r="EH244" i="2"/>
  <c r="FA244" i="2" s="1"/>
  <c r="DU244" i="2"/>
  <c r="EG244" i="2"/>
  <c r="EZ244" i="2" s="1"/>
  <c r="DT244" i="2"/>
  <c r="EM244" i="2" s="1"/>
  <c r="EE244" i="2"/>
  <c r="EX244" i="2" s="1"/>
  <c r="DS244" i="2"/>
  <c r="EL244" i="2" s="1"/>
  <c r="ED244" i="2"/>
  <c r="EW244" i="2" s="1"/>
  <c r="DR244" i="2"/>
  <c r="EK244" i="2" s="1"/>
  <c r="Q215" i="2"/>
  <c r="GT215" i="2" s="1"/>
  <c r="DU215" i="2"/>
  <c r="EN215" i="2" s="1"/>
  <c r="DT215" i="2"/>
  <c r="EM215" i="2" s="1"/>
  <c r="EH215" i="2"/>
  <c r="FA215" i="2" s="1"/>
  <c r="DS215" i="2"/>
  <c r="EL215" i="2" s="1"/>
  <c r="EG215" i="2"/>
  <c r="EZ215" i="2" s="1"/>
  <c r="DR215" i="2"/>
  <c r="EK215" i="2" s="1"/>
  <c r="EE215" i="2"/>
  <c r="EX215" i="2" s="1"/>
  <c r="DQ215" i="2"/>
  <c r="EJ215" i="2" s="1"/>
  <c r="ED215" i="2"/>
  <c r="EW215" i="2" s="1"/>
  <c r="DP215" i="2"/>
  <c r="EI215" i="2" s="1"/>
  <c r="EC215" i="2"/>
  <c r="EV215" i="2" s="1"/>
  <c r="EB215" i="2"/>
  <c r="EU215" i="2" s="1"/>
  <c r="EA215" i="2"/>
  <c r="ET215" i="2" s="1"/>
  <c r="DZ215" i="2"/>
  <c r="ES215" i="2" s="1"/>
  <c r="DY215" i="2"/>
  <c r="ER215" i="2" s="1"/>
  <c r="DV215" i="2"/>
  <c r="EO215" i="2" s="1"/>
  <c r="DM471" i="2"/>
  <c r="DY471" i="2"/>
  <c r="ER471" i="2" s="1"/>
  <c r="DX471" i="2"/>
  <c r="EQ471" i="2" s="1"/>
  <c r="EH471" i="2"/>
  <c r="FA471" i="2" s="1"/>
  <c r="DU471" i="2"/>
  <c r="EN471" i="2" s="1"/>
  <c r="EG471" i="2"/>
  <c r="EZ471" i="2" s="1"/>
  <c r="DT471" i="2"/>
  <c r="EM471" i="2" s="1"/>
  <c r="EE471" i="2"/>
  <c r="EX471" i="2" s="1"/>
  <c r="DS471" i="2"/>
  <c r="EL471" i="2" s="1"/>
  <c r="ED471" i="2"/>
  <c r="EW471" i="2" s="1"/>
  <c r="DR471" i="2"/>
  <c r="EK471" i="2" s="1"/>
  <c r="DZ471" i="2"/>
  <c r="ES471" i="2" s="1"/>
  <c r="EC471" i="2"/>
  <c r="EV471" i="2" s="1"/>
  <c r="EB471" i="2"/>
  <c r="EU471" i="2" s="1"/>
  <c r="EA471" i="2"/>
  <c r="ET471" i="2" s="1"/>
  <c r="DW471" i="2"/>
  <c r="EP471" i="2" s="1"/>
  <c r="DV471" i="2"/>
  <c r="EO471" i="2" s="1"/>
  <c r="DQ471" i="2"/>
  <c r="EJ471" i="2" s="1"/>
  <c r="DP471" i="2"/>
  <c r="EI471" i="2" s="1"/>
  <c r="DX504" i="2"/>
  <c r="EQ504" i="2" s="1"/>
  <c r="EI49" i="2"/>
  <c r="EQ58" i="2"/>
  <c r="EQ59" i="2"/>
  <c r="ES89" i="2"/>
  <c r="AL96" i="2"/>
  <c r="EG96" i="2"/>
  <c r="EZ96" i="2" s="1"/>
  <c r="DS96" i="2"/>
  <c r="EL96" i="2" s="1"/>
  <c r="EE96" i="2"/>
  <c r="EX96" i="2" s="1"/>
  <c r="DR96" i="2"/>
  <c r="EK96" i="2" s="1"/>
  <c r="ED96" i="2"/>
  <c r="EW96" i="2" s="1"/>
  <c r="DQ96" i="2"/>
  <c r="EJ96" i="2" s="1"/>
  <c r="EC96" i="2"/>
  <c r="EV96" i="2" s="1"/>
  <c r="DP96" i="2"/>
  <c r="EI96" i="2" s="1"/>
  <c r="EB96" i="2"/>
  <c r="EU96" i="2" s="1"/>
  <c r="EA96" i="2"/>
  <c r="ET96" i="2" s="1"/>
  <c r="DZ96" i="2"/>
  <c r="ES96" i="2" s="1"/>
  <c r="DY96" i="2"/>
  <c r="ER96" i="2" s="1"/>
  <c r="DX96" i="2"/>
  <c r="EQ96" i="2" s="1"/>
  <c r="DV96" i="2"/>
  <c r="EO96" i="2" s="1"/>
  <c r="DU96" i="2"/>
  <c r="EN96" i="2" s="1"/>
  <c r="EH96" i="2"/>
  <c r="FA96" i="2" s="1"/>
  <c r="DT96" i="2"/>
  <c r="EM96" i="2" s="1"/>
  <c r="EA470" i="2"/>
  <c r="ET470" i="2" s="1"/>
  <c r="DZ470" i="2"/>
  <c r="ES470" i="2" s="1"/>
  <c r="DW470" i="2"/>
  <c r="EP470" i="2" s="1"/>
  <c r="DV470" i="2"/>
  <c r="EO470" i="2" s="1"/>
  <c r="EH470" i="2"/>
  <c r="FA470" i="2" s="1"/>
  <c r="DU470" i="2"/>
  <c r="EN470" i="2" s="1"/>
  <c r="EG470" i="2"/>
  <c r="EZ470" i="2" s="1"/>
  <c r="DT470" i="2"/>
  <c r="EM470" i="2" s="1"/>
  <c r="EB470" i="2"/>
  <c r="EU470" i="2" s="1"/>
  <c r="DP470" i="2"/>
  <c r="EI470" i="2" s="1"/>
  <c r="EE470" i="2"/>
  <c r="EX470" i="2" s="1"/>
  <c r="ED470" i="2"/>
  <c r="EW470" i="2" s="1"/>
  <c r="EC470" i="2"/>
  <c r="EV470" i="2" s="1"/>
  <c r="DY470" i="2"/>
  <c r="ER470" i="2" s="1"/>
  <c r="DX470" i="2"/>
  <c r="EQ470" i="2" s="1"/>
  <c r="DS470" i="2"/>
  <c r="EL470" i="2" s="1"/>
  <c r="DQ470" i="2"/>
  <c r="EJ470" i="2" s="1"/>
  <c r="DR470" i="2"/>
  <c r="EK470" i="2" s="1"/>
  <c r="EQ563" i="2"/>
  <c r="EQ561" i="2"/>
  <c r="EQ403" i="2"/>
  <c r="EQ401" i="2"/>
  <c r="EQ400" i="2"/>
  <c r="EQ393" i="2"/>
  <c r="EQ392" i="2"/>
  <c r="EQ351" i="2"/>
  <c r="EQ201" i="2"/>
  <c r="EQ175" i="2"/>
  <c r="EQ114" i="2"/>
  <c r="EQ109" i="2"/>
  <c r="EQ475" i="2"/>
  <c r="EQ360" i="2"/>
  <c r="EQ33" i="2"/>
  <c r="EQ341" i="2"/>
  <c r="EQ23" i="2"/>
  <c r="EQ347" i="2"/>
  <c r="EQ141" i="2"/>
  <c r="EQ336" i="2"/>
  <c r="EQ140" i="2"/>
  <c r="EQ99" i="2"/>
  <c r="EQ366" i="2"/>
  <c r="EQ115" i="2"/>
  <c r="EQ98" i="2"/>
  <c r="EQ466" i="2"/>
  <c r="EQ623" i="2"/>
  <c r="EQ622" i="2"/>
  <c r="EQ492" i="2"/>
  <c r="EQ186" i="2"/>
  <c r="DU177" i="2"/>
  <c r="EN177" i="2" s="1"/>
  <c r="EH177" i="2"/>
  <c r="FA177" i="2" s="1"/>
  <c r="DT177" i="2"/>
  <c r="EM177" i="2" s="1"/>
  <c r="EG177" i="2"/>
  <c r="EZ177" i="2" s="1"/>
  <c r="DS177" i="2"/>
  <c r="EL177" i="2" s="1"/>
  <c r="EE177" i="2"/>
  <c r="EX177" i="2" s="1"/>
  <c r="DR177" i="2"/>
  <c r="EK177" i="2" s="1"/>
  <c r="ED177" i="2"/>
  <c r="EW177" i="2" s="1"/>
  <c r="DQ177" i="2"/>
  <c r="EJ177" i="2" s="1"/>
  <c r="EC177" i="2"/>
  <c r="EV177" i="2" s="1"/>
  <c r="DP177" i="2"/>
  <c r="EI177" i="2" s="1"/>
  <c r="EB177" i="2"/>
  <c r="EU177" i="2" s="1"/>
  <c r="EA177" i="2"/>
  <c r="ET177" i="2" s="1"/>
  <c r="DZ177" i="2"/>
  <c r="ES177" i="2" s="1"/>
  <c r="DY177" i="2"/>
  <c r="ER177" i="2" s="1"/>
  <c r="DX177" i="2"/>
  <c r="EQ177" i="2" s="1"/>
  <c r="DV177" i="2"/>
  <c r="EO177" i="2" s="1"/>
  <c r="DX303" i="2"/>
  <c r="EQ303" i="2" s="1"/>
  <c r="DV453" i="2"/>
  <c r="EO453" i="2" s="1"/>
  <c r="DU453" i="2"/>
  <c r="EN453" i="2" s="1"/>
  <c r="DT453" i="2"/>
  <c r="EM453" i="2" s="1"/>
  <c r="EH453" i="2"/>
  <c r="FA453" i="2" s="1"/>
  <c r="DS453" i="2"/>
  <c r="EL453" i="2" s="1"/>
  <c r="EG453" i="2"/>
  <c r="EZ453" i="2" s="1"/>
  <c r="DR453" i="2"/>
  <c r="EK453" i="2" s="1"/>
  <c r="EE453" i="2"/>
  <c r="EX453" i="2" s="1"/>
  <c r="DQ453" i="2"/>
  <c r="EJ453" i="2" s="1"/>
  <c r="ED453" i="2"/>
  <c r="EW453" i="2" s="1"/>
  <c r="EC453" i="2"/>
  <c r="EV453" i="2" s="1"/>
  <c r="EB453" i="2"/>
  <c r="EU453" i="2" s="1"/>
  <c r="EA453" i="2"/>
  <c r="ET453" i="2" s="1"/>
  <c r="DZ453" i="2"/>
  <c r="ES453" i="2" s="1"/>
  <c r="DY453" i="2"/>
  <c r="ER453" i="2" s="1"/>
  <c r="DU333" i="2"/>
  <c r="EN333" i="2" s="1"/>
  <c r="DT333" i="2"/>
  <c r="EM333" i="2" s="1"/>
  <c r="DS333" i="2"/>
  <c r="EL333" i="2" s="1"/>
  <c r="DR333" i="2"/>
  <c r="EK333" i="2" s="1"/>
  <c r="DQ333" i="2"/>
  <c r="EJ333" i="2" s="1"/>
  <c r="EH333" i="2"/>
  <c r="FA333" i="2" s="1"/>
  <c r="DP333" i="2"/>
  <c r="EI333" i="2" s="1"/>
  <c r="EG333" i="2"/>
  <c r="EZ333" i="2" s="1"/>
  <c r="ED333" i="2"/>
  <c r="EW333" i="2" s="1"/>
  <c r="EC333" i="2"/>
  <c r="EV333" i="2" s="1"/>
  <c r="EB333" i="2"/>
  <c r="EU333" i="2" s="1"/>
  <c r="EA333" i="2"/>
  <c r="ET333" i="2" s="1"/>
  <c r="DV333" i="2"/>
  <c r="EO333" i="2" s="1"/>
  <c r="GO369" i="2"/>
  <c r="HQ27" i="2" s="1"/>
  <c r="EE369" i="2"/>
  <c r="EX369" i="2" s="1"/>
  <c r="DS369" i="2"/>
  <c r="EL369" i="2" s="1"/>
  <c r="ED369" i="2"/>
  <c r="EW369" i="2" s="1"/>
  <c r="DR369" i="2"/>
  <c r="EK369" i="2" s="1"/>
  <c r="EA369" i="2"/>
  <c r="ET369" i="2" s="1"/>
  <c r="DZ369" i="2"/>
  <c r="ES369" i="2" s="1"/>
  <c r="DY369" i="2"/>
  <c r="ER369" i="2" s="1"/>
  <c r="DX369" i="2"/>
  <c r="EQ369" i="2" s="1"/>
  <c r="DV369" i="2"/>
  <c r="EO369" i="2" s="1"/>
  <c r="EH369" i="2"/>
  <c r="FA369" i="2" s="1"/>
  <c r="DU369" i="2"/>
  <c r="EN369" i="2" s="1"/>
  <c r="EB369" i="2"/>
  <c r="EU369" i="2" s="1"/>
  <c r="DW369" i="2"/>
  <c r="EP369" i="2" s="1"/>
  <c r="DT369" i="2"/>
  <c r="EM369" i="2" s="1"/>
  <c r="DQ369" i="2"/>
  <c r="EJ369" i="2" s="1"/>
  <c r="DP369" i="2"/>
  <c r="EI369" i="2" s="1"/>
  <c r="EG369" i="2"/>
  <c r="EZ369" i="2" s="1"/>
  <c r="EC369" i="2"/>
  <c r="EV369" i="2" s="1"/>
  <c r="R34" i="2"/>
  <c r="DY34" i="2"/>
  <c r="ER34" i="2" s="1"/>
  <c r="DU34" i="2"/>
  <c r="EN34" i="2" s="1"/>
  <c r="DT34" i="2"/>
  <c r="EM34" i="2" s="1"/>
  <c r="DS34" i="2"/>
  <c r="EL34" i="2" s="1"/>
  <c r="EH34" i="2"/>
  <c r="FA34" i="2" s="1"/>
  <c r="DR34" i="2"/>
  <c r="EK34" i="2" s="1"/>
  <c r="EG34" i="2"/>
  <c r="EZ34" i="2" s="1"/>
  <c r="EE34" i="2"/>
  <c r="EX34" i="2" s="1"/>
  <c r="ED34" i="2"/>
  <c r="EW34" i="2" s="1"/>
  <c r="EC34" i="2"/>
  <c r="EV34" i="2" s="1"/>
  <c r="EB34" i="2"/>
  <c r="EU34" i="2" s="1"/>
  <c r="EA34" i="2"/>
  <c r="ET34" i="2" s="1"/>
  <c r="DZ34" i="2"/>
  <c r="ES34" i="2" s="1"/>
  <c r="FJ375" i="2"/>
  <c r="GC375" i="2" s="1"/>
  <c r="EH543" i="2"/>
  <c r="FA543" i="2" s="1"/>
  <c r="DT543" i="2"/>
  <c r="EM543" i="2" s="1"/>
  <c r="EG543" i="2"/>
  <c r="EZ543" i="2" s="1"/>
  <c r="DS543" i="2"/>
  <c r="EL543" i="2" s="1"/>
  <c r="EC543" i="2"/>
  <c r="EV543" i="2" s="1"/>
  <c r="EA543" i="2"/>
  <c r="ET543" i="2" s="1"/>
  <c r="DZ543" i="2"/>
  <c r="ES543" i="2" s="1"/>
  <c r="DY543" i="2"/>
  <c r="ER543" i="2" s="1"/>
  <c r="DV543" i="2"/>
  <c r="EO543" i="2" s="1"/>
  <c r="DU543" i="2"/>
  <c r="EN543" i="2" s="1"/>
  <c r="DR543" i="2"/>
  <c r="EK543" i="2" s="1"/>
  <c r="DQ543" i="2"/>
  <c r="EJ543" i="2" s="1"/>
  <c r="EE543" i="2"/>
  <c r="EX543" i="2" s="1"/>
  <c r="ED543" i="2"/>
  <c r="EW543" i="2" s="1"/>
  <c r="EB543" i="2"/>
  <c r="EU543" i="2" s="1"/>
  <c r="DX543" i="2"/>
  <c r="EQ543" i="2" s="1"/>
  <c r="Q235" i="2"/>
  <c r="GT235" i="2" s="1"/>
  <c r="DV235" i="2"/>
  <c r="EO235" i="2" s="1"/>
  <c r="DU235" i="2"/>
  <c r="EN235" i="2" s="1"/>
  <c r="EH235" i="2"/>
  <c r="FA235" i="2" s="1"/>
  <c r="DR235" i="2"/>
  <c r="EK235" i="2" s="1"/>
  <c r="ED235" i="2"/>
  <c r="EW235" i="2" s="1"/>
  <c r="DP235" i="2"/>
  <c r="EI235" i="2" s="1"/>
  <c r="EC235" i="2"/>
  <c r="EV235" i="2" s="1"/>
  <c r="EB235" i="2"/>
  <c r="EU235" i="2" s="1"/>
  <c r="DZ235" i="2"/>
  <c r="ES235" i="2" s="1"/>
  <c r="EG235" i="2"/>
  <c r="EZ235" i="2" s="1"/>
  <c r="EA235" i="2"/>
  <c r="ET235" i="2" s="1"/>
  <c r="DY235" i="2"/>
  <c r="ER235" i="2" s="1"/>
  <c r="DT235" i="2"/>
  <c r="EM235" i="2" s="1"/>
  <c r="DS235" i="2"/>
  <c r="EL235" i="2" s="1"/>
  <c r="DQ235" i="2"/>
  <c r="EJ235" i="2" s="1"/>
  <c r="AL112" i="2"/>
  <c r="GU112" i="2" s="1"/>
  <c r="DV112" i="2"/>
  <c r="EO112" i="2" s="1"/>
  <c r="DU112" i="2"/>
  <c r="EN112" i="2" s="1"/>
  <c r="EG112" i="2"/>
  <c r="EZ112" i="2" s="1"/>
  <c r="DR112" i="2"/>
  <c r="EK112" i="2" s="1"/>
  <c r="EC112" i="2"/>
  <c r="EV112" i="2" s="1"/>
  <c r="DP112" i="2"/>
  <c r="EI112" i="2" s="1"/>
  <c r="EB112" i="2"/>
  <c r="EU112" i="2" s="1"/>
  <c r="EA112" i="2"/>
  <c r="ET112" i="2" s="1"/>
  <c r="DX112" i="2"/>
  <c r="EQ112" i="2" s="1"/>
  <c r="EH112" i="2"/>
  <c r="FA112" i="2" s="1"/>
  <c r="ED112" i="2"/>
  <c r="EW112" i="2" s="1"/>
  <c r="DZ112" i="2"/>
  <c r="ES112" i="2" s="1"/>
  <c r="DY112" i="2"/>
  <c r="ER112" i="2" s="1"/>
  <c r="DT112" i="2"/>
  <c r="EM112" i="2" s="1"/>
  <c r="DS112" i="2"/>
  <c r="EL112" i="2" s="1"/>
  <c r="DQ112" i="2"/>
  <c r="EJ112" i="2" s="1"/>
  <c r="GO218" i="2"/>
  <c r="EC218" i="2"/>
  <c r="EV218" i="2" s="1"/>
  <c r="DP218" i="2"/>
  <c r="EI218" i="2" s="1"/>
  <c r="DY218" i="2"/>
  <c r="ER218" i="2" s="1"/>
  <c r="DV218" i="2"/>
  <c r="EO218" i="2" s="1"/>
  <c r="DU218" i="2"/>
  <c r="EN218" i="2" s="1"/>
  <c r="ED218" i="2"/>
  <c r="EW218" i="2" s="1"/>
  <c r="DQ218" i="2"/>
  <c r="EJ218" i="2" s="1"/>
  <c r="EB218" i="2"/>
  <c r="EU218" i="2" s="1"/>
  <c r="EA218" i="2"/>
  <c r="ET218" i="2" s="1"/>
  <c r="DZ218" i="2"/>
  <c r="ES218" i="2" s="1"/>
  <c r="DX218" i="2"/>
  <c r="EQ218" i="2" s="1"/>
  <c r="DT218" i="2"/>
  <c r="EM218" i="2" s="1"/>
  <c r="DS218" i="2"/>
  <c r="EL218" i="2" s="1"/>
  <c r="DR218" i="2"/>
  <c r="EK218" i="2" s="1"/>
  <c r="EG218" i="2"/>
  <c r="EZ218" i="2" s="1"/>
  <c r="EH218" i="2"/>
  <c r="FA218" i="2" s="1"/>
  <c r="DX277" i="2"/>
  <c r="EQ277" i="2" s="1"/>
  <c r="DX443" i="2"/>
  <c r="EQ443" i="2" s="1"/>
  <c r="AM171" i="2"/>
  <c r="DZ171" i="2"/>
  <c r="ES171" i="2" s="1"/>
  <c r="DY171" i="2"/>
  <c r="ER171" i="2" s="1"/>
  <c r="DV171" i="2"/>
  <c r="EO171" i="2" s="1"/>
  <c r="DU171" i="2"/>
  <c r="EN171" i="2" s="1"/>
  <c r="DS171" i="2"/>
  <c r="EL171" i="2" s="1"/>
  <c r="EH171" i="2"/>
  <c r="FA171" i="2" s="1"/>
  <c r="DR171" i="2"/>
  <c r="EK171" i="2" s="1"/>
  <c r="ED171" i="2"/>
  <c r="EW171" i="2" s="1"/>
  <c r="DP171" i="2"/>
  <c r="EI171" i="2" s="1"/>
  <c r="EC171" i="2"/>
  <c r="EV171" i="2" s="1"/>
  <c r="EA171" i="2"/>
  <c r="ET171" i="2" s="1"/>
  <c r="EB171" i="2"/>
  <c r="EU171" i="2" s="1"/>
  <c r="DT171" i="2"/>
  <c r="EM171" i="2" s="1"/>
  <c r="EG171" i="2"/>
  <c r="EZ171" i="2" s="1"/>
  <c r="DQ171" i="2"/>
  <c r="EJ171" i="2" s="1"/>
  <c r="DM136" i="2"/>
  <c r="ED136" i="2"/>
  <c r="EW136" i="2" s="1"/>
  <c r="DR136" i="2"/>
  <c r="EK136" i="2" s="1"/>
  <c r="EC136" i="2"/>
  <c r="EV136" i="2" s="1"/>
  <c r="DQ136" i="2"/>
  <c r="EJ136" i="2" s="1"/>
  <c r="EB136" i="2"/>
  <c r="EU136" i="2" s="1"/>
  <c r="DP136" i="2"/>
  <c r="EI136" i="2" s="1"/>
  <c r="EA136" i="2"/>
  <c r="ET136" i="2" s="1"/>
  <c r="DZ136" i="2"/>
  <c r="ES136" i="2" s="1"/>
  <c r="DY136" i="2"/>
  <c r="ER136" i="2" s="1"/>
  <c r="DX136" i="2"/>
  <c r="EQ136" i="2" s="1"/>
  <c r="DV136" i="2"/>
  <c r="EO136" i="2" s="1"/>
  <c r="EH136" i="2"/>
  <c r="FA136" i="2" s="1"/>
  <c r="DU136" i="2"/>
  <c r="EN136" i="2" s="1"/>
  <c r="EE136" i="2"/>
  <c r="EX136" i="2" s="1"/>
  <c r="DS136" i="2"/>
  <c r="EL136" i="2" s="1"/>
  <c r="EG136" i="2"/>
  <c r="EZ136" i="2" s="1"/>
  <c r="DW136" i="2"/>
  <c r="EP136" i="2" s="1"/>
  <c r="DT136" i="2"/>
  <c r="EM136" i="2" s="1"/>
  <c r="DY504" i="2"/>
  <c r="ER504" i="2" s="1"/>
  <c r="DL567" i="2"/>
  <c r="EE567" i="2"/>
  <c r="EX567" i="2" s="1"/>
  <c r="DS567" i="2"/>
  <c r="EL567" i="2" s="1"/>
  <c r="ED567" i="2"/>
  <c r="EW567" i="2" s="1"/>
  <c r="DR567" i="2"/>
  <c r="EK567" i="2" s="1"/>
  <c r="EC567" i="2"/>
  <c r="EV567" i="2" s="1"/>
  <c r="DQ567" i="2"/>
  <c r="EJ567" i="2" s="1"/>
  <c r="EA567" i="2"/>
  <c r="ET567" i="2" s="1"/>
  <c r="DZ567" i="2"/>
  <c r="ES567" i="2" s="1"/>
  <c r="DY567" i="2"/>
  <c r="ER567" i="2" s="1"/>
  <c r="DX567" i="2"/>
  <c r="EQ567" i="2" s="1"/>
  <c r="DV567" i="2"/>
  <c r="EO567" i="2" s="1"/>
  <c r="EG567" i="2"/>
  <c r="EZ567" i="2" s="1"/>
  <c r="DT567" i="2"/>
  <c r="EM567" i="2" s="1"/>
  <c r="EH567" i="2"/>
  <c r="FA567" i="2" s="1"/>
  <c r="EB567" i="2"/>
  <c r="EU567" i="2" s="1"/>
  <c r="DW567" i="2"/>
  <c r="EP567" i="2" s="1"/>
  <c r="DU567" i="2"/>
  <c r="EN567" i="2" s="1"/>
  <c r="DP567" i="2"/>
  <c r="EI567" i="2" s="1"/>
  <c r="EK91" i="2"/>
  <c r="GA91" i="2"/>
  <c r="EI92" i="2"/>
  <c r="EU92" i="2"/>
  <c r="GA92" i="2"/>
  <c r="EI519" i="2"/>
  <c r="EU519" i="2"/>
  <c r="EJ49" i="2"/>
  <c r="EV49" i="2"/>
  <c r="FZ49" i="2"/>
  <c r="ER57" i="2"/>
  <c r="FW52" i="2"/>
  <c r="EQ66" i="2"/>
  <c r="FW66" i="2"/>
  <c r="EQ67" i="2"/>
  <c r="FZ74" i="2"/>
  <c r="GM74" i="2"/>
  <c r="ET75" i="2"/>
  <c r="ES152" i="2"/>
  <c r="CB286" i="2"/>
  <c r="HB286" i="2" s="1"/>
  <c r="FH286" i="2"/>
  <c r="GA286" i="2" s="1"/>
  <c r="FG286" i="2"/>
  <c r="FZ286" i="2" s="1"/>
  <c r="FT286" i="2"/>
  <c r="GM286" i="2" s="1"/>
  <c r="FF286" i="2"/>
  <c r="FY286" i="2" s="1"/>
  <c r="FS286" i="2"/>
  <c r="GL286" i="2" s="1"/>
  <c r="FE286" i="2"/>
  <c r="FX286" i="2" s="1"/>
  <c r="FQ286" i="2"/>
  <c r="GJ286" i="2" s="1"/>
  <c r="FD286" i="2"/>
  <c r="FW286" i="2" s="1"/>
  <c r="FP286" i="2"/>
  <c r="GI286" i="2" s="1"/>
  <c r="FC286" i="2"/>
  <c r="FV286" i="2" s="1"/>
  <c r="FO286" i="2"/>
  <c r="GH286" i="2" s="1"/>
  <c r="FB286" i="2"/>
  <c r="FU286" i="2" s="1"/>
  <c r="FN286" i="2"/>
  <c r="GG286" i="2" s="1"/>
  <c r="FM286" i="2"/>
  <c r="GF286" i="2" s="1"/>
  <c r="FL286" i="2"/>
  <c r="GE286" i="2" s="1"/>
  <c r="FK286" i="2"/>
  <c r="GD286" i="2" s="1"/>
  <c r="FJ286" i="2"/>
  <c r="GC286" i="2" s="1"/>
  <c r="GO290" i="2"/>
  <c r="EH290" i="2"/>
  <c r="FA290" i="2" s="1"/>
  <c r="DT290" i="2"/>
  <c r="EM290" i="2" s="1"/>
  <c r="EG290" i="2"/>
  <c r="EZ290" i="2" s="1"/>
  <c r="DS290" i="2"/>
  <c r="EL290" i="2" s="1"/>
  <c r="EE290" i="2"/>
  <c r="EX290" i="2" s="1"/>
  <c r="DR290" i="2"/>
  <c r="EK290" i="2" s="1"/>
  <c r="ED290" i="2"/>
  <c r="EW290" i="2" s="1"/>
  <c r="DQ290" i="2"/>
  <c r="EJ290" i="2" s="1"/>
  <c r="EC290" i="2"/>
  <c r="EV290" i="2" s="1"/>
  <c r="DP290" i="2"/>
  <c r="EI290" i="2" s="1"/>
  <c r="EB290" i="2"/>
  <c r="EU290" i="2" s="1"/>
  <c r="EA290" i="2"/>
  <c r="ET290" i="2" s="1"/>
  <c r="DZ290" i="2"/>
  <c r="ES290" i="2" s="1"/>
  <c r="DY290" i="2"/>
  <c r="ER290" i="2" s="1"/>
  <c r="DX290" i="2"/>
  <c r="EQ290" i="2" s="1"/>
  <c r="DV290" i="2"/>
  <c r="EO290" i="2" s="1"/>
  <c r="DU290" i="2"/>
  <c r="EN290" i="2" s="1"/>
  <c r="EA331" i="2"/>
  <c r="ET331" i="2" s="1"/>
  <c r="DZ331" i="2"/>
  <c r="ES331" i="2" s="1"/>
  <c r="DY331" i="2"/>
  <c r="ER331" i="2" s="1"/>
  <c r="DX331" i="2"/>
  <c r="EQ331" i="2" s="1"/>
  <c r="DV331" i="2"/>
  <c r="EO331" i="2" s="1"/>
  <c r="DU331" i="2"/>
  <c r="EN331" i="2" s="1"/>
  <c r="EH331" i="2"/>
  <c r="FA331" i="2" s="1"/>
  <c r="DT331" i="2"/>
  <c r="EM331" i="2" s="1"/>
  <c r="EG331" i="2"/>
  <c r="EZ331" i="2" s="1"/>
  <c r="DS331" i="2"/>
  <c r="EL331" i="2" s="1"/>
  <c r="EE331" i="2"/>
  <c r="EX331" i="2" s="1"/>
  <c r="DR331" i="2"/>
  <c r="EK331" i="2" s="1"/>
  <c r="ED331" i="2"/>
  <c r="EW331" i="2" s="1"/>
  <c r="DQ331" i="2"/>
  <c r="EJ331" i="2" s="1"/>
  <c r="EC331" i="2"/>
  <c r="EV331" i="2" s="1"/>
  <c r="EB331" i="2"/>
  <c r="EU331" i="2" s="1"/>
  <c r="EC27" i="2"/>
  <c r="EV27" i="2" s="1"/>
  <c r="EB27" i="2"/>
  <c r="EU27" i="2" s="1"/>
  <c r="EA27" i="2"/>
  <c r="ET27" i="2" s="1"/>
  <c r="DZ27" i="2"/>
  <c r="ES27" i="2" s="1"/>
  <c r="DY27" i="2"/>
  <c r="ER27" i="2" s="1"/>
  <c r="DU27" i="2"/>
  <c r="EN27" i="2" s="1"/>
  <c r="DR27" i="2"/>
  <c r="EK27" i="2" s="1"/>
  <c r="DQ27" i="2"/>
  <c r="EJ27" i="2" s="1"/>
  <c r="EH27" i="2"/>
  <c r="FA27" i="2" s="1"/>
  <c r="EG27" i="2"/>
  <c r="EZ27" i="2" s="1"/>
  <c r="EE27" i="2"/>
  <c r="EX27" i="2" s="1"/>
  <c r="ED27" i="2"/>
  <c r="EW27" i="2" s="1"/>
  <c r="DU71" i="2"/>
  <c r="EN71" i="2" s="1"/>
  <c r="EE71" i="2"/>
  <c r="EX71" i="2" s="1"/>
  <c r="DR71" i="2"/>
  <c r="EK71" i="2" s="1"/>
  <c r="ED71" i="2"/>
  <c r="EW71" i="2" s="1"/>
  <c r="DQ71" i="2"/>
  <c r="EJ71" i="2" s="1"/>
  <c r="EC71" i="2"/>
  <c r="EV71" i="2" s="1"/>
  <c r="DP71" i="2"/>
  <c r="EI71" i="2" s="1"/>
  <c r="EB71" i="2"/>
  <c r="EU71" i="2" s="1"/>
  <c r="EA71" i="2"/>
  <c r="ET71" i="2" s="1"/>
  <c r="DX71" i="2"/>
  <c r="EQ71" i="2" s="1"/>
  <c r="EH71" i="2"/>
  <c r="FA71" i="2" s="1"/>
  <c r="EG71" i="2"/>
  <c r="EZ71" i="2" s="1"/>
  <c r="DZ71" i="2"/>
  <c r="ES71" i="2" s="1"/>
  <c r="DY71" i="2"/>
  <c r="ER71" i="2" s="1"/>
  <c r="DV71" i="2"/>
  <c r="EO71" i="2" s="1"/>
  <c r="DT71" i="2"/>
  <c r="EM71" i="2" s="1"/>
  <c r="DS71" i="2"/>
  <c r="EL71" i="2" s="1"/>
  <c r="CJ209" i="2"/>
  <c r="FE209" i="2"/>
  <c r="FX209" i="2" s="1"/>
  <c r="FP209" i="2"/>
  <c r="GI209" i="2" s="1"/>
  <c r="FB209" i="2"/>
  <c r="FU209" i="2" s="1"/>
  <c r="FO209" i="2"/>
  <c r="GH209" i="2" s="1"/>
  <c r="FN209" i="2"/>
  <c r="GG209" i="2" s="1"/>
  <c r="FM209" i="2"/>
  <c r="GF209" i="2" s="1"/>
  <c r="FL209" i="2"/>
  <c r="GE209" i="2" s="1"/>
  <c r="FG209" i="2"/>
  <c r="FZ209" i="2" s="1"/>
  <c r="FK209" i="2"/>
  <c r="GD209" i="2" s="1"/>
  <c r="FH209" i="2"/>
  <c r="GA209" i="2" s="1"/>
  <c r="FF209" i="2"/>
  <c r="FY209" i="2" s="1"/>
  <c r="FD209" i="2"/>
  <c r="FW209" i="2" s="1"/>
  <c r="FC209" i="2"/>
  <c r="FV209" i="2" s="1"/>
  <c r="FT209" i="2"/>
  <c r="GM209" i="2" s="1"/>
  <c r="FS209" i="2"/>
  <c r="GL209" i="2" s="1"/>
  <c r="DZ260" i="2"/>
  <c r="ES260" i="2" s="1"/>
  <c r="DY260" i="2"/>
  <c r="ER260" i="2" s="1"/>
  <c r="DX260" i="2"/>
  <c r="EQ260" i="2" s="1"/>
  <c r="DW260" i="2"/>
  <c r="EP260" i="2" s="1"/>
  <c r="DV260" i="2"/>
  <c r="EO260" i="2" s="1"/>
  <c r="EH260" i="2"/>
  <c r="FA260" i="2" s="1"/>
  <c r="DU260" i="2"/>
  <c r="EN260" i="2" s="1"/>
  <c r="EG260" i="2"/>
  <c r="EZ260" i="2" s="1"/>
  <c r="DT260" i="2"/>
  <c r="EM260" i="2" s="1"/>
  <c r="EE260" i="2"/>
  <c r="EX260" i="2" s="1"/>
  <c r="DS260" i="2"/>
  <c r="EL260" i="2" s="1"/>
  <c r="ED260" i="2"/>
  <c r="EW260" i="2" s="1"/>
  <c r="DR260" i="2"/>
  <c r="EK260" i="2" s="1"/>
  <c r="EC260" i="2"/>
  <c r="EV260" i="2" s="1"/>
  <c r="DQ260" i="2"/>
  <c r="EJ260" i="2" s="1"/>
  <c r="EB260" i="2"/>
  <c r="EU260" i="2" s="1"/>
  <c r="DP260" i="2"/>
  <c r="EI260" i="2" s="1"/>
  <c r="EA260" i="2"/>
  <c r="ET260" i="2" s="1"/>
  <c r="FG117" i="2"/>
  <c r="FZ117" i="2" s="1"/>
  <c r="FS117" i="2"/>
  <c r="GL117" i="2" s="1"/>
  <c r="FC117" i="2"/>
  <c r="FV117" i="2" s="1"/>
  <c r="FO117" i="2"/>
  <c r="GH117" i="2" s="1"/>
  <c r="FN117" i="2"/>
  <c r="GG117" i="2" s="1"/>
  <c r="FK117" i="2"/>
  <c r="GD117" i="2" s="1"/>
  <c r="FT117" i="2"/>
  <c r="GM117" i="2" s="1"/>
  <c r="FP117" i="2"/>
  <c r="GI117" i="2" s="1"/>
  <c r="FM117" i="2"/>
  <c r="GF117" i="2" s="1"/>
  <c r="FL117" i="2"/>
  <c r="GE117" i="2" s="1"/>
  <c r="FH117" i="2"/>
  <c r="GA117" i="2" s="1"/>
  <c r="FF117" i="2"/>
  <c r="FY117" i="2" s="1"/>
  <c r="FE117" i="2"/>
  <c r="FX117" i="2" s="1"/>
  <c r="FD117" i="2"/>
  <c r="FW117" i="2" s="1"/>
  <c r="FB117" i="2"/>
  <c r="FU117" i="2" s="1"/>
  <c r="AT108" i="2"/>
  <c r="EG108" i="2"/>
  <c r="EZ108" i="2" s="1"/>
  <c r="DR108" i="2"/>
  <c r="EK108" i="2" s="1"/>
  <c r="ED108" i="2"/>
  <c r="EW108" i="2" s="1"/>
  <c r="DQ108" i="2"/>
  <c r="EJ108" i="2" s="1"/>
  <c r="EA108" i="2"/>
  <c r="ET108" i="2" s="1"/>
  <c r="DY108" i="2"/>
  <c r="ER108" i="2" s="1"/>
  <c r="DX108" i="2"/>
  <c r="EQ108" i="2" s="1"/>
  <c r="DV108" i="2"/>
  <c r="EO108" i="2" s="1"/>
  <c r="EH108" i="2"/>
  <c r="FA108" i="2" s="1"/>
  <c r="DS108" i="2"/>
  <c r="EL108" i="2" s="1"/>
  <c r="EC108" i="2"/>
  <c r="EV108" i="2" s="1"/>
  <c r="EB108" i="2"/>
  <c r="EU108" i="2" s="1"/>
  <c r="DZ108" i="2"/>
  <c r="ES108" i="2" s="1"/>
  <c r="DU108" i="2"/>
  <c r="EN108" i="2" s="1"/>
  <c r="DT108" i="2"/>
  <c r="EM108" i="2" s="1"/>
  <c r="DP108" i="2"/>
  <c r="EI108" i="2" s="1"/>
  <c r="GO169" i="2"/>
  <c r="EB169" i="2"/>
  <c r="EU169" i="2" s="1"/>
  <c r="DX169" i="2"/>
  <c r="EQ169" i="2" s="1"/>
  <c r="DU169" i="2"/>
  <c r="EN169" i="2" s="1"/>
  <c r="DT169" i="2"/>
  <c r="EM169" i="2" s="1"/>
  <c r="EC169" i="2"/>
  <c r="EV169" i="2" s="1"/>
  <c r="DP169" i="2"/>
  <c r="EI169" i="2" s="1"/>
  <c r="ED169" i="2"/>
  <c r="EW169" i="2" s="1"/>
  <c r="DZ169" i="2"/>
  <c r="ES169" i="2" s="1"/>
  <c r="DY169" i="2"/>
  <c r="ER169" i="2" s="1"/>
  <c r="DV169" i="2"/>
  <c r="EO169" i="2" s="1"/>
  <c r="DS169" i="2"/>
  <c r="EL169" i="2" s="1"/>
  <c r="DQ169" i="2"/>
  <c r="EJ169" i="2" s="1"/>
  <c r="EH169" i="2"/>
  <c r="FA169" i="2" s="1"/>
  <c r="EG169" i="2"/>
  <c r="EZ169" i="2" s="1"/>
  <c r="EA169" i="2"/>
  <c r="ET169" i="2" s="1"/>
  <c r="DR169" i="2"/>
  <c r="EK169" i="2" s="1"/>
  <c r="ED277" i="2"/>
  <c r="EW277" i="2" s="1"/>
  <c r="DX483" i="2"/>
  <c r="EQ483" i="2" s="1"/>
  <c r="BG344" i="2"/>
  <c r="GV344" i="2" s="1"/>
  <c r="ED344" i="2"/>
  <c r="EW344" i="2" s="1"/>
  <c r="DQ344" i="2"/>
  <c r="EJ344" i="2" s="1"/>
  <c r="DZ344" i="2"/>
  <c r="ES344" i="2" s="1"/>
  <c r="DX344" i="2"/>
  <c r="EQ344" i="2" s="1"/>
  <c r="DV344" i="2"/>
  <c r="EO344" i="2" s="1"/>
  <c r="EE344" i="2"/>
  <c r="EX344" i="2" s="1"/>
  <c r="DR344" i="2"/>
  <c r="EK344" i="2" s="1"/>
  <c r="EG344" i="2"/>
  <c r="EZ344" i="2" s="1"/>
  <c r="EC344" i="2"/>
  <c r="EV344" i="2" s="1"/>
  <c r="EB344" i="2"/>
  <c r="EU344" i="2" s="1"/>
  <c r="EA344" i="2"/>
  <c r="ET344" i="2" s="1"/>
  <c r="DY344" i="2"/>
  <c r="ER344" i="2" s="1"/>
  <c r="DU344" i="2"/>
  <c r="EN344" i="2" s="1"/>
  <c r="DT344" i="2"/>
  <c r="EM344" i="2" s="1"/>
  <c r="DS344" i="2"/>
  <c r="EL344" i="2" s="1"/>
  <c r="DP344" i="2"/>
  <c r="EI344" i="2" s="1"/>
  <c r="EH344" i="2"/>
  <c r="FA344" i="2" s="1"/>
  <c r="DM553" i="2"/>
  <c r="DV553" i="2"/>
  <c r="EO553" i="2" s="1"/>
  <c r="EG553" i="2"/>
  <c r="EZ553" i="2" s="1"/>
  <c r="DS553" i="2"/>
  <c r="EL553" i="2" s="1"/>
  <c r="EE553" i="2"/>
  <c r="EX553" i="2" s="1"/>
  <c r="DR553" i="2"/>
  <c r="EK553" i="2" s="1"/>
  <c r="ED553" i="2"/>
  <c r="EW553" i="2" s="1"/>
  <c r="DQ553" i="2"/>
  <c r="EJ553" i="2" s="1"/>
  <c r="EC553" i="2"/>
  <c r="EV553" i="2" s="1"/>
  <c r="EB553" i="2"/>
  <c r="EU553" i="2" s="1"/>
  <c r="EA553" i="2"/>
  <c r="ET553" i="2" s="1"/>
  <c r="DX553" i="2"/>
  <c r="EQ553" i="2" s="1"/>
  <c r="EH553" i="2"/>
  <c r="FA553" i="2" s="1"/>
  <c r="DZ553" i="2"/>
  <c r="ES553" i="2" s="1"/>
  <c r="DY553" i="2"/>
  <c r="ER553" i="2" s="1"/>
  <c r="DU553" i="2"/>
  <c r="EN553" i="2" s="1"/>
  <c r="DT553" i="2"/>
  <c r="EM553" i="2" s="1"/>
  <c r="DZ504" i="2"/>
  <c r="ES504" i="2" s="1"/>
  <c r="GM90" i="2"/>
  <c r="EJ92" i="2"/>
  <c r="EV92" i="2"/>
  <c r="EJ519" i="2"/>
  <c r="EV519" i="2"/>
  <c r="FZ519" i="2"/>
  <c r="GM519" i="2"/>
  <c r="EK49" i="2"/>
  <c r="GA49" i="2"/>
  <c r="ER52" i="2"/>
  <c r="FZ150" i="2"/>
  <c r="GM150" i="2"/>
  <c r="ET151" i="2"/>
  <c r="Q297" i="2"/>
  <c r="GT297" i="2" s="1"/>
  <c r="DV297" i="2"/>
  <c r="EO297" i="2" s="1"/>
  <c r="DU297" i="2"/>
  <c r="EN297" i="2" s="1"/>
  <c r="EH297" i="2"/>
  <c r="FA297" i="2" s="1"/>
  <c r="DT297" i="2"/>
  <c r="EM297" i="2" s="1"/>
  <c r="EG297" i="2"/>
  <c r="EZ297" i="2" s="1"/>
  <c r="DS297" i="2"/>
  <c r="EL297" i="2" s="1"/>
  <c r="EE297" i="2"/>
  <c r="EX297" i="2" s="1"/>
  <c r="DR297" i="2"/>
  <c r="EK297" i="2" s="1"/>
  <c r="ED297" i="2"/>
  <c r="EW297" i="2" s="1"/>
  <c r="DQ297" i="2"/>
  <c r="EJ297" i="2" s="1"/>
  <c r="EC297" i="2"/>
  <c r="EV297" i="2" s="1"/>
  <c r="DP297" i="2"/>
  <c r="EI297" i="2" s="1"/>
  <c r="EB297" i="2"/>
  <c r="EU297" i="2" s="1"/>
  <c r="EA297" i="2"/>
  <c r="ET297" i="2" s="1"/>
  <c r="DZ297" i="2"/>
  <c r="ES297" i="2" s="1"/>
  <c r="DY297" i="2"/>
  <c r="ER297" i="2" s="1"/>
  <c r="DX297" i="2"/>
  <c r="EQ297" i="2" s="1"/>
  <c r="GO300" i="2"/>
  <c r="DZ300" i="2"/>
  <c r="ES300" i="2" s="1"/>
  <c r="DY300" i="2"/>
  <c r="ER300" i="2" s="1"/>
  <c r="DX300" i="2"/>
  <c r="EQ300" i="2" s="1"/>
  <c r="DV300" i="2"/>
  <c r="EO300" i="2" s="1"/>
  <c r="DU300" i="2"/>
  <c r="EN300" i="2" s="1"/>
  <c r="EH300" i="2"/>
  <c r="FA300" i="2" s="1"/>
  <c r="DT300" i="2"/>
  <c r="EM300" i="2" s="1"/>
  <c r="EG300" i="2"/>
  <c r="EZ300" i="2" s="1"/>
  <c r="DS300" i="2"/>
  <c r="EL300" i="2" s="1"/>
  <c r="EE300" i="2"/>
  <c r="EX300" i="2" s="1"/>
  <c r="DR300" i="2"/>
  <c r="EK300" i="2" s="1"/>
  <c r="ED300" i="2"/>
  <c r="EW300" i="2" s="1"/>
  <c r="DQ300" i="2"/>
  <c r="EJ300" i="2" s="1"/>
  <c r="EC300" i="2"/>
  <c r="EV300" i="2" s="1"/>
  <c r="DP300" i="2"/>
  <c r="EI300" i="2" s="1"/>
  <c r="EB300" i="2"/>
  <c r="EU300" i="2" s="1"/>
  <c r="EA300" i="2"/>
  <c r="ET300" i="2" s="1"/>
  <c r="AL190" i="2"/>
  <c r="GU190" i="2" s="1"/>
  <c r="DV190" i="2"/>
  <c r="EO190" i="2" s="1"/>
  <c r="DU190" i="2"/>
  <c r="EN190" i="2" s="1"/>
  <c r="DT190" i="2"/>
  <c r="EM190" i="2" s="1"/>
  <c r="EH190" i="2"/>
  <c r="FA190" i="2" s="1"/>
  <c r="DS190" i="2"/>
  <c r="EL190" i="2" s="1"/>
  <c r="EG190" i="2"/>
  <c r="EZ190" i="2" s="1"/>
  <c r="DR190" i="2"/>
  <c r="EK190" i="2" s="1"/>
  <c r="EE190" i="2"/>
  <c r="EX190" i="2" s="1"/>
  <c r="DQ190" i="2"/>
  <c r="EJ190" i="2" s="1"/>
  <c r="ED190" i="2"/>
  <c r="EW190" i="2" s="1"/>
  <c r="DP190" i="2"/>
  <c r="EI190" i="2" s="1"/>
  <c r="EC190" i="2"/>
  <c r="EV190" i="2" s="1"/>
  <c r="EB190" i="2"/>
  <c r="EU190" i="2" s="1"/>
  <c r="EA190" i="2"/>
  <c r="ET190" i="2" s="1"/>
  <c r="DZ190" i="2"/>
  <c r="ES190" i="2" s="1"/>
  <c r="DY190" i="2"/>
  <c r="ER190" i="2" s="1"/>
  <c r="AN333" i="2"/>
  <c r="DY361" i="2"/>
  <c r="ER361" i="2" s="1"/>
  <c r="CW543" i="2"/>
  <c r="FN543" i="2"/>
  <c r="GG543" i="2" s="1"/>
  <c r="FM543" i="2"/>
  <c r="GF543" i="2" s="1"/>
  <c r="FJ543" i="2"/>
  <c r="GC543" i="2" s="1"/>
  <c r="FG543" i="2"/>
  <c r="FZ543" i="2" s="1"/>
  <c r="FT543" i="2"/>
  <c r="GM543" i="2" s="1"/>
  <c r="FF543" i="2"/>
  <c r="FY543" i="2" s="1"/>
  <c r="FS543" i="2"/>
  <c r="GL543" i="2" s="1"/>
  <c r="FE543" i="2"/>
  <c r="FX543" i="2" s="1"/>
  <c r="FP543" i="2"/>
  <c r="GI543" i="2" s="1"/>
  <c r="FC543" i="2"/>
  <c r="FV543" i="2" s="1"/>
  <c r="FQ543" i="2"/>
  <c r="GJ543" i="2" s="1"/>
  <c r="FO543" i="2"/>
  <c r="GH543" i="2" s="1"/>
  <c r="FL543" i="2"/>
  <c r="GE543" i="2" s="1"/>
  <c r="FK543" i="2"/>
  <c r="GD543" i="2" s="1"/>
  <c r="FH543" i="2"/>
  <c r="GA543" i="2" s="1"/>
  <c r="FD543" i="2"/>
  <c r="FW543" i="2" s="1"/>
  <c r="GO86" i="2"/>
  <c r="HQ19" i="2" s="1"/>
  <c r="DW86" i="2"/>
  <c r="EP86" i="2" s="1"/>
  <c r="DV86" i="2"/>
  <c r="EO86" i="2" s="1"/>
  <c r="EH86" i="2"/>
  <c r="FA86" i="2" s="1"/>
  <c r="DU86" i="2"/>
  <c r="EN86" i="2" s="1"/>
  <c r="EG86" i="2"/>
  <c r="EZ86" i="2" s="1"/>
  <c r="DT86" i="2"/>
  <c r="EM86" i="2" s="1"/>
  <c r="EE86" i="2"/>
  <c r="EX86" i="2" s="1"/>
  <c r="DS86" i="2"/>
  <c r="EL86" i="2" s="1"/>
  <c r="ED86" i="2"/>
  <c r="EW86" i="2" s="1"/>
  <c r="DR86" i="2"/>
  <c r="EK86" i="2" s="1"/>
  <c r="EC86" i="2"/>
  <c r="EV86" i="2" s="1"/>
  <c r="DQ86" i="2"/>
  <c r="EJ86" i="2" s="1"/>
  <c r="EB86" i="2"/>
  <c r="EU86" i="2" s="1"/>
  <c r="DP86" i="2"/>
  <c r="EI86" i="2" s="1"/>
  <c r="EA86" i="2"/>
  <c r="ET86" i="2" s="1"/>
  <c r="DZ86" i="2"/>
  <c r="ES86" i="2" s="1"/>
  <c r="DY86" i="2"/>
  <c r="ER86" i="2" s="1"/>
  <c r="DX86" i="2"/>
  <c r="EQ86" i="2" s="1"/>
  <c r="GO120" i="2"/>
  <c r="DV120" i="2"/>
  <c r="EO120" i="2" s="1"/>
  <c r="DU120" i="2"/>
  <c r="EN120" i="2" s="1"/>
  <c r="EG120" i="2"/>
  <c r="EZ120" i="2" s="1"/>
  <c r="DR120" i="2"/>
  <c r="EK120" i="2" s="1"/>
  <c r="EC120" i="2"/>
  <c r="EV120" i="2" s="1"/>
  <c r="DP120" i="2"/>
  <c r="EI120" i="2" s="1"/>
  <c r="EB120" i="2"/>
  <c r="EU120" i="2" s="1"/>
  <c r="EA120" i="2"/>
  <c r="ET120" i="2" s="1"/>
  <c r="DX120" i="2"/>
  <c r="EQ120" i="2" s="1"/>
  <c r="DT120" i="2"/>
  <c r="EM120" i="2" s="1"/>
  <c r="DS120" i="2"/>
  <c r="EL120" i="2" s="1"/>
  <c r="DQ120" i="2"/>
  <c r="EJ120" i="2" s="1"/>
  <c r="EH120" i="2"/>
  <c r="FA120" i="2" s="1"/>
  <c r="ED120" i="2"/>
  <c r="EW120" i="2" s="1"/>
  <c r="DZ120" i="2"/>
  <c r="ES120" i="2" s="1"/>
  <c r="DY120" i="2"/>
  <c r="ER120" i="2" s="1"/>
  <c r="EE277" i="2"/>
  <c r="EX277" i="2" s="1"/>
  <c r="ED398" i="2"/>
  <c r="EW398" i="2" s="1"/>
  <c r="EI553" i="2"/>
  <c r="BU554" i="2"/>
  <c r="FB554" i="2" s="1"/>
  <c r="FU554" i="2" s="1"/>
  <c r="FQ554" i="2"/>
  <c r="GJ554" i="2" s="1"/>
  <c r="FD554" i="2"/>
  <c r="FW554" i="2" s="1"/>
  <c r="FP554" i="2"/>
  <c r="GI554" i="2" s="1"/>
  <c r="FC554" i="2"/>
  <c r="FV554" i="2" s="1"/>
  <c r="FN554" i="2"/>
  <c r="GG554" i="2" s="1"/>
  <c r="FJ554" i="2"/>
  <c r="GC554" i="2" s="1"/>
  <c r="FH554" i="2"/>
  <c r="GA554" i="2" s="1"/>
  <c r="FS554" i="2"/>
  <c r="GL554" i="2" s="1"/>
  <c r="FE554" i="2"/>
  <c r="FX554" i="2" s="1"/>
  <c r="FG554" i="2"/>
  <c r="FZ554" i="2" s="1"/>
  <c r="FF554" i="2"/>
  <c r="FY554" i="2" s="1"/>
  <c r="FO554" i="2"/>
  <c r="GH554" i="2" s="1"/>
  <c r="FT554" i="2"/>
  <c r="GM554" i="2" s="1"/>
  <c r="GO566" i="2"/>
  <c r="EH566" i="2"/>
  <c r="FA566" i="2" s="1"/>
  <c r="DT566" i="2"/>
  <c r="EM566" i="2" s="1"/>
  <c r="EG566" i="2"/>
  <c r="EZ566" i="2" s="1"/>
  <c r="DS566" i="2"/>
  <c r="EL566" i="2" s="1"/>
  <c r="EE566" i="2"/>
  <c r="EX566" i="2" s="1"/>
  <c r="DR566" i="2"/>
  <c r="EK566" i="2" s="1"/>
  <c r="EC566" i="2"/>
  <c r="EV566" i="2" s="1"/>
  <c r="DP566" i="2"/>
  <c r="EI566" i="2" s="1"/>
  <c r="EB566" i="2"/>
  <c r="EU566" i="2" s="1"/>
  <c r="EA566" i="2"/>
  <c r="ET566" i="2" s="1"/>
  <c r="DZ566" i="2"/>
  <c r="ES566" i="2" s="1"/>
  <c r="DX566" i="2"/>
  <c r="EQ566" i="2" s="1"/>
  <c r="DU566" i="2"/>
  <c r="EN566" i="2" s="1"/>
  <c r="DY566" i="2"/>
  <c r="ER566" i="2" s="1"/>
  <c r="DV566" i="2"/>
  <c r="EO566" i="2" s="1"/>
  <c r="DQ566" i="2"/>
  <c r="EJ566" i="2" s="1"/>
  <c r="ED566" i="2"/>
  <c r="EW566" i="2" s="1"/>
  <c r="DM562" i="2"/>
  <c r="EE562" i="2"/>
  <c r="EX562" i="2" s="1"/>
  <c r="DS562" i="2"/>
  <c r="EL562" i="2" s="1"/>
  <c r="ED562" i="2"/>
  <c r="EW562" i="2" s="1"/>
  <c r="EC562" i="2"/>
  <c r="EV562" i="2" s="1"/>
  <c r="DQ562" i="2"/>
  <c r="EJ562" i="2" s="1"/>
  <c r="EA562" i="2"/>
  <c r="ET562" i="2" s="1"/>
  <c r="DZ562" i="2"/>
  <c r="ES562" i="2" s="1"/>
  <c r="DY562" i="2"/>
  <c r="ER562" i="2" s="1"/>
  <c r="DX562" i="2"/>
  <c r="EQ562" i="2" s="1"/>
  <c r="DV562" i="2"/>
  <c r="EO562" i="2" s="1"/>
  <c r="EG562" i="2"/>
  <c r="EZ562" i="2" s="1"/>
  <c r="DT562" i="2"/>
  <c r="EM562" i="2" s="1"/>
  <c r="EH562" i="2"/>
  <c r="FA562" i="2" s="1"/>
  <c r="EB562" i="2"/>
  <c r="EU562" i="2" s="1"/>
  <c r="DW562" i="2"/>
  <c r="EP562" i="2" s="1"/>
  <c r="DU562" i="2"/>
  <c r="EN562" i="2" s="1"/>
  <c r="DP562" i="2"/>
  <c r="EI562" i="2" s="1"/>
  <c r="FV90" i="2"/>
  <c r="GC91" i="2"/>
  <c r="EK92" i="2"/>
  <c r="GC92" i="2"/>
  <c r="EK519" i="2"/>
  <c r="GA519" i="2"/>
  <c r="GA51" i="2"/>
  <c r="EI53" i="2"/>
  <c r="EU53" i="2"/>
  <c r="GA53" i="2"/>
  <c r="EI54" i="2"/>
  <c r="EU54" i="2"/>
  <c r="GA55" i="2"/>
  <c r="EI81" i="2"/>
  <c r="EU81" i="2"/>
  <c r="GA81" i="2"/>
  <c r="EI56" i="2"/>
  <c r="EU56" i="2"/>
  <c r="GA77" i="2"/>
  <c r="EI74" i="2"/>
  <c r="EU74" i="2"/>
  <c r="GA149" i="2"/>
  <c r="EI150" i="2"/>
  <c r="EU150" i="2"/>
  <c r="GO135" i="2"/>
  <c r="GP135" i="2" s="1"/>
  <c r="EG135" i="2"/>
  <c r="EZ135" i="2" s="1"/>
  <c r="DT135" i="2"/>
  <c r="EM135" i="2" s="1"/>
  <c r="EE135" i="2"/>
  <c r="EX135" i="2" s="1"/>
  <c r="DS135" i="2"/>
  <c r="EL135" i="2" s="1"/>
  <c r="ED135" i="2"/>
  <c r="EW135" i="2" s="1"/>
  <c r="DR135" i="2"/>
  <c r="EK135" i="2" s="1"/>
  <c r="EC135" i="2"/>
  <c r="EV135" i="2" s="1"/>
  <c r="DQ135" i="2"/>
  <c r="EJ135" i="2" s="1"/>
  <c r="EB135" i="2"/>
  <c r="EU135" i="2" s="1"/>
  <c r="DP135" i="2"/>
  <c r="EI135" i="2" s="1"/>
  <c r="EA135" i="2"/>
  <c r="ET135" i="2" s="1"/>
  <c r="DZ135" i="2"/>
  <c r="ES135" i="2" s="1"/>
  <c r="DX135" i="2"/>
  <c r="EQ135" i="2" s="1"/>
  <c r="DW135" i="2"/>
  <c r="EP135" i="2" s="1"/>
  <c r="EH135" i="2"/>
  <c r="FA135" i="2" s="1"/>
  <c r="DU135" i="2"/>
  <c r="EN135" i="2" s="1"/>
  <c r="DY135" i="2"/>
  <c r="ER135" i="2" s="1"/>
  <c r="DV135" i="2"/>
  <c r="EO135" i="2" s="1"/>
  <c r="EQ50" i="2"/>
  <c r="GO287" i="2"/>
  <c r="ED287" i="2"/>
  <c r="EW287" i="2" s="1"/>
  <c r="DQ287" i="2"/>
  <c r="EJ287" i="2" s="1"/>
  <c r="EC287" i="2"/>
  <c r="EV287" i="2" s="1"/>
  <c r="DP287" i="2"/>
  <c r="EI287" i="2" s="1"/>
  <c r="EB287" i="2"/>
  <c r="EU287" i="2" s="1"/>
  <c r="EA287" i="2"/>
  <c r="ET287" i="2" s="1"/>
  <c r="DZ287" i="2"/>
  <c r="ES287" i="2" s="1"/>
  <c r="DY287" i="2"/>
  <c r="ER287" i="2" s="1"/>
  <c r="DX287" i="2"/>
  <c r="EQ287" i="2" s="1"/>
  <c r="DV287" i="2"/>
  <c r="EO287" i="2" s="1"/>
  <c r="DU287" i="2"/>
  <c r="EN287" i="2" s="1"/>
  <c r="EH287" i="2"/>
  <c r="FA287" i="2" s="1"/>
  <c r="DT287" i="2"/>
  <c r="EM287" i="2" s="1"/>
  <c r="EG287" i="2"/>
  <c r="EZ287" i="2" s="1"/>
  <c r="DS287" i="2"/>
  <c r="EL287" i="2" s="1"/>
  <c r="EE287" i="2"/>
  <c r="EX287" i="2" s="1"/>
  <c r="DR287" i="2"/>
  <c r="EK287" i="2" s="1"/>
  <c r="CX453" i="2"/>
  <c r="FJ453" i="2" s="1"/>
  <c r="GC453" i="2" s="1"/>
  <c r="FS453" i="2"/>
  <c r="GL453" i="2" s="1"/>
  <c r="FD453" i="2"/>
  <c r="FW453" i="2" s="1"/>
  <c r="FQ453" i="2"/>
  <c r="GJ453" i="2" s="1"/>
  <c r="FC453" i="2"/>
  <c r="FV453" i="2" s="1"/>
  <c r="FP453" i="2"/>
  <c r="GI453" i="2" s="1"/>
  <c r="FO453" i="2"/>
  <c r="GH453" i="2" s="1"/>
  <c r="FN453" i="2"/>
  <c r="GG453" i="2" s="1"/>
  <c r="FM453" i="2"/>
  <c r="GF453" i="2" s="1"/>
  <c r="FL453" i="2"/>
  <c r="GE453" i="2" s="1"/>
  <c r="FK453" i="2"/>
  <c r="GD453" i="2" s="1"/>
  <c r="FH453" i="2"/>
  <c r="GA453" i="2" s="1"/>
  <c r="FG453" i="2"/>
  <c r="FZ453" i="2" s="1"/>
  <c r="FF453" i="2"/>
  <c r="FY453" i="2" s="1"/>
  <c r="FT453" i="2"/>
  <c r="GM453" i="2" s="1"/>
  <c r="FE453" i="2"/>
  <c r="FX453" i="2" s="1"/>
  <c r="EE69" i="2"/>
  <c r="EX69" i="2" s="1"/>
  <c r="DZ139" i="2"/>
  <c r="ES139" i="2" s="1"/>
  <c r="DY139" i="2"/>
  <c r="ER139" i="2" s="1"/>
  <c r="DX139" i="2"/>
  <c r="EQ139" i="2" s="1"/>
  <c r="DW139" i="2"/>
  <c r="EP139" i="2" s="1"/>
  <c r="DV139" i="2"/>
  <c r="EO139" i="2" s="1"/>
  <c r="EH139" i="2"/>
  <c r="FA139" i="2" s="1"/>
  <c r="DU139" i="2"/>
  <c r="EN139" i="2" s="1"/>
  <c r="EG139" i="2"/>
  <c r="EZ139" i="2" s="1"/>
  <c r="DT139" i="2"/>
  <c r="EM139" i="2" s="1"/>
  <c r="EE139" i="2"/>
  <c r="EX139" i="2" s="1"/>
  <c r="DS139" i="2"/>
  <c r="EL139" i="2" s="1"/>
  <c r="ED139" i="2"/>
  <c r="EW139" i="2" s="1"/>
  <c r="DR139" i="2"/>
  <c r="EK139" i="2" s="1"/>
  <c r="EC139" i="2"/>
  <c r="EV139" i="2" s="1"/>
  <c r="DQ139" i="2"/>
  <c r="EJ139" i="2" s="1"/>
  <c r="EB139" i="2"/>
  <c r="EU139" i="2" s="1"/>
  <c r="DP139" i="2"/>
  <c r="EI139" i="2" s="1"/>
  <c r="EA139" i="2"/>
  <c r="ET139" i="2" s="1"/>
  <c r="DZ361" i="2"/>
  <c r="ES361" i="2" s="1"/>
  <c r="AN517" i="2"/>
  <c r="EC517" i="2"/>
  <c r="EV517" i="2" s="1"/>
  <c r="EB517" i="2"/>
  <c r="EU517" i="2" s="1"/>
  <c r="EA517" i="2"/>
  <c r="ET517" i="2" s="1"/>
  <c r="DV517" i="2"/>
  <c r="EO517" i="2" s="1"/>
  <c r="DU517" i="2"/>
  <c r="EN517" i="2" s="1"/>
  <c r="DT517" i="2"/>
  <c r="EM517" i="2" s="1"/>
  <c r="DS517" i="2"/>
  <c r="EL517" i="2" s="1"/>
  <c r="EG517" i="2"/>
  <c r="EZ517" i="2" s="1"/>
  <c r="EE517" i="2"/>
  <c r="EX517" i="2" s="1"/>
  <c r="EH517" i="2"/>
  <c r="FA517" i="2" s="1"/>
  <c r="ED517" i="2"/>
  <c r="EW517" i="2" s="1"/>
  <c r="CB71" i="2"/>
  <c r="FO71" i="2"/>
  <c r="GH71" i="2" s="1"/>
  <c r="FB71" i="2"/>
  <c r="FU71" i="2" s="1"/>
  <c r="FL71" i="2"/>
  <c r="GE71" i="2" s="1"/>
  <c r="FK71" i="2"/>
  <c r="GD71" i="2" s="1"/>
  <c r="FJ71" i="2"/>
  <c r="GC71" i="2" s="1"/>
  <c r="FH71" i="2"/>
  <c r="GA71" i="2" s="1"/>
  <c r="FG71" i="2"/>
  <c r="FZ71" i="2" s="1"/>
  <c r="FQ71" i="2"/>
  <c r="GJ71" i="2" s="1"/>
  <c r="FD71" i="2"/>
  <c r="FW71" i="2" s="1"/>
  <c r="FT71" i="2"/>
  <c r="GM71" i="2" s="1"/>
  <c r="FS71" i="2"/>
  <c r="GL71" i="2" s="1"/>
  <c r="FP71" i="2"/>
  <c r="GI71" i="2" s="1"/>
  <c r="FN71" i="2"/>
  <c r="GG71" i="2" s="1"/>
  <c r="FF71" i="2"/>
  <c r="FY71" i="2" s="1"/>
  <c r="FE71" i="2"/>
  <c r="FX71" i="2" s="1"/>
  <c r="FC71" i="2"/>
  <c r="FV71" i="2" s="1"/>
  <c r="FM71" i="2"/>
  <c r="GF71" i="2" s="1"/>
  <c r="Y210" i="2"/>
  <c r="ED210" i="2"/>
  <c r="EW210" i="2" s="1"/>
  <c r="DP210" i="2"/>
  <c r="EI210" i="2" s="1"/>
  <c r="EA210" i="2"/>
  <c r="ET210" i="2" s="1"/>
  <c r="DZ210" i="2"/>
  <c r="ES210" i="2" s="1"/>
  <c r="DY210" i="2"/>
  <c r="ER210" i="2" s="1"/>
  <c r="DV210" i="2"/>
  <c r="EO210" i="2" s="1"/>
  <c r="DU210" i="2"/>
  <c r="EN210" i="2" s="1"/>
  <c r="EH210" i="2"/>
  <c r="FA210" i="2" s="1"/>
  <c r="DR210" i="2"/>
  <c r="EK210" i="2" s="1"/>
  <c r="EG210" i="2"/>
  <c r="EZ210" i="2" s="1"/>
  <c r="EC210" i="2"/>
  <c r="EV210" i="2" s="1"/>
  <c r="EB210" i="2"/>
  <c r="EU210" i="2" s="1"/>
  <c r="DT210" i="2"/>
  <c r="EM210" i="2" s="1"/>
  <c r="DQ210" i="2"/>
  <c r="EJ210" i="2" s="1"/>
  <c r="DS210" i="2"/>
  <c r="EL210" i="2" s="1"/>
  <c r="BG120" i="2"/>
  <c r="GV120" i="2" s="1"/>
  <c r="FJ483" i="2"/>
  <c r="GC483" i="2" s="1"/>
  <c r="FK554" i="2"/>
  <c r="GD554" i="2" s="1"/>
  <c r="GO20" i="2"/>
  <c r="DW20" i="2"/>
  <c r="EP20" i="2" s="1"/>
  <c r="DV20" i="2"/>
  <c r="EO20" i="2" s="1"/>
  <c r="EH20" i="2"/>
  <c r="FA20" i="2" s="1"/>
  <c r="DU20" i="2"/>
  <c r="EN20" i="2" s="1"/>
  <c r="EG20" i="2"/>
  <c r="EZ20" i="2" s="1"/>
  <c r="DT20" i="2"/>
  <c r="EM20" i="2" s="1"/>
  <c r="EE20" i="2"/>
  <c r="EX20" i="2" s="1"/>
  <c r="DS20" i="2"/>
  <c r="EL20" i="2" s="1"/>
  <c r="ED20" i="2"/>
  <c r="EW20" i="2" s="1"/>
  <c r="DR20" i="2"/>
  <c r="EK20" i="2" s="1"/>
  <c r="EC20" i="2"/>
  <c r="EV20" i="2" s="1"/>
  <c r="DQ20" i="2"/>
  <c r="EJ20" i="2" s="1"/>
  <c r="EA20" i="2"/>
  <c r="ET20" i="2" s="1"/>
  <c r="DZ20" i="2"/>
  <c r="ES20" i="2" s="1"/>
  <c r="DX20" i="2"/>
  <c r="EQ20" i="2" s="1"/>
  <c r="EB20" i="2"/>
  <c r="EU20" i="2" s="1"/>
  <c r="DY20" i="2"/>
  <c r="ER20" i="2" s="1"/>
  <c r="DP20" i="2"/>
  <c r="EI20" i="2" s="1"/>
  <c r="FT444" i="2"/>
  <c r="GM444" i="2" s="1"/>
  <c r="FG444" i="2"/>
  <c r="FZ444" i="2" s="1"/>
  <c r="FS444" i="2"/>
  <c r="GL444" i="2" s="1"/>
  <c r="FF444" i="2"/>
  <c r="FY444" i="2" s="1"/>
  <c r="FO444" i="2"/>
  <c r="GH444" i="2" s="1"/>
  <c r="FC444" i="2"/>
  <c r="FV444" i="2" s="1"/>
  <c r="FN444" i="2"/>
  <c r="GG444" i="2" s="1"/>
  <c r="FB444" i="2"/>
  <c r="FU444" i="2" s="1"/>
  <c r="FM444" i="2"/>
  <c r="GF444" i="2" s="1"/>
  <c r="FH444" i="2"/>
  <c r="GA444" i="2" s="1"/>
  <c r="FJ444" i="2"/>
  <c r="GC444" i="2" s="1"/>
  <c r="FI444" i="2"/>
  <c r="GB444" i="2" s="1"/>
  <c r="FE444" i="2"/>
  <c r="FX444" i="2" s="1"/>
  <c r="FD444" i="2"/>
  <c r="FW444" i="2" s="1"/>
  <c r="FQ444" i="2"/>
  <c r="GJ444" i="2" s="1"/>
  <c r="FP444" i="2"/>
  <c r="GI444" i="2" s="1"/>
  <c r="DR562" i="2"/>
  <c r="EK562" i="2" s="1"/>
  <c r="GO564" i="2"/>
  <c r="DX564" i="2"/>
  <c r="EQ564" i="2" s="1"/>
  <c r="DW564" i="2"/>
  <c r="EP564" i="2" s="1"/>
  <c r="DV564" i="2"/>
  <c r="EO564" i="2" s="1"/>
  <c r="EH564" i="2"/>
  <c r="FA564" i="2" s="1"/>
  <c r="DU564" i="2"/>
  <c r="EN564" i="2" s="1"/>
  <c r="EG564" i="2"/>
  <c r="EZ564" i="2" s="1"/>
  <c r="DT564" i="2"/>
  <c r="EM564" i="2" s="1"/>
  <c r="EE564" i="2"/>
  <c r="EX564" i="2" s="1"/>
  <c r="DS564" i="2"/>
  <c r="EL564" i="2" s="1"/>
  <c r="ED564" i="2"/>
  <c r="EW564" i="2" s="1"/>
  <c r="DR564" i="2"/>
  <c r="EK564" i="2" s="1"/>
  <c r="EC564" i="2"/>
  <c r="EV564" i="2" s="1"/>
  <c r="DQ564" i="2"/>
  <c r="EJ564" i="2" s="1"/>
  <c r="EB564" i="2"/>
  <c r="EU564" i="2" s="1"/>
  <c r="DP564" i="2"/>
  <c r="EI564" i="2" s="1"/>
  <c r="EA564" i="2"/>
  <c r="ET564" i="2" s="1"/>
  <c r="DY564" i="2"/>
  <c r="ER564" i="2" s="1"/>
  <c r="DZ564" i="2"/>
  <c r="ES564" i="2" s="1"/>
  <c r="FA561" i="2"/>
  <c r="FA626" i="2"/>
  <c r="FA563" i="2"/>
  <c r="FA28" i="2"/>
  <c r="FA437" i="2"/>
  <c r="FA435" i="2"/>
  <c r="FA419" i="2"/>
  <c r="FA415" i="2"/>
  <c r="FA450" i="2"/>
  <c r="FA414" i="2"/>
  <c r="FA418" i="2"/>
  <c r="FA412" i="2"/>
  <c r="FA408" i="2"/>
  <c r="FA416" i="2"/>
  <c r="FA413" i="2"/>
  <c r="FA390" i="2"/>
  <c r="FA411" i="2"/>
  <c r="FA389" i="2"/>
  <c r="FA110" i="2"/>
  <c r="FA247" i="2"/>
  <c r="FA114" i="2"/>
  <c r="FA121" i="2"/>
  <c r="FA590" i="2"/>
  <c r="FA374" i="2"/>
  <c r="FA373" i="2"/>
  <c r="FA598" i="2"/>
  <c r="FA39" i="2"/>
  <c r="FA45" i="2"/>
  <c r="FA542" i="2"/>
  <c r="FA47" i="2"/>
  <c r="FA342" i="2"/>
  <c r="FA8" i="2"/>
  <c r="FA14" i="2"/>
  <c r="FA41" i="2"/>
  <c r="FA12" i="2"/>
  <c r="FA10" i="2"/>
  <c r="FA37" i="2"/>
  <c r="FA9" i="2"/>
  <c r="FA368" i="2"/>
  <c r="FA346" i="2"/>
  <c r="FA341" i="2"/>
  <c r="FA35" i="2"/>
  <c r="FA185" i="2"/>
  <c r="FA78" i="2"/>
  <c r="FA89" i="2"/>
  <c r="FA183" i="2"/>
  <c r="FA52" i="2"/>
  <c r="FA57" i="2"/>
  <c r="FA65" i="2"/>
  <c r="FA74" i="2"/>
  <c r="FA77" i="2"/>
  <c r="FA63" i="2"/>
  <c r="FA55" i="2"/>
  <c r="FA72" i="2"/>
  <c r="FA62" i="2"/>
  <c r="FA54" i="2"/>
  <c r="FA80" i="2"/>
  <c r="FA76" i="2"/>
  <c r="FA68" i="2"/>
  <c r="FA60" i="2"/>
  <c r="FA51" i="2"/>
  <c r="FW90" i="2"/>
  <c r="EN91" i="2"/>
  <c r="GD91" i="2"/>
  <c r="GD92" i="2"/>
  <c r="GC49" i="2"/>
  <c r="EJ51" i="2"/>
  <c r="EV51" i="2"/>
  <c r="EJ55" i="2"/>
  <c r="EV55" i="2"/>
  <c r="DZ153" i="2"/>
  <c r="ES153" i="2" s="1"/>
  <c r="GD240" i="2"/>
  <c r="FK287" i="2"/>
  <c r="GD287" i="2" s="1"/>
  <c r="FJ287" i="2"/>
  <c r="GC287" i="2" s="1"/>
  <c r="FH287" i="2"/>
  <c r="GA287" i="2" s="1"/>
  <c r="FG287" i="2"/>
  <c r="FZ287" i="2" s="1"/>
  <c r="FT287" i="2"/>
  <c r="GM287" i="2" s="1"/>
  <c r="FF287" i="2"/>
  <c r="FY287" i="2" s="1"/>
  <c r="FS287" i="2"/>
  <c r="GL287" i="2" s="1"/>
  <c r="FE287" i="2"/>
  <c r="FX287" i="2" s="1"/>
  <c r="FQ287" i="2"/>
  <c r="GJ287" i="2" s="1"/>
  <c r="FD287" i="2"/>
  <c r="FW287" i="2" s="1"/>
  <c r="FP287" i="2"/>
  <c r="GI287" i="2" s="1"/>
  <c r="FC287" i="2"/>
  <c r="FV287" i="2" s="1"/>
  <c r="FO287" i="2"/>
  <c r="GH287" i="2" s="1"/>
  <c r="FB287" i="2"/>
  <c r="FU287" i="2" s="1"/>
  <c r="FN287" i="2"/>
  <c r="GG287" i="2" s="1"/>
  <c r="FM287" i="2"/>
  <c r="GF287" i="2" s="1"/>
  <c r="FL287" i="2"/>
  <c r="GE287" i="2" s="1"/>
  <c r="GO301" i="2"/>
  <c r="EA301" i="2"/>
  <c r="ET301" i="2" s="1"/>
  <c r="DZ301" i="2"/>
  <c r="ES301" i="2" s="1"/>
  <c r="DY301" i="2"/>
  <c r="ER301" i="2" s="1"/>
  <c r="DX301" i="2"/>
  <c r="EQ301" i="2" s="1"/>
  <c r="DV301" i="2"/>
  <c r="EO301" i="2" s="1"/>
  <c r="DU301" i="2"/>
  <c r="EN301" i="2" s="1"/>
  <c r="EH301" i="2"/>
  <c r="FA301" i="2" s="1"/>
  <c r="DT301" i="2"/>
  <c r="EM301" i="2" s="1"/>
  <c r="EG301" i="2"/>
  <c r="EZ301" i="2" s="1"/>
  <c r="DS301" i="2"/>
  <c r="EL301" i="2" s="1"/>
  <c r="EE301" i="2"/>
  <c r="EX301" i="2" s="1"/>
  <c r="DR301" i="2"/>
  <c r="EK301" i="2" s="1"/>
  <c r="ED301" i="2"/>
  <c r="EW301" i="2" s="1"/>
  <c r="DQ301" i="2"/>
  <c r="EJ301" i="2" s="1"/>
  <c r="EC301" i="2"/>
  <c r="EV301" i="2" s="1"/>
  <c r="DP301" i="2"/>
  <c r="EI301" i="2" s="1"/>
  <c r="EB301" i="2"/>
  <c r="EU301" i="2" s="1"/>
  <c r="GC303" i="2"/>
  <c r="EG308" i="2"/>
  <c r="EZ308" i="2" s="1"/>
  <c r="DS308" i="2"/>
  <c r="EL308" i="2" s="1"/>
  <c r="EE308" i="2"/>
  <c r="EX308" i="2" s="1"/>
  <c r="DR308" i="2"/>
  <c r="EK308" i="2" s="1"/>
  <c r="ED308" i="2"/>
  <c r="EW308" i="2" s="1"/>
  <c r="DQ308" i="2"/>
  <c r="EJ308" i="2" s="1"/>
  <c r="EC308" i="2"/>
  <c r="EV308" i="2" s="1"/>
  <c r="DP308" i="2"/>
  <c r="EI308" i="2" s="1"/>
  <c r="EB308" i="2"/>
  <c r="EU308" i="2" s="1"/>
  <c r="EA308" i="2"/>
  <c r="ET308" i="2" s="1"/>
  <c r="DZ308" i="2"/>
  <c r="ES308" i="2" s="1"/>
  <c r="DY308" i="2"/>
  <c r="ER308" i="2" s="1"/>
  <c r="DX308" i="2"/>
  <c r="EQ308" i="2" s="1"/>
  <c r="DV308" i="2"/>
  <c r="EO308" i="2" s="1"/>
  <c r="DU308" i="2"/>
  <c r="EN308" i="2" s="1"/>
  <c r="EH308" i="2"/>
  <c r="FA308" i="2" s="1"/>
  <c r="DT308" i="2"/>
  <c r="EM308" i="2" s="1"/>
  <c r="Q454" i="2"/>
  <c r="EE454" i="2"/>
  <c r="EX454" i="2" s="1"/>
  <c r="ED454" i="2"/>
  <c r="EW454" i="2" s="1"/>
  <c r="EC454" i="2"/>
  <c r="EV454" i="2" s="1"/>
  <c r="EB454" i="2"/>
  <c r="EU454" i="2" s="1"/>
  <c r="EA454" i="2"/>
  <c r="ET454" i="2" s="1"/>
  <c r="DX454" i="2"/>
  <c r="EQ454" i="2" s="1"/>
  <c r="DV454" i="2"/>
  <c r="EO454" i="2" s="1"/>
  <c r="DU454" i="2"/>
  <c r="EN454" i="2" s="1"/>
  <c r="DT454" i="2"/>
  <c r="EM454" i="2" s="1"/>
  <c r="DS454" i="2"/>
  <c r="EL454" i="2" s="1"/>
  <c r="EH454" i="2"/>
  <c r="FA454" i="2" s="1"/>
  <c r="DR454" i="2"/>
  <c r="EK454" i="2" s="1"/>
  <c r="EG454" i="2"/>
  <c r="EZ454" i="2" s="1"/>
  <c r="BG576" i="2"/>
  <c r="DW576" i="2" s="1"/>
  <c r="EP576" i="2" s="1"/>
  <c r="EE576" i="2"/>
  <c r="EX576" i="2" s="1"/>
  <c r="DR576" i="2"/>
  <c r="EK576" i="2" s="1"/>
  <c r="ED576" i="2"/>
  <c r="EW576" i="2" s="1"/>
  <c r="DQ576" i="2"/>
  <c r="EJ576" i="2" s="1"/>
  <c r="EC576" i="2"/>
  <c r="EV576" i="2" s="1"/>
  <c r="EA576" i="2"/>
  <c r="ET576" i="2" s="1"/>
  <c r="DZ576" i="2"/>
  <c r="ES576" i="2" s="1"/>
  <c r="DY576" i="2"/>
  <c r="ER576" i="2" s="1"/>
  <c r="DX576" i="2"/>
  <c r="EQ576" i="2" s="1"/>
  <c r="DV576" i="2"/>
  <c r="EO576" i="2" s="1"/>
  <c r="EH576" i="2"/>
  <c r="FA576" i="2" s="1"/>
  <c r="DT576" i="2"/>
  <c r="EM576" i="2" s="1"/>
  <c r="EG576" i="2"/>
  <c r="EZ576" i="2" s="1"/>
  <c r="DS576" i="2"/>
  <c r="EL576" i="2" s="1"/>
  <c r="EB576" i="2"/>
  <c r="EU576" i="2" s="1"/>
  <c r="DU576" i="2"/>
  <c r="EN576" i="2" s="1"/>
  <c r="AM359" i="2"/>
  <c r="DM359" i="2" s="1"/>
  <c r="EH359" i="2"/>
  <c r="FA359" i="2" s="1"/>
  <c r="DS359" i="2"/>
  <c r="EL359" i="2" s="1"/>
  <c r="EG359" i="2"/>
  <c r="EZ359" i="2" s="1"/>
  <c r="DR359" i="2"/>
  <c r="EK359" i="2" s="1"/>
  <c r="EC359" i="2"/>
  <c r="EV359" i="2" s="1"/>
  <c r="EB359" i="2"/>
  <c r="EU359" i="2" s="1"/>
  <c r="EA359" i="2"/>
  <c r="ET359" i="2" s="1"/>
  <c r="DZ359" i="2"/>
  <c r="ES359" i="2" s="1"/>
  <c r="DV359" i="2"/>
  <c r="EO359" i="2" s="1"/>
  <c r="DU359" i="2"/>
  <c r="EN359" i="2" s="1"/>
  <c r="ED359" i="2"/>
  <c r="EW359" i="2" s="1"/>
  <c r="DY359" i="2"/>
  <c r="ER359" i="2" s="1"/>
  <c r="DT359" i="2"/>
  <c r="EM359" i="2" s="1"/>
  <c r="DQ359" i="2"/>
  <c r="EJ359" i="2" s="1"/>
  <c r="EE359" i="2"/>
  <c r="EX359" i="2" s="1"/>
  <c r="DX361" i="2"/>
  <c r="EQ361" i="2" s="1"/>
  <c r="DV361" i="2"/>
  <c r="EO361" i="2" s="1"/>
  <c r="DU361" i="2"/>
  <c r="EN361" i="2" s="1"/>
  <c r="EH361" i="2"/>
  <c r="FA361" i="2" s="1"/>
  <c r="DT361" i="2"/>
  <c r="EM361" i="2" s="1"/>
  <c r="EG361" i="2"/>
  <c r="EZ361" i="2" s="1"/>
  <c r="DS361" i="2"/>
  <c r="EL361" i="2" s="1"/>
  <c r="EE361" i="2"/>
  <c r="EX361" i="2" s="1"/>
  <c r="DR361" i="2"/>
  <c r="EK361" i="2" s="1"/>
  <c r="ED361" i="2"/>
  <c r="EW361" i="2" s="1"/>
  <c r="EB361" i="2"/>
  <c r="EU361" i="2" s="1"/>
  <c r="EA361" i="2"/>
  <c r="ET361" i="2" s="1"/>
  <c r="EC361" i="2"/>
  <c r="EV361" i="2" s="1"/>
  <c r="K371" i="2"/>
  <c r="DV371" i="2"/>
  <c r="EO371" i="2" s="1"/>
  <c r="DU371" i="2"/>
  <c r="EN371" i="2" s="1"/>
  <c r="DT371" i="2"/>
  <c r="EM371" i="2" s="1"/>
  <c r="DS371" i="2"/>
  <c r="EL371" i="2" s="1"/>
  <c r="EH371" i="2"/>
  <c r="FA371" i="2" s="1"/>
  <c r="DR371" i="2"/>
  <c r="EK371" i="2" s="1"/>
  <c r="EG371" i="2"/>
  <c r="EZ371" i="2" s="1"/>
  <c r="EE371" i="2"/>
  <c r="EX371" i="2" s="1"/>
  <c r="ED371" i="2"/>
  <c r="EW371" i="2" s="1"/>
  <c r="EB371" i="2"/>
  <c r="EU371" i="2" s="1"/>
  <c r="EA371" i="2"/>
  <c r="ET371" i="2" s="1"/>
  <c r="EC371" i="2"/>
  <c r="EV371" i="2" s="1"/>
  <c r="DX371" i="2"/>
  <c r="EQ371" i="2" s="1"/>
  <c r="GO514" i="2"/>
  <c r="DV514" i="2"/>
  <c r="EO514" i="2" s="1"/>
  <c r="DU514" i="2"/>
  <c r="EN514" i="2" s="1"/>
  <c r="DT514" i="2"/>
  <c r="EM514" i="2" s="1"/>
  <c r="DS514" i="2"/>
  <c r="EL514" i="2" s="1"/>
  <c r="DR514" i="2"/>
  <c r="EK514" i="2" s="1"/>
  <c r="EH514" i="2"/>
  <c r="FA514" i="2" s="1"/>
  <c r="EG514" i="2"/>
  <c r="EZ514" i="2" s="1"/>
  <c r="EE514" i="2"/>
  <c r="EX514" i="2" s="1"/>
  <c r="EC514" i="2"/>
  <c r="EV514" i="2" s="1"/>
  <c r="EB514" i="2"/>
  <c r="EU514" i="2" s="1"/>
  <c r="ED514" i="2"/>
  <c r="EW514" i="2" s="1"/>
  <c r="EA514" i="2"/>
  <c r="ET514" i="2" s="1"/>
  <c r="T375" i="2"/>
  <c r="DV375" i="2"/>
  <c r="EO375" i="2" s="1"/>
  <c r="EH375" i="2"/>
  <c r="FA375" i="2" s="1"/>
  <c r="DS375" i="2"/>
  <c r="EL375" i="2" s="1"/>
  <c r="EE375" i="2"/>
  <c r="EX375" i="2" s="1"/>
  <c r="ED375" i="2"/>
  <c r="EW375" i="2" s="1"/>
  <c r="EC375" i="2"/>
  <c r="EV375" i="2" s="1"/>
  <c r="EA375" i="2"/>
  <c r="ET375" i="2" s="1"/>
  <c r="EB375" i="2"/>
  <c r="EU375" i="2" s="1"/>
  <c r="DU375" i="2"/>
  <c r="EN375" i="2" s="1"/>
  <c r="DT375" i="2"/>
  <c r="EM375" i="2" s="1"/>
  <c r="DR375" i="2"/>
  <c r="EK375" i="2" s="1"/>
  <c r="EG375" i="2"/>
  <c r="EZ375" i="2" s="1"/>
  <c r="Z116" i="2"/>
  <c r="DV116" i="2"/>
  <c r="EO116" i="2" s="1"/>
  <c r="EH116" i="2"/>
  <c r="FA116" i="2" s="1"/>
  <c r="DR116" i="2"/>
  <c r="EK116" i="2" s="1"/>
  <c r="ED116" i="2"/>
  <c r="EW116" i="2" s="1"/>
  <c r="DP116" i="2"/>
  <c r="EI116" i="2" s="1"/>
  <c r="EC116" i="2"/>
  <c r="EV116" i="2" s="1"/>
  <c r="DZ116" i="2"/>
  <c r="ES116" i="2" s="1"/>
  <c r="DU116" i="2"/>
  <c r="DT116" i="2"/>
  <c r="EM116" i="2" s="1"/>
  <c r="DS116" i="2"/>
  <c r="EL116" i="2" s="1"/>
  <c r="DQ116" i="2"/>
  <c r="EJ116" i="2" s="1"/>
  <c r="EG116" i="2"/>
  <c r="EZ116" i="2" s="1"/>
  <c r="EB116" i="2"/>
  <c r="EU116" i="2" s="1"/>
  <c r="EA116" i="2"/>
  <c r="ET116" i="2" s="1"/>
  <c r="DY116" i="2"/>
  <c r="ER116" i="2" s="1"/>
  <c r="Y230" i="2"/>
  <c r="DS230" i="2"/>
  <c r="EL230" i="2" s="1"/>
  <c r="EH230" i="2"/>
  <c r="FA230" i="2" s="1"/>
  <c r="DR230" i="2"/>
  <c r="EK230" i="2" s="1"/>
  <c r="EC230" i="2"/>
  <c r="EV230" i="2" s="1"/>
  <c r="EA230" i="2"/>
  <c r="ET230" i="2" s="1"/>
  <c r="DZ230" i="2"/>
  <c r="ES230" i="2" s="1"/>
  <c r="DY230" i="2"/>
  <c r="ER230" i="2" s="1"/>
  <c r="DU230" i="2"/>
  <c r="EN230" i="2" s="1"/>
  <c r="DV230" i="2"/>
  <c r="EO230" i="2" s="1"/>
  <c r="DT230" i="2"/>
  <c r="EM230" i="2" s="1"/>
  <c r="DQ230" i="2"/>
  <c r="EJ230" i="2" s="1"/>
  <c r="DP230" i="2"/>
  <c r="EI230" i="2" s="1"/>
  <c r="EG230" i="2"/>
  <c r="EZ230" i="2" s="1"/>
  <c r="ED230" i="2"/>
  <c r="EW230" i="2" s="1"/>
  <c r="EB230" i="2"/>
  <c r="EU230" i="2" s="1"/>
  <c r="DX15" i="2"/>
  <c r="EQ15" i="2" s="1"/>
  <c r="DW15" i="2"/>
  <c r="EP15" i="2" s="1"/>
  <c r="EG15" i="2"/>
  <c r="EZ15" i="2" s="1"/>
  <c r="DT15" i="2"/>
  <c r="EM15" i="2" s="1"/>
  <c r="ED15" i="2"/>
  <c r="EW15" i="2" s="1"/>
  <c r="DR15" i="2"/>
  <c r="EK15" i="2" s="1"/>
  <c r="EC15" i="2"/>
  <c r="EV15" i="2" s="1"/>
  <c r="DQ15" i="2"/>
  <c r="EJ15" i="2" s="1"/>
  <c r="EB15" i="2"/>
  <c r="EU15" i="2" s="1"/>
  <c r="DP15" i="2"/>
  <c r="EI15" i="2" s="1"/>
  <c r="DZ15" i="2"/>
  <c r="ES15" i="2" s="1"/>
  <c r="EH15" i="2"/>
  <c r="FA15" i="2" s="1"/>
  <c r="EE15" i="2"/>
  <c r="EX15" i="2" s="1"/>
  <c r="EA15" i="2"/>
  <c r="ET15" i="2" s="1"/>
  <c r="DY15" i="2"/>
  <c r="ER15" i="2" s="1"/>
  <c r="DV15" i="2"/>
  <c r="EO15" i="2" s="1"/>
  <c r="DU15" i="2"/>
  <c r="EN15" i="2" s="1"/>
  <c r="DS15" i="2"/>
  <c r="EL15" i="2" s="1"/>
  <c r="GW112" i="2"/>
  <c r="FP112" i="2"/>
  <c r="GI112" i="2" s="1"/>
  <c r="FC112" i="2"/>
  <c r="FV112" i="2" s="1"/>
  <c r="FO112" i="2"/>
  <c r="GH112" i="2" s="1"/>
  <c r="FB112" i="2"/>
  <c r="FU112" i="2" s="1"/>
  <c r="FL112" i="2"/>
  <c r="GE112" i="2" s="1"/>
  <c r="FJ112" i="2"/>
  <c r="GC112" i="2" s="1"/>
  <c r="FH112" i="2"/>
  <c r="GA112" i="2" s="1"/>
  <c r="FG112" i="2"/>
  <c r="FZ112" i="2" s="1"/>
  <c r="FS112" i="2"/>
  <c r="GL112" i="2" s="1"/>
  <c r="FD112" i="2"/>
  <c r="FW112" i="2" s="1"/>
  <c r="FT112" i="2"/>
  <c r="GM112" i="2" s="1"/>
  <c r="FN112" i="2"/>
  <c r="GG112" i="2" s="1"/>
  <c r="FM112" i="2"/>
  <c r="GF112" i="2" s="1"/>
  <c r="FK112" i="2"/>
  <c r="GD112" i="2" s="1"/>
  <c r="FF112" i="2"/>
  <c r="FY112" i="2" s="1"/>
  <c r="FE112" i="2"/>
  <c r="FX112" i="2" s="1"/>
  <c r="CW218" i="2"/>
  <c r="FJ218" i="2"/>
  <c r="GC218" i="2" s="1"/>
  <c r="FT218" i="2"/>
  <c r="GM218" i="2" s="1"/>
  <c r="FE218" i="2"/>
  <c r="FX218" i="2" s="1"/>
  <c r="FP218" i="2"/>
  <c r="GI218" i="2" s="1"/>
  <c r="FC218" i="2"/>
  <c r="FV218" i="2" s="1"/>
  <c r="FO218" i="2"/>
  <c r="GH218" i="2" s="1"/>
  <c r="FB218" i="2"/>
  <c r="FU218" i="2" s="1"/>
  <c r="FK218" i="2"/>
  <c r="GD218" i="2" s="1"/>
  <c r="FS218" i="2"/>
  <c r="GL218" i="2" s="1"/>
  <c r="FN218" i="2"/>
  <c r="GG218" i="2" s="1"/>
  <c r="FM218" i="2"/>
  <c r="GF218" i="2" s="1"/>
  <c r="FL218" i="2"/>
  <c r="GE218" i="2" s="1"/>
  <c r="FH218" i="2"/>
  <c r="GA218" i="2" s="1"/>
  <c r="FG218" i="2"/>
  <c r="FZ218" i="2" s="1"/>
  <c r="FF218" i="2"/>
  <c r="FY218" i="2" s="1"/>
  <c r="FD218" i="2"/>
  <c r="FW218" i="2" s="1"/>
  <c r="DZ278" i="2"/>
  <c r="ES278" i="2" s="1"/>
  <c r="DV278" i="2"/>
  <c r="EO278" i="2" s="1"/>
  <c r="EG278" i="2"/>
  <c r="EZ278" i="2" s="1"/>
  <c r="DT278" i="2"/>
  <c r="EM278" i="2" s="1"/>
  <c r="DS278" i="2"/>
  <c r="EL278" i="2" s="1"/>
  <c r="EA278" i="2"/>
  <c r="ET278" i="2" s="1"/>
  <c r="DP278" i="2"/>
  <c r="EI278" i="2" s="1"/>
  <c r="EH278" i="2"/>
  <c r="FA278" i="2" s="1"/>
  <c r="EC278" i="2"/>
  <c r="EV278" i="2" s="1"/>
  <c r="DY278" i="2"/>
  <c r="ER278" i="2" s="1"/>
  <c r="DU278" i="2"/>
  <c r="EN278" i="2" s="1"/>
  <c r="DQ278" i="2"/>
  <c r="EJ278" i="2" s="1"/>
  <c r="EB278" i="2"/>
  <c r="EU278" i="2" s="1"/>
  <c r="DR278" i="2"/>
  <c r="EK278" i="2" s="1"/>
  <c r="CE1" i="2"/>
  <c r="FL464" i="2"/>
  <c r="GE464" i="2" s="1"/>
  <c r="J554" i="2"/>
  <c r="DP554" i="2" s="1"/>
  <c r="EI554" i="2" s="1"/>
  <c r="DX554" i="2"/>
  <c r="EQ554" i="2" s="1"/>
  <c r="DV554" i="2"/>
  <c r="EO554" i="2" s="1"/>
  <c r="EH554" i="2"/>
  <c r="FA554" i="2" s="1"/>
  <c r="DT554" i="2"/>
  <c r="EM554" i="2" s="1"/>
  <c r="EG554" i="2"/>
  <c r="EZ554" i="2" s="1"/>
  <c r="DS554" i="2"/>
  <c r="EL554" i="2" s="1"/>
  <c r="EE554" i="2"/>
  <c r="EX554" i="2" s="1"/>
  <c r="DR554" i="2"/>
  <c r="EK554" i="2" s="1"/>
  <c r="ED554" i="2"/>
  <c r="EW554" i="2" s="1"/>
  <c r="DQ554" i="2"/>
  <c r="EJ554" i="2" s="1"/>
  <c r="EC554" i="2"/>
  <c r="EV554" i="2" s="1"/>
  <c r="EB554" i="2"/>
  <c r="EU554" i="2" s="1"/>
  <c r="DU554" i="2"/>
  <c r="EN554" i="2" s="1"/>
  <c r="DR505" i="2"/>
  <c r="EK505" i="2" s="1"/>
  <c r="EB565" i="2"/>
  <c r="EU565" i="2" s="1"/>
  <c r="EA565" i="2"/>
  <c r="ET565" i="2" s="1"/>
  <c r="DX565" i="2"/>
  <c r="EQ565" i="2" s="1"/>
  <c r="DV565" i="2"/>
  <c r="EO565" i="2" s="1"/>
  <c r="DU565" i="2"/>
  <c r="EN565" i="2" s="1"/>
  <c r="EH565" i="2"/>
  <c r="FA565" i="2" s="1"/>
  <c r="DT565" i="2"/>
  <c r="EM565" i="2" s="1"/>
  <c r="EC565" i="2"/>
  <c r="EV565" i="2" s="1"/>
  <c r="EE565" i="2"/>
  <c r="EX565" i="2" s="1"/>
  <c r="ED565" i="2"/>
  <c r="EW565" i="2" s="1"/>
  <c r="DZ565" i="2"/>
  <c r="ES565" i="2" s="1"/>
  <c r="DY565" i="2"/>
  <c r="ER565" i="2" s="1"/>
  <c r="DS565" i="2"/>
  <c r="EL565" i="2" s="1"/>
  <c r="DR565" i="2"/>
  <c r="EK565" i="2" s="1"/>
  <c r="DQ565" i="2"/>
  <c r="EJ565" i="2" s="1"/>
  <c r="EG565" i="2"/>
  <c r="EZ565" i="2" s="1"/>
  <c r="EI507" i="2"/>
  <c r="EI502" i="2"/>
  <c r="EI425" i="2"/>
  <c r="EI420" i="2"/>
  <c r="EI351" i="2"/>
  <c r="EI221" i="2"/>
  <c r="EI175" i="2"/>
  <c r="EI173" i="2"/>
  <c r="EI168" i="2"/>
  <c r="EI121" i="2"/>
  <c r="EI284" i="2"/>
  <c r="EI247" i="2"/>
  <c r="EI114" i="2"/>
  <c r="EI109" i="2"/>
  <c r="EI9" i="2"/>
  <c r="EI102" i="2"/>
  <c r="EI259" i="2"/>
  <c r="EI251" i="2"/>
  <c r="EI589" i="2"/>
  <c r="EI581" i="2"/>
  <c r="EI588" i="2"/>
  <c r="EI515" i="2"/>
  <c r="EI572" i="2"/>
  <c r="EI539" i="2"/>
  <c r="EI537" i="2"/>
  <c r="EI255" i="2"/>
  <c r="EI571" i="2"/>
  <c r="EI584" i="2"/>
  <c r="EI131" i="2"/>
  <c r="EI570" i="2"/>
  <c r="EI461" i="2"/>
  <c r="EI98" i="2"/>
  <c r="EI582" i="2"/>
  <c r="EI322" i="2"/>
  <c r="EI330" i="2"/>
  <c r="EI324" i="2"/>
  <c r="EI328" i="2"/>
  <c r="FU90" i="2"/>
  <c r="GE91" i="2"/>
  <c r="GE92" i="2"/>
  <c r="GC519" i="2"/>
  <c r="EI61" i="2"/>
  <c r="EI62" i="2"/>
  <c r="EI64" i="2"/>
  <c r="EI65" i="2"/>
  <c r="GD76" i="2"/>
  <c r="GD73" i="2"/>
  <c r="GC254" i="2"/>
  <c r="GE239" i="2"/>
  <c r="GO243" i="2"/>
  <c r="EE243" i="2"/>
  <c r="EX243" i="2" s="1"/>
  <c r="DS243" i="2"/>
  <c r="EL243" i="2" s="1"/>
  <c r="ED243" i="2"/>
  <c r="EW243" i="2" s="1"/>
  <c r="DR243" i="2"/>
  <c r="EK243" i="2" s="1"/>
  <c r="EC243" i="2"/>
  <c r="EV243" i="2" s="1"/>
  <c r="DQ243" i="2"/>
  <c r="EJ243" i="2" s="1"/>
  <c r="EB243" i="2"/>
  <c r="EU243" i="2" s="1"/>
  <c r="DP243" i="2"/>
  <c r="EI243" i="2" s="1"/>
  <c r="EA243" i="2"/>
  <c r="ET243" i="2" s="1"/>
  <c r="DZ243" i="2"/>
  <c r="ES243" i="2" s="1"/>
  <c r="DY243" i="2"/>
  <c r="ER243" i="2" s="1"/>
  <c r="DX243" i="2"/>
  <c r="EQ243" i="2" s="1"/>
  <c r="DW243" i="2"/>
  <c r="EP243" i="2" s="1"/>
  <c r="DV243" i="2"/>
  <c r="EO243" i="2" s="1"/>
  <c r="EH243" i="2"/>
  <c r="FA243" i="2" s="1"/>
  <c r="DU243" i="2"/>
  <c r="EN243" i="2" s="1"/>
  <c r="EG243" i="2"/>
  <c r="EZ243" i="2" s="1"/>
  <c r="DT243" i="2"/>
  <c r="EM243" i="2" s="1"/>
  <c r="Q117" i="2"/>
  <c r="GT117" i="2" s="1"/>
  <c r="EB117" i="2"/>
  <c r="EU117" i="2" s="1"/>
  <c r="DV117" i="2"/>
  <c r="EO117" i="2" s="1"/>
  <c r="DT117" i="2"/>
  <c r="EM117" i="2" s="1"/>
  <c r="DS117" i="2"/>
  <c r="EL117" i="2" s="1"/>
  <c r="ED117" i="2"/>
  <c r="EW117" i="2" s="1"/>
  <c r="DP117" i="2"/>
  <c r="EI117" i="2" s="1"/>
  <c r="EH117" i="2"/>
  <c r="FA117" i="2" s="1"/>
  <c r="EG117" i="2"/>
  <c r="EZ117" i="2" s="1"/>
  <c r="EC117" i="2"/>
  <c r="EV117" i="2" s="1"/>
  <c r="EA117" i="2"/>
  <c r="ET117" i="2" s="1"/>
  <c r="DZ117" i="2"/>
  <c r="ES117" i="2" s="1"/>
  <c r="DY117" i="2"/>
  <c r="ER117" i="2" s="1"/>
  <c r="DU117" i="2"/>
  <c r="DR117" i="2"/>
  <c r="EK117" i="2" s="1"/>
  <c r="DQ117" i="2"/>
  <c r="EJ117" i="2" s="1"/>
  <c r="EQ90" i="2"/>
  <c r="EE306" i="2"/>
  <c r="EX306" i="2" s="1"/>
  <c r="DR306" i="2"/>
  <c r="EK306" i="2" s="1"/>
  <c r="ED306" i="2"/>
  <c r="EW306" i="2" s="1"/>
  <c r="DQ306" i="2"/>
  <c r="EJ306" i="2" s="1"/>
  <c r="EC306" i="2"/>
  <c r="EV306" i="2" s="1"/>
  <c r="EB306" i="2"/>
  <c r="EU306" i="2" s="1"/>
  <c r="EA306" i="2"/>
  <c r="ET306" i="2" s="1"/>
  <c r="DZ306" i="2"/>
  <c r="ES306" i="2" s="1"/>
  <c r="DY306" i="2"/>
  <c r="ER306" i="2" s="1"/>
  <c r="DV306" i="2"/>
  <c r="EO306" i="2" s="1"/>
  <c r="DU306" i="2"/>
  <c r="EN306" i="2" s="1"/>
  <c r="EH306" i="2"/>
  <c r="FA306" i="2" s="1"/>
  <c r="DT306" i="2"/>
  <c r="EM306" i="2" s="1"/>
  <c r="EG306" i="2"/>
  <c r="EZ306" i="2" s="1"/>
  <c r="DS306" i="2"/>
  <c r="EL306" i="2" s="1"/>
  <c r="BG312" i="2"/>
  <c r="DU312" i="2"/>
  <c r="EN312" i="2" s="1"/>
  <c r="EH312" i="2"/>
  <c r="FA312" i="2" s="1"/>
  <c r="DT312" i="2"/>
  <c r="EM312" i="2" s="1"/>
  <c r="EG312" i="2"/>
  <c r="EZ312" i="2" s="1"/>
  <c r="DS312" i="2"/>
  <c r="EL312" i="2" s="1"/>
  <c r="EE312" i="2"/>
  <c r="EX312" i="2" s="1"/>
  <c r="DR312" i="2"/>
  <c r="EK312" i="2" s="1"/>
  <c r="ED312" i="2"/>
  <c r="EW312" i="2" s="1"/>
  <c r="DQ312" i="2"/>
  <c r="EJ312" i="2" s="1"/>
  <c r="EC312" i="2"/>
  <c r="EV312" i="2" s="1"/>
  <c r="DP312" i="2"/>
  <c r="EI312" i="2" s="1"/>
  <c r="EB312" i="2"/>
  <c r="EU312" i="2" s="1"/>
  <c r="EA312" i="2"/>
  <c r="ET312" i="2" s="1"/>
  <c r="DZ312" i="2"/>
  <c r="ES312" i="2" s="1"/>
  <c r="DY312" i="2"/>
  <c r="ER312" i="2" s="1"/>
  <c r="DX312" i="2"/>
  <c r="EQ312" i="2" s="1"/>
  <c r="DV312" i="2"/>
  <c r="EO312" i="2" s="1"/>
  <c r="EG491" i="2"/>
  <c r="EZ491" i="2" s="1"/>
  <c r="DR491" i="2"/>
  <c r="EK491" i="2" s="1"/>
  <c r="EE491" i="2"/>
  <c r="EX491" i="2" s="1"/>
  <c r="DQ491" i="2"/>
  <c r="EJ491" i="2" s="1"/>
  <c r="ED491" i="2"/>
  <c r="EW491" i="2" s="1"/>
  <c r="DP491" i="2"/>
  <c r="EI491" i="2" s="1"/>
  <c r="EC491" i="2"/>
  <c r="EV491" i="2" s="1"/>
  <c r="EB491" i="2"/>
  <c r="EU491" i="2" s="1"/>
  <c r="EA491" i="2"/>
  <c r="ET491" i="2" s="1"/>
  <c r="DZ491" i="2"/>
  <c r="ES491" i="2" s="1"/>
  <c r="DY491" i="2"/>
  <c r="ER491" i="2" s="1"/>
  <c r="DV491" i="2"/>
  <c r="EO491" i="2" s="1"/>
  <c r="DU491" i="2"/>
  <c r="EN491" i="2" s="1"/>
  <c r="DT491" i="2"/>
  <c r="EM491" i="2" s="1"/>
  <c r="EH491" i="2"/>
  <c r="FA491" i="2" s="1"/>
  <c r="DS491" i="2"/>
  <c r="EL491" i="2" s="1"/>
  <c r="EE93" i="2"/>
  <c r="EX93" i="2" s="1"/>
  <c r="DR93" i="2"/>
  <c r="EK93" i="2" s="1"/>
  <c r="ED93" i="2"/>
  <c r="EW93" i="2" s="1"/>
  <c r="DQ93" i="2"/>
  <c r="EJ93" i="2" s="1"/>
  <c r="EC93" i="2"/>
  <c r="EV93" i="2" s="1"/>
  <c r="DP93" i="2"/>
  <c r="EI93" i="2" s="1"/>
  <c r="EB93" i="2"/>
  <c r="EU93" i="2" s="1"/>
  <c r="EA93" i="2"/>
  <c r="ET93" i="2" s="1"/>
  <c r="DZ93" i="2"/>
  <c r="ES93" i="2" s="1"/>
  <c r="DY93" i="2"/>
  <c r="ER93" i="2" s="1"/>
  <c r="DX93" i="2"/>
  <c r="EQ93" i="2" s="1"/>
  <c r="DV93" i="2"/>
  <c r="EO93" i="2" s="1"/>
  <c r="DU93" i="2"/>
  <c r="EN93" i="2" s="1"/>
  <c r="EH93" i="2"/>
  <c r="FA93" i="2" s="1"/>
  <c r="DT93" i="2"/>
  <c r="EM93" i="2" s="1"/>
  <c r="EG93" i="2"/>
  <c r="EZ93" i="2" s="1"/>
  <c r="DS93" i="2"/>
  <c r="EL93" i="2" s="1"/>
  <c r="FO359" i="2"/>
  <c r="GH359" i="2" s="1"/>
  <c r="FN359" i="2"/>
  <c r="GG359" i="2" s="1"/>
  <c r="FM359" i="2"/>
  <c r="GF359" i="2" s="1"/>
  <c r="FL359" i="2"/>
  <c r="GE359" i="2" s="1"/>
  <c r="FK359" i="2"/>
  <c r="GD359" i="2" s="1"/>
  <c r="FJ359" i="2"/>
  <c r="GC359" i="2" s="1"/>
  <c r="FH359" i="2"/>
  <c r="GA359" i="2" s="1"/>
  <c r="FG359" i="2"/>
  <c r="FZ359" i="2" s="1"/>
  <c r="FS359" i="2"/>
  <c r="GL359" i="2" s="1"/>
  <c r="FE359" i="2"/>
  <c r="FX359" i="2" s="1"/>
  <c r="FQ359" i="2"/>
  <c r="GJ359" i="2" s="1"/>
  <c r="FD359" i="2"/>
  <c r="FW359" i="2" s="1"/>
  <c r="FT359" i="2"/>
  <c r="GM359" i="2" s="1"/>
  <c r="FP359" i="2"/>
  <c r="GI359" i="2" s="1"/>
  <c r="FF359" i="2"/>
  <c r="FY359" i="2" s="1"/>
  <c r="FC359" i="2"/>
  <c r="FV359" i="2" s="1"/>
  <c r="AF499" i="2"/>
  <c r="DR499" i="2"/>
  <c r="EK499" i="2" s="1"/>
  <c r="EH499" i="2"/>
  <c r="FA499" i="2" s="1"/>
  <c r="EG499" i="2"/>
  <c r="EZ499" i="2" s="1"/>
  <c r="EE499" i="2"/>
  <c r="EX499" i="2" s="1"/>
  <c r="ED499" i="2"/>
  <c r="EW499" i="2" s="1"/>
  <c r="EC499" i="2"/>
  <c r="EV499" i="2" s="1"/>
  <c r="EB499" i="2"/>
  <c r="EU499" i="2" s="1"/>
  <c r="EA499" i="2"/>
  <c r="ET499" i="2" s="1"/>
  <c r="DU499" i="2"/>
  <c r="EN499" i="2" s="1"/>
  <c r="DT499" i="2"/>
  <c r="EM499" i="2" s="1"/>
  <c r="DV499" i="2"/>
  <c r="EO499" i="2" s="1"/>
  <c r="DS499" i="2"/>
  <c r="EL499" i="2" s="1"/>
  <c r="EG208" i="2"/>
  <c r="EZ208" i="2" s="1"/>
  <c r="DQ208" i="2"/>
  <c r="EJ208" i="2" s="1"/>
  <c r="EB208" i="2"/>
  <c r="EU208" i="2" s="1"/>
  <c r="EA208" i="2"/>
  <c r="ET208" i="2" s="1"/>
  <c r="DZ208" i="2"/>
  <c r="ES208" i="2" s="1"/>
  <c r="DY208" i="2"/>
  <c r="ER208" i="2" s="1"/>
  <c r="DV208" i="2"/>
  <c r="EO208" i="2" s="1"/>
  <c r="DS208" i="2"/>
  <c r="EL208" i="2" s="1"/>
  <c r="EH208" i="2"/>
  <c r="FA208" i="2" s="1"/>
  <c r="ED208" i="2"/>
  <c r="EW208" i="2" s="1"/>
  <c r="EC208" i="2"/>
  <c r="EV208" i="2" s="1"/>
  <c r="DT208" i="2"/>
  <c r="EM208" i="2" s="1"/>
  <c r="DR208" i="2"/>
  <c r="EK208" i="2" s="1"/>
  <c r="DU208" i="2"/>
  <c r="EN208" i="2" s="1"/>
  <c r="DP208" i="2"/>
  <c r="EI208" i="2" s="1"/>
  <c r="DW375" i="2"/>
  <c r="EP375" i="2" s="1"/>
  <c r="CW108" i="2"/>
  <c r="FM108" i="2"/>
  <c r="GF108" i="2" s="1"/>
  <c r="FL108" i="2"/>
  <c r="GE108" i="2" s="1"/>
  <c r="FH108" i="2"/>
  <c r="GA108" i="2" s="1"/>
  <c r="FF108" i="2"/>
  <c r="FY108" i="2" s="1"/>
  <c r="FT108" i="2"/>
  <c r="GM108" i="2" s="1"/>
  <c r="FE108" i="2"/>
  <c r="FX108" i="2" s="1"/>
  <c r="FS108" i="2"/>
  <c r="GL108" i="2" s="1"/>
  <c r="FD108" i="2"/>
  <c r="FW108" i="2" s="1"/>
  <c r="FN108" i="2"/>
  <c r="GG108" i="2" s="1"/>
  <c r="FC108" i="2"/>
  <c r="FV108" i="2" s="1"/>
  <c r="FB108" i="2"/>
  <c r="FU108" i="2" s="1"/>
  <c r="FP108" i="2"/>
  <c r="GI108" i="2" s="1"/>
  <c r="FO108" i="2"/>
  <c r="GH108" i="2" s="1"/>
  <c r="FK108" i="2"/>
  <c r="GD108" i="2" s="1"/>
  <c r="FJ108" i="2"/>
  <c r="GC108" i="2" s="1"/>
  <c r="FG108" i="2"/>
  <c r="FZ108" i="2" s="1"/>
  <c r="DE169" i="2"/>
  <c r="FQ169" i="2" s="1"/>
  <c r="GJ169" i="2" s="1"/>
  <c r="FG169" i="2"/>
  <c r="FZ169" i="2" s="1"/>
  <c r="FP169" i="2"/>
  <c r="GI169" i="2" s="1"/>
  <c r="FC169" i="2"/>
  <c r="FV169" i="2" s="1"/>
  <c r="FN169" i="2"/>
  <c r="GG169" i="2" s="1"/>
  <c r="FM169" i="2"/>
  <c r="GF169" i="2" s="1"/>
  <c r="FH169" i="2"/>
  <c r="GA169" i="2" s="1"/>
  <c r="FD169" i="2"/>
  <c r="FW169" i="2" s="1"/>
  <c r="FB169" i="2"/>
  <c r="FU169" i="2" s="1"/>
  <c r="FT169" i="2"/>
  <c r="GM169" i="2" s="1"/>
  <c r="FO169" i="2"/>
  <c r="GH169" i="2" s="1"/>
  <c r="FL169" i="2"/>
  <c r="GE169" i="2" s="1"/>
  <c r="FK169" i="2"/>
  <c r="GD169" i="2" s="1"/>
  <c r="FJ169" i="2"/>
  <c r="GC169" i="2" s="1"/>
  <c r="FE169" i="2"/>
  <c r="FX169" i="2" s="1"/>
  <c r="FS169" i="2"/>
  <c r="GL169" i="2" s="1"/>
  <c r="FF169" i="2"/>
  <c r="FY169" i="2" s="1"/>
  <c r="DW278" i="2"/>
  <c r="EP278" i="2" s="1"/>
  <c r="DY554" i="2"/>
  <c r="ER554" i="2" s="1"/>
  <c r="FM554" i="2"/>
  <c r="GF554" i="2" s="1"/>
  <c r="FL444" i="2"/>
  <c r="GE444" i="2" s="1"/>
  <c r="DX505" i="2"/>
  <c r="EQ505" i="2" s="1"/>
  <c r="DM618" i="2"/>
  <c r="EH618" i="2"/>
  <c r="FA618" i="2" s="1"/>
  <c r="DU618" i="2"/>
  <c r="EN618" i="2" s="1"/>
  <c r="EG618" i="2"/>
  <c r="EZ618" i="2" s="1"/>
  <c r="DT618" i="2"/>
  <c r="EM618" i="2" s="1"/>
  <c r="EE618" i="2"/>
  <c r="EX618" i="2" s="1"/>
  <c r="DS618" i="2"/>
  <c r="EL618" i="2" s="1"/>
  <c r="EC618" i="2"/>
  <c r="EV618" i="2" s="1"/>
  <c r="DQ618" i="2"/>
  <c r="EJ618" i="2" s="1"/>
  <c r="EB618" i="2"/>
  <c r="EU618" i="2" s="1"/>
  <c r="DP618" i="2"/>
  <c r="EI618" i="2" s="1"/>
  <c r="EA618" i="2"/>
  <c r="ET618" i="2" s="1"/>
  <c r="DZ618" i="2"/>
  <c r="ES618" i="2" s="1"/>
  <c r="DX618" i="2"/>
  <c r="EQ618" i="2" s="1"/>
  <c r="DV618" i="2"/>
  <c r="EO618" i="2" s="1"/>
  <c r="ED618" i="2"/>
  <c r="EW618" i="2" s="1"/>
  <c r="DY618" i="2"/>
  <c r="ER618" i="2" s="1"/>
  <c r="DW618" i="2"/>
  <c r="EP618" i="2" s="1"/>
  <c r="DR618" i="2"/>
  <c r="EK618" i="2" s="1"/>
  <c r="GO619" i="2"/>
  <c r="GP619" i="2" s="1"/>
  <c r="GQ619" i="2" s="1"/>
  <c r="EB619" i="2"/>
  <c r="EU619" i="2" s="1"/>
  <c r="EA619" i="2"/>
  <c r="ET619" i="2" s="1"/>
  <c r="DZ619" i="2"/>
  <c r="ES619" i="2" s="1"/>
  <c r="DX619" i="2"/>
  <c r="EQ619" i="2" s="1"/>
  <c r="DV619" i="2"/>
  <c r="EO619" i="2" s="1"/>
  <c r="EH619" i="2"/>
  <c r="FA619" i="2" s="1"/>
  <c r="DU619" i="2"/>
  <c r="EN619" i="2" s="1"/>
  <c r="EE619" i="2"/>
  <c r="EX619" i="2" s="1"/>
  <c r="DS619" i="2"/>
  <c r="EL619" i="2" s="1"/>
  <c r="EC619" i="2"/>
  <c r="EV619" i="2" s="1"/>
  <c r="DQ619" i="2"/>
  <c r="EJ619" i="2" s="1"/>
  <c r="EG619" i="2"/>
  <c r="EZ619" i="2" s="1"/>
  <c r="ED619" i="2"/>
  <c r="EW619" i="2" s="1"/>
  <c r="DY619" i="2"/>
  <c r="ER619" i="2" s="1"/>
  <c r="DT619" i="2"/>
  <c r="EM619" i="2" s="1"/>
  <c r="DR619" i="2"/>
  <c r="EK619" i="2" s="1"/>
  <c r="GE90" i="2"/>
  <c r="FA91" i="2"/>
  <c r="GF91" i="2"/>
  <c r="EN92" i="2"/>
  <c r="FA92" i="2"/>
  <c r="GF92" i="2"/>
  <c r="EN519" i="2"/>
  <c r="GD519" i="2"/>
  <c r="EO49" i="2"/>
  <c r="GE49" i="2"/>
  <c r="GE30" i="2"/>
  <c r="EJ60" i="2"/>
  <c r="EV60" i="2"/>
  <c r="EJ63" i="2"/>
  <c r="EV63" i="2"/>
  <c r="DQ76" i="2"/>
  <c r="EJ76" i="2" s="1"/>
  <c r="GD80" i="2"/>
  <c r="GD122" i="2"/>
  <c r="FU238" i="2"/>
  <c r="GG238" i="2"/>
  <c r="EO239" i="2"/>
  <c r="EG288" i="2"/>
  <c r="EZ288" i="2" s="1"/>
  <c r="DS288" i="2"/>
  <c r="EL288" i="2" s="1"/>
  <c r="EE288" i="2"/>
  <c r="EX288" i="2" s="1"/>
  <c r="DR288" i="2"/>
  <c r="EK288" i="2" s="1"/>
  <c r="ED288" i="2"/>
  <c r="EW288" i="2" s="1"/>
  <c r="DQ288" i="2"/>
  <c r="EJ288" i="2" s="1"/>
  <c r="EC288" i="2"/>
  <c r="EV288" i="2" s="1"/>
  <c r="DP288" i="2"/>
  <c r="EI288" i="2" s="1"/>
  <c r="EB288" i="2"/>
  <c r="EU288" i="2" s="1"/>
  <c r="EA288" i="2"/>
  <c r="ET288" i="2" s="1"/>
  <c r="DZ288" i="2"/>
  <c r="ES288" i="2" s="1"/>
  <c r="DY288" i="2"/>
  <c r="ER288" i="2" s="1"/>
  <c r="DX288" i="2"/>
  <c r="EQ288" i="2" s="1"/>
  <c r="DV288" i="2"/>
  <c r="EO288" i="2" s="1"/>
  <c r="DU288" i="2"/>
  <c r="EN288" i="2" s="1"/>
  <c r="EH288" i="2"/>
  <c r="FA288" i="2" s="1"/>
  <c r="DT288" i="2"/>
  <c r="EM288" i="2" s="1"/>
  <c r="Q298" i="2"/>
  <c r="GT298" i="2" s="1"/>
  <c r="DX298" i="2"/>
  <c r="EQ298" i="2" s="1"/>
  <c r="DV298" i="2"/>
  <c r="EO298" i="2" s="1"/>
  <c r="DU298" i="2"/>
  <c r="EN298" i="2" s="1"/>
  <c r="EH298" i="2"/>
  <c r="FA298" i="2" s="1"/>
  <c r="DT298" i="2"/>
  <c r="EM298" i="2" s="1"/>
  <c r="EG298" i="2"/>
  <c r="EZ298" i="2" s="1"/>
  <c r="DS298" i="2"/>
  <c r="EL298" i="2" s="1"/>
  <c r="EE298" i="2"/>
  <c r="EX298" i="2" s="1"/>
  <c r="DR298" i="2"/>
  <c r="EK298" i="2" s="1"/>
  <c r="ED298" i="2"/>
  <c r="EW298" i="2" s="1"/>
  <c r="DQ298" i="2"/>
  <c r="EJ298" i="2" s="1"/>
  <c r="EC298" i="2"/>
  <c r="EV298" i="2" s="1"/>
  <c r="DP298" i="2"/>
  <c r="EI298" i="2" s="1"/>
  <c r="EB298" i="2"/>
  <c r="EU298" i="2" s="1"/>
  <c r="EA298" i="2"/>
  <c r="ET298" i="2" s="1"/>
  <c r="DZ298" i="2"/>
  <c r="ES298" i="2" s="1"/>
  <c r="DY298" i="2"/>
  <c r="ER298" i="2" s="1"/>
  <c r="GW301" i="2"/>
  <c r="FG301" i="2"/>
  <c r="FZ301" i="2" s="1"/>
  <c r="FT301" i="2"/>
  <c r="GM301" i="2" s="1"/>
  <c r="FF301" i="2"/>
  <c r="FY301" i="2" s="1"/>
  <c r="FS301" i="2"/>
  <c r="GL301" i="2" s="1"/>
  <c r="FE301" i="2"/>
  <c r="FX301" i="2" s="1"/>
  <c r="FQ301" i="2"/>
  <c r="GJ301" i="2" s="1"/>
  <c r="FD301" i="2"/>
  <c r="FW301" i="2" s="1"/>
  <c r="FP301" i="2"/>
  <c r="GI301" i="2" s="1"/>
  <c r="FC301" i="2"/>
  <c r="FV301" i="2" s="1"/>
  <c r="FO301" i="2"/>
  <c r="GH301" i="2" s="1"/>
  <c r="FB301" i="2"/>
  <c r="FU301" i="2" s="1"/>
  <c r="FN301" i="2"/>
  <c r="GG301" i="2" s="1"/>
  <c r="FM301" i="2"/>
  <c r="GF301" i="2" s="1"/>
  <c r="FL301" i="2"/>
  <c r="GE301" i="2" s="1"/>
  <c r="FK301" i="2"/>
  <c r="GD301" i="2" s="1"/>
  <c r="FJ301" i="2"/>
  <c r="GC301" i="2" s="1"/>
  <c r="FH301" i="2"/>
  <c r="GA301" i="2" s="1"/>
  <c r="ED304" i="2"/>
  <c r="EW304" i="2" s="1"/>
  <c r="DQ304" i="2"/>
  <c r="EJ304" i="2" s="1"/>
  <c r="EC304" i="2"/>
  <c r="EV304" i="2" s="1"/>
  <c r="EB304" i="2"/>
  <c r="EU304" i="2" s="1"/>
  <c r="EA304" i="2"/>
  <c r="ET304" i="2" s="1"/>
  <c r="DZ304" i="2"/>
  <c r="ES304" i="2" s="1"/>
  <c r="DY304" i="2"/>
  <c r="ER304" i="2" s="1"/>
  <c r="DV304" i="2"/>
  <c r="EO304" i="2" s="1"/>
  <c r="DU304" i="2"/>
  <c r="EN304" i="2" s="1"/>
  <c r="EH304" i="2"/>
  <c r="FA304" i="2" s="1"/>
  <c r="DT304" i="2"/>
  <c r="EM304" i="2" s="1"/>
  <c r="EG304" i="2"/>
  <c r="EZ304" i="2" s="1"/>
  <c r="DS304" i="2"/>
  <c r="EL304" i="2" s="1"/>
  <c r="EE304" i="2"/>
  <c r="EX304" i="2" s="1"/>
  <c r="DR304" i="2"/>
  <c r="EK304" i="2" s="1"/>
  <c r="DP306" i="2"/>
  <c r="EI306" i="2" s="1"/>
  <c r="GO319" i="2"/>
  <c r="DX319" i="2"/>
  <c r="EQ319" i="2" s="1"/>
  <c r="DV319" i="2"/>
  <c r="EO319" i="2" s="1"/>
  <c r="DU319" i="2"/>
  <c r="EN319" i="2" s="1"/>
  <c r="EH319" i="2"/>
  <c r="FA319" i="2" s="1"/>
  <c r="DT319" i="2"/>
  <c r="EM319" i="2" s="1"/>
  <c r="EG319" i="2"/>
  <c r="EZ319" i="2" s="1"/>
  <c r="DS319" i="2"/>
  <c r="EL319" i="2" s="1"/>
  <c r="EE319" i="2"/>
  <c r="EX319" i="2" s="1"/>
  <c r="DR319" i="2"/>
  <c r="EK319" i="2" s="1"/>
  <c r="ED319" i="2"/>
  <c r="EW319" i="2" s="1"/>
  <c r="DQ319" i="2"/>
  <c r="EJ319" i="2" s="1"/>
  <c r="EC319" i="2"/>
  <c r="EV319" i="2" s="1"/>
  <c r="DP319" i="2"/>
  <c r="EI319" i="2" s="1"/>
  <c r="EB319" i="2"/>
  <c r="EU319" i="2" s="1"/>
  <c r="EA319" i="2"/>
  <c r="ET319" i="2" s="1"/>
  <c r="DZ319" i="2"/>
  <c r="ES319" i="2" s="1"/>
  <c r="DY319" i="2"/>
  <c r="ER319" i="2" s="1"/>
  <c r="AL206" i="2"/>
  <c r="DX206" i="2"/>
  <c r="EQ206" i="2" s="1"/>
  <c r="DV206" i="2"/>
  <c r="EO206" i="2" s="1"/>
  <c r="DU206" i="2"/>
  <c r="EN206" i="2" s="1"/>
  <c r="EH206" i="2"/>
  <c r="FA206" i="2" s="1"/>
  <c r="DT206" i="2"/>
  <c r="EM206" i="2" s="1"/>
  <c r="EG206" i="2"/>
  <c r="EZ206" i="2" s="1"/>
  <c r="DS206" i="2"/>
  <c r="EL206" i="2" s="1"/>
  <c r="EE206" i="2"/>
  <c r="EX206" i="2" s="1"/>
  <c r="DR206" i="2"/>
  <c r="EK206" i="2" s="1"/>
  <c r="ED206" i="2"/>
  <c r="EW206" i="2" s="1"/>
  <c r="DQ206" i="2"/>
  <c r="EJ206" i="2" s="1"/>
  <c r="EC206" i="2"/>
  <c r="EV206" i="2" s="1"/>
  <c r="DP206" i="2"/>
  <c r="EI206" i="2" s="1"/>
  <c r="EB206" i="2"/>
  <c r="EU206" i="2" s="1"/>
  <c r="EA206" i="2"/>
  <c r="ET206" i="2" s="1"/>
  <c r="DZ206" i="2"/>
  <c r="ES206" i="2" s="1"/>
  <c r="DY206" i="2"/>
  <c r="ER206" i="2" s="1"/>
  <c r="AL31" i="2"/>
  <c r="DR31" i="2"/>
  <c r="EK31" i="2" s="1"/>
  <c r="EH31" i="2"/>
  <c r="FA31" i="2" s="1"/>
  <c r="DQ31" i="2"/>
  <c r="EJ31" i="2" s="1"/>
  <c r="EG31" i="2"/>
  <c r="EZ31" i="2" s="1"/>
  <c r="EE31" i="2"/>
  <c r="EX31" i="2" s="1"/>
  <c r="ED31" i="2"/>
  <c r="EW31" i="2" s="1"/>
  <c r="EC31" i="2"/>
  <c r="EV31" i="2" s="1"/>
  <c r="EB31" i="2"/>
  <c r="EU31" i="2" s="1"/>
  <c r="EA31" i="2"/>
  <c r="ET31" i="2" s="1"/>
  <c r="DZ31" i="2"/>
  <c r="ES31" i="2" s="1"/>
  <c r="DY31" i="2"/>
  <c r="ER31" i="2" s="1"/>
  <c r="DV31" i="2"/>
  <c r="EO31" i="2" s="1"/>
  <c r="DU31" i="2"/>
  <c r="EN31" i="2" s="1"/>
  <c r="CJ210" i="2"/>
  <c r="FL210" i="2"/>
  <c r="GE210" i="2" s="1"/>
  <c r="FG210" i="2"/>
  <c r="FZ210" i="2" s="1"/>
  <c r="FF210" i="2"/>
  <c r="FY210" i="2" s="1"/>
  <c r="FE210" i="2"/>
  <c r="FX210" i="2" s="1"/>
  <c r="FT210" i="2"/>
  <c r="GM210" i="2" s="1"/>
  <c r="FD210" i="2"/>
  <c r="FW210" i="2" s="1"/>
  <c r="FS210" i="2"/>
  <c r="GL210" i="2" s="1"/>
  <c r="FC210" i="2"/>
  <c r="FV210" i="2" s="1"/>
  <c r="FN210" i="2"/>
  <c r="GG210" i="2" s="1"/>
  <c r="FK210" i="2"/>
  <c r="GD210" i="2" s="1"/>
  <c r="FH210" i="2"/>
  <c r="GA210" i="2" s="1"/>
  <c r="FB210" i="2"/>
  <c r="FU210" i="2" s="1"/>
  <c r="FP210" i="2"/>
  <c r="GI210" i="2" s="1"/>
  <c r="FO210" i="2"/>
  <c r="GH210" i="2" s="1"/>
  <c r="FM210" i="2"/>
  <c r="GF210" i="2" s="1"/>
  <c r="DX375" i="2"/>
  <c r="EQ375" i="2" s="1"/>
  <c r="DX278" i="2"/>
  <c r="EQ278" i="2" s="1"/>
  <c r="DX513" i="2"/>
  <c r="EQ513" i="2" s="1"/>
  <c r="EI442" i="2"/>
  <c r="DZ554" i="2"/>
  <c r="ES554" i="2" s="1"/>
  <c r="EC444" i="2"/>
  <c r="EV444" i="2" s="1"/>
  <c r="DQ444" i="2"/>
  <c r="EJ444" i="2" s="1"/>
  <c r="EB444" i="2"/>
  <c r="EU444" i="2" s="1"/>
  <c r="DP444" i="2"/>
  <c r="EI444" i="2" s="1"/>
  <c r="DX444" i="2"/>
  <c r="EQ444" i="2" s="1"/>
  <c r="DW444" i="2"/>
  <c r="EP444" i="2" s="1"/>
  <c r="DV444" i="2"/>
  <c r="EO444" i="2" s="1"/>
  <c r="ED444" i="2"/>
  <c r="EW444" i="2" s="1"/>
  <c r="DR444" i="2"/>
  <c r="EK444" i="2" s="1"/>
  <c r="EH444" i="2"/>
  <c r="FA444" i="2" s="1"/>
  <c r="EG444" i="2"/>
  <c r="EZ444" i="2" s="1"/>
  <c r="EE444" i="2"/>
  <c r="EX444" i="2" s="1"/>
  <c r="DU444" i="2"/>
  <c r="EN444" i="2" s="1"/>
  <c r="DS444" i="2"/>
  <c r="EL444" i="2" s="1"/>
  <c r="EA444" i="2"/>
  <c r="ET444" i="2" s="1"/>
  <c r="DT444" i="2"/>
  <c r="EM444" i="2" s="1"/>
  <c r="AF560" i="2"/>
  <c r="DZ560" i="2"/>
  <c r="ES560" i="2" s="1"/>
  <c r="DY560" i="2"/>
  <c r="ER560" i="2" s="1"/>
  <c r="DT560" i="2"/>
  <c r="EM560" i="2" s="1"/>
  <c r="EH560" i="2"/>
  <c r="FA560" i="2" s="1"/>
  <c r="DS560" i="2"/>
  <c r="EL560" i="2" s="1"/>
  <c r="EG560" i="2"/>
  <c r="EZ560" i="2" s="1"/>
  <c r="DR560" i="2"/>
  <c r="EK560" i="2" s="1"/>
  <c r="EE560" i="2"/>
  <c r="EX560" i="2" s="1"/>
  <c r="EA560" i="2"/>
  <c r="ET560" i="2" s="1"/>
  <c r="EC560" i="2"/>
  <c r="EV560" i="2" s="1"/>
  <c r="EB560" i="2"/>
  <c r="EU560" i="2" s="1"/>
  <c r="DV560" i="2"/>
  <c r="EO560" i="2" s="1"/>
  <c r="DU560" i="2"/>
  <c r="EN560" i="2" s="1"/>
  <c r="ED560" i="2"/>
  <c r="EW560" i="2" s="1"/>
  <c r="DY505" i="2"/>
  <c r="ER505" i="2" s="1"/>
  <c r="EI619" i="2"/>
  <c r="DM575" i="2"/>
  <c r="DX575" i="2"/>
  <c r="EQ575" i="2" s="1"/>
  <c r="DW575" i="2"/>
  <c r="EP575" i="2" s="1"/>
  <c r="DV575" i="2"/>
  <c r="EO575" i="2" s="1"/>
  <c r="EH575" i="2"/>
  <c r="FA575" i="2" s="1"/>
  <c r="DU575" i="2"/>
  <c r="EN575" i="2" s="1"/>
  <c r="EG575" i="2"/>
  <c r="EZ575" i="2" s="1"/>
  <c r="DT575" i="2"/>
  <c r="EM575" i="2" s="1"/>
  <c r="EE575" i="2"/>
  <c r="EX575" i="2" s="1"/>
  <c r="DS575" i="2"/>
  <c r="EL575" i="2" s="1"/>
  <c r="ED575" i="2"/>
  <c r="EW575" i="2" s="1"/>
  <c r="DR575" i="2"/>
  <c r="EK575" i="2" s="1"/>
  <c r="EC575" i="2"/>
  <c r="EV575" i="2" s="1"/>
  <c r="DQ575" i="2"/>
  <c r="EJ575" i="2" s="1"/>
  <c r="EB575" i="2"/>
  <c r="EU575" i="2" s="1"/>
  <c r="DP575" i="2"/>
  <c r="EI575" i="2" s="1"/>
  <c r="EA575" i="2"/>
  <c r="ET575" i="2" s="1"/>
  <c r="DY575" i="2"/>
  <c r="ER575" i="2" s="1"/>
  <c r="DZ575" i="2"/>
  <c r="ES575" i="2" s="1"/>
  <c r="GF90" i="2"/>
  <c r="EQ91" i="2"/>
  <c r="FU91" i="2"/>
  <c r="GG91" i="2"/>
  <c r="EO92" i="2"/>
  <c r="FU92" i="2"/>
  <c r="GG92" i="2"/>
  <c r="EO519" i="2"/>
  <c r="GE519" i="2"/>
  <c r="FA49" i="2"/>
  <c r="GE51" i="2"/>
  <c r="GE53" i="2"/>
  <c r="EG76" i="2"/>
  <c r="EZ76" i="2" s="1"/>
  <c r="FW154" i="2"/>
  <c r="EQ155" i="2"/>
  <c r="FV155" i="2"/>
  <c r="GH155" i="2"/>
  <c r="BO159" i="2"/>
  <c r="EE159" i="2" s="1"/>
  <c r="EX159" i="2" s="1"/>
  <c r="EC159" i="2"/>
  <c r="EV159" i="2" s="1"/>
  <c r="EB159" i="2"/>
  <c r="EU159" i="2" s="1"/>
  <c r="EA159" i="2"/>
  <c r="ET159" i="2" s="1"/>
  <c r="DZ159" i="2"/>
  <c r="ES159" i="2" s="1"/>
  <c r="DY159" i="2"/>
  <c r="ER159" i="2" s="1"/>
  <c r="DV159" i="2"/>
  <c r="EO159" i="2" s="1"/>
  <c r="DU159" i="2"/>
  <c r="EN159" i="2" s="1"/>
  <c r="DT159" i="2"/>
  <c r="EM159" i="2" s="1"/>
  <c r="DS159" i="2"/>
  <c r="EL159" i="2" s="1"/>
  <c r="EH159" i="2"/>
  <c r="FA159" i="2" s="1"/>
  <c r="DR159" i="2"/>
  <c r="EK159" i="2" s="1"/>
  <c r="EG159" i="2"/>
  <c r="EZ159" i="2" s="1"/>
  <c r="DQ159" i="2"/>
  <c r="EJ159" i="2" s="1"/>
  <c r="ED159" i="2"/>
  <c r="EW159" i="2" s="1"/>
  <c r="DP159" i="2"/>
  <c r="EI159" i="2" s="1"/>
  <c r="DY205" i="2"/>
  <c r="ER205" i="2" s="1"/>
  <c r="DV205" i="2"/>
  <c r="EO205" i="2" s="1"/>
  <c r="DU205" i="2"/>
  <c r="EN205" i="2" s="1"/>
  <c r="DT205" i="2"/>
  <c r="EM205" i="2" s="1"/>
  <c r="DS205" i="2"/>
  <c r="EL205" i="2" s="1"/>
  <c r="DR205" i="2"/>
  <c r="EK205" i="2" s="1"/>
  <c r="EH205" i="2"/>
  <c r="FA205" i="2" s="1"/>
  <c r="DQ205" i="2"/>
  <c r="EJ205" i="2" s="1"/>
  <c r="ED205" i="2"/>
  <c r="EW205" i="2" s="1"/>
  <c r="DP205" i="2"/>
  <c r="EI205" i="2" s="1"/>
  <c r="EC205" i="2"/>
  <c r="EV205" i="2" s="1"/>
  <c r="EB205" i="2"/>
  <c r="EU205" i="2" s="1"/>
  <c r="EA205" i="2"/>
  <c r="ET205" i="2" s="1"/>
  <c r="DZ205" i="2"/>
  <c r="ES205" i="2" s="1"/>
  <c r="AL295" i="2"/>
  <c r="GU295" i="2" s="1"/>
  <c r="DU295" i="2"/>
  <c r="EN295" i="2" s="1"/>
  <c r="EH295" i="2"/>
  <c r="FA295" i="2" s="1"/>
  <c r="DT295" i="2"/>
  <c r="EM295" i="2" s="1"/>
  <c r="EG295" i="2"/>
  <c r="EZ295" i="2" s="1"/>
  <c r="DS295" i="2"/>
  <c r="EL295" i="2" s="1"/>
  <c r="EE295" i="2"/>
  <c r="EX295" i="2" s="1"/>
  <c r="DR295" i="2"/>
  <c r="EK295" i="2" s="1"/>
  <c r="ED295" i="2"/>
  <c r="EW295" i="2" s="1"/>
  <c r="DQ295" i="2"/>
  <c r="EJ295" i="2" s="1"/>
  <c r="EC295" i="2"/>
  <c r="EV295" i="2" s="1"/>
  <c r="DP295" i="2"/>
  <c r="EI295" i="2" s="1"/>
  <c r="EB295" i="2"/>
  <c r="EU295" i="2" s="1"/>
  <c r="EA295" i="2"/>
  <c r="ET295" i="2" s="1"/>
  <c r="DZ295" i="2"/>
  <c r="ES295" i="2" s="1"/>
  <c r="DY295" i="2"/>
  <c r="ER295" i="2" s="1"/>
  <c r="DX295" i="2"/>
  <c r="EQ295" i="2" s="1"/>
  <c r="DV295" i="2"/>
  <c r="EO295" i="2" s="1"/>
  <c r="DP304" i="2"/>
  <c r="EI304" i="2" s="1"/>
  <c r="EQ306" i="2"/>
  <c r="DM326" i="2"/>
  <c r="DZ326" i="2"/>
  <c r="ES326" i="2" s="1"/>
  <c r="DY326" i="2"/>
  <c r="ER326" i="2" s="1"/>
  <c r="DX326" i="2"/>
  <c r="EQ326" i="2" s="1"/>
  <c r="DV326" i="2"/>
  <c r="EO326" i="2" s="1"/>
  <c r="DU326" i="2"/>
  <c r="EN326" i="2" s="1"/>
  <c r="EH326" i="2"/>
  <c r="FA326" i="2" s="1"/>
  <c r="DT326" i="2"/>
  <c r="EM326" i="2" s="1"/>
  <c r="EG326" i="2"/>
  <c r="EZ326" i="2" s="1"/>
  <c r="DS326" i="2"/>
  <c r="EL326" i="2" s="1"/>
  <c r="EE326" i="2"/>
  <c r="EX326" i="2" s="1"/>
  <c r="DR326" i="2"/>
  <c r="EK326" i="2" s="1"/>
  <c r="ED326" i="2"/>
  <c r="EW326" i="2" s="1"/>
  <c r="DQ326" i="2"/>
  <c r="EJ326" i="2" s="1"/>
  <c r="EC326" i="2"/>
  <c r="EV326" i="2" s="1"/>
  <c r="DP326" i="2"/>
  <c r="EI326" i="2" s="1"/>
  <c r="EB326" i="2"/>
  <c r="EU326" i="2" s="1"/>
  <c r="EA326" i="2"/>
  <c r="ET326" i="2" s="1"/>
  <c r="EE485" i="2"/>
  <c r="EX485" i="2" s="1"/>
  <c r="DR485" i="2"/>
  <c r="EK485" i="2" s="1"/>
  <c r="ED485" i="2"/>
  <c r="EW485" i="2" s="1"/>
  <c r="DQ485" i="2"/>
  <c r="EJ485" i="2" s="1"/>
  <c r="EC485" i="2"/>
  <c r="EV485" i="2" s="1"/>
  <c r="DP485" i="2"/>
  <c r="EI485" i="2" s="1"/>
  <c r="EB485" i="2"/>
  <c r="EU485" i="2" s="1"/>
  <c r="EA485" i="2"/>
  <c r="ET485" i="2" s="1"/>
  <c r="DZ485" i="2"/>
  <c r="ES485" i="2" s="1"/>
  <c r="DY485" i="2"/>
  <c r="ER485" i="2" s="1"/>
  <c r="DX485" i="2"/>
  <c r="EQ485" i="2" s="1"/>
  <c r="DU485" i="2"/>
  <c r="EN485" i="2" s="1"/>
  <c r="EH485" i="2"/>
  <c r="FA485" i="2" s="1"/>
  <c r="DT485" i="2"/>
  <c r="EM485" i="2" s="1"/>
  <c r="EG485" i="2"/>
  <c r="EZ485" i="2" s="1"/>
  <c r="DV485" i="2"/>
  <c r="EO485" i="2" s="1"/>
  <c r="DS485" i="2"/>
  <c r="EL485" i="2" s="1"/>
  <c r="BG624" i="2"/>
  <c r="GV624" i="2" s="1"/>
  <c r="HP35" i="2" s="1"/>
  <c r="DS624" i="2"/>
  <c r="EL624" i="2" s="1"/>
  <c r="EH624" i="2"/>
  <c r="FA624" i="2" s="1"/>
  <c r="DR624" i="2"/>
  <c r="EK624" i="2" s="1"/>
  <c r="EG624" i="2"/>
  <c r="EZ624" i="2" s="1"/>
  <c r="EE624" i="2"/>
  <c r="EX624" i="2" s="1"/>
  <c r="ED624" i="2"/>
  <c r="EW624" i="2" s="1"/>
  <c r="EC624" i="2"/>
  <c r="EV624" i="2" s="1"/>
  <c r="EB624" i="2"/>
  <c r="EU624" i="2" s="1"/>
  <c r="EA624" i="2"/>
  <c r="ET624" i="2" s="1"/>
  <c r="DX624" i="2"/>
  <c r="EQ624" i="2" s="1"/>
  <c r="DV624" i="2"/>
  <c r="EO624" i="2" s="1"/>
  <c r="DU624" i="2"/>
  <c r="EN624" i="2" s="1"/>
  <c r="DT624" i="2"/>
  <c r="EM624" i="2" s="1"/>
  <c r="DU211" i="2"/>
  <c r="EN211" i="2" s="1"/>
  <c r="DT211" i="2"/>
  <c r="EM211" i="2" s="1"/>
  <c r="EH211" i="2"/>
  <c r="FA211" i="2" s="1"/>
  <c r="DS211" i="2"/>
  <c r="EL211" i="2" s="1"/>
  <c r="EG211" i="2"/>
  <c r="EZ211" i="2" s="1"/>
  <c r="DR211" i="2"/>
  <c r="EK211" i="2" s="1"/>
  <c r="EE211" i="2"/>
  <c r="EX211" i="2" s="1"/>
  <c r="DQ211" i="2"/>
  <c r="EJ211" i="2" s="1"/>
  <c r="ED211" i="2"/>
  <c r="EW211" i="2" s="1"/>
  <c r="DP211" i="2"/>
  <c r="EI211" i="2" s="1"/>
  <c r="EC211" i="2"/>
  <c r="EV211" i="2" s="1"/>
  <c r="EB211" i="2"/>
  <c r="EU211" i="2" s="1"/>
  <c r="EA211" i="2"/>
  <c r="ET211" i="2" s="1"/>
  <c r="DZ211" i="2"/>
  <c r="ES211" i="2" s="1"/>
  <c r="DY211" i="2"/>
  <c r="ER211" i="2" s="1"/>
  <c r="DV211" i="2"/>
  <c r="EO211" i="2" s="1"/>
  <c r="CC116" i="2"/>
  <c r="FS116" i="2"/>
  <c r="GL116" i="2" s="1"/>
  <c r="FC116" i="2"/>
  <c r="FV116" i="2" s="1"/>
  <c r="FM116" i="2"/>
  <c r="GF116" i="2" s="1"/>
  <c r="FK116" i="2"/>
  <c r="GD116" i="2" s="1"/>
  <c r="FH116" i="2"/>
  <c r="GA116" i="2" s="1"/>
  <c r="FE116" i="2"/>
  <c r="FX116" i="2" s="1"/>
  <c r="FN116" i="2"/>
  <c r="GG116" i="2" s="1"/>
  <c r="FL116" i="2"/>
  <c r="GE116" i="2" s="1"/>
  <c r="FG116" i="2"/>
  <c r="FZ116" i="2" s="1"/>
  <c r="FF116" i="2"/>
  <c r="FY116" i="2" s="1"/>
  <c r="FD116" i="2"/>
  <c r="FW116" i="2" s="1"/>
  <c r="FB116" i="2"/>
  <c r="FU116" i="2" s="1"/>
  <c r="FT116" i="2"/>
  <c r="GM116" i="2" s="1"/>
  <c r="FP116" i="2"/>
  <c r="GI116" i="2" s="1"/>
  <c r="FO116" i="2"/>
  <c r="GH116" i="2" s="1"/>
  <c r="Z229" i="2"/>
  <c r="EH229" i="2"/>
  <c r="FA229" i="2" s="1"/>
  <c r="DR229" i="2"/>
  <c r="EK229" i="2" s="1"/>
  <c r="EG229" i="2"/>
  <c r="EZ229" i="2" s="1"/>
  <c r="EB229" i="2"/>
  <c r="EU229" i="2" s="1"/>
  <c r="DZ229" i="2"/>
  <c r="ES229" i="2" s="1"/>
  <c r="DY229" i="2"/>
  <c r="ER229" i="2" s="1"/>
  <c r="DT229" i="2"/>
  <c r="EM229" i="2" s="1"/>
  <c r="ED229" i="2"/>
  <c r="EW229" i="2" s="1"/>
  <c r="EC229" i="2"/>
  <c r="EV229" i="2" s="1"/>
  <c r="EA229" i="2"/>
  <c r="ET229" i="2" s="1"/>
  <c r="DV229" i="2"/>
  <c r="EO229" i="2" s="1"/>
  <c r="DU229" i="2"/>
  <c r="EN229" i="2" s="1"/>
  <c r="DS229" i="2"/>
  <c r="EL229" i="2" s="1"/>
  <c r="DQ229" i="2"/>
  <c r="EJ229" i="2" s="1"/>
  <c r="DP229" i="2"/>
  <c r="EI229" i="2" s="1"/>
  <c r="BH230" i="2"/>
  <c r="DY216" i="2"/>
  <c r="ER216" i="2" s="1"/>
  <c r="EH216" i="2"/>
  <c r="FA216" i="2" s="1"/>
  <c r="DT216" i="2"/>
  <c r="EM216" i="2" s="1"/>
  <c r="EE216" i="2"/>
  <c r="EX216" i="2" s="1"/>
  <c r="DR216" i="2"/>
  <c r="EK216" i="2" s="1"/>
  <c r="ED216" i="2"/>
  <c r="EW216" i="2" s="1"/>
  <c r="DQ216" i="2"/>
  <c r="EJ216" i="2" s="1"/>
  <c r="DZ216" i="2"/>
  <c r="ES216" i="2" s="1"/>
  <c r="DV216" i="2"/>
  <c r="EO216" i="2" s="1"/>
  <c r="DU216" i="2"/>
  <c r="EN216" i="2" s="1"/>
  <c r="DS216" i="2"/>
  <c r="EL216" i="2" s="1"/>
  <c r="DP216" i="2"/>
  <c r="EI216" i="2" s="1"/>
  <c r="EG216" i="2"/>
  <c r="EZ216" i="2" s="1"/>
  <c r="EC216" i="2"/>
  <c r="EV216" i="2" s="1"/>
  <c r="EB216" i="2"/>
  <c r="EU216" i="2" s="1"/>
  <c r="EA216" i="2"/>
  <c r="ET216" i="2" s="1"/>
  <c r="DX216" i="2"/>
  <c r="EQ216" i="2" s="1"/>
  <c r="AT217" i="2"/>
  <c r="EE217" i="2" s="1"/>
  <c r="EX217" i="2" s="1"/>
  <c r="DZ217" i="2"/>
  <c r="ES217" i="2" s="1"/>
  <c r="DU217" i="2"/>
  <c r="EN217" i="2" s="1"/>
  <c r="EH217" i="2"/>
  <c r="FA217" i="2" s="1"/>
  <c r="DS217" i="2"/>
  <c r="EL217" i="2" s="1"/>
  <c r="EG217" i="2"/>
  <c r="EZ217" i="2" s="1"/>
  <c r="DR217" i="2"/>
  <c r="EK217" i="2" s="1"/>
  <c r="EA217" i="2"/>
  <c r="ET217" i="2" s="1"/>
  <c r="DT217" i="2"/>
  <c r="EM217" i="2" s="1"/>
  <c r="DQ217" i="2"/>
  <c r="EJ217" i="2" s="1"/>
  <c r="DP217" i="2"/>
  <c r="EI217" i="2" s="1"/>
  <c r="ED217" i="2"/>
  <c r="EW217" i="2" s="1"/>
  <c r="EC217" i="2"/>
  <c r="EV217" i="2" s="1"/>
  <c r="EB217" i="2"/>
  <c r="EU217" i="2" s="1"/>
  <c r="DY217" i="2"/>
  <c r="ER217" i="2" s="1"/>
  <c r="DV217" i="2"/>
  <c r="EO217" i="2" s="1"/>
  <c r="DX217" i="2"/>
  <c r="EQ217" i="2" s="1"/>
  <c r="GO274" i="2"/>
  <c r="GP274" i="2" s="1"/>
  <c r="GQ274" i="2" s="1"/>
  <c r="EC274" i="2"/>
  <c r="EV274" i="2" s="1"/>
  <c r="DQ274" i="2"/>
  <c r="EJ274" i="2" s="1"/>
  <c r="EA274" i="2"/>
  <c r="ET274" i="2" s="1"/>
  <c r="DY274" i="2"/>
  <c r="ER274" i="2" s="1"/>
  <c r="DV274" i="2"/>
  <c r="EO274" i="2" s="1"/>
  <c r="EG274" i="2"/>
  <c r="EZ274" i="2" s="1"/>
  <c r="DT274" i="2"/>
  <c r="EM274" i="2" s="1"/>
  <c r="ED274" i="2"/>
  <c r="EW274" i="2" s="1"/>
  <c r="DR274" i="2"/>
  <c r="EK274" i="2" s="1"/>
  <c r="EH274" i="2"/>
  <c r="FA274" i="2" s="1"/>
  <c r="EE274" i="2"/>
  <c r="EX274" i="2" s="1"/>
  <c r="EB274" i="2"/>
  <c r="EU274" i="2" s="1"/>
  <c r="DZ274" i="2"/>
  <c r="ES274" i="2" s="1"/>
  <c r="DX274" i="2"/>
  <c r="EQ274" i="2" s="1"/>
  <c r="DU274" i="2"/>
  <c r="EN274" i="2" s="1"/>
  <c r="DS274" i="2"/>
  <c r="EL274" i="2" s="1"/>
  <c r="DP274" i="2"/>
  <c r="EI274" i="2" s="1"/>
  <c r="ED278" i="2"/>
  <c r="EW278" i="2" s="1"/>
  <c r="ED389" i="2"/>
  <c r="EW389" i="2" s="1"/>
  <c r="U1" i="2"/>
  <c r="EA554" i="2"/>
  <c r="ET554" i="2" s="1"/>
  <c r="DY444" i="2"/>
  <c r="ER444" i="2" s="1"/>
  <c r="ES505" i="2"/>
  <c r="EN28" i="2"/>
  <c r="EN434" i="2"/>
  <c r="EN435" i="2"/>
  <c r="EN450" i="2"/>
  <c r="EN418" i="2"/>
  <c r="EN412" i="2"/>
  <c r="EN411" i="2"/>
  <c r="EN389" i="2"/>
  <c r="EN410" i="2"/>
  <c r="EN419" i="2"/>
  <c r="EN225" i="2"/>
  <c r="EN608" i="2"/>
  <c r="EN168" i="2"/>
  <c r="EN121" i="2"/>
  <c r="EN119" i="2"/>
  <c r="EN117" i="2"/>
  <c r="EN132" i="2"/>
  <c r="EN281" i="2"/>
  <c r="EN549" i="2"/>
  <c r="EN88" i="2"/>
  <c r="EN125" i="2"/>
  <c r="EN252" i="2"/>
  <c r="EN599" i="2"/>
  <c r="EN103" i="2"/>
  <c r="EN263" i="2"/>
  <c r="EN245" i="2"/>
  <c r="EN244" i="2"/>
  <c r="EN598" i="2"/>
  <c r="EN547" i="2"/>
  <c r="EN39" i="2"/>
  <c r="EN116" i="2"/>
  <c r="EN228" i="2"/>
  <c r="EN118" i="2"/>
  <c r="EN262" i="2"/>
  <c r="EN45" i="2"/>
  <c r="EN600" i="2"/>
  <c r="EN282" i="2"/>
  <c r="EN212" i="2"/>
  <c r="EN37" i="2"/>
  <c r="EN373" i="2"/>
  <c r="EN261" i="2"/>
  <c r="EN7" i="2"/>
  <c r="EN41" i="2"/>
  <c r="EN129" i="2"/>
  <c r="EN38" i="2"/>
  <c r="EN133" i="2"/>
  <c r="EN370" i="2"/>
  <c r="EN590" i="2"/>
  <c r="EN346" i="2"/>
  <c r="EN9" i="2"/>
  <c r="EN8" i="2"/>
  <c r="EN327" i="2"/>
  <c r="EN321" i="2"/>
  <c r="EN330" i="2"/>
  <c r="EN325" i="2"/>
  <c r="EN324" i="2"/>
  <c r="EN329" i="2"/>
  <c r="EN328" i="2"/>
  <c r="EN323" i="2"/>
  <c r="EN322" i="2"/>
  <c r="EN67" i="2"/>
  <c r="EN59" i="2"/>
  <c r="EN50" i="2"/>
  <c r="EN89" i="2"/>
  <c r="EN65" i="2"/>
  <c r="EN56" i="2"/>
  <c r="EN77" i="2"/>
  <c r="EN72" i="2"/>
  <c r="EN62" i="2"/>
  <c r="EN54" i="2"/>
  <c r="EN187" i="2"/>
  <c r="EN80" i="2"/>
  <c r="FZ90" i="2"/>
  <c r="GH90" i="2"/>
  <c r="ER91" i="2"/>
  <c r="FV91" i="2"/>
  <c r="GH91" i="2"/>
  <c r="FV92" i="2"/>
  <c r="GH92" i="2"/>
  <c r="FA519" i="2"/>
  <c r="GF519" i="2"/>
  <c r="EQ49" i="2"/>
  <c r="FU49" i="2"/>
  <c r="FA50" i="2"/>
  <c r="GF50" i="2"/>
  <c r="EN51" i="2"/>
  <c r="GE57" i="2"/>
  <c r="GE58" i="2"/>
  <c r="FU78" i="2"/>
  <c r="GG78" i="2"/>
  <c r="EO79" i="2"/>
  <c r="GF79" i="2"/>
  <c r="ER154" i="2"/>
  <c r="ER30" i="2"/>
  <c r="ER50" i="2"/>
  <c r="FU50" i="2"/>
  <c r="GG50" i="2"/>
  <c r="EO51" i="2"/>
  <c r="GF51" i="2"/>
  <c r="EN53" i="2"/>
  <c r="FA53" i="2"/>
  <c r="GF53" i="2"/>
  <c r="GC54" i="2"/>
  <c r="EK55" i="2"/>
  <c r="EJ81" i="2"/>
  <c r="EV81" i="2"/>
  <c r="EJ56" i="2"/>
  <c r="EV56" i="2"/>
  <c r="ES57" i="2"/>
  <c r="ER58" i="2"/>
  <c r="ER59" i="2"/>
  <c r="FU59" i="2"/>
  <c r="GG59" i="2"/>
  <c r="EO60" i="2"/>
  <c r="GF60" i="2"/>
  <c r="EN61" i="2"/>
  <c r="FA61" i="2"/>
  <c r="GF61" i="2"/>
  <c r="GC62" i="2"/>
  <c r="EK63" i="2"/>
  <c r="EJ64" i="2"/>
  <c r="EV64" i="2"/>
  <c r="EJ65" i="2"/>
  <c r="EV65" i="2"/>
  <c r="ES52" i="2"/>
  <c r="ER66" i="2"/>
  <c r="ER67" i="2"/>
  <c r="FU67" i="2"/>
  <c r="GG67" i="2"/>
  <c r="EO68" i="2"/>
  <c r="GF68" i="2"/>
  <c r="EN70" i="2"/>
  <c r="FA70" i="2"/>
  <c r="GF70" i="2"/>
  <c r="GC72" i="2"/>
  <c r="GE76" i="2"/>
  <c r="GE73" i="2"/>
  <c r="EJ74" i="2"/>
  <c r="EV74" i="2"/>
  <c r="GA74" i="2"/>
  <c r="EI75" i="2"/>
  <c r="EU75" i="2"/>
  <c r="FZ75" i="2"/>
  <c r="GM75" i="2"/>
  <c r="ET89" i="2"/>
  <c r="FW89" i="2"/>
  <c r="EQ78" i="2"/>
  <c r="FV78" i="2"/>
  <c r="GH78" i="2"/>
  <c r="FU79" i="2"/>
  <c r="GG79" i="2"/>
  <c r="EO80" i="2"/>
  <c r="GE80" i="2"/>
  <c r="GE122" i="2"/>
  <c r="GD254" i="2"/>
  <c r="EJ150" i="2"/>
  <c r="EV150" i="2"/>
  <c r="GA150" i="2"/>
  <c r="EI151" i="2"/>
  <c r="EU151" i="2"/>
  <c r="FZ151" i="2"/>
  <c r="GM151" i="2"/>
  <c r="ET152" i="2"/>
  <c r="ES154" i="2"/>
  <c r="ER155" i="2"/>
  <c r="FW155" i="2"/>
  <c r="EQ238" i="2"/>
  <c r="FV238" i="2"/>
  <c r="GH238" i="2"/>
  <c r="GF239" i="2"/>
  <c r="EN240" i="2"/>
  <c r="FA240" i="2"/>
  <c r="GE240" i="2"/>
  <c r="GC156" i="2"/>
  <c r="EK157" i="2"/>
  <c r="EJ158" i="2"/>
  <c r="EV158" i="2"/>
  <c r="GA158" i="2"/>
  <c r="GC159" i="2"/>
  <c r="GC160" i="2"/>
  <c r="EK161" i="2"/>
  <c r="EJ162" i="2"/>
  <c r="EV162" i="2"/>
  <c r="GA162" i="2"/>
  <c r="EI163" i="2"/>
  <c r="EU163" i="2"/>
  <c r="FZ163" i="2"/>
  <c r="GM163" i="2"/>
  <c r="ET172" i="2"/>
  <c r="ES164" i="2"/>
  <c r="FW164" i="2"/>
  <c r="EQ176" i="2"/>
  <c r="FU176" i="2"/>
  <c r="GG176" i="2"/>
  <c r="FU177" i="2"/>
  <c r="GG177" i="2"/>
  <c r="EO178" i="2"/>
  <c r="GE178" i="2"/>
  <c r="GC165" i="2"/>
  <c r="EK166" i="2"/>
  <c r="GA166" i="2"/>
  <c r="EI167" i="2"/>
  <c r="EU167" i="2"/>
  <c r="ES174" i="2"/>
  <c r="FW174" i="2"/>
  <c r="EQ194" i="2"/>
  <c r="FU194" i="2"/>
  <c r="GG194" i="2"/>
  <c r="EO195" i="2"/>
  <c r="GE195" i="2"/>
  <c r="GC196" i="2"/>
  <c r="EK197" i="2"/>
  <c r="GA197" i="2"/>
  <c r="EI198" i="2"/>
  <c r="EU198" i="2"/>
  <c r="ES179" i="2"/>
  <c r="FW179" i="2"/>
  <c r="EQ199" i="2"/>
  <c r="FU199" i="2"/>
  <c r="GG199" i="2"/>
  <c r="EO200" i="2"/>
  <c r="GE200" i="2"/>
  <c r="GC180" i="2"/>
  <c r="EK181" i="2"/>
  <c r="GA181" i="2"/>
  <c r="EI182" i="2"/>
  <c r="EU182" i="2"/>
  <c r="ES183" i="2"/>
  <c r="ER184" i="2"/>
  <c r="FW184" i="2"/>
  <c r="EQ185" i="2"/>
  <c r="FV185" i="2"/>
  <c r="GH185" i="2"/>
  <c r="FU186" i="2"/>
  <c r="GG186" i="2"/>
  <c r="EO187" i="2"/>
  <c r="GF187" i="2"/>
  <c r="EN188" i="2"/>
  <c r="FA188" i="2"/>
  <c r="GF188" i="2"/>
  <c r="ES30" i="2"/>
  <c r="ES50" i="2"/>
  <c r="FV50" i="2"/>
  <c r="GH50" i="2"/>
  <c r="FU51" i="2"/>
  <c r="GG51" i="2"/>
  <c r="EO53" i="2"/>
  <c r="FU53" i="2"/>
  <c r="GG53" i="2"/>
  <c r="EO54" i="2"/>
  <c r="GD54" i="2"/>
  <c r="GC55" i="2"/>
  <c r="EK81" i="2"/>
  <c r="GC81" i="2"/>
  <c r="EK56" i="2"/>
  <c r="FZ56" i="2"/>
  <c r="GM56" i="2"/>
  <c r="ET57" i="2"/>
  <c r="ES58" i="2"/>
  <c r="ES59" i="2"/>
  <c r="FV59" i="2"/>
  <c r="GH59" i="2"/>
  <c r="FU60" i="2"/>
  <c r="GG60" i="2"/>
  <c r="EO61" i="2"/>
  <c r="FU61" i="2"/>
  <c r="GG61" i="2"/>
  <c r="EO62" i="2"/>
  <c r="GD62" i="2"/>
  <c r="GC63" i="2"/>
  <c r="EK64" i="2"/>
  <c r="GC64" i="2"/>
  <c r="EK65" i="2"/>
  <c r="FZ65" i="2"/>
  <c r="GM65" i="2"/>
  <c r="ET52" i="2"/>
  <c r="ES66" i="2"/>
  <c r="ES67" i="2"/>
  <c r="FV67" i="2"/>
  <c r="GH67" i="2"/>
  <c r="FU68" i="2"/>
  <c r="GG68" i="2"/>
  <c r="EO70" i="2"/>
  <c r="FU70" i="2"/>
  <c r="GG70" i="2"/>
  <c r="EO72" i="2"/>
  <c r="GD72" i="2"/>
  <c r="GF76" i="2"/>
  <c r="EN73" i="2"/>
  <c r="FA73" i="2"/>
  <c r="GF73" i="2"/>
  <c r="GC77" i="2"/>
  <c r="EK74" i="2"/>
  <c r="EJ75" i="2"/>
  <c r="EV75" i="2"/>
  <c r="GA75" i="2"/>
  <c r="EI89" i="2"/>
  <c r="EU89" i="2"/>
  <c r="ER78" i="2"/>
  <c r="FW78" i="2"/>
  <c r="EQ79" i="2"/>
  <c r="FV79" i="2"/>
  <c r="GH79" i="2"/>
  <c r="GF80" i="2"/>
  <c r="EN122" i="2"/>
  <c r="FA122" i="2"/>
  <c r="GF122" i="2"/>
  <c r="EN254" i="2"/>
  <c r="FA254" i="2"/>
  <c r="GE254" i="2"/>
  <c r="GC149" i="2"/>
  <c r="EK150" i="2"/>
  <c r="EJ151" i="2"/>
  <c r="EV151" i="2"/>
  <c r="GA151" i="2"/>
  <c r="EI152" i="2"/>
  <c r="EU152" i="2"/>
  <c r="FZ153" i="2"/>
  <c r="GM153" i="2"/>
  <c r="ET154" i="2"/>
  <c r="ES155" i="2"/>
  <c r="ER238" i="2"/>
  <c r="FW238" i="2"/>
  <c r="EQ239" i="2"/>
  <c r="FU239" i="2"/>
  <c r="GG239" i="2"/>
  <c r="EO240" i="2"/>
  <c r="GF240" i="2"/>
  <c r="EN156" i="2"/>
  <c r="FA156" i="2"/>
  <c r="GD156" i="2"/>
  <c r="GC157" i="2"/>
  <c r="EK158" i="2"/>
  <c r="GD159" i="2"/>
  <c r="GD160" i="2"/>
  <c r="GC161" i="2"/>
  <c r="EK162" i="2"/>
  <c r="EJ163" i="2"/>
  <c r="EV163" i="2"/>
  <c r="GA163" i="2"/>
  <c r="EI172" i="2"/>
  <c r="EU172" i="2"/>
  <c r="FZ172" i="2"/>
  <c r="GM172" i="2"/>
  <c r="ET164" i="2"/>
  <c r="ER176" i="2"/>
  <c r="FV176" i="2"/>
  <c r="GH176" i="2"/>
  <c r="FV177" i="2"/>
  <c r="GH177" i="2"/>
  <c r="GF178" i="2"/>
  <c r="EN165" i="2"/>
  <c r="FA165" i="2"/>
  <c r="GD165" i="2"/>
  <c r="EJ167" i="2"/>
  <c r="EV167" i="2"/>
  <c r="FZ167" i="2"/>
  <c r="GM167" i="2"/>
  <c r="ET174" i="2"/>
  <c r="ER194" i="2"/>
  <c r="FV194" i="2"/>
  <c r="GH194" i="2"/>
  <c r="GF195" i="2"/>
  <c r="EN196" i="2"/>
  <c r="FA196" i="2"/>
  <c r="GD196" i="2"/>
  <c r="EJ198" i="2"/>
  <c r="EV198" i="2"/>
  <c r="FZ198" i="2"/>
  <c r="GM198" i="2"/>
  <c r="ET179" i="2"/>
  <c r="ER199" i="2"/>
  <c r="FV199" i="2"/>
  <c r="GH199" i="2"/>
  <c r="GF200" i="2"/>
  <c r="EN180" i="2"/>
  <c r="FA180" i="2"/>
  <c r="GD180" i="2"/>
  <c r="EJ182" i="2"/>
  <c r="EV182" i="2"/>
  <c r="FZ182" i="2"/>
  <c r="GM182" i="2"/>
  <c r="ET183" i="2"/>
  <c r="ES184" i="2"/>
  <c r="ER185" i="2"/>
  <c r="FW185" i="2"/>
  <c r="FV186" i="2"/>
  <c r="GH186" i="2"/>
  <c r="FU187" i="2"/>
  <c r="GG187" i="2"/>
  <c r="EO188" i="2"/>
  <c r="FU188" i="2"/>
  <c r="GG188" i="2"/>
  <c r="GM49" i="2"/>
  <c r="ET30" i="2"/>
  <c r="FZ30" i="2"/>
  <c r="GM30" i="2"/>
  <c r="ET50" i="2"/>
  <c r="FW50" i="2"/>
  <c r="EQ51" i="2"/>
  <c r="FV51" i="2"/>
  <c r="GH51" i="2"/>
  <c r="FV53" i="2"/>
  <c r="GH53" i="2"/>
  <c r="GE54" i="2"/>
  <c r="GD55" i="2"/>
  <c r="GD81" i="2"/>
  <c r="GA56" i="2"/>
  <c r="EI57" i="2"/>
  <c r="EU57" i="2"/>
  <c r="FZ57" i="2"/>
  <c r="GM57" i="2"/>
  <c r="ET58" i="2"/>
  <c r="FZ58" i="2"/>
  <c r="GM58" i="2"/>
  <c r="ET59" i="2"/>
  <c r="FW59" i="2"/>
  <c r="EQ60" i="2"/>
  <c r="FV60" i="2"/>
  <c r="GH60" i="2"/>
  <c r="FV61" i="2"/>
  <c r="GH61" i="2"/>
  <c r="GE62" i="2"/>
  <c r="GD63" i="2"/>
  <c r="GD64" i="2"/>
  <c r="GA65" i="2"/>
  <c r="EI52" i="2"/>
  <c r="EU52" i="2"/>
  <c r="FZ52" i="2"/>
  <c r="GM52" i="2"/>
  <c r="ET66" i="2"/>
  <c r="FZ66" i="2"/>
  <c r="GM66" i="2"/>
  <c r="ET67" i="2"/>
  <c r="FW67" i="2"/>
  <c r="EQ68" i="2"/>
  <c r="FV68" i="2"/>
  <c r="GH68" i="2"/>
  <c r="FV70" i="2"/>
  <c r="GH70" i="2"/>
  <c r="GE72" i="2"/>
  <c r="FU76" i="2"/>
  <c r="GG76" i="2"/>
  <c r="EO73" i="2"/>
  <c r="FU73" i="2"/>
  <c r="GG73" i="2"/>
  <c r="EO77" i="2"/>
  <c r="GD77" i="2"/>
  <c r="GC74" i="2"/>
  <c r="EK75" i="2"/>
  <c r="EJ89" i="2"/>
  <c r="EV89" i="2"/>
  <c r="ES78" i="2"/>
  <c r="ER79" i="2"/>
  <c r="FW79" i="2"/>
  <c r="EQ80" i="2"/>
  <c r="FU80" i="2"/>
  <c r="GG80" i="2"/>
  <c r="EO122" i="2"/>
  <c r="FU122" i="2"/>
  <c r="GG122" i="2"/>
  <c r="EO254" i="2"/>
  <c r="GF254" i="2"/>
  <c r="EN149" i="2"/>
  <c r="FA149" i="2"/>
  <c r="GD149" i="2"/>
  <c r="GC150" i="2"/>
  <c r="EK151" i="2"/>
  <c r="EJ152" i="2"/>
  <c r="EV152" i="2"/>
  <c r="FZ152" i="2"/>
  <c r="GM152" i="2"/>
  <c r="GA153" i="2"/>
  <c r="EI154" i="2"/>
  <c r="EU154" i="2"/>
  <c r="FZ154" i="2"/>
  <c r="GM154" i="2"/>
  <c r="ET155" i="2"/>
  <c r="ES238" i="2"/>
  <c r="ER239" i="2"/>
  <c r="FV239" i="2"/>
  <c r="GH239" i="2"/>
  <c r="FU240" i="2"/>
  <c r="GG240" i="2"/>
  <c r="EO156" i="2"/>
  <c r="GE156" i="2"/>
  <c r="GD157" i="2"/>
  <c r="GC158" i="2"/>
  <c r="GE159" i="2"/>
  <c r="GE160" i="2"/>
  <c r="GD161" i="2"/>
  <c r="GC162" i="2"/>
  <c r="EK163" i="2"/>
  <c r="EJ172" i="2"/>
  <c r="EV172" i="2"/>
  <c r="GA172" i="2"/>
  <c r="EI164" i="2"/>
  <c r="EU164" i="2"/>
  <c r="ES176" i="2"/>
  <c r="FW176" i="2"/>
  <c r="FW177" i="2"/>
  <c r="EQ178" i="2"/>
  <c r="FU178" i="2"/>
  <c r="GG178" i="2"/>
  <c r="EO165" i="2"/>
  <c r="GE165" i="2"/>
  <c r="GC166" i="2"/>
  <c r="EK167" i="2"/>
  <c r="GA167" i="2"/>
  <c r="EI174" i="2"/>
  <c r="EU174" i="2"/>
  <c r="ES194" i="2"/>
  <c r="FW194" i="2"/>
  <c r="EQ195" i="2"/>
  <c r="FU195" i="2"/>
  <c r="GG195" i="2"/>
  <c r="EO196" i="2"/>
  <c r="GE196" i="2"/>
  <c r="GC197" i="2"/>
  <c r="EK198" i="2"/>
  <c r="GA198" i="2"/>
  <c r="EI179" i="2"/>
  <c r="EU179" i="2"/>
  <c r="ES199" i="2"/>
  <c r="FW199" i="2"/>
  <c r="EQ200" i="2"/>
  <c r="FU200" i="2"/>
  <c r="GG200" i="2"/>
  <c r="EO180" i="2"/>
  <c r="GE180" i="2"/>
  <c r="GC181" i="2"/>
  <c r="EK182" i="2"/>
  <c r="GA182" i="2"/>
  <c r="EI183" i="2"/>
  <c r="EU183" i="2"/>
  <c r="FZ183" i="2"/>
  <c r="GM183" i="2"/>
  <c r="ET184" i="2"/>
  <c r="ES185" i="2"/>
  <c r="ER186" i="2"/>
  <c r="FW186" i="2"/>
  <c r="EQ187" i="2"/>
  <c r="FV187" i="2"/>
  <c r="GH187" i="2"/>
  <c r="FV188" i="2"/>
  <c r="GH188" i="2"/>
  <c r="EI30" i="2"/>
  <c r="EU30" i="2"/>
  <c r="GA30" i="2"/>
  <c r="EI50" i="2"/>
  <c r="EU50" i="2"/>
  <c r="ER51" i="2"/>
  <c r="FW51" i="2"/>
  <c r="EQ53" i="2"/>
  <c r="FW53" i="2"/>
  <c r="EQ54" i="2"/>
  <c r="GF54" i="2"/>
  <c r="EN55" i="2"/>
  <c r="GE55" i="2"/>
  <c r="GE81" i="2"/>
  <c r="EJ57" i="2"/>
  <c r="EV57" i="2"/>
  <c r="GA57" i="2"/>
  <c r="EI58" i="2"/>
  <c r="EU58" i="2"/>
  <c r="GA58" i="2"/>
  <c r="EI59" i="2"/>
  <c r="EU59" i="2"/>
  <c r="ER60" i="2"/>
  <c r="FW60" i="2"/>
  <c r="EQ61" i="2"/>
  <c r="FW61" i="2"/>
  <c r="EQ62" i="2"/>
  <c r="GF62" i="2"/>
  <c r="EN63" i="2"/>
  <c r="GE63" i="2"/>
  <c r="GE64" i="2"/>
  <c r="EJ52" i="2"/>
  <c r="EV52" i="2"/>
  <c r="GA52" i="2"/>
  <c r="EI66" i="2"/>
  <c r="EU66" i="2"/>
  <c r="GA66" i="2"/>
  <c r="EI67" i="2"/>
  <c r="EU67" i="2"/>
  <c r="ER68" i="2"/>
  <c r="FW68" i="2"/>
  <c r="EQ70" i="2"/>
  <c r="FW70" i="2"/>
  <c r="EQ72" i="2"/>
  <c r="GF72" i="2"/>
  <c r="FV76" i="2"/>
  <c r="GH76" i="2"/>
  <c r="FV73" i="2"/>
  <c r="GH73" i="2"/>
  <c r="GE77" i="2"/>
  <c r="GD74" i="2"/>
  <c r="GC75" i="2"/>
  <c r="EK89" i="2"/>
  <c r="FZ89" i="2"/>
  <c r="GM89" i="2"/>
  <c r="ET78" i="2"/>
  <c r="ES79" i="2"/>
  <c r="ER80" i="2"/>
  <c r="FV80" i="2"/>
  <c r="GH80" i="2"/>
  <c r="FV122" i="2"/>
  <c r="GH122" i="2"/>
  <c r="FU254" i="2"/>
  <c r="GG254" i="2"/>
  <c r="GE149" i="2"/>
  <c r="GD150" i="2"/>
  <c r="GC151" i="2"/>
  <c r="EK152" i="2"/>
  <c r="GA152" i="2"/>
  <c r="EJ154" i="2"/>
  <c r="EV154" i="2"/>
  <c r="GA154" i="2"/>
  <c r="EI155" i="2"/>
  <c r="EU155" i="2"/>
  <c r="FZ155" i="2"/>
  <c r="GM155" i="2"/>
  <c r="ET238" i="2"/>
  <c r="ES239" i="2"/>
  <c r="FW239" i="2"/>
  <c r="EQ240" i="2"/>
  <c r="FV240" i="2"/>
  <c r="GH240" i="2"/>
  <c r="GF156" i="2"/>
  <c r="EN157" i="2"/>
  <c r="FA157" i="2"/>
  <c r="GE157" i="2"/>
  <c r="GD158" i="2"/>
  <c r="GF159" i="2"/>
  <c r="GF160" i="2"/>
  <c r="EN161" i="2"/>
  <c r="FA161" i="2"/>
  <c r="GE161" i="2"/>
  <c r="GD162" i="2"/>
  <c r="GC163" i="2"/>
  <c r="EK172" i="2"/>
  <c r="EJ164" i="2"/>
  <c r="EV164" i="2"/>
  <c r="FZ164" i="2"/>
  <c r="GM164" i="2"/>
  <c r="ET176" i="2"/>
  <c r="ER178" i="2"/>
  <c r="FV178" i="2"/>
  <c r="GH178" i="2"/>
  <c r="GF165" i="2"/>
  <c r="EN166" i="2"/>
  <c r="FA166" i="2"/>
  <c r="GD166" i="2"/>
  <c r="EJ174" i="2"/>
  <c r="EV174" i="2"/>
  <c r="FZ174" i="2"/>
  <c r="GM174" i="2"/>
  <c r="ET194" i="2"/>
  <c r="ER195" i="2"/>
  <c r="FV195" i="2"/>
  <c r="GH195" i="2"/>
  <c r="GF196" i="2"/>
  <c r="EN197" i="2"/>
  <c r="FA197" i="2"/>
  <c r="GD197" i="2"/>
  <c r="EJ179" i="2"/>
  <c r="EV179" i="2"/>
  <c r="FZ179" i="2"/>
  <c r="GM179" i="2"/>
  <c r="ET199" i="2"/>
  <c r="ER200" i="2"/>
  <c r="FV200" i="2"/>
  <c r="GH200" i="2"/>
  <c r="GF180" i="2"/>
  <c r="EN181" i="2"/>
  <c r="FA181" i="2"/>
  <c r="GD181" i="2"/>
  <c r="EJ183" i="2"/>
  <c r="EV183" i="2"/>
  <c r="GA183" i="2"/>
  <c r="EI184" i="2"/>
  <c r="EU184" i="2"/>
  <c r="FZ184" i="2"/>
  <c r="GM184" i="2"/>
  <c r="ET185" i="2"/>
  <c r="ES186" i="2"/>
  <c r="ER187" i="2"/>
  <c r="FW187" i="2"/>
  <c r="EQ188" i="2"/>
  <c r="FW188" i="2"/>
  <c r="EJ30" i="2"/>
  <c r="EV30" i="2"/>
  <c r="EJ50" i="2"/>
  <c r="EV50" i="2"/>
  <c r="ES51" i="2"/>
  <c r="ER53" i="2"/>
  <c r="ER54" i="2"/>
  <c r="FU54" i="2"/>
  <c r="GG54" i="2"/>
  <c r="EO55" i="2"/>
  <c r="GF55" i="2"/>
  <c r="EN81" i="2"/>
  <c r="FA81" i="2"/>
  <c r="GF81" i="2"/>
  <c r="GC56" i="2"/>
  <c r="EK57" i="2"/>
  <c r="EJ58" i="2"/>
  <c r="EV58" i="2"/>
  <c r="EJ59" i="2"/>
  <c r="EV59" i="2"/>
  <c r="ES60" i="2"/>
  <c r="ER61" i="2"/>
  <c r="ER62" i="2"/>
  <c r="FU62" i="2"/>
  <c r="GG62" i="2"/>
  <c r="EO63" i="2"/>
  <c r="GF63" i="2"/>
  <c r="EN64" i="2"/>
  <c r="FA64" i="2"/>
  <c r="GF64" i="2"/>
  <c r="GC65" i="2"/>
  <c r="EK52" i="2"/>
  <c r="EJ66" i="2"/>
  <c r="EV66" i="2"/>
  <c r="EJ67" i="2"/>
  <c r="EV67" i="2"/>
  <c r="ES68" i="2"/>
  <c r="ER70" i="2"/>
  <c r="ER72" i="2"/>
  <c r="FU72" i="2"/>
  <c r="GG72" i="2"/>
  <c r="FW76" i="2"/>
  <c r="EQ73" i="2"/>
  <c r="FW73" i="2"/>
  <c r="EQ77" i="2"/>
  <c r="GF77" i="2"/>
  <c r="EN74" i="2"/>
  <c r="GE74" i="2"/>
  <c r="GD75" i="2"/>
  <c r="GA89" i="2"/>
  <c r="EI78" i="2"/>
  <c r="EU78" i="2"/>
  <c r="FZ78" i="2"/>
  <c r="GM78" i="2"/>
  <c r="ET79" i="2"/>
  <c r="ES80" i="2"/>
  <c r="FW80" i="2"/>
  <c r="EQ122" i="2"/>
  <c r="FW122" i="2"/>
  <c r="EQ254" i="2"/>
  <c r="FV254" i="2"/>
  <c r="GH254" i="2"/>
  <c r="GF149" i="2"/>
  <c r="EN150" i="2"/>
  <c r="FA150" i="2"/>
  <c r="GE150" i="2"/>
  <c r="GD151" i="2"/>
  <c r="GC153" i="2"/>
  <c r="EK154" i="2"/>
  <c r="EJ155" i="2"/>
  <c r="EV155" i="2"/>
  <c r="GA155" i="2"/>
  <c r="EI238" i="2"/>
  <c r="EU238" i="2"/>
  <c r="FZ238" i="2"/>
  <c r="GM238" i="2"/>
  <c r="ET239" i="2"/>
  <c r="ER240" i="2"/>
  <c r="FW240" i="2"/>
  <c r="EQ156" i="2"/>
  <c r="FU156" i="2"/>
  <c r="GG156" i="2"/>
  <c r="GF157" i="2"/>
  <c r="EN158" i="2"/>
  <c r="FA158" i="2"/>
  <c r="GE158" i="2"/>
  <c r="FU159" i="2"/>
  <c r="GG159" i="2"/>
  <c r="FU160" i="2"/>
  <c r="GG160" i="2"/>
  <c r="EO161" i="2"/>
  <c r="GF161" i="2"/>
  <c r="EN162" i="2"/>
  <c r="FA162" i="2"/>
  <c r="GE162" i="2"/>
  <c r="GD163" i="2"/>
  <c r="GC172" i="2"/>
  <c r="EK164" i="2"/>
  <c r="GA164" i="2"/>
  <c r="EI176" i="2"/>
  <c r="EU176" i="2"/>
  <c r="ES178" i="2"/>
  <c r="FW178" i="2"/>
  <c r="EQ165" i="2"/>
  <c r="FU165" i="2"/>
  <c r="GG165" i="2"/>
  <c r="EO166" i="2"/>
  <c r="GE166" i="2"/>
  <c r="GC167" i="2"/>
  <c r="EK174" i="2"/>
  <c r="GA174" i="2"/>
  <c r="EI194" i="2"/>
  <c r="EU194" i="2"/>
  <c r="ES195" i="2"/>
  <c r="FW195" i="2"/>
  <c r="EQ196" i="2"/>
  <c r="FU196" i="2"/>
  <c r="GG196" i="2"/>
  <c r="EO197" i="2"/>
  <c r="GE197" i="2"/>
  <c r="GC198" i="2"/>
  <c r="EK179" i="2"/>
  <c r="GA179" i="2"/>
  <c r="EI199" i="2"/>
  <c r="EU199" i="2"/>
  <c r="ES200" i="2"/>
  <c r="FW200" i="2"/>
  <c r="EQ180" i="2"/>
  <c r="FU180" i="2"/>
  <c r="GG180" i="2"/>
  <c r="EO181" i="2"/>
  <c r="GE181" i="2"/>
  <c r="GC182" i="2"/>
  <c r="EK183" i="2"/>
  <c r="EJ184" i="2"/>
  <c r="EV184" i="2"/>
  <c r="GA184" i="2"/>
  <c r="EI185" i="2"/>
  <c r="EU185" i="2"/>
  <c r="FZ185" i="2"/>
  <c r="GM185" i="2"/>
  <c r="ET186" i="2"/>
  <c r="ES187" i="2"/>
  <c r="ER188" i="2"/>
  <c r="EK30" i="2"/>
  <c r="GC30" i="2"/>
  <c r="EK50" i="2"/>
  <c r="FZ50" i="2"/>
  <c r="GM50" i="2"/>
  <c r="ET51" i="2"/>
  <c r="ES53" i="2"/>
  <c r="ES54" i="2"/>
  <c r="FV54" i="2"/>
  <c r="GH54" i="2"/>
  <c r="FU55" i="2"/>
  <c r="GG55" i="2"/>
  <c r="EO81" i="2"/>
  <c r="FU81" i="2"/>
  <c r="GG81" i="2"/>
  <c r="EO56" i="2"/>
  <c r="GD56" i="2"/>
  <c r="GC57" i="2"/>
  <c r="EK58" i="2"/>
  <c r="GC58" i="2"/>
  <c r="EK59" i="2"/>
  <c r="FZ59" i="2"/>
  <c r="GM59" i="2"/>
  <c r="ET60" i="2"/>
  <c r="ES61" i="2"/>
  <c r="ES62" i="2"/>
  <c r="FV62" i="2"/>
  <c r="GH62" i="2"/>
  <c r="FU63" i="2"/>
  <c r="GG63" i="2"/>
  <c r="EO64" i="2"/>
  <c r="FU64" i="2"/>
  <c r="GG64" i="2"/>
  <c r="EO65" i="2"/>
  <c r="GD65" i="2"/>
  <c r="GC52" i="2"/>
  <c r="EK66" i="2"/>
  <c r="GC66" i="2"/>
  <c r="EK67" i="2"/>
  <c r="FZ67" i="2"/>
  <c r="GM67" i="2"/>
  <c r="ET68" i="2"/>
  <c r="ES70" i="2"/>
  <c r="ES72" i="2"/>
  <c r="FV72" i="2"/>
  <c r="GH72" i="2"/>
  <c r="ER73" i="2"/>
  <c r="ER77" i="2"/>
  <c r="FU77" i="2"/>
  <c r="GG77" i="2"/>
  <c r="EO74" i="2"/>
  <c r="GF74" i="2"/>
  <c r="EN75" i="2"/>
  <c r="FA75" i="2"/>
  <c r="GE75" i="2"/>
  <c r="EJ78" i="2"/>
  <c r="EV78" i="2"/>
  <c r="GA78" i="2"/>
  <c r="EI79" i="2"/>
  <c r="EU79" i="2"/>
  <c r="FZ79" i="2"/>
  <c r="GM79" i="2"/>
  <c r="ET80" i="2"/>
  <c r="ER122" i="2"/>
  <c r="ER254" i="2"/>
  <c r="FW254" i="2"/>
  <c r="EQ149" i="2"/>
  <c r="FU149" i="2"/>
  <c r="GG149" i="2"/>
  <c r="EO150" i="2"/>
  <c r="GF150" i="2"/>
  <c r="EN151" i="2"/>
  <c r="FA151" i="2"/>
  <c r="GE151" i="2"/>
  <c r="GC152" i="2"/>
  <c r="GD153" i="2"/>
  <c r="GC154" i="2"/>
  <c r="EK155" i="2"/>
  <c r="EJ238" i="2"/>
  <c r="EV238" i="2"/>
  <c r="GA238" i="2"/>
  <c r="EI239" i="2"/>
  <c r="EU239" i="2"/>
  <c r="ES240" i="2"/>
  <c r="ER156" i="2"/>
  <c r="FV156" i="2"/>
  <c r="GH156" i="2"/>
  <c r="FU157" i="2"/>
  <c r="GG157" i="2"/>
  <c r="EO158" i="2"/>
  <c r="GF158" i="2"/>
  <c r="FV159" i="2"/>
  <c r="GH159" i="2"/>
  <c r="FV160" i="2"/>
  <c r="GH160" i="2"/>
  <c r="FU161" i="2"/>
  <c r="GG161" i="2"/>
  <c r="EO162" i="2"/>
  <c r="GF162" i="2"/>
  <c r="EN163" i="2"/>
  <c r="FA163" i="2"/>
  <c r="GE163" i="2"/>
  <c r="GD172" i="2"/>
  <c r="EJ176" i="2"/>
  <c r="EV176" i="2"/>
  <c r="FZ176" i="2"/>
  <c r="GM176" i="2"/>
  <c r="FZ177" i="2"/>
  <c r="GM177" i="2"/>
  <c r="ET178" i="2"/>
  <c r="ER165" i="2"/>
  <c r="FV165" i="2"/>
  <c r="GH165" i="2"/>
  <c r="GF166" i="2"/>
  <c r="EN167" i="2"/>
  <c r="FA167" i="2"/>
  <c r="GD167" i="2"/>
  <c r="EJ194" i="2"/>
  <c r="EV194" i="2"/>
  <c r="FZ194" i="2"/>
  <c r="GM194" i="2"/>
  <c r="ET195" i="2"/>
  <c r="ER196" i="2"/>
  <c r="FV196" i="2"/>
  <c r="GH196" i="2"/>
  <c r="GF197" i="2"/>
  <c r="EN198" i="2"/>
  <c r="FA198" i="2"/>
  <c r="GD198" i="2"/>
  <c r="EJ199" i="2"/>
  <c r="EV199" i="2"/>
  <c r="FZ199" i="2"/>
  <c r="GM199" i="2"/>
  <c r="ET200" i="2"/>
  <c r="ER180" i="2"/>
  <c r="FV180" i="2"/>
  <c r="GH180" i="2"/>
  <c r="GF181" i="2"/>
  <c r="EN182" i="2"/>
  <c r="FA182" i="2"/>
  <c r="GD182" i="2"/>
  <c r="GC183" i="2"/>
  <c r="EK184" i="2"/>
  <c r="EJ185" i="2"/>
  <c r="EV185" i="2"/>
  <c r="GA185" i="2"/>
  <c r="EI186" i="2"/>
  <c r="EU186" i="2"/>
  <c r="FZ186" i="2"/>
  <c r="GM186" i="2"/>
  <c r="ET187" i="2"/>
  <c r="ES188" i="2"/>
  <c r="GD49" i="2"/>
  <c r="GD30" i="2"/>
  <c r="GA50" i="2"/>
  <c r="EI51" i="2"/>
  <c r="EU51" i="2"/>
  <c r="FZ51" i="2"/>
  <c r="GM51" i="2"/>
  <c r="ET53" i="2"/>
  <c r="FZ53" i="2"/>
  <c r="GM53" i="2"/>
  <c r="ET54" i="2"/>
  <c r="FW54" i="2"/>
  <c r="EQ55" i="2"/>
  <c r="FV55" i="2"/>
  <c r="GH55" i="2"/>
  <c r="FV81" i="2"/>
  <c r="GH81" i="2"/>
  <c r="GE56" i="2"/>
  <c r="GD57" i="2"/>
  <c r="GD58" i="2"/>
  <c r="GA59" i="2"/>
  <c r="EI60" i="2"/>
  <c r="EU60" i="2"/>
  <c r="FZ60" i="2"/>
  <c r="GM60" i="2"/>
  <c r="ET61" i="2"/>
  <c r="FZ61" i="2"/>
  <c r="GM61" i="2"/>
  <c r="ET62" i="2"/>
  <c r="FW62" i="2"/>
  <c r="EQ63" i="2"/>
  <c r="FV63" i="2"/>
  <c r="GH63" i="2"/>
  <c r="FV64" i="2"/>
  <c r="GH64" i="2"/>
  <c r="GE65" i="2"/>
  <c r="GD52" i="2"/>
  <c r="GD66" i="2"/>
  <c r="GA67" i="2"/>
  <c r="EI68" i="2"/>
  <c r="EU68" i="2"/>
  <c r="FZ68" i="2"/>
  <c r="GM68" i="2"/>
  <c r="ET70" i="2"/>
  <c r="FZ70" i="2"/>
  <c r="GM70" i="2"/>
  <c r="ET72" i="2"/>
  <c r="FW72" i="2"/>
  <c r="ES73" i="2"/>
  <c r="ES77" i="2"/>
  <c r="FV77" i="2"/>
  <c r="GH77" i="2"/>
  <c r="FU74" i="2"/>
  <c r="GG74" i="2"/>
  <c r="EO75" i="2"/>
  <c r="GF75" i="2"/>
  <c r="GC89" i="2"/>
  <c r="EK78" i="2"/>
  <c r="EJ79" i="2"/>
  <c r="EV79" i="2"/>
  <c r="GA79" i="2"/>
  <c r="EI80" i="2"/>
  <c r="EU80" i="2"/>
  <c r="ES122" i="2"/>
  <c r="ES254" i="2"/>
  <c r="ER149" i="2"/>
  <c r="FV149" i="2"/>
  <c r="GH149" i="2"/>
  <c r="FU150" i="2"/>
  <c r="GG150" i="2"/>
  <c r="EO151" i="2"/>
  <c r="GF151" i="2"/>
  <c r="EN152" i="2"/>
  <c r="FA152" i="2"/>
  <c r="GD152" i="2"/>
  <c r="GE153" i="2"/>
  <c r="GD154" i="2"/>
  <c r="GC155" i="2"/>
  <c r="EK238" i="2"/>
  <c r="EJ239" i="2"/>
  <c r="EV239" i="2"/>
  <c r="FZ239" i="2"/>
  <c r="GM239" i="2"/>
  <c r="ET240" i="2"/>
  <c r="ES156" i="2"/>
  <c r="FW156" i="2"/>
  <c r="EQ157" i="2"/>
  <c r="FV157" i="2"/>
  <c r="GH157" i="2"/>
  <c r="FU158" i="2"/>
  <c r="GG158" i="2"/>
  <c r="FW159" i="2"/>
  <c r="FW160" i="2"/>
  <c r="EQ161" i="2"/>
  <c r="FV161" i="2"/>
  <c r="GH161" i="2"/>
  <c r="FU162" i="2"/>
  <c r="GG162" i="2"/>
  <c r="GF163" i="2"/>
  <c r="EN172" i="2"/>
  <c r="FA172" i="2"/>
  <c r="GE172" i="2"/>
  <c r="GC164" i="2"/>
  <c r="EK176" i="2"/>
  <c r="GA176" i="2"/>
  <c r="GA177" i="2"/>
  <c r="EI178" i="2"/>
  <c r="EU178" i="2"/>
  <c r="ES165" i="2"/>
  <c r="FW165" i="2"/>
  <c r="EQ166" i="2"/>
  <c r="FU166" i="2"/>
  <c r="GG166" i="2"/>
  <c r="EO167" i="2"/>
  <c r="GE167" i="2"/>
  <c r="GC174" i="2"/>
  <c r="EK194" i="2"/>
  <c r="GA194" i="2"/>
  <c r="EI195" i="2"/>
  <c r="EU195" i="2"/>
  <c r="ES196" i="2"/>
  <c r="FW196" i="2"/>
  <c r="EQ197" i="2"/>
  <c r="FU197" i="2"/>
  <c r="GG197" i="2"/>
  <c r="EO198" i="2"/>
  <c r="GE198" i="2"/>
  <c r="GC179" i="2"/>
  <c r="EK199" i="2"/>
  <c r="GA199" i="2"/>
  <c r="EI200" i="2"/>
  <c r="EU200" i="2"/>
  <c r="ES180" i="2"/>
  <c r="FW180" i="2"/>
  <c r="EQ181" i="2"/>
  <c r="FU181" i="2"/>
  <c r="GG181" i="2"/>
  <c r="EO182" i="2"/>
  <c r="GE182" i="2"/>
  <c r="GD183" i="2"/>
  <c r="GC184" i="2"/>
  <c r="EK185" i="2"/>
  <c r="EJ186" i="2"/>
  <c r="EV186" i="2"/>
  <c r="GA186" i="2"/>
  <c r="EI187" i="2"/>
  <c r="EU187" i="2"/>
  <c r="FZ187" i="2"/>
  <c r="GM187" i="2"/>
  <c r="ET188" i="2"/>
  <c r="FZ188" i="2"/>
  <c r="GM188" i="2"/>
  <c r="ER63" i="2"/>
  <c r="FW63" i="2"/>
  <c r="EQ64" i="2"/>
  <c r="FW64" i="2"/>
  <c r="EQ65" i="2"/>
  <c r="GF65" i="2"/>
  <c r="EN52" i="2"/>
  <c r="GE52" i="2"/>
  <c r="GE66" i="2"/>
  <c r="EJ68" i="2"/>
  <c r="EV68" i="2"/>
  <c r="GA68" i="2"/>
  <c r="EI70" i="2"/>
  <c r="EU70" i="2"/>
  <c r="GA70" i="2"/>
  <c r="EI72" i="2"/>
  <c r="EU72" i="2"/>
  <c r="FZ76" i="2"/>
  <c r="GM76" i="2"/>
  <c r="ET73" i="2"/>
  <c r="FZ73" i="2"/>
  <c r="GM73" i="2"/>
  <c r="ET77" i="2"/>
  <c r="FW77" i="2"/>
  <c r="EQ74" i="2"/>
  <c r="FV74" i="2"/>
  <c r="GH74" i="2"/>
  <c r="FU75" i="2"/>
  <c r="GG75" i="2"/>
  <c r="EO89" i="2"/>
  <c r="GD89" i="2"/>
  <c r="GC78" i="2"/>
  <c r="EK79" i="2"/>
  <c r="EJ80" i="2"/>
  <c r="EV80" i="2"/>
  <c r="FZ80" i="2"/>
  <c r="GM80" i="2"/>
  <c r="ET122" i="2"/>
  <c r="FZ122" i="2"/>
  <c r="GM122" i="2"/>
  <c r="ET254" i="2"/>
  <c r="ES149" i="2"/>
  <c r="FW149" i="2"/>
  <c r="EQ150" i="2"/>
  <c r="FV150" i="2"/>
  <c r="GH150" i="2"/>
  <c r="FU151" i="2"/>
  <c r="GG151" i="2"/>
  <c r="EO152" i="2"/>
  <c r="GE152" i="2"/>
  <c r="GF153" i="2"/>
  <c r="EN154" i="2"/>
  <c r="FA154" i="2"/>
  <c r="GE154" i="2"/>
  <c r="GD155" i="2"/>
  <c r="GC238" i="2"/>
  <c r="EK239" i="2"/>
  <c r="GA239" i="2"/>
  <c r="EI240" i="2"/>
  <c r="EU240" i="2"/>
  <c r="FZ240" i="2"/>
  <c r="GM240" i="2"/>
  <c r="ET156" i="2"/>
  <c r="ER157" i="2"/>
  <c r="FW157" i="2"/>
  <c r="EQ158" i="2"/>
  <c r="FV158" i="2"/>
  <c r="GH158" i="2"/>
  <c r="ER161" i="2"/>
  <c r="FW161" i="2"/>
  <c r="EQ162" i="2"/>
  <c r="FV162" i="2"/>
  <c r="GH162" i="2"/>
  <c r="FU163" i="2"/>
  <c r="GG163" i="2"/>
  <c r="EO172" i="2"/>
  <c r="GF172" i="2"/>
  <c r="EN164" i="2"/>
  <c r="FA164" i="2"/>
  <c r="GD164" i="2"/>
  <c r="EJ178" i="2"/>
  <c r="EV178" i="2"/>
  <c r="FZ178" i="2"/>
  <c r="GM178" i="2"/>
  <c r="ET165" i="2"/>
  <c r="ER166" i="2"/>
  <c r="FV166" i="2"/>
  <c r="GH166" i="2"/>
  <c r="GF167" i="2"/>
  <c r="EN174" i="2"/>
  <c r="FA174" i="2"/>
  <c r="GD174" i="2"/>
  <c r="EJ195" i="2"/>
  <c r="EV195" i="2"/>
  <c r="FZ195" i="2"/>
  <c r="GM195" i="2"/>
  <c r="ET196" i="2"/>
  <c r="ER197" i="2"/>
  <c r="FV197" i="2"/>
  <c r="GH197" i="2"/>
  <c r="GF198" i="2"/>
  <c r="EN179" i="2"/>
  <c r="FA179" i="2"/>
  <c r="GD179" i="2"/>
  <c r="EJ200" i="2"/>
  <c r="EV200" i="2"/>
  <c r="FZ200" i="2"/>
  <c r="GM200" i="2"/>
  <c r="ET180" i="2"/>
  <c r="ER181" i="2"/>
  <c r="FV181" i="2"/>
  <c r="GH181" i="2"/>
  <c r="GF182" i="2"/>
  <c r="EN183" i="2"/>
  <c r="GE183" i="2"/>
  <c r="GD184" i="2"/>
  <c r="GC185" i="2"/>
  <c r="EK186" i="2"/>
  <c r="EJ187" i="2"/>
  <c r="EV187" i="2"/>
  <c r="GA187" i="2"/>
  <c r="EI188" i="2"/>
  <c r="EU188" i="2"/>
  <c r="GA188" i="2"/>
  <c r="GF49" i="2"/>
  <c r="EN30" i="2"/>
  <c r="FA30" i="2"/>
  <c r="GF30" i="2"/>
  <c r="GC50" i="2"/>
  <c r="EK51" i="2"/>
  <c r="EJ53" i="2"/>
  <c r="EV53" i="2"/>
  <c r="EJ54" i="2"/>
  <c r="EV54" i="2"/>
  <c r="ES55" i="2"/>
  <c r="ER81" i="2"/>
  <c r="ER56" i="2"/>
  <c r="FU56" i="2"/>
  <c r="GG56" i="2"/>
  <c r="EO57" i="2"/>
  <c r="GF57" i="2"/>
  <c r="EN58" i="2"/>
  <c r="FA58" i="2"/>
  <c r="GF58" i="2"/>
  <c r="GC59" i="2"/>
  <c r="EK60" i="2"/>
  <c r="EJ61" i="2"/>
  <c r="EV61" i="2"/>
  <c r="EJ62" i="2"/>
  <c r="EV62" i="2"/>
  <c r="ES63" i="2"/>
  <c r="ER64" i="2"/>
  <c r="ER65" i="2"/>
  <c r="FU65" i="2"/>
  <c r="GG65" i="2"/>
  <c r="EO52" i="2"/>
  <c r="GF52" i="2"/>
  <c r="EN66" i="2"/>
  <c r="FA66" i="2"/>
  <c r="GF66" i="2"/>
  <c r="GC67" i="2"/>
  <c r="EK68" i="2"/>
  <c r="EJ70" i="2"/>
  <c r="EV70" i="2"/>
  <c r="EJ72" i="2"/>
  <c r="EV72" i="2"/>
  <c r="GA76" i="2"/>
  <c r="EI73" i="2"/>
  <c r="EU73" i="2"/>
  <c r="GA73" i="2"/>
  <c r="EI77" i="2"/>
  <c r="EU77" i="2"/>
  <c r="ER74" i="2"/>
  <c r="FW74" i="2"/>
  <c r="EQ75" i="2"/>
  <c r="FV75" i="2"/>
  <c r="GH75" i="2"/>
  <c r="GE89" i="2"/>
  <c r="GD78" i="2"/>
  <c r="GC79" i="2"/>
  <c r="EK80" i="2"/>
  <c r="GA80" i="2"/>
  <c r="EI122" i="2"/>
  <c r="EU122" i="2"/>
  <c r="GA122" i="2"/>
  <c r="EI254" i="2"/>
  <c r="EU254" i="2"/>
  <c r="FZ254" i="2"/>
  <c r="GM254" i="2"/>
  <c r="ET149" i="2"/>
  <c r="ER150" i="2"/>
  <c r="FW150" i="2"/>
  <c r="EQ151" i="2"/>
  <c r="FV151" i="2"/>
  <c r="GH151" i="2"/>
  <c r="GF152" i="2"/>
  <c r="FU153" i="2"/>
  <c r="GG153" i="2"/>
  <c r="GF154" i="2"/>
  <c r="EN155" i="2"/>
  <c r="FA155" i="2"/>
  <c r="GE155" i="2"/>
  <c r="GD238" i="2"/>
  <c r="EJ240" i="2"/>
  <c r="EV240" i="2"/>
  <c r="GA240" i="2"/>
  <c r="EI156" i="2"/>
  <c r="EU156" i="2"/>
  <c r="ES157" i="2"/>
  <c r="ER158" i="2"/>
  <c r="FW158" i="2"/>
  <c r="ES161" i="2"/>
  <c r="ER162" i="2"/>
  <c r="FW162" i="2"/>
  <c r="EQ163" i="2"/>
  <c r="FV163" i="2"/>
  <c r="GH163" i="2"/>
  <c r="FU172" i="2"/>
  <c r="GG172" i="2"/>
  <c r="EO164" i="2"/>
  <c r="GE164" i="2"/>
  <c r="GC176" i="2"/>
  <c r="GC177" i="2"/>
  <c r="EK178" i="2"/>
  <c r="GA178" i="2"/>
  <c r="EI165" i="2"/>
  <c r="EU165" i="2"/>
  <c r="ES166" i="2"/>
  <c r="FW166" i="2"/>
  <c r="EQ167" i="2"/>
  <c r="FU167" i="2"/>
  <c r="GG167" i="2"/>
  <c r="EO174" i="2"/>
  <c r="GE174" i="2"/>
  <c r="GC194" i="2"/>
  <c r="EK195" i="2"/>
  <c r="GA195" i="2"/>
  <c r="EI196" i="2"/>
  <c r="EU196" i="2"/>
  <c r="ES197" i="2"/>
  <c r="FW197" i="2"/>
  <c r="EQ198" i="2"/>
  <c r="FU198" i="2"/>
  <c r="GG198" i="2"/>
  <c r="EO179" i="2"/>
  <c r="GE179" i="2"/>
  <c r="GC199" i="2"/>
  <c r="EK200" i="2"/>
  <c r="GA200" i="2"/>
  <c r="EI180" i="2"/>
  <c r="EU180" i="2"/>
  <c r="ES181" i="2"/>
  <c r="FW181" i="2"/>
  <c r="EQ182" i="2"/>
  <c r="FU182" i="2"/>
  <c r="GG182" i="2"/>
  <c r="EO183" i="2"/>
  <c r="GF183" i="2"/>
  <c r="EN184" i="2"/>
  <c r="FA184" i="2"/>
  <c r="GE184" i="2"/>
  <c r="GD185" i="2"/>
  <c r="GC186" i="2"/>
  <c r="EK187" i="2"/>
  <c r="EJ188" i="2"/>
  <c r="EV188" i="2"/>
  <c r="EJ189" i="2"/>
  <c r="GG49" i="2"/>
  <c r="EO30" i="2"/>
  <c r="FU30" i="2"/>
  <c r="GG30" i="2"/>
  <c r="EO50" i="2"/>
  <c r="GD50" i="2"/>
  <c r="GC51" i="2"/>
  <c r="EK53" i="2"/>
  <c r="GC53" i="2"/>
  <c r="EK54" i="2"/>
  <c r="FZ54" i="2"/>
  <c r="GM54" i="2"/>
  <c r="ET55" i="2"/>
  <c r="ES81" i="2"/>
  <c r="ES56" i="2"/>
  <c r="FV56" i="2"/>
  <c r="GH56" i="2"/>
  <c r="FU57" i="2"/>
  <c r="GG57" i="2"/>
  <c r="EO58" i="2"/>
  <c r="FU58" i="2"/>
  <c r="GG58" i="2"/>
  <c r="EO59" i="2"/>
  <c r="GD59" i="2"/>
  <c r="GC60" i="2"/>
  <c r="EK61" i="2"/>
  <c r="GC61" i="2"/>
  <c r="EK62" i="2"/>
  <c r="FZ62" i="2"/>
  <c r="GM62" i="2"/>
  <c r="ET63" i="2"/>
  <c r="ES64" i="2"/>
  <c r="ES65" i="2"/>
  <c r="FV65" i="2"/>
  <c r="GH65" i="2"/>
  <c r="FU52" i="2"/>
  <c r="GG52" i="2"/>
  <c r="EO66" i="2"/>
  <c r="FU66" i="2"/>
  <c r="GG66" i="2"/>
  <c r="EO67" i="2"/>
  <c r="GD67" i="2"/>
  <c r="GC68" i="2"/>
  <c r="EK70" i="2"/>
  <c r="GC70" i="2"/>
  <c r="EK72" i="2"/>
  <c r="FZ72" i="2"/>
  <c r="GM72" i="2"/>
  <c r="EJ73" i="2"/>
  <c r="EV73" i="2"/>
  <c r="EJ77" i="2"/>
  <c r="EV77" i="2"/>
  <c r="ES74" i="2"/>
  <c r="ER75" i="2"/>
  <c r="FW75" i="2"/>
  <c r="EQ89" i="2"/>
  <c r="GF89" i="2"/>
  <c r="EN78" i="2"/>
  <c r="GE78" i="2"/>
  <c r="GD79" i="2"/>
  <c r="EJ122" i="2"/>
  <c r="EV122" i="2"/>
  <c r="EJ254" i="2"/>
  <c r="EV254" i="2"/>
  <c r="GA254" i="2"/>
  <c r="EI149" i="2"/>
  <c r="EU149" i="2"/>
  <c r="ES150" i="2"/>
  <c r="ER151" i="2"/>
  <c r="FW151" i="2"/>
  <c r="EQ152" i="2"/>
  <c r="FU152" i="2"/>
  <c r="GG152" i="2"/>
  <c r="FV153" i="2"/>
  <c r="GH153" i="2"/>
  <c r="FU154" i="2"/>
  <c r="GG154" i="2"/>
  <c r="EO155" i="2"/>
  <c r="GF155" i="2"/>
  <c r="EN238" i="2"/>
  <c r="FA238" i="2"/>
  <c r="GE238" i="2"/>
  <c r="GC239" i="2"/>
  <c r="EK240" i="2"/>
  <c r="EJ156" i="2"/>
  <c r="EV156" i="2"/>
  <c r="FZ156" i="2"/>
  <c r="GM156" i="2"/>
  <c r="ET157" i="2"/>
  <c r="ES158" i="2"/>
  <c r="FZ159" i="2"/>
  <c r="GM159" i="2"/>
  <c r="FZ160" i="2"/>
  <c r="GM160" i="2"/>
  <c r="ET161" i="2"/>
  <c r="ES162" i="2"/>
  <c r="ER163" i="2"/>
  <c r="FW163" i="2"/>
  <c r="EQ172" i="2"/>
  <c r="FV172" i="2"/>
  <c r="GH172" i="2"/>
  <c r="GF164" i="2"/>
  <c r="EN176" i="2"/>
  <c r="FA176" i="2"/>
  <c r="GD176" i="2"/>
  <c r="GD177" i="2"/>
  <c r="EJ165" i="2"/>
  <c r="EV165" i="2"/>
  <c r="FZ165" i="2"/>
  <c r="GM165" i="2"/>
  <c r="ET166" i="2"/>
  <c r="ER167" i="2"/>
  <c r="FV167" i="2"/>
  <c r="GH167" i="2"/>
  <c r="GF174" i="2"/>
  <c r="EN194" i="2"/>
  <c r="FA194" i="2"/>
  <c r="GD194" i="2"/>
  <c r="EJ196" i="2"/>
  <c r="EV196" i="2"/>
  <c r="FZ196" i="2"/>
  <c r="GM196" i="2"/>
  <c r="ET197" i="2"/>
  <c r="ER198" i="2"/>
  <c r="FV198" i="2"/>
  <c r="GH198" i="2"/>
  <c r="GF179" i="2"/>
  <c r="EN199" i="2"/>
  <c r="FA199" i="2"/>
  <c r="GD199" i="2"/>
  <c r="EJ180" i="2"/>
  <c r="EV180" i="2"/>
  <c r="FZ180" i="2"/>
  <c r="GM180" i="2"/>
  <c r="ET181" i="2"/>
  <c r="ER182" i="2"/>
  <c r="FV182" i="2"/>
  <c r="GH182" i="2"/>
  <c r="FU183" i="2"/>
  <c r="GG183" i="2"/>
  <c r="EO184" i="2"/>
  <c r="GF184" i="2"/>
  <c r="EN185" i="2"/>
  <c r="GE185" i="2"/>
  <c r="GD186" i="2"/>
  <c r="GC187" i="2"/>
  <c r="EK188" i="2"/>
  <c r="GC188" i="2"/>
  <c r="EK189" i="2"/>
  <c r="GH49" i="2"/>
  <c r="FV30" i="2"/>
  <c r="GH30" i="2"/>
  <c r="GE50" i="2"/>
  <c r="GD51" i="2"/>
  <c r="GD53" i="2"/>
  <c r="GA54" i="2"/>
  <c r="EI55" i="2"/>
  <c r="EU55" i="2"/>
  <c r="FZ55" i="2"/>
  <c r="GM55" i="2"/>
  <c r="ET81" i="2"/>
  <c r="FZ81" i="2"/>
  <c r="GM81" i="2"/>
  <c r="ET56" i="2"/>
  <c r="FW56" i="2"/>
  <c r="EQ57" i="2"/>
  <c r="FV57" i="2"/>
  <c r="GH57" i="2"/>
  <c r="FV58" i="2"/>
  <c r="GH58" i="2"/>
  <c r="GE59" i="2"/>
  <c r="GD60" i="2"/>
  <c r="GD61" i="2"/>
  <c r="GA62" i="2"/>
  <c r="EI63" i="2"/>
  <c r="EU63" i="2"/>
  <c r="FZ63" i="2"/>
  <c r="GM63" i="2"/>
  <c r="ET64" i="2"/>
  <c r="FZ64" i="2"/>
  <c r="GM64" i="2"/>
  <c r="ET65" i="2"/>
  <c r="FW65" i="2"/>
  <c r="EQ52" i="2"/>
  <c r="FV52" i="2"/>
  <c r="GH52" i="2"/>
  <c r="FV66" i="2"/>
  <c r="GH66" i="2"/>
  <c r="GE67" i="2"/>
  <c r="GD68" i="2"/>
  <c r="GD70" i="2"/>
  <c r="GA72" i="2"/>
  <c r="GC76" i="2"/>
  <c r="EK73" i="2"/>
  <c r="GC73" i="2"/>
  <c r="EK77" i="2"/>
  <c r="FZ77" i="2"/>
  <c r="GM77" i="2"/>
  <c r="ET74" i="2"/>
  <c r="ES75" i="2"/>
  <c r="ER89" i="2"/>
  <c r="FU89" i="2"/>
  <c r="GG89" i="2"/>
  <c r="EO78" i="2"/>
  <c r="GF78" i="2"/>
  <c r="EN79" i="2"/>
  <c r="FA79" i="2"/>
  <c r="GE79" i="2"/>
  <c r="GC80" i="2"/>
  <c r="EK122" i="2"/>
  <c r="GC122" i="2"/>
  <c r="EK254" i="2"/>
  <c r="EJ149" i="2"/>
  <c r="EV149" i="2"/>
  <c r="FZ149" i="2"/>
  <c r="GM149" i="2"/>
  <c r="ET150" i="2"/>
  <c r="ES151" i="2"/>
  <c r="ER152" i="2"/>
  <c r="FV152" i="2"/>
  <c r="GH152" i="2"/>
  <c r="FW153" i="2"/>
  <c r="EQ154" i="2"/>
  <c r="FV154" i="2"/>
  <c r="GH154" i="2"/>
  <c r="FU155" i="2"/>
  <c r="GG155" i="2"/>
  <c r="EO238" i="2"/>
  <c r="GF238" i="2"/>
  <c r="EN239" i="2"/>
  <c r="FA239" i="2"/>
  <c r="GD239" i="2"/>
  <c r="GC240" i="2"/>
  <c r="EK156" i="2"/>
  <c r="GA156" i="2"/>
  <c r="EI157" i="2"/>
  <c r="EU157" i="2"/>
  <c r="FZ157" i="2"/>
  <c r="GM157" i="2"/>
  <c r="ET158" i="2"/>
  <c r="GA159" i="2"/>
  <c r="GA160" i="2"/>
  <c r="EI161" i="2"/>
  <c r="EU161" i="2"/>
  <c r="FZ161" i="2"/>
  <c r="GM161" i="2"/>
  <c r="ET162" i="2"/>
  <c r="ES163" i="2"/>
  <c r="ER172" i="2"/>
  <c r="FW172" i="2"/>
  <c r="EQ164" i="2"/>
  <c r="FU164" i="2"/>
  <c r="GG164" i="2"/>
  <c r="EO176" i="2"/>
  <c r="GE176" i="2"/>
  <c r="GE177" i="2"/>
  <c r="GC178" i="2"/>
  <c r="EK165" i="2"/>
  <c r="GA165" i="2"/>
  <c r="EI166" i="2"/>
  <c r="EU166" i="2"/>
  <c r="ES167" i="2"/>
  <c r="FW167" i="2"/>
  <c r="EQ174" i="2"/>
  <c r="FU174" i="2"/>
  <c r="GG174" i="2"/>
  <c r="EO194" i="2"/>
  <c r="GE194" i="2"/>
  <c r="GC195" i="2"/>
  <c r="EK196" i="2"/>
  <c r="GA196" i="2"/>
  <c r="EI197" i="2"/>
  <c r="EU197" i="2"/>
  <c r="ES198" i="2"/>
  <c r="FW198" i="2"/>
  <c r="EQ179" i="2"/>
  <c r="FU179" i="2"/>
  <c r="GG179" i="2"/>
  <c r="EO199" i="2"/>
  <c r="GE199" i="2"/>
  <c r="GC200" i="2"/>
  <c r="EK180" i="2"/>
  <c r="GA180" i="2"/>
  <c r="EI181" i="2"/>
  <c r="EU181" i="2"/>
  <c r="ES182" i="2"/>
  <c r="FW182" i="2"/>
  <c r="EQ183" i="2"/>
  <c r="FV183" i="2"/>
  <c r="GH183" i="2"/>
  <c r="FU184" i="2"/>
  <c r="GG184" i="2"/>
  <c r="EO185" i="2"/>
  <c r="GF185" i="2"/>
  <c r="EN186" i="2"/>
  <c r="FA186" i="2"/>
  <c r="GE186" i="2"/>
  <c r="GD187" i="2"/>
  <c r="GD188" i="2"/>
  <c r="EJ157" i="2"/>
  <c r="EV157" i="2"/>
  <c r="GA157" i="2"/>
  <c r="EI158" i="2"/>
  <c r="EU158" i="2"/>
  <c r="FZ158" i="2"/>
  <c r="GM158" i="2"/>
  <c r="EJ161" i="2"/>
  <c r="EV161" i="2"/>
  <c r="GA161" i="2"/>
  <c r="EI162" i="2"/>
  <c r="EU162" i="2"/>
  <c r="FZ162" i="2"/>
  <c r="GM162" i="2"/>
  <c r="ET163" i="2"/>
  <c r="ES172" i="2"/>
  <c r="ER164" i="2"/>
  <c r="FV164" i="2"/>
  <c r="GH164" i="2"/>
  <c r="GF176" i="2"/>
  <c r="GF177" i="2"/>
  <c r="EN178" i="2"/>
  <c r="FA178" i="2"/>
  <c r="GD178" i="2"/>
  <c r="EJ166" i="2"/>
  <c r="EV166" i="2"/>
  <c r="FZ166" i="2"/>
  <c r="GM166" i="2"/>
  <c r="ET167" i="2"/>
  <c r="ER174" i="2"/>
  <c r="FV174" i="2"/>
  <c r="GH174" i="2"/>
  <c r="GF194" i="2"/>
  <c r="EN195" i="2"/>
  <c r="FA195" i="2"/>
  <c r="GD195" i="2"/>
  <c r="EJ197" i="2"/>
  <c r="EV197" i="2"/>
  <c r="FZ197" i="2"/>
  <c r="GM197" i="2"/>
  <c r="ET198" i="2"/>
  <c r="ER179" i="2"/>
  <c r="FV179" i="2"/>
  <c r="GH179" i="2"/>
  <c r="GF199" i="2"/>
  <c r="EN200" i="2"/>
  <c r="FA200" i="2"/>
  <c r="GD200" i="2"/>
  <c r="EJ181" i="2"/>
  <c r="EV181" i="2"/>
  <c r="FZ181" i="2"/>
  <c r="GM181" i="2"/>
  <c r="ET182" i="2"/>
  <c r="ER183" i="2"/>
  <c r="FW183" i="2"/>
  <c r="EQ184" i="2"/>
  <c r="FV184" i="2"/>
  <c r="GH184" i="2"/>
  <c r="FU185" i="2"/>
  <c r="GG185" i="2"/>
  <c r="EO186" i="2"/>
  <c r="GF186" i="2"/>
  <c r="FA187" i="2"/>
  <c r="GE187" i="2"/>
  <c r="GE188" i="2"/>
  <c r="EQ189" i="2"/>
  <c r="FW189" i="2"/>
  <c r="EQ192" i="2"/>
  <c r="FW192" i="2"/>
  <c r="EQ193" i="2"/>
  <c r="FW193" i="2"/>
  <c r="EQ202" i="2"/>
  <c r="FW202" i="2"/>
  <c r="EQ203" i="2"/>
  <c r="FW203" i="2"/>
  <c r="EQ204" i="2"/>
  <c r="FW204" i="2"/>
  <c r="GA205" i="2"/>
  <c r="GF288" i="2"/>
  <c r="EN289" i="2"/>
  <c r="FA289" i="2"/>
  <c r="GF289" i="2"/>
  <c r="FU290" i="2"/>
  <c r="GG290" i="2"/>
  <c r="EO291" i="2"/>
  <c r="FU291" i="2"/>
  <c r="GG291" i="2"/>
  <c r="EO292" i="2"/>
  <c r="FU292" i="2"/>
  <c r="GG292" i="2"/>
  <c r="EO293" i="2"/>
  <c r="FU293" i="2"/>
  <c r="GG293" i="2"/>
  <c r="EO294" i="2"/>
  <c r="FU294" i="2"/>
  <c r="GG294" i="2"/>
  <c r="FV295" i="2"/>
  <c r="GH295" i="2"/>
  <c r="FV296" i="2"/>
  <c r="GH296" i="2"/>
  <c r="FW297" i="2"/>
  <c r="ES299" i="2"/>
  <c r="FZ300" i="2"/>
  <c r="GM300" i="2"/>
  <c r="EJ302" i="2"/>
  <c r="EV302" i="2"/>
  <c r="GD304" i="2"/>
  <c r="GD305" i="2"/>
  <c r="GE306" i="2"/>
  <c r="GE307" i="2"/>
  <c r="GF308" i="2"/>
  <c r="EN309" i="2"/>
  <c r="FA309" i="2"/>
  <c r="GF309" i="2"/>
  <c r="FU310" i="2"/>
  <c r="GG310" i="2"/>
  <c r="EO311" i="2"/>
  <c r="FU311" i="2"/>
  <c r="GG311" i="2"/>
  <c r="FV312" i="2"/>
  <c r="GH312" i="2"/>
  <c r="FV313" i="2"/>
  <c r="GH313" i="2"/>
  <c r="FV314" i="2"/>
  <c r="GH314" i="2"/>
  <c r="FV315" i="2"/>
  <c r="GH315" i="2"/>
  <c r="FV316" i="2"/>
  <c r="GH316" i="2"/>
  <c r="FW317" i="2"/>
  <c r="EQ318" i="2"/>
  <c r="FW318" i="2"/>
  <c r="ES321" i="2"/>
  <c r="FW321" i="2"/>
  <c r="EQ322" i="2"/>
  <c r="GF322" i="2"/>
  <c r="FA323" i="2"/>
  <c r="GD323" i="2"/>
  <c r="GA324" i="2"/>
  <c r="EI325" i="2"/>
  <c r="EU325" i="2"/>
  <c r="FW326" i="2"/>
  <c r="EQ327" i="2"/>
  <c r="FU327" i="2"/>
  <c r="GG327" i="2"/>
  <c r="EO328" i="2"/>
  <c r="GD328" i="2"/>
  <c r="EJ330" i="2"/>
  <c r="EV330" i="2"/>
  <c r="FZ331" i="2"/>
  <c r="GM331" i="2"/>
  <c r="ET466" i="2"/>
  <c r="GD451" i="2"/>
  <c r="FU452" i="2"/>
  <c r="GG452" i="2"/>
  <c r="GD454" i="2"/>
  <c r="GD455" i="2"/>
  <c r="GC456" i="2"/>
  <c r="EK457" i="2"/>
  <c r="GE458" i="2"/>
  <c r="FU486" i="2"/>
  <c r="GG486" i="2"/>
  <c r="EO487" i="2"/>
  <c r="GF487" i="2"/>
  <c r="EN488" i="2"/>
  <c r="FA488" i="2"/>
  <c r="GF488" i="2"/>
  <c r="EN489" i="2"/>
  <c r="FA489" i="2"/>
  <c r="GE489" i="2"/>
  <c r="GD490" i="2"/>
  <c r="GF491" i="2"/>
  <c r="EN492" i="2"/>
  <c r="FA492" i="2"/>
  <c r="GE492" i="2"/>
  <c r="GD622" i="2"/>
  <c r="GF576" i="2"/>
  <c r="EN627" i="2"/>
  <c r="FA627" i="2"/>
  <c r="ER189" i="2"/>
  <c r="ER192" i="2"/>
  <c r="ER193" i="2"/>
  <c r="ER202" i="2"/>
  <c r="ER203" i="2"/>
  <c r="ER204" i="2"/>
  <c r="FU288" i="2"/>
  <c r="GG288" i="2"/>
  <c r="EO289" i="2"/>
  <c r="FU289" i="2"/>
  <c r="GG289" i="2"/>
  <c r="FV290" i="2"/>
  <c r="GH290" i="2"/>
  <c r="FV291" i="2"/>
  <c r="GH291" i="2"/>
  <c r="FV292" i="2"/>
  <c r="GH292" i="2"/>
  <c r="FV293" i="2"/>
  <c r="GH293" i="2"/>
  <c r="FV294" i="2"/>
  <c r="GH294" i="2"/>
  <c r="FW295" i="2"/>
  <c r="EQ296" i="2"/>
  <c r="FW296" i="2"/>
  <c r="ET299" i="2"/>
  <c r="FZ299" i="2"/>
  <c r="GM299" i="2"/>
  <c r="GA300" i="2"/>
  <c r="EK302" i="2"/>
  <c r="GC302" i="2"/>
  <c r="GD303" i="2"/>
  <c r="GE304" i="2"/>
  <c r="GE305" i="2"/>
  <c r="GF306" i="2"/>
  <c r="EN307" i="2"/>
  <c r="FA307" i="2"/>
  <c r="GF307" i="2"/>
  <c r="FU308" i="2"/>
  <c r="GG308" i="2"/>
  <c r="EO309" i="2"/>
  <c r="FU309" i="2"/>
  <c r="GG309" i="2"/>
  <c r="FV310" i="2"/>
  <c r="GH310" i="2"/>
  <c r="FV311" i="2"/>
  <c r="GH311" i="2"/>
  <c r="FW312" i="2"/>
  <c r="EQ313" i="2"/>
  <c r="FW313" i="2"/>
  <c r="EQ314" i="2"/>
  <c r="FW314" i="2"/>
  <c r="EQ315" i="2"/>
  <c r="FW315" i="2"/>
  <c r="EQ316" i="2"/>
  <c r="FW316" i="2"/>
  <c r="ER318" i="2"/>
  <c r="FZ320" i="2"/>
  <c r="GM320" i="2"/>
  <c r="ET321" i="2"/>
  <c r="ER322" i="2"/>
  <c r="FU322" i="2"/>
  <c r="GG322" i="2"/>
  <c r="EO323" i="2"/>
  <c r="GE323" i="2"/>
  <c r="EJ325" i="2"/>
  <c r="EV325" i="2"/>
  <c r="FZ325" i="2"/>
  <c r="GM325" i="2"/>
  <c r="ER327" i="2"/>
  <c r="FV327" i="2"/>
  <c r="GH327" i="2"/>
  <c r="GE328" i="2"/>
  <c r="GC329" i="2"/>
  <c r="EK330" i="2"/>
  <c r="FZ330" i="2"/>
  <c r="GM330" i="2"/>
  <c r="GA331" i="2"/>
  <c r="EI466" i="2"/>
  <c r="EU466" i="2"/>
  <c r="FZ466" i="2"/>
  <c r="GM466" i="2"/>
  <c r="GE451" i="2"/>
  <c r="FV452" i="2"/>
  <c r="GH452" i="2"/>
  <c r="GE454" i="2"/>
  <c r="GE455" i="2"/>
  <c r="GD456" i="2"/>
  <c r="GC457" i="2"/>
  <c r="GF458" i="2"/>
  <c r="FV486" i="2"/>
  <c r="GH486" i="2"/>
  <c r="FU487" i="2"/>
  <c r="GG487" i="2"/>
  <c r="EO488" i="2"/>
  <c r="FU488" i="2"/>
  <c r="GG488" i="2"/>
  <c r="EO489" i="2"/>
  <c r="GF489" i="2"/>
  <c r="EN490" i="2"/>
  <c r="FA490" i="2"/>
  <c r="GE490" i="2"/>
  <c r="FU491" i="2"/>
  <c r="GG491" i="2"/>
  <c r="EO492" i="2"/>
  <c r="GF492" i="2"/>
  <c r="EN622" i="2"/>
  <c r="FA622" i="2"/>
  <c r="GE622" i="2"/>
  <c r="ER525" i="2"/>
  <c r="FW525" i="2"/>
  <c r="ES189" i="2"/>
  <c r="ES192" i="2"/>
  <c r="ES193" i="2"/>
  <c r="ES202" i="2"/>
  <c r="ES203" i="2"/>
  <c r="ES204" i="2"/>
  <c r="GC205" i="2"/>
  <c r="FV288" i="2"/>
  <c r="GH288" i="2"/>
  <c r="FV289" i="2"/>
  <c r="GH289" i="2"/>
  <c r="FW290" i="2"/>
  <c r="EQ291" i="2"/>
  <c r="FW291" i="2"/>
  <c r="EQ292" i="2"/>
  <c r="FW292" i="2"/>
  <c r="EQ293" i="2"/>
  <c r="FW293" i="2"/>
  <c r="EQ294" i="2"/>
  <c r="FW294" i="2"/>
  <c r="ER296" i="2"/>
  <c r="EI299" i="2"/>
  <c r="EU299" i="2"/>
  <c r="GA299" i="2"/>
  <c r="GD302" i="2"/>
  <c r="GE303" i="2"/>
  <c r="GF304" i="2"/>
  <c r="EN305" i="2"/>
  <c r="FA305" i="2"/>
  <c r="GF305" i="2"/>
  <c r="FU306" i="2"/>
  <c r="GG306" i="2"/>
  <c r="EO307" i="2"/>
  <c r="FU307" i="2"/>
  <c r="GG307" i="2"/>
  <c r="FV308" i="2"/>
  <c r="GH308" i="2"/>
  <c r="FV309" i="2"/>
  <c r="GH309" i="2"/>
  <c r="FW310" i="2"/>
  <c r="EQ311" i="2"/>
  <c r="FW311" i="2"/>
  <c r="ER313" i="2"/>
  <c r="ER314" i="2"/>
  <c r="ER315" i="2"/>
  <c r="ER316" i="2"/>
  <c r="ES318" i="2"/>
  <c r="FZ319" i="2"/>
  <c r="GM319" i="2"/>
  <c r="GA320" i="2"/>
  <c r="EI321" i="2"/>
  <c r="EU321" i="2"/>
  <c r="ES322" i="2"/>
  <c r="FV322" i="2"/>
  <c r="GH322" i="2"/>
  <c r="GF323" i="2"/>
  <c r="FA324" i="2"/>
  <c r="GC324" i="2"/>
  <c r="EK325" i="2"/>
  <c r="GA325" i="2"/>
  <c r="ES327" i="2"/>
  <c r="FW327" i="2"/>
  <c r="EQ328" i="2"/>
  <c r="GF328" i="2"/>
  <c r="FA329" i="2"/>
  <c r="GD329" i="2"/>
  <c r="GA330" i="2"/>
  <c r="EJ466" i="2"/>
  <c r="EV466" i="2"/>
  <c r="GA466" i="2"/>
  <c r="GF451" i="2"/>
  <c r="FW452" i="2"/>
  <c r="GF454" i="2"/>
  <c r="EN455" i="2"/>
  <c r="FA455" i="2"/>
  <c r="GF455" i="2"/>
  <c r="EN456" i="2"/>
  <c r="FA456" i="2"/>
  <c r="GE456" i="2"/>
  <c r="GD457" i="2"/>
  <c r="FU458" i="2"/>
  <c r="GG458" i="2"/>
  <c r="FW486" i="2"/>
  <c r="EQ487" i="2"/>
  <c r="FV487" i="2"/>
  <c r="GH487" i="2"/>
  <c r="FV488" i="2"/>
  <c r="GH488" i="2"/>
  <c r="FU489" i="2"/>
  <c r="GG489" i="2"/>
  <c r="EO490" i="2"/>
  <c r="GF490" i="2"/>
  <c r="FV491" i="2"/>
  <c r="GH491" i="2"/>
  <c r="FU492" i="2"/>
  <c r="GG492" i="2"/>
  <c r="EO622" i="2"/>
  <c r="GF622" i="2"/>
  <c r="EN623" i="2"/>
  <c r="GE520" i="2"/>
  <c r="GE521" i="2"/>
  <c r="ES524" i="2"/>
  <c r="ET189" i="2"/>
  <c r="FZ189" i="2"/>
  <c r="GM189" i="2"/>
  <c r="ET192" i="2"/>
  <c r="FZ192" i="2"/>
  <c r="GM192" i="2"/>
  <c r="ET193" i="2"/>
  <c r="FZ193" i="2"/>
  <c r="GM193" i="2"/>
  <c r="ET202" i="2"/>
  <c r="FZ202" i="2"/>
  <c r="GM202" i="2"/>
  <c r="ET203" i="2"/>
  <c r="FZ203" i="2"/>
  <c r="GM203" i="2"/>
  <c r="ET204" i="2"/>
  <c r="FZ204" i="2"/>
  <c r="GM204" i="2"/>
  <c r="GD205" i="2"/>
  <c r="FW288" i="2"/>
  <c r="EQ289" i="2"/>
  <c r="FW289" i="2"/>
  <c r="ER291" i="2"/>
  <c r="ER292" i="2"/>
  <c r="ER293" i="2"/>
  <c r="ER294" i="2"/>
  <c r="ES296" i="2"/>
  <c r="FZ297" i="2"/>
  <c r="GM297" i="2"/>
  <c r="EJ299" i="2"/>
  <c r="EV299" i="2"/>
  <c r="GC300" i="2"/>
  <c r="GE302" i="2"/>
  <c r="GF303" i="2"/>
  <c r="FU304" i="2"/>
  <c r="GG304" i="2"/>
  <c r="EO305" i="2"/>
  <c r="FU305" i="2"/>
  <c r="GG305" i="2"/>
  <c r="FV306" i="2"/>
  <c r="GH306" i="2"/>
  <c r="FV307" i="2"/>
  <c r="GH307" i="2"/>
  <c r="FW308" i="2"/>
  <c r="EQ309" i="2"/>
  <c r="FW309" i="2"/>
  <c r="ER311" i="2"/>
  <c r="ES313" i="2"/>
  <c r="ES314" i="2"/>
  <c r="ES315" i="2"/>
  <c r="ES316" i="2"/>
  <c r="FZ317" i="2"/>
  <c r="GM317" i="2"/>
  <c r="ET318" i="2"/>
  <c r="FZ318" i="2"/>
  <c r="GM318" i="2"/>
  <c r="GA319" i="2"/>
  <c r="EJ321" i="2"/>
  <c r="EV321" i="2"/>
  <c r="FZ321" i="2"/>
  <c r="GM321" i="2"/>
  <c r="ET322" i="2"/>
  <c r="FW322" i="2"/>
  <c r="EQ323" i="2"/>
  <c r="FU323" i="2"/>
  <c r="GG323" i="2"/>
  <c r="EO324" i="2"/>
  <c r="GD324" i="2"/>
  <c r="FZ326" i="2"/>
  <c r="GM326" i="2"/>
  <c r="ET327" i="2"/>
  <c r="ER328" i="2"/>
  <c r="FU328" i="2"/>
  <c r="GG328" i="2"/>
  <c r="EO329" i="2"/>
  <c r="GE329" i="2"/>
  <c r="GC331" i="2"/>
  <c r="EK466" i="2"/>
  <c r="FU451" i="2"/>
  <c r="GG451" i="2"/>
  <c r="FU454" i="2"/>
  <c r="GG454" i="2"/>
  <c r="EO455" i="2"/>
  <c r="FU455" i="2"/>
  <c r="GG455" i="2"/>
  <c r="EO456" i="2"/>
  <c r="GF456" i="2"/>
  <c r="EN457" i="2"/>
  <c r="FA457" i="2"/>
  <c r="GE457" i="2"/>
  <c r="FV458" i="2"/>
  <c r="GH458" i="2"/>
  <c r="ER487" i="2"/>
  <c r="FW487" i="2"/>
  <c r="EQ488" i="2"/>
  <c r="FW488" i="2"/>
  <c r="EQ489" i="2"/>
  <c r="FV489" i="2"/>
  <c r="GH489" i="2"/>
  <c r="FU490" i="2"/>
  <c r="GG490" i="2"/>
  <c r="FW491" i="2"/>
  <c r="FV492" i="2"/>
  <c r="GH492" i="2"/>
  <c r="FU622" i="2"/>
  <c r="GG622" i="2"/>
  <c r="EO623" i="2"/>
  <c r="GF623" i="2"/>
  <c r="EN520" i="2"/>
  <c r="FA520" i="2"/>
  <c r="FW629" i="2"/>
  <c r="EI459" i="2"/>
  <c r="EU459" i="2"/>
  <c r="GA459" i="2"/>
  <c r="EI522" i="2"/>
  <c r="EU522" i="2"/>
  <c r="FZ522" i="2"/>
  <c r="GM522" i="2"/>
  <c r="ET523" i="2"/>
  <c r="EI189" i="2"/>
  <c r="EU189" i="2"/>
  <c r="GA189" i="2"/>
  <c r="EI192" i="2"/>
  <c r="EU192" i="2"/>
  <c r="GA192" i="2"/>
  <c r="EI193" i="2"/>
  <c r="EU193" i="2"/>
  <c r="GA193" i="2"/>
  <c r="EI202" i="2"/>
  <c r="EU202" i="2"/>
  <c r="GA202" i="2"/>
  <c r="EI203" i="2"/>
  <c r="EU203" i="2"/>
  <c r="GA203" i="2"/>
  <c r="EI204" i="2"/>
  <c r="EU204" i="2"/>
  <c r="GA204" i="2"/>
  <c r="GE205" i="2"/>
  <c r="ER289" i="2"/>
  <c r="ES291" i="2"/>
  <c r="ES292" i="2"/>
  <c r="ES293" i="2"/>
  <c r="ES294" i="2"/>
  <c r="FZ295" i="2"/>
  <c r="GM295" i="2"/>
  <c r="ET296" i="2"/>
  <c r="FZ296" i="2"/>
  <c r="GM296" i="2"/>
  <c r="GA297" i="2"/>
  <c r="EK299" i="2"/>
  <c r="GC299" i="2"/>
  <c r="GD300" i="2"/>
  <c r="EN302" i="2"/>
  <c r="FA302" i="2"/>
  <c r="GF302" i="2"/>
  <c r="FU303" i="2"/>
  <c r="GG303" i="2"/>
  <c r="FV304" i="2"/>
  <c r="GH304" i="2"/>
  <c r="FV305" i="2"/>
  <c r="GH305" i="2"/>
  <c r="FW306" i="2"/>
  <c r="EQ307" i="2"/>
  <c r="FW307" i="2"/>
  <c r="ER309" i="2"/>
  <c r="ES311" i="2"/>
  <c r="FZ312" i="2"/>
  <c r="GM312" i="2"/>
  <c r="ET313" i="2"/>
  <c r="FZ313" i="2"/>
  <c r="GM313" i="2"/>
  <c r="ET314" i="2"/>
  <c r="FZ314" i="2"/>
  <c r="GM314" i="2"/>
  <c r="ET315" i="2"/>
  <c r="FZ315" i="2"/>
  <c r="GM315" i="2"/>
  <c r="ET316" i="2"/>
  <c r="FZ316" i="2"/>
  <c r="GM316" i="2"/>
  <c r="GA317" i="2"/>
  <c r="EI318" i="2"/>
  <c r="EU318" i="2"/>
  <c r="GA318" i="2"/>
  <c r="GC320" i="2"/>
  <c r="EK321" i="2"/>
  <c r="GA321" i="2"/>
  <c r="EU322" i="2"/>
  <c r="ER323" i="2"/>
  <c r="FV323" i="2"/>
  <c r="GH323" i="2"/>
  <c r="GE324" i="2"/>
  <c r="GC325" i="2"/>
  <c r="GA326" i="2"/>
  <c r="EI327" i="2"/>
  <c r="EU327" i="2"/>
  <c r="ES328" i="2"/>
  <c r="FV328" i="2"/>
  <c r="GH328" i="2"/>
  <c r="GF329" i="2"/>
  <c r="FA330" i="2"/>
  <c r="GC330" i="2"/>
  <c r="GD331" i="2"/>
  <c r="GC466" i="2"/>
  <c r="FV451" i="2"/>
  <c r="GH451" i="2"/>
  <c r="FV454" i="2"/>
  <c r="GH454" i="2"/>
  <c r="FV455" i="2"/>
  <c r="GH455" i="2"/>
  <c r="FU456" i="2"/>
  <c r="GG456" i="2"/>
  <c r="EO457" i="2"/>
  <c r="GF457" i="2"/>
  <c r="FW458" i="2"/>
  <c r="ES487" i="2"/>
  <c r="ER488" i="2"/>
  <c r="ER489" i="2"/>
  <c r="FW489" i="2"/>
  <c r="EQ490" i="2"/>
  <c r="FV490" i="2"/>
  <c r="GH490" i="2"/>
  <c r="ER492" i="2"/>
  <c r="FW492" i="2"/>
  <c r="FV622" i="2"/>
  <c r="GH622" i="2"/>
  <c r="ER629" i="2"/>
  <c r="EV189" i="2"/>
  <c r="EJ192" i="2"/>
  <c r="EV192" i="2"/>
  <c r="EJ193" i="2"/>
  <c r="EV193" i="2"/>
  <c r="EJ202" i="2"/>
  <c r="EV202" i="2"/>
  <c r="EJ203" i="2"/>
  <c r="EV203" i="2"/>
  <c r="EJ204" i="2"/>
  <c r="EV204" i="2"/>
  <c r="GF205" i="2"/>
  <c r="ES289" i="2"/>
  <c r="FZ290" i="2"/>
  <c r="GM290" i="2"/>
  <c r="ET291" i="2"/>
  <c r="FZ291" i="2"/>
  <c r="GM291" i="2"/>
  <c r="ET292" i="2"/>
  <c r="FZ292" i="2"/>
  <c r="GM292" i="2"/>
  <c r="ET293" i="2"/>
  <c r="FZ293" i="2"/>
  <c r="GM293" i="2"/>
  <c r="ET294" i="2"/>
  <c r="FZ294" i="2"/>
  <c r="GM294" i="2"/>
  <c r="GA295" i="2"/>
  <c r="EI296" i="2"/>
  <c r="EU296" i="2"/>
  <c r="GA296" i="2"/>
  <c r="GD299" i="2"/>
  <c r="GE300" i="2"/>
  <c r="EO302" i="2"/>
  <c r="FU302" i="2"/>
  <c r="GG302" i="2"/>
  <c r="FV303" i="2"/>
  <c r="GH303" i="2"/>
  <c r="FW304" i="2"/>
  <c r="EQ305" i="2"/>
  <c r="FW305" i="2"/>
  <c r="ER307" i="2"/>
  <c r="ES309" i="2"/>
  <c r="FZ310" i="2"/>
  <c r="GM310" i="2"/>
  <c r="ET311" i="2"/>
  <c r="FZ311" i="2"/>
  <c r="GM311" i="2"/>
  <c r="GA312" i="2"/>
  <c r="EI313" i="2"/>
  <c r="EU313" i="2"/>
  <c r="GA313" i="2"/>
  <c r="EI314" i="2"/>
  <c r="EU314" i="2"/>
  <c r="GA314" i="2"/>
  <c r="EI315" i="2"/>
  <c r="EU315" i="2"/>
  <c r="GA315" i="2"/>
  <c r="EI316" i="2"/>
  <c r="EU316" i="2"/>
  <c r="GA316" i="2"/>
  <c r="EJ318" i="2"/>
  <c r="EV318" i="2"/>
  <c r="GC319" i="2"/>
  <c r="GD320" i="2"/>
  <c r="EJ322" i="2"/>
  <c r="EV322" i="2"/>
  <c r="ES323" i="2"/>
  <c r="FW323" i="2"/>
  <c r="EQ324" i="2"/>
  <c r="GF324" i="2"/>
  <c r="FA325" i="2"/>
  <c r="GD325" i="2"/>
  <c r="EJ327" i="2"/>
  <c r="EV327" i="2"/>
  <c r="FZ327" i="2"/>
  <c r="GM327" i="2"/>
  <c r="ET328" i="2"/>
  <c r="FW328" i="2"/>
  <c r="EQ329" i="2"/>
  <c r="FU329" i="2"/>
  <c r="GG329" i="2"/>
  <c r="EO330" i="2"/>
  <c r="GD330" i="2"/>
  <c r="GE331" i="2"/>
  <c r="GD466" i="2"/>
  <c r="FW451" i="2"/>
  <c r="FZ452" i="2"/>
  <c r="GM452" i="2"/>
  <c r="FW454" i="2"/>
  <c r="EQ455" i="2"/>
  <c r="FW455" i="2"/>
  <c r="EQ456" i="2"/>
  <c r="FV456" i="2"/>
  <c r="GH456" i="2"/>
  <c r="FU457" i="2"/>
  <c r="GG457" i="2"/>
  <c r="FZ486" i="2"/>
  <c r="GM486" i="2"/>
  <c r="ET487" i="2"/>
  <c r="ES488" i="2"/>
  <c r="ES489" i="2"/>
  <c r="ER490" i="2"/>
  <c r="FW490" i="2"/>
  <c r="ES492" i="2"/>
  <c r="ER622" i="2"/>
  <c r="FW622" i="2"/>
  <c r="ES628" i="2"/>
  <c r="GC189" i="2"/>
  <c r="EK192" i="2"/>
  <c r="GC192" i="2"/>
  <c r="EK193" i="2"/>
  <c r="GC193" i="2"/>
  <c r="EK202" i="2"/>
  <c r="GC202" i="2"/>
  <c r="EK203" i="2"/>
  <c r="GC203" i="2"/>
  <c r="EK204" i="2"/>
  <c r="GC204" i="2"/>
  <c r="FU205" i="2"/>
  <c r="GG205" i="2"/>
  <c r="FZ288" i="2"/>
  <c r="GM288" i="2"/>
  <c r="ET289" i="2"/>
  <c r="FZ289" i="2"/>
  <c r="GM289" i="2"/>
  <c r="GA290" i="2"/>
  <c r="EI291" i="2"/>
  <c r="EU291" i="2"/>
  <c r="GA291" i="2"/>
  <c r="EI292" i="2"/>
  <c r="EU292" i="2"/>
  <c r="GA292" i="2"/>
  <c r="EI293" i="2"/>
  <c r="EU293" i="2"/>
  <c r="GA293" i="2"/>
  <c r="EI294" i="2"/>
  <c r="EU294" i="2"/>
  <c r="GA294" i="2"/>
  <c r="EJ296" i="2"/>
  <c r="EV296" i="2"/>
  <c r="GC297" i="2"/>
  <c r="GE299" i="2"/>
  <c r="GF300" i="2"/>
  <c r="FV302" i="2"/>
  <c r="GH302" i="2"/>
  <c r="FW303" i="2"/>
  <c r="ER305" i="2"/>
  <c r="ES307" i="2"/>
  <c r="FZ308" i="2"/>
  <c r="GM308" i="2"/>
  <c r="ET309" i="2"/>
  <c r="FZ309" i="2"/>
  <c r="GM309" i="2"/>
  <c r="GA310" i="2"/>
  <c r="EI311" i="2"/>
  <c r="EU311" i="2"/>
  <c r="GA311" i="2"/>
  <c r="EJ313" i="2"/>
  <c r="EV313" i="2"/>
  <c r="EJ314" i="2"/>
  <c r="EV314" i="2"/>
  <c r="EJ315" i="2"/>
  <c r="EV315" i="2"/>
  <c r="EJ316" i="2"/>
  <c r="EV316" i="2"/>
  <c r="GC317" i="2"/>
  <c r="EK318" i="2"/>
  <c r="GC318" i="2"/>
  <c r="GD319" i="2"/>
  <c r="GE320" i="2"/>
  <c r="GC321" i="2"/>
  <c r="EK322" i="2"/>
  <c r="FZ322" i="2"/>
  <c r="GM322" i="2"/>
  <c r="ET323" i="2"/>
  <c r="ER324" i="2"/>
  <c r="FU324" i="2"/>
  <c r="GG324" i="2"/>
  <c r="EO325" i="2"/>
  <c r="GE325" i="2"/>
  <c r="GC326" i="2"/>
  <c r="EK327" i="2"/>
  <c r="GA327" i="2"/>
  <c r="EU328" i="2"/>
  <c r="ER329" i="2"/>
  <c r="FV329" i="2"/>
  <c r="GH329" i="2"/>
  <c r="GE330" i="2"/>
  <c r="GF331" i="2"/>
  <c r="EN466" i="2"/>
  <c r="FA466" i="2"/>
  <c r="GE466" i="2"/>
  <c r="GA452" i="2"/>
  <c r="ER455" i="2"/>
  <c r="ER456" i="2"/>
  <c r="FW456" i="2"/>
  <c r="EQ457" i="2"/>
  <c r="FV457" i="2"/>
  <c r="GH457" i="2"/>
  <c r="GA486" i="2"/>
  <c r="EI487" i="2"/>
  <c r="EU487" i="2"/>
  <c r="FZ487" i="2"/>
  <c r="GM487" i="2"/>
  <c r="ET488" i="2"/>
  <c r="FZ488" i="2"/>
  <c r="GM488" i="2"/>
  <c r="ET489" i="2"/>
  <c r="ES490" i="2"/>
  <c r="FZ491" i="2"/>
  <c r="GM491" i="2"/>
  <c r="ET492" i="2"/>
  <c r="ES622" i="2"/>
  <c r="ER623" i="2"/>
  <c r="FZ576" i="2"/>
  <c r="GM576" i="2"/>
  <c r="ET627" i="2"/>
  <c r="GD189" i="2"/>
  <c r="GD192" i="2"/>
  <c r="GD193" i="2"/>
  <c r="GD202" i="2"/>
  <c r="GD203" i="2"/>
  <c r="GD204" i="2"/>
  <c r="FV205" i="2"/>
  <c r="GH205" i="2"/>
  <c r="GA288" i="2"/>
  <c r="EI289" i="2"/>
  <c r="EU289" i="2"/>
  <c r="GA289" i="2"/>
  <c r="EJ291" i="2"/>
  <c r="EV291" i="2"/>
  <c r="EJ292" i="2"/>
  <c r="EV292" i="2"/>
  <c r="EJ293" i="2"/>
  <c r="EV293" i="2"/>
  <c r="EJ294" i="2"/>
  <c r="EV294" i="2"/>
  <c r="GC295" i="2"/>
  <c r="EK296" i="2"/>
  <c r="GC296" i="2"/>
  <c r="GD297" i="2"/>
  <c r="EN299" i="2"/>
  <c r="FA299" i="2"/>
  <c r="GF299" i="2"/>
  <c r="FU300" i="2"/>
  <c r="GG300" i="2"/>
  <c r="EQ302" i="2"/>
  <c r="FW302" i="2"/>
  <c r="ES305" i="2"/>
  <c r="FZ306" i="2"/>
  <c r="GM306" i="2"/>
  <c r="ET307" i="2"/>
  <c r="FZ307" i="2"/>
  <c r="GM307" i="2"/>
  <c r="GA308" i="2"/>
  <c r="EI309" i="2"/>
  <c r="EU309" i="2"/>
  <c r="GA309" i="2"/>
  <c r="EJ311" i="2"/>
  <c r="EV311" i="2"/>
  <c r="GC312" i="2"/>
  <c r="EK313" i="2"/>
  <c r="GC313" i="2"/>
  <c r="EK314" i="2"/>
  <c r="GC314" i="2"/>
  <c r="EK315" i="2"/>
  <c r="GC315" i="2"/>
  <c r="EK316" i="2"/>
  <c r="GC316" i="2"/>
  <c r="GD317" i="2"/>
  <c r="GD318" i="2"/>
  <c r="GE319" i="2"/>
  <c r="GF320" i="2"/>
  <c r="FA321" i="2"/>
  <c r="GD321" i="2"/>
  <c r="GA322" i="2"/>
  <c r="EI323" i="2"/>
  <c r="EU323" i="2"/>
  <c r="ES324" i="2"/>
  <c r="FV324" i="2"/>
  <c r="GH324" i="2"/>
  <c r="GF325" i="2"/>
  <c r="GD326" i="2"/>
  <c r="EJ328" i="2"/>
  <c r="EV328" i="2"/>
  <c r="ES329" i="2"/>
  <c r="FW329" i="2"/>
  <c r="EQ330" i="2"/>
  <c r="GF330" i="2"/>
  <c r="FU331" i="2"/>
  <c r="GG331" i="2"/>
  <c r="EO466" i="2"/>
  <c r="GF466" i="2"/>
  <c r="ES455" i="2"/>
  <c r="ES456" i="2"/>
  <c r="ER457" i="2"/>
  <c r="FW457" i="2"/>
  <c r="FZ458" i="2"/>
  <c r="GM458" i="2"/>
  <c r="EJ487" i="2"/>
  <c r="EV487" i="2"/>
  <c r="GA487" i="2"/>
  <c r="EI488" i="2"/>
  <c r="EU488" i="2"/>
  <c r="GA488" i="2"/>
  <c r="EI489" i="2"/>
  <c r="EU489" i="2"/>
  <c r="FZ489" i="2"/>
  <c r="GM489" i="2"/>
  <c r="ET490" i="2"/>
  <c r="GA491" i="2"/>
  <c r="EI492" i="2"/>
  <c r="EU492" i="2"/>
  <c r="FZ492" i="2"/>
  <c r="GM492" i="2"/>
  <c r="ET622" i="2"/>
  <c r="ES623" i="2"/>
  <c r="GD524" i="2"/>
  <c r="GC525" i="2"/>
  <c r="GE189" i="2"/>
  <c r="GE192" i="2"/>
  <c r="GE193" i="2"/>
  <c r="GE202" i="2"/>
  <c r="GE203" i="2"/>
  <c r="GE204" i="2"/>
  <c r="FW205" i="2"/>
  <c r="EJ289" i="2"/>
  <c r="EV289" i="2"/>
  <c r="GC290" i="2"/>
  <c r="EK291" i="2"/>
  <c r="GC291" i="2"/>
  <c r="EK292" i="2"/>
  <c r="GC292" i="2"/>
  <c r="EK293" i="2"/>
  <c r="GC293" i="2"/>
  <c r="EK294" i="2"/>
  <c r="GC294" i="2"/>
  <c r="GD295" i="2"/>
  <c r="GD296" i="2"/>
  <c r="GE297" i="2"/>
  <c r="EO299" i="2"/>
  <c r="FU299" i="2"/>
  <c r="GG299" i="2"/>
  <c r="FV300" i="2"/>
  <c r="GH300" i="2"/>
  <c r="ER302" i="2"/>
  <c r="FZ304" i="2"/>
  <c r="GM304" i="2"/>
  <c r="ET305" i="2"/>
  <c r="FZ305" i="2"/>
  <c r="GM305" i="2"/>
  <c r="GA306" i="2"/>
  <c r="EI307" i="2"/>
  <c r="EU307" i="2"/>
  <c r="GA307" i="2"/>
  <c r="EJ309" i="2"/>
  <c r="EV309" i="2"/>
  <c r="GC310" i="2"/>
  <c r="EK311" i="2"/>
  <c r="GC311" i="2"/>
  <c r="GD312" i="2"/>
  <c r="GD313" i="2"/>
  <c r="GD314" i="2"/>
  <c r="GD315" i="2"/>
  <c r="GD316" i="2"/>
  <c r="GE317" i="2"/>
  <c r="GE318" i="2"/>
  <c r="GF319" i="2"/>
  <c r="FU320" i="2"/>
  <c r="GG320" i="2"/>
  <c r="EO321" i="2"/>
  <c r="GE321" i="2"/>
  <c r="EJ323" i="2"/>
  <c r="EV323" i="2"/>
  <c r="FZ323" i="2"/>
  <c r="GM323" i="2"/>
  <c r="ET324" i="2"/>
  <c r="FW324" i="2"/>
  <c r="EQ325" i="2"/>
  <c r="FU325" i="2"/>
  <c r="GG325" i="2"/>
  <c r="GE326" i="2"/>
  <c r="GC327" i="2"/>
  <c r="EK328" i="2"/>
  <c r="FZ328" i="2"/>
  <c r="GM328" i="2"/>
  <c r="ET329" i="2"/>
  <c r="ER330" i="2"/>
  <c r="FU330" i="2"/>
  <c r="GG330" i="2"/>
  <c r="FV331" i="2"/>
  <c r="GH331" i="2"/>
  <c r="FU466" i="2"/>
  <c r="GG466" i="2"/>
  <c r="FZ451" i="2"/>
  <c r="GM451" i="2"/>
  <c r="GC452" i="2"/>
  <c r="FZ454" i="2"/>
  <c r="GM454" i="2"/>
  <c r="ET455" i="2"/>
  <c r="FZ455" i="2"/>
  <c r="GM455" i="2"/>
  <c r="ET456" i="2"/>
  <c r="ES457" i="2"/>
  <c r="GA458" i="2"/>
  <c r="GC486" i="2"/>
  <c r="EK487" i="2"/>
  <c r="EJ488" i="2"/>
  <c r="EV488" i="2"/>
  <c r="EJ489" i="2"/>
  <c r="EV489" i="2"/>
  <c r="GA489" i="2"/>
  <c r="EI490" i="2"/>
  <c r="EU490" i="2"/>
  <c r="FZ490" i="2"/>
  <c r="GM490" i="2"/>
  <c r="EJ492" i="2"/>
  <c r="EV492" i="2"/>
  <c r="GA492" i="2"/>
  <c r="EI622" i="2"/>
  <c r="EU622" i="2"/>
  <c r="FZ622" i="2"/>
  <c r="GM622" i="2"/>
  <c r="ET623" i="2"/>
  <c r="ES521" i="2"/>
  <c r="GE523" i="2"/>
  <c r="EN189" i="2"/>
  <c r="FA189" i="2"/>
  <c r="GF189" i="2"/>
  <c r="EN192" i="2"/>
  <c r="FA192" i="2"/>
  <c r="GF192" i="2"/>
  <c r="EN193" i="2"/>
  <c r="FA193" i="2"/>
  <c r="GF193" i="2"/>
  <c r="EN202" i="2"/>
  <c r="FA202" i="2"/>
  <c r="GF202" i="2"/>
  <c r="EN203" i="2"/>
  <c r="FA203" i="2"/>
  <c r="GF203" i="2"/>
  <c r="EN204" i="2"/>
  <c r="FA204" i="2"/>
  <c r="GF204" i="2"/>
  <c r="GC288" i="2"/>
  <c r="EK289" i="2"/>
  <c r="GC289" i="2"/>
  <c r="GD290" i="2"/>
  <c r="GD291" i="2"/>
  <c r="GD292" i="2"/>
  <c r="GD293" i="2"/>
  <c r="GD294" i="2"/>
  <c r="GE295" i="2"/>
  <c r="GE296" i="2"/>
  <c r="GF297" i="2"/>
  <c r="FV299" i="2"/>
  <c r="GH299" i="2"/>
  <c r="FW300" i="2"/>
  <c r="ES302" i="2"/>
  <c r="FZ303" i="2"/>
  <c r="GM303" i="2"/>
  <c r="GA304" i="2"/>
  <c r="EI305" i="2"/>
  <c r="EU305" i="2"/>
  <c r="GA305" i="2"/>
  <c r="EJ307" i="2"/>
  <c r="EV307" i="2"/>
  <c r="GC308" i="2"/>
  <c r="EK309" i="2"/>
  <c r="GC309" i="2"/>
  <c r="GD310" i="2"/>
  <c r="GD311" i="2"/>
  <c r="GE312" i="2"/>
  <c r="GE313" i="2"/>
  <c r="GE314" i="2"/>
  <c r="GE315" i="2"/>
  <c r="GE316" i="2"/>
  <c r="GF317" i="2"/>
  <c r="EN318" i="2"/>
  <c r="FA318" i="2"/>
  <c r="GF318" i="2"/>
  <c r="FU319" i="2"/>
  <c r="GG319" i="2"/>
  <c r="FV320" i="2"/>
  <c r="GH320" i="2"/>
  <c r="GF321" i="2"/>
  <c r="FA322" i="2"/>
  <c r="GC322" i="2"/>
  <c r="EK323" i="2"/>
  <c r="GA323" i="2"/>
  <c r="EU324" i="2"/>
  <c r="ER325" i="2"/>
  <c r="FV325" i="2"/>
  <c r="GH325" i="2"/>
  <c r="GF326" i="2"/>
  <c r="FA327" i="2"/>
  <c r="GD327" i="2"/>
  <c r="GA328" i="2"/>
  <c r="EI329" i="2"/>
  <c r="EU329" i="2"/>
  <c r="ES330" i="2"/>
  <c r="FV330" i="2"/>
  <c r="GH330" i="2"/>
  <c r="FW331" i="2"/>
  <c r="FV466" i="2"/>
  <c r="GH466" i="2"/>
  <c r="GA451" i="2"/>
  <c r="GD452" i="2"/>
  <c r="GA454" i="2"/>
  <c r="EI455" i="2"/>
  <c r="EU455" i="2"/>
  <c r="GA455" i="2"/>
  <c r="EI456" i="2"/>
  <c r="EU456" i="2"/>
  <c r="FZ456" i="2"/>
  <c r="GM456" i="2"/>
  <c r="ET457" i="2"/>
  <c r="GD486" i="2"/>
  <c r="GC487" i="2"/>
  <c r="EK488" i="2"/>
  <c r="GC488" i="2"/>
  <c r="EK489" i="2"/>
  <c r="EJ490" i="2"/>
  <c r="EV490" i="2"/>
  <c r="GA490" i="2"/>
  <c r="GC491" i="2"/>
  <c r="EK492" i="2"/>
  <c r="EJ622" i="2"/>
  <c r="EV622" i="2"/>
  <c r="GA622" i="2"/>
  <c r="EI623" i="2"/>
  <c r="EU623" i="2"/>
  <c r="FZ623" i="2"/>
  <c r="GM623" i="2"/>
  <c r="ET520" i="2"/>
  <c r="GC629" i="2"/>
  <c r="EO459" i="2"/>
  <c r="FU459" i="2"/>
  <c r="GG459" i="2"/>
  <c r="EO522" i="2"/>
  <c r="GF522" i="2"/>
  <c r="EN523" i="2"/>
  <c r="FA523" i="2"/>
  <c r="EO189" i="2"/>
  <c r="FU189" i="2"/>
  <c r="GG189" i="2"/>
  <c r="EO192" i="2"/>
  <c r="FU192" i="2"/>
  <c r="GG192" i="2"/>
  <c r="EO193" i="2"/>
  <c r="FU193" i="2"/>
  <c r="GG193" i="2"/>
  <c r="EO202" i="2"/>
  <c r="FU202" i="2"/>
  <c r="GG202" i="2"/>
  <c r="EO203" i="2"/>
  <c r="FU203" i="2"/>
  <c r="GG203" i="2"/>
  <c r="EO204" i="2"/>
  <c r="FU204" i="2"/>
  <c r="GG204" i="2"/>
  <c r="GD288" i="2"/>
  <c r="GD289" i="2"/>
  <c r="GE290" i="2"/>
  <c r="GE291" i="2"/>
  <c r="GE292" i="2"/>
  <c r="GE293" i="2"/>
  <c r="GE294" i="2"/>
  <c r="GF295" i="2"/>
  <c r="EN296" i="2"/>
  <c r="FA296" i="2"/>
  <c r="GF296" i="2"/>
  <c r="FU297" i="2"/>
  <c r="GG297" i="2"/>
  <c r="EQ299" i="2"/>
  <c r="FW299" i="2"/>
  <c r="ET302" i="2"/>
  <c r="FZ302" i="2"/>
  <c r="GM302" i="2"/>
  <c r="GA303" i="2"/>
  <c r="EJ305" i="2"/>
  <c r="EV305" i="2"/>
  <c r="GC306" i="2"/>
  <c r="EK307" i="2"/>
  <c r="GC307" i="2"/>
  <c r="GD308" i="2"/>
  <c r="GD309" i="2"/>
  <c r="GE310" i="2"/>
  <c r="GE311" i="2"/>
  <c r="GF312" i="2"/>
  <c r="EN313" i="2"/>
  <c r="FA313" i="2"/>
  <c r="GF313" i="2"/>
  <c r="EN314" i="2"/>
  <c r="FA314" i="2"/>
  <c r="GF314" i="2"/>
  <c r="EN315" i="2"/>
  <c r="FA315" i="2"/>
  <c r="GF315" i="2"/>
  <c r="EN316" i="2"/>
  <c r="FA316" i="2"/>
  <c r="GF316" i="2"/>
  <c r="FU317" i="2"/>
  <c r="GG317" i="2"/>
  <c r="EO318" i="2"/>
  <c r="FU318" i="2"/>
  <c r="GG318" i="2"/>
  <c r="FV319" i="2"/>
  <c r="GH319" i="2"/>
  <c r="FW320" i="2"/>
  <c r="EQ321" i="2"/>
  <c r="FU321" i="2"/>
  <c r="GG321" i="2"/>
  <c r="EO322" i="2"/>
  <c r="GD322" i="2"/>
  <c r="EJ324" i="2"/>
  <c r="EV324" i="2"/>
  <c r="ES325" i="2"/>
  <c r="FW325" i="2"/>
  <c r="FU326" i="2"/>
  <c r="GG326" i="2"/>
  <c r="EO327" i="2"/>
  <c r="GE327" i="2"/>
  <c r="EJ329" i="2"/>
  <c r="EV329" i="2"/>
  <c r="FZ329" i="2"/>
  <c r="GM329" i="2"/>
  <c r="ET330" i="2"/>
  <c r="FW330" i="2"/>
  <c r="ER466" i="2"/>
  <c r="FW466" i="2"/>
  <c r="GE452" i="2"/>
  <c r="EJ455" i="2"/>
  <c r="EV455" i="2"/>
  <c r="EJ456" i="2"/>
  <c r="EV456" i="2"/>
  <c r="GA456" i="2"/>
  <c r="EI457" i="2"/>
  <c r="EU457" i="2"/>
  <c r="FZ457" i="2"/>
  <c r="GM457" i="2"/>
  <c r="GC458" i="2"/>
  <c r="GE486" i="2"/>
  <c r="GD487" i="2"/>
  <c r="GD488" i="2"/>
  <c r="GC489" i="2"/>
  <c r="EK490" i="2"/>
  <c r="GD491" i="2"/>
  <c r="GC492" i="2"/>
  <c r="EK622" i="2"/>
  <c r="EJ623" i="2"/>
  <c r="GD628" i="2"/>
  <c r="FV189" i="2"/>
  <c r="GH189" i="2"/>
  <c r="FV192" i="2"/>
  <c r="GH192" i="2"/>
  <c r="FV193" i="2"/>
  <c r="GH193" i="2"/>
  <c r="FV202" i="2"/>
  <c r="GH202" i="2"/>
  <c r="FV203" i="2"/>
  <c r="GH203" i="2"/>
  <c r="FV204" i="2"/>
  <c r="GH204" i="2"/>
  <c r="FZ205" i="2"/>
  <c r="GM205" i="2"/>
  <c r="GE288" i="2"/>
  <c r="GE289" i="2"/>
  <c r="GF290" i="2"/>
  <c r="EN291" i="2"/>
  <c r="FA291" i="2"/>
  <c r="GF291" i="2"/>
  <c r="EN292" i="2"/>
  <c r="FA292" i="2"/>
  <c r="GF292" i="2"/>
  <c r="EN293" i="2"/>
  <c r="FA293" i="2"/>
  <c r="GF293" i="2"/>
  <c r="EN294" i="2"/>
  <c r="FA294" i="2"/>
  <c r="GF294" i="2"/>
  <c r="FU295" i="2"/>
  <c r="GG295" i="2"/>
  <c r="EO296" i="2"/>
  <c r="FU296" i="2"/>
  <c r="GG296" i="2"/>
  <c r="FV297" i="2"/>
  <c r="GH297" i="2"/>
  <c r="ER299" i="2"/>
  <c r="EI302" i="2"/>
  <c r="EU302" i="2"/>
  <c r="GA302" i="2"/>
  <c r="GC304" i="2"/>
  <c r="EK305" i="2"/>
  <c r="GC305" i="2"/>
  <c r="GD306" i="2"/>
  <c r="GD307" i="2"/>
  <c r="GE308" i="2"/>
  <c r="GE309" i="2"/>
  <c r="GF310" i="2"/>
  <c r="EN311" i="2"/>
  <c r="FA311" i="2"/>
  <c r="GF311" i="2"/>
  <c r="FU312" i="2"/>
  <c r="GG312" i="2"/>
  <c r="EO313" i="2"/>
  <c r="FU313" i="2"/>
  <c r="GG313" i="2"/>
  <c r="EO314" i="2"/>
  <c r="FU314" i="2"/>
  <c r="GG314" i="2"/>
  <c r="EO315" i="2"/>
  <c r="FU315" i="2"/>
  <c r="GG315" i="2"/>
  <c r="EO316" i="2"/>
  <c r="FU316" i="2"/>
  <c r="GG316" i="2"/>
  <c r="FV317" i="2"/>
  <c r="GH317" i="2"/>
  <c r="FV318" i="2"/>
  <c r="GH318" i="2"/>
  <c r="FW319" i="2"/>
  <c r="ER321" i="2"/>
  <c r="FV321" i="2"/>
  <c r="GH321" i="2"/>
  <c r="GE322" i="2"/>
  <c r="GC323" i="2"/>
  <c r="EK324" i="2"/>
  <c r="FZ324" i="2"/>
  <c r="GM324" i="2"/>
  <c r="ET325" i="2"/>
  <c r="FV326" i="2"/>
  <c r="GH326" i="2"/>
  <c r="GF327" i="2"/>
  <c r="FA328" i="2"/>
  <c r="GC328" i="2"/>
  <c r="EK329" i="2"/>
  <c r="GA329" i="2"/>
  <c r="EU330" i="2"/>
  <c r="ES466" i="2"/>
  <c r="GC451" i="2"/>
  <c r="GF452" i="2"/>
  <c r="GC454" i="2"/>
  <c r="EK455" i="2"/>
  <c r="GC455" i="2"/>
  <c r="EK456" i="2"/>
  <c r="EJ457" i="2"/>
  <c r="EV457" i="2"/>
  <c r="GA457" i="2"/>
  <c r="GD458" i="2"/>
  <c r="GF486" i="2"/>
  <c r="EN487" i="2"/>
  <c r="FA487" i="2"/>
  <c r="GE487" i="2"/>
  <c r="GE488" i="2"/>
  <c r="GD489" i="2"/>
  <c r="GC490" i="2"/>
  <c r="GE491" i="2"/>
  <c r="GD492" i="2"/>
  <c r="GC622" i="2"/>
  <c r="EK623" i="2"/>
  <c r="GE627" i="2"/>
  <c r="GD623" i="2"/>
  <c r="GC520" i="2"/>
  <c r="EK521" i="2"/>
  <c r="GC521" i="2"/>
  <c r="GD576" i="2"/>
  <c r="GC627" i="2"/>
  <c r="EK628" i="2"/>
  <c r="EJ629" i="2"/>
  <c r="EV629" i="2"/>
  <c r="GA629" i="2"/>
  <c r="GE459" i="2"/>
  <c r="GD522" i="2"/>
  <c r="GC523" i="2"/>
  <c r="EK524" i="2"/>
  <c r="EJ525" i="2"/>
  <c r="EV525" i="2"/>
  <c r="GA525" i="2"/>
  <c r="EI526" i="2"/>
  <c r="EU526" i="2"/>
  <c r="FZ526" i="2"/>
  <c r="GM526" i="2"/>
  <c r="ET527" i="2"/>
  <c r="ES528" i="2"/>
  <c r="FW528" i="2"/>
  <c r="EQ6" i="2"/>
  <c r="FV6" i="2"/>
  <c r="GH6" i="2"/>
  <c r="FV83" i="2"/>
  <c r="GH83" i="2"/>
  <c r="FU69" i="2"/>
  <c r="GG69" i="2"/>
  <c r="EO123" i="2"/>
  <c r="GE123" i="2"/>
  <c r="GD124" i="2"/>
  <c r="GE93" i="2"/>
  <c r="GD96" i="2"/>
  <c r="GD130" i="2"/>
  <c r="EJ115" i="2"/>
  <c r="EV115" i="2"/>
  <c r="GA115" i="2"/>
  <c r="EI99" i="2"/>
  <c r="EU99" i="2"/>
  <c r="FZ99" i="2"/>
  <c r="GM99" i="2"/>
  <c r="FZ139" i="2"/>
  <c r="GM139" i="2"/>
  <c r="ET140" i="2"/>
  <c r="ES141" i="2"/>
  <c r="ER142" i="2"/>
  <c r="ER143" i="2"/>
  <c r="FW143" i="2"/>
  <c r="ER226" i="2"/>
  <c r="FW226" i="2"/>
  <c r="ER227" i="2"/>
  <c r="FW227" i="2"/>
  <c r="EQ385" i="2"/>
  <c r="FW385" i="2"/>
  <c r="EQ472" i="2"/>
  <c r="FU472" i="2"/>
  <c r="GG472" i="2"/>
  <c r="GF473" i="2"/>
  <c r="EN386" i="2"/>
  <c r="FA386" i="2"/>
  <c r="GE386" i="2"/>
  <c r="GD577" i="2"/>
  <c r="GC100" i="2"/>
  <c r="EK101" i="2"/>
  <c r="FV207" i="2"/>
  <c r="GH207" i="2"/>
  <c r="ER5" i="2"/>
  <c r="ER23" i="2"/>
  <c r="FW23" i="2"/>
  <c r="GC27" i="2"/>
  <c r="FV31" i="2"/>
  <c r="GH31" i="2"/>
  <c r="FU33" i="2"/>
  <c r="GG33" i="2"/>
  <c r="EO620" i="2"/>
  <c r="FU620" i="2"/>
  <c r="GG620" i="2"/>
  <c r="EO332" i="2"/>
  <c r="FU332" i="2"/>
  <c r="GG332" i="2"/>
  <c r="FZ333" i="2"/>
  <c r="GM333" i="2"/>
  <c r="ET334" i="2"/>
  <c r="FZ334" i="2"/>
  <c r="GM334" i="2"/>
  <c r="ET335" i="2"/>
  <c r="FZ335" i="2"/>
  <c r="GM335" i="2"/>
  <c r="ET336" i="2"/>
  <c r="ES337" i="2"/>
  <c r="ES338" i="2"/>
  <c r="ES347" i="2"/>
  <c r="ER339" i="2"/>
  <c r="ER340" i="2"/>
  <c r="FW346" i="2"/>
  <c r="EQ367" i="2"/>
  <c r="FU370" i="2"/>
  <c r="GG370" i="2"/>
  <c r="EO357" i="2"/>
  <c r="GF357" i="2"/>
  <c r="EN358" i="2"/>
  <c r="FA358" i="2"/>
  <c r="FV360" i="2"/>
  <c r="GH360" i="2"/>
  <c r="GE493" i="2"/>
  <c r="GC529" i="2"/>
  <c r="EK578" i="2"/>
  <c r="EJ530" i="2"/>
  <c r="EV530" i="2"/>
  <c r="EJ532" i="2"/>
  <c r="EV532" i="2"/>
  <c r="ES515" i="2"/>
  <c r="GA539" i="2"/>
  <c r="EU581" i="2"/>
  <c r="GC570" i="2"/>
  <c r="EK584" i="2"/>
  <c r="GC571" i="2"/>
  <c r="EK572" i="2"/>
  <c r="FA623" i="2"/>
  <c r="GE623" i="2"/>
  <c r="GD520" i="2"/>
  <c r="GD521" i="2"/>
  <c r="GE576" i="2"/>
  <c r="GD627" i="2"/>
  <c r="GC628" i="2"/>
  <c r="EK629" i="2"/>
  <c r="EN459" i="2"/>
  <c r="FA459" i="2"/>
  <c r="GF459" i="2"/>
  <c r="EN522" i="2"/>
  <c r="FA522" i="2"/>
  <c r="GE522" i="2"/>
  <c r="GD523" i="2"/>
  <c r="GC524" i="2"/>
  <c r="EK525" i="2"/>
  <c r="EJ526" i="2"/>
  <c r="EV526" i="2"/>
  <c r="GA526" i="2"/>
  <c r="EI527" i="2"/>
  <c r="EU527" i="2"/>
  <c r="FZ527" i="2"/>
  <c r="GM527" i="2"/>
  <c r="ET528" i="2"/>
  <c r="ER6" i="2"/>
  <c r="FW6" i="2"/>
  <c r="EQ83" i="2"/>
  <c r="FW83" i="2"/>
  <c r="EQ69" i="2"/>
  <c r="FV69" i="2"/>
  <c r="GH69" i="2"/>
  <c r="GF123" i="2"/>
  <c r="EN124" i="2"/>
  <c r="FA124" i="2"/>
  <c r="GE124" i="2"/>
  <c r="GF93" i="2"/>
  <c r="GE96" i="2"/>
  <c r="GE130" i="2"/>
  <c r="GC98" i="2"/>
  <c r="EK115" i="2"/>
  <c r="EJ99" i="2"/>
  <c r="EV99" i="2"/>
  <c r="GA99" i="2"/>
  <c r="GA139" i="2"/>
  <c r="EI140" i="2"/>
  <c r="EU140" i="2"/>
  <c r="FZ140" i="2"/>
  <c r="GM140" i="2"/>
  <c r="ET141" i="2"/>
  <c r="ES142" i="2"/>
  <c r="ES143" i="2"/>
  <c r="ES226" i="2"/>
  <c r="ES227" i="2"/>
  <c r="ER385" i="2"/>
  <c r="ER472" i="2"/>
  <c r="FV472" i="2"/>
  <c r="GH472" i="2"/>
  <c r="FU473" i="2"/>
  <c r="GG473" i="2"/>
  <c r="EO386" i="2"/>
  <c r="GF386" i="2"/>
  <c r="EN577" i="2"/>
  <c r="FA577" i="2"/>
  <c r="GE577" i="2"/>
  <c r="GD100" i="2"/>
  <c r="GC101" i="2"/>
  <c r="FW207" i="2"/>
  <c r="ES5" i="2"/>
  <c r="ES23" i="2"/>
  <c r="GD27" i="2"/>
  <c r="FW31" i="2"/>
  <c r="FV33" i="2"/>
  <c r="GH33" i="2"/>
  <c r="FV620" i="2"/>
  <c r="GH620" i="2"/>
  <c r="FV332" i="2"/>
  <c r="GH332" i="2"/>
  <c r="GA333" i="2"/>
  <c r="EI334" i="2"/>
  <c r="EU334" i="2"/>
  <c r="GA334" i="2"/>
  <c r="EI335" i="2"/>
  <c r="EU335" i="2"/>
  <c r="GA335" i="2"/>
  <c r="EI336" i="2"/>
  <c r="EU336" i="2"/>
  <c r="FZ336" i="2"/>
  <c r="GM336" i="2"/>
  <c r="ET337" i="2"/>
  <c r="FZ337" i="2"/>
  <c r="GM337" i="2"/>
  <c r="ET338" i="2"/>
  <c r="FZ338" i="2"/>
  <c r="GM338" i="2"/>
  <c r="ET347" i="2"/>
  <c r="ES339" i="2"/>
  <c r="ES340" i="2"/>
  <c r="ER346" i="2"/>
  <c r="FV368" i="2"/>
  <c r="GH368" i="2"/>
  <c r="GA361" i="2"/>
  <c r="EI362" i="2"/>
  <c r="EU362" i="2"/>
  <c r="FZ362" i="2"/>
  <c r="GM362" i="2"/>
  <c r="ET363" i="2"/>
  <c r="FZ363" i="2"/>
  <c r="GM363" i="2"/>
  <c r="FU476" i="2"/>
  <c r="GG476" i="2"/>
  <c r="EO493" i="2"/>
  <c r="GE500" i="2"/>
  <c r="FW537" i="2"/>
  <c r="EQ538" i="2"/>
  <c r="GC518" i="2"/>
  <c r="EK539" i="2"/>
  <c r="GE541" i="2"/>
  <c r="GE583" i="2"/>
  <c r="EK526" i="2"/>
  <c r="EJ527" i="2"/>
  <c r="EV527" i="2"/>
  <c r="GA527" i="2"/>
  <c r="EI528" i="2"/>
  <c r="EU528" i="2"/>
  <c r="ES6" i="2"/>
  <c r="ER83" i="2"/>
  <c r="ER69" i="2"/>
  <c r="FW69" i="2"/>
  <c r="EQ123" i="2"/>
  <c r="FU123" i="2"/>
  <c r="GG123" i="2"/>
  <c r="GF124" i="2"/>
  <c r="FU93" i="2"/>
  <c r="GG93" i="2"/>
  <c r="GF96" i="2"/>
  <c r="EN130" i="2"/>
  <c r="FA130" i="2"/>
  <c r="GF130" i="2"/>
  <c r="EN98" i="2"/>
  <c r="FA98" i="2"/>
  <c r="GD98" i="2"/>
  <c r="GC115" i="2"/>
  <c r="EK99" i="2"/>
  <c r="EJ140" i="2"/>
  <c r="EV140" i="2"/>
  <c r="GA140" i="2"/>
  <c r="EI141" i="2"/>
  <c r="EU141" i="2"/>
  <c r="FZ141" i="2"/>
  <c r="GM141" i="2"/>
  <c r="ET142" i="2"/>
  <c r="FZ142" i="2"/>
  <c r="GM142" i="2"/>
  <c r="ET143" i="2"/>
  <c r="FZ144" i="2"/>
  <c r="GM144" i="2"/>
  <c r="ET226" i="2"/>
  <c r="FZ206" i="2"/>
  <c r="GM206" i="2"/>
  <c r="ET227" i="2"/>
  <c r="ES385" i="2"/>
  <c r="ES472" i="2"/>
  <c r="FW472" i="2"/>
  <c r="EQ473" i="2"/>
  <c r="FV473" i="2"/>
  <c r="GH473" i="2"/>
  <c r="FU386" i="2"/>
  <c r="GG386" i="2"/>
  <c r="GF577" i="2"/>
  <c r="EN100" i="2"/>
  <c r="FA100" i="2"/>
  <c r="GE100" i="2"/>
  <c r="GD101" i="2"/>
  <c r="FZ190" i="2"/>
  <c r="GM190" i="2"/>
  <c r="ET5" i="2"/>
  <c r="FZ5" i="2"/>
  <c r="GM5" i="2"/>
  <c r="ET23" i="2"/>
  <c r="GE27" i="2"/>
  <c r="ER33" i="2"/>
  <c r="FW33" i="2"/>
  <c r="EQ620" i="2"/>
  <c r="FW620" i="2"/>
  <c r="EQ332" i="2"/>
  <c r="FW332" i="2"/>
  <c r="EJ334" i="2"/>
  <c r="EV334" i="2"/>
  <c r="EJ335" i="2"/>
  <c r="EV335" i="2"/>
  <c r="EJ336" i="2"/>
  <c r="EV336" i="2"/>
  <c r="GA336" i="2"/>
  <c r="EI337" i="2"/>
  <c r="EU337" i="2"/>
  <c r="GA337" i="2"/>
  <c r="EI338" i="2"/>
  <c r="EU338" i="2"/>
  <c r="GA338" i="2"/>
  <c r="EI347" i="2"/>
  <c r="EU347" i="2"/>
  <c r="FZ347" i="2"/>
  <c r="GM347" i="2"/>
  <c r="ET339" i="2"/>
  <c r="FZ339" i="2"/>
  <c r="GM339" i="2"/>
  <c r="ET340" i="2"/>
  <c r="FZ340" i="2"/>
  <c r="GM340" i="2"/>
  <c r="ET341" i="2"/>
  <c r="ES346" i="2"/>
  <c r="ES368" i="2"/>
  <c r="FV358" i="2"/>
  <c r="GH358" i="2"/>
  <c r="FU369" i="2"/>
  <c r="GG369" i="2"/>
  <c r="FU475" i="2"/>
  <c r="GG475" i="2"/>
  <c r="EO476" i="2"/>
  <c r="FU494" i="2"/>
  <c r="GG494" i="2"/>
  <c r="GC497" i="2"/>
  <c r="EK498" i="2"/>
  <c r="FU499" i="2"/>
  <c r="GG499" i="2"/>
  <c r="GD530" i="2"/>
  <c r="FZ580" i="2"/>
  <c r="GM580" i="2"/>
  <c r="ET537" i="2"/>
  <c r="FW538" i="2"/>
  <c r="FZ515" i="2"/>
  <c r="GM515" i="2"/>
  <c r="ET516" i="2"/>
  <c r="GD517" i="2"/>
  <c r="FU631" i="2"/>
  <c r="GG631" i="2"/>
  <c r="EO582" i="2"/>
  <c r="GF582" i="2"/>
  <c r="EN540" i="2"/>
  <c r="FA540" i="2"/>
  <c r="GF540" i="2"/>
  <c r="EN541" i="2"/>
  <c r="FA541" i="2"/>
  <c r="GE584" i="2"/>
  <c r="GE585" i="2"/>
  <c r="GE586" i="2"/>
  <c r="GA255" i="2"/>
  <c r="GF35" i="2"/>
  <c r="EN36" i="2"/>
  <c r="FA36" i="2"/>
  <c r="FU623" i="2"/>
  <c r="GG623" i="2"/>
  <c r="EO520" i="2"/>
  <c r="GF520" i="2"/>
  <c r="EN521" i="2"/>
  <c r="FA521" i="2"/>
  <c r="GF521" i="2"/>
  <c r="FU576" i="2"/>
  <c r="GG576" i="2"/>
  <c r="EO627" i="2"/>
  <c r="GF627" i="2"/>
  <c r="EN628" i="2"/>
  <c r="FA628" i="2"/>
  <c r="GE628" i="2"/>
  <c r="GD629" i="2"/>
  <c r="FV459" i="2"/>
  <c r="GH459" i="2"/>
  <c r="FU522" i="2"/>
  <c r="GG522" i="2"/>
  <c r="EO523" i="2"/>
  <c r="GF523" i="2"/>
  <c r="EN524" i="2"/>
  <c r="FA524" i="2"/>
  <c r="GE524" i="2"/>
  <c r="GD525" i="2"/>
  <c r="GC526" i="2"/>
  <c r="EK527" i="2"/>
  <c r="EJ528" i="2"/>
  <c r="EV528" i="2"/>
  <c r="FZ528" i="2"/>
  <c r="GM528" i="2"/>
  <c r="ET6" i="2"/>
  <c r="ES83" i="2"/>
  <c r="ES69" i="2"/>
  <c r="ER123" i="2"/>
  <c r="FV123" i="2"/>
  <c r="GH123" i="2"/>
  <c r="FU124" i="2"/>
  <c r="GG124" i="2"/>
  <c r="FV93" i="2"/>
  <c r="GH93" i="2"/>
  <c r="FU96" i="2"/>
  <c r="GG96" i="2"/>
  <c r="EO130" i="2"/>
  <c r="FU130" i="2"/>
  <c r="GG130" i="2"/>
  <c r="EO98" i="2"/>
  <c r="GE98" i="2"/>
  <c r="GD115" i="2"/>
  <c r="GC99" i="2"/>
  <c r="GC139" i="2"/>
  <c r="EK140" i="2"/>
  <c r="EJ141" i="2"/>
  <c r="EV141" i="2"/>
  <c r="GA141" i="2"/>
  <c r="EI142" i="2"/>
  <c r="EU142" i="2"/>
  <c r="GA142" i="2"/>
  <c r="EI143" i="2"/>
  <c r="EU143" i="2"/>
  <c r="FZ143" i="2"/>
  <c r="GM143" i="2"/>
  <c r="GA144" i="2"/>
  <c r="EI226" i="2"/>
  <c r="EU226" i="2"/>
  <c r="FZ226" i="2"/>
  <c r="GM226" i="2"/>
  <c r="GA206" i="2"/>
  <c r="EI227" i="2"/>
  <c r="EU227" i="2"/>
  <c r="FZ227" i="2"/>
  <c r="GM227" i="2"/>
  <c r="ET385" i="2"/>
  <c r="FZ385" i="2"/>
  <c r="GM385" i="2"/>
  <c r="ET472" i="2"/>
  <c r="ER473" i="2"/>
  <c r="FW473" i="2"/>
  <c r="EQ386" i="2"/>
  <c r="FV386" i="2"/>
  <c r="GH386" i="2"/>
  <c r="FU577" i="2"/>
  <c r="GG577" i="2"/>
  <c r="EO100" i="2"/>
  <c r="GF100" i="2"/>
  <c r="EN101" i="2"/>
  <c r="FA101" i="2"/>
  <c r="GE101" i="2"/>
  <c r="GA190" i="2"/>
  <c r="EI5" i="2"/>
  <c r="EU5" i="2"/>
  <c r="GA5" i="2"/>
  <c r="EI23" i="2"/>
  <c r="EU23" i="2"/>
  <c r="FZ23" i="2"/>
  <c r="GM23" i="2"/>
  <c r="GF27" i="2"/>
  <c r="ES33" i="2"/>
  <c r="ER620" i="2"/>
  <c r="ER332" i="2"/>
  <c r="GC333" i="2"/>
  <c r="EK334" i="2"/>
  <c r="GC334" i="2"/>
  <c r="EK335" i="2"/>
  <c r="GC335" i="2"/>
  <c r="EK336" i="2"/>
  <c r="EJ337" i="2"/>
  <c r="EV337" i="2"/>
  <c r="EJ338" i="2"/>
  <c r="EV338" i="2"/>
  <c r="EJ347" i="2"/>
  <c r="EV347" i="2"/>
  <c r="GA347" i="2"/>
  <c r="EI339" i="2"/>
  <c r="EU339" i="2"/>
  <c r="GA339" i="2"/>
  <c r="EI340" i="2"/>
  <c r="EU340" i="2"/>
  <c r="GA340" i="2"/>
  <c r="EI341" i="2"/>
  <c r="EU341" i="2"/>
  <c r="FZ346" i="2"/>
  <c r="GM346" i="2"/>
  <c r="ET367" i="2"/>
  <c r="ER357" i="2"/>
  <c r="FW357" i="2"/>
  <c r="EQ358" i="2"/>
  <c r="FV372" i="2"/>
  <c r="GH372" i="2"/>
  <c r="FV493" i="2"/>
  <c r="GH493" i="2"/>
  <c r="GF529" i="2"/>
  <c r="EN578" i="2"/>
  <c r="FA578" i="2"/>
  <c r="GE578" i="2"/>
  <c r="GA536" i="2"/>
  <c r="EI580" i="2"/>
  <c r="EU580" i="2"/>
  <c r="EJ515" i="2"/>
  <c r="EV515" i="2"/>
  <c r="GF570" i="2"/>
  <c r="EN584" i="2"/>
  <c r="FA584" i="2"/>
  <c r="EJ255" i="2"/>
  <c r="EV255" i="2"/>
  <c r="FV623" i="2"/>
  <c r="GH623" i="2"/>
  <c r="FU520" i="2"/>
  <c r="GG520" i="2"/>
  <c r="EO521" i="2"/>
  <c r="FU521" i="2"/>
  <c r="GG521" i="2"/>
  <c r="FV576" i="2"/>
  <c r="GH576" i="2"/>
  <c r="FU627" i="2"/>
  <c r="GG627" i="2"/>
  <c r="EO628" i="2"/>
  <c r="GF628" i="2"/>
  <c r="EN629" i="2"/>
  <c r="FA629" i="2"/>
  <c r="GE629" i="2"/>
  <c r="EQ459" i="2"/>
  <c r="FW459" i="2"/>
  <c r="EQ522" i="2"/>
  <c r="FV522" i="2"/>
  <c r="GH522" i="2"/>
  <c r="FU523" i="2"/>
  <c r="GG523" i="2"/>
  <c r="EO524" i="2"/>
  <c r="GF524" i="2"/>
  <c r="EN525" i="2"/>
  <c r="FA525" i="2"/>
  <c r="GE525" i="2"/>
  <c r="GD526" i="2"/>
  <c r="GC527" i="2"/>
  <c r="EK528" i="2"/>
  <c r="GA528" i="2"/>
  <c r="EI6" i="2"/>
  <c r="EU6" i="2"/>
  <c r="FZ6" i="2"/>
  <c r="GM6" i="2"/>
  <c r="ET83" i="2"/>
  <c r="FZ83" i="2"/>
  <c r="GM83" i="2"/>
  <c r="ET69" i="2"/>
  <c r="ES123" i="2"/>
  <c r="FW123" i="2"/>
  <c r="EQ124" i="2"/>
  <c r="FV124" i="2"/>
  <c r="GH124" i="2"/>
  <c r="FW93" i="2"/>
  <c r="FV96" i="2"/>
  <c r="GH96" i="2"/>
  <c r="FV130" i="2"/>
  <c r="GH130" i="2"/>
  <c r="GF98" i="2"/>
  <c r="EN115" i="2"/>
  <c r="FA115" i="2"/>
  <c r="GE115" i="2"/>
  <c r="GD99" i="2"/>
  <c r="GD139" i="2"/>
  <c r="GC140" i="2"/>
  <c r="EK141" i="2"/>
  <c r="EJ142" i="2"/>
  <c r="EV142" i="2"/>
  <c r="EJ143" i="2"/>
  <c r="EV143" i="2"/>
  <c r="GA143" i="2"/>
  <c r="EJ226" i="2"/>
  <c r="EV226" i="2"/>
  <c r="GA226" i="2"/>
  <c r="EJ227" i="2"/>
  <c r="EV227" i="2"/>
  <c r="GA227" i="2"/>
  <c r="EI385" i="2"/>
  <c r="EU385" i="2"/>
  <c r="GA385" i="2"/>
  <c r="EI472" i="2"/>
  <c r="EU472" i="2"/>
  <c r="ES473" i="2"/>
  <c r="ER386" i="2"/>
  <c r="FW386" i="2"/>
  <c r="EQ577" i="2"/>
  <c r="FV577" i="2"/>
  <c r="GH577" i="2"/>
  <c r="FU100" i="2"/>
  <c r="GG100" i="2"/>
  <c r="GF101" i="2"/>
  <c r="FZ207" i="2"/>
  <c r="GM207" i="2"/>
  <c r="EJ5" i="2"/>
  <c r="EV5" i="2"/>
  <c r="EJ23" i="2"/>
  <c r="EV23" i="2"/>
  <c r="GA23" i="2"/>
  <c r="FU27" i="2"/>
  <c r="GG27" i="2"/>
  <c r="FZ31" i="2"/>
  <c r="GM31" i="2"/>
  <c r="ET33" i="2"/>
  <c r="ES620" i="2"/>
  <c r="ES332" i="2"/>
  <c r="GD333" i="2"/>
  <c r="GD334" i="2"/>
  <c r="GD335" i="2"/>
  <c r="GC336" i="2"/>
  <c r="EK337" i="2"/>
  <c r="GC337" i="2"/>
  <c r="EK338" i="2"/>
  <c r="GC338" i="2"/>
  <c r="EK347" i="2"/>
  <c r="EJ339" i="2"/>
  <c r="EV339" i="2"/>
  <c r="EJ340" i="2"/>
  <c r="ES370" i="2"/>
  <c r="ET360" i="2"/>
  <c r="FW371" i="2"/>
  <c r="EQ372" i="2"/>
  <c r="ER493" i="2"/>
  <c r="GE498" i="2"/>
  <c r="FV500" i="2"/>
  <c r="GH500" i="2"/>
  <c r="FZ537" i="2"/>
  <c r="GM537" i="2"/>
  <c r="ET538" i="2"/>
  <c r="FV541" i="2"/>
  <c r="GH541" i="2"/>
  <c r="FV583" i="2"/>
  <c r="GH583" i="2"/>
  <c r="GD131" i="2"/>
  <c r="GC461" i="2"/>
  <c r="EK241" i="2"/>
  <c r="GC241" i="2"/>
  <c r="EK242" i="2"/>
  <c r="GC242" i="2"/>
  <c r="EK251" i="2"/>
  <c r="GE9" i="2"/>
  <c r="FW623" i="2"/>
  <c r="EQ520" i="2"/>
  <c r="FV520" i="2"/>
  <c r="GH520" i="2"/>
  <c r="FV521" i="2"/>
  <c r="GH521" i="2"/>
  <c r="FW576" i="2"/>
  <c r="EQ627" i="2"/>
  <c r="FV627" i="2"/>
  <c r="GH627" i="2"/>
  <c r="FU628" i="2"/>
  <c r="GG628" i="2"/>
  <c r="EO629" i="2"/>
  <c r="GF629" i="2"/>
  <c r="ER459" i="2"/>
  <c r="ER522" i="2"/>
  <c r="FW522" i="2"/>
  <c r="EQ523" i="2"/>
  <c r="FV523" i="2"/>
  <c r="GH523" i="2"/>
  <c r="FU524" i="2"/>
  <c r="GG524" i="2"/>
  <c r="EO525" i="2"/>
  <c r="GF525" i="2"/>
  <c r="EN526" i="2"/>
  <c r="FA526" i="2"/>
  <c r="GE526" i="2"/>
  <c r="GD527" i="2"/>
  <c r="EJ6" i="2"/>
  <c r="EV6" i="2"/>
  <c r="GA6" i="2"/>
  <c r="EI83" i="2"/>
  <c r="EU83" i="2"/>
  <c r="GA83" i="2"/>
  <c r="EI69" i="2"/>
  <c r="EU69" i="2"/>
  <c r="FZ69" i="2"/>
  <c r="GM69" i="2"/>
  <c r="ET123" i="2"/>
  <c r="ER124" i="2"/>
  <c r="FW124" i="2"/>
  <c r="FW96" i="2"/>
  <c r="EQ130" i="2"/>
  <c r="FW130" i="2"/>
  <c r="FU98" i="2"/>
  <c r="GG98" i="2"/>
  <c r="EO115" i="2"/>
  <c r="GF115" i="2"/>
  <c r="EN99" i="2"/>
  <c r="FA99" i="2"/>
  <c r="GE99" i="2"/>
  <c r="GE139" i="2"/>
  <c r="GD140" i="2"/>
  <c r="GC141" i="2"/>
  <c r="EK142" i="2"/>
  <c r="GC142" i="2"/>
  <c r="EK143" i="2"/>
  <c r="GC144" i="2"/>
  <c r="EK226" i="2"/>
  <c r="GC206" i="2"/>
  <c r="EK227" i="2"/>
  <c r="EJ385" i="2"/>
  <c r="EV385" i="2"/>
  <c r="EJ472" i="2"/>
  <c r="EV472" i="2"/>
  <c r="FZ472" i="2"/>
  <c r="GM472" i="2"/>
  <c r="ET473" i="2"/>
  <c r="ES386" i="2"/>
  <c r="ER577" i="2"/>
  <c r="FW577" i="2"/>
  <c r="EQ100" i="2"/>
  <c r="FV100" i="2"/>
  <c r="GH100" i="2"/>
  <c r="FU101" i="2"/>
  <c r="GG101" i="2"/>
  <c r="GA207" i="2"/>
  <c r="GC190" i="2"/>
  <c r="EK5" i="2"/>
  <c r="GC5" i="2"/>
  <c r="EK23" i="2"/>
  <c r="FV27" i="2"/>
  <c r="GH27" i="2"/>
  <c r="GA31" i="2"/>
  <c r="EI33" i="2"/>
  <c r="EU33" i="2"/>
  <c r="FZ33" i="2"/>
  <c r="GM33" i="2"/>
  <c r="ET620" i="2"/>
  <c r="FZ620" i="2"/>
  <c r="GM620" i="2"/>
  <c r="ET332" i="2"/>
  <c r="FZ332" i="2"/>
  <c r="GM332" i="2"/>
  <c r="GE333" i="2"/>
  <c r="GE334" i="2"/>
  <c r="GE335" i="2"/>
  <c r="GD336" i="2"/>
  <c r="GD337" i="2"/>
  <c r="GD338" i="2"/>
  <c r="GC347" i="2"/>
  <c r="EK339" i="2"/>
  <c r="GC339" i="2"/>
  <c r="EK340" i="2"/>
  <c r="EJ346" i="2"/>
  <c r="EV346" i="2"/>
  <c r="EJ368" i="2"/>
  <c r="EV368" i="2"/>
  <c r="FU364" i="2"/>
  <c r="GG364" i="2"/>
  <c r="EO365" i="2"/>
  <c r="FU365" i="2"/>
  <c r="GG365" i="2"/>
  <c r="EO366" i="2"/>
  <c r="GF366" i="2"/>
  <c r="EN474" i="2"/>
  <c r="FA474" i="2"/>
  <c r="GF474" i="2"/>
  <c r="EN460" i="2"/>
  <c r="FA460" i="2"/>
  <c r="GF460" i="2"/>
  <c r="GF497" i="2"/>
  <c r="EN498" i="2"/>
  <c r="FA498" i="2"/>
  <c r="ER500" i="2"/>
  <c r="GD534" i="2"/>
  <c r="GC535" i="2"/>
  <c r="EK536" i="2"/>
  <c r="GC580" i="2"/>
  <c r="EK537" i="2"/>
  <c r="ER582" i="2"/>
  <c r="FW582" i="2"/>
  <c r="EQ540" i="2"/>
  <c r="FW540" i="2"/>
  <c r="EQ541" i="2"/>
  <c r="FU7" i="2"/>
  <c r="GG7" i="2"/>
  <c r="EO8" i="2"/>
  <c r="ER520" i="2"/>
  <c r="FW520" i="2"/>
  <c r="EQ521" i="2"/>
  <c r="FW521" i="2"/>
  <c r="ER627" i="2"/>
  <c r="FW627" i="2"/>
  <c r="EQ628" i="2"/>
  <c r="FV628" i="2"/>
  <c r="GH628" i="2"/>
  <c r="FU629" i="2"/>
  <c r="GG629" i="2"/>
  <c r="ES459" i="2"/>
  <c r="ES522" i="2"/>
  <c r="ER523" i="2"/>
  <c r="FW523" i="2"/>
  <c r="EQ524" i="2"/>
  <c r="FV524" i="2"/>
  <c r="GH524" i="2"/>
  <c r="FU525" i="2"/>
  <c r="GG525" i="2"/>
  <c r="EO526" i="2"/>
  <c r="GF526" i="2"/>
  <c r="EN527" i="2"/>
  <c r="FA527" i="2"/>
  <c r="GE527" i="2"/>
  <c r="GC528" i="2"/>
  <c r="EK6" i="2"/>
  <c r="EJ83" i="2"/>
  <c r="EV83" i="2"/>
  <c r="EJ69" i="2"/>
  <c r="EV69" i="2"/>
  <c r="GA69" i="2"/>
  <c r="EI123" i="2"/>
  <c r="EU123" i="2"/>
  <c r="ES124" i="2"/>
  <c r="ER130" i="2"/>
  <c r="ER98" i="2"/>
  <c r="FV98" i="2"/>
  <c r="GH98" i="2"/>
  <c r="FU115" i="2"/>
  <c r="GG115" i="2"/>
  <c r="EO99" i="2"/>
  <c r="GF99" i="2"/>
  <c r="GF139" i="2"/>
  <c r="EN140" i="2"/>
  <c r="FA140" i="2"/>
  <c r="GE140" i="2"/>
  <c r="GD141" i="2"/>
  <c r="GD142" i="2"/>
  <c r="GC143" i="2"/>
  <c r="GD144" i="2"/>
  <c r="GC226" i="2"/>
  <c r="GD206" i="2"/>
  <c r="GC227" i="2"/>
  <c r="EK385" i="2"/>
  <c r="GC385" i="2"/>
  <c r="EK472" i="2"/>
  <c r="GA472" i="2"/>
  <c r="EI473" i="2"/>
  <c r="EU473" i="2"/>
  <c r="FZ473" i="2"/>
  <c r="GM473" i="2"/>
  <c r="ET386" i="2"/>
  <c r="ES577" i="2"/>
  <c r="ER100" i="2"/>
  <c r="FW100" i="2"/>
  <c r="EQ101" i="2"/>
  <c r="FV101" i="2"/>
  <c r="GH101" i="2"/>
  <c r="GD190" i="2"/>
  <c r="GD5" i="2"/>
  <c r="GC23" i="2"/>
  <c r="FW27" i="2"/>
  <c r="EJ33" i="2"/>
  <c r="EV33" i="2"/>
  <c r="GA33" i="2"/>
  <c r="EI620" i="2"/>
  <c r="EU620" i="2"/>
  <c r="GA620" i="2"/>
  <c r="EI332" i="2"/>
  <c r="EU332" i="2"/>
  <c r="GA332" i="2"/>
  <c r="GF333" i="2"/>
  <c r="EN334" i="2"/>
  <c r="FA334" i="2"/>
  <c r="GF334" i="2"/>
  <c r="EN335" i="2"/>
  <c r="FA335" i="2"/>
  <c r="GF335" i="2"/>
  <c r="EN336" i="2"/>
  <c r="FA336" i="2"/>
  <c r="GE336" i="2"/>
  <c r="GE337" i="2"/>
  <c r="GE338" i="2"/>
  <c r="GD347" i="2"/>
  <c r="GD339" i="2"/>
  <c r="GD340" i="2"/>
  <c r="GC346" i="2"/>
  <c r="EK367" i="2"/>
  <c r="ES475" i="2"/>
  <c r="GE533" i="2"/>
  <c r="GD536" i="2"/>
  <c r="FV589" i="2"/>
  <c r="GH589" i="2"/>
  <c r="ER258" i="2"/>
  <c r="FW258" i="2"/>
  <c r="EQ259" i="2"/>
  <c r="ES520" i="2"/>
  <c r="ER521" i="2"/>
  <c r="ES627" i="2"/>
  <c r="ER628" i="2"/>
  <c r="FW628" i="2"/>
  <c r="EQ629" i="2"/>
  <c r="FV629" i="2"/>
  <c r="GH629" i="2"/>
  <c r="ET459" i="2"/>
  <c r="FZ459" i="2"/>
  <c r="GM459" i="2"/>
  <c r="ET522" i="2"/>
  <c r="ES523" i="2"/>
  <c r="ER524" i="2"/>
  <c r="FW524" i="2"/>
  <c r="EQ525" i="2"/>
  <c r="FV525" i="2"/>
  <c r="GH525" i="2"/>
  <c r="FU526" i="2"/>
  <c r="GG526" i="2"/>
  <c r="GF527" i="2"/>
  <c r="EN528" i="2"/>
  <c r="FA528" i="2"/>
  <c r="GD528" i="2"/>
  <c r="GC6" i="2"/>
  <c r="EK83" i="2"/>
  <c r="GC83" i="2"/>
  <c r="EK69" i="2"/>
  <c r="EJ123" i="2"/>
  <c r="EV123" i="2"/>
  <c r="FZ123" i="2"/>
  <c r="GM123" i="2"/>
  <c r="ET124" i="2"/>
  <c r="FZ93" i="2"/>
  <c r="GM93" i="2"/>
  <c r="ES130" i="2"/>
  <c r="ES98" i="2"/>
  <c r="FW98" i="2"/>
  <c r="FV115" i="2"/>
  <c r="GH115" i="2"/>
  <c r="FU99" i="2"/>
  <c r="GG99" i="2"/>
  <c r="FU139" i="2"/>
  <c r="GG139" i="2"/>
  <c r="EO140" i="2"/>
  <c r="GF140" i="2"/>
  <c r="EN141" i="2"/>
  <c r="FA141" i="2"/>
  <c r="GE141" i="2"/>
  <c r="GE142" i="2"/>
  <c r="GD143" i="2"/>
  <c r="GE144" i="2"/>
  <c r="GD226" i="2"/>
  <c r="GE206" i="2"/>
  <c r="GD227" i="2"/>
  <c r="GD385" i="2"/>
  <c r="EJ473" i="2"/>
  <c r="EV473" i="2"/>
  <c r="GA473" i="2"/>
  <c r="EI386" i="2"/>
  <c r="EU386" i="2"/>
  <c r="FZ386" i="2"/>
  <c r="GM386" i="2"/>
  <c r="ET577" i="2"/>
  <c r="ES100" i="2"/>
  <c r="ER101" i="2"/>
  <c r="FW101" i="2"/>
  <c r="GC207" i="2"/>
  <c r="GE190" i="2"/>
  <c r="GE5" i="2"/>
  <c r="GD23" i="2"/>
  <c r="GC31" i="2"/>
  <c r="EK33" i="2"/>
  <c r="EJ620" i="2"/>
  <c r="EV620" i="2"/>
  <c r="EJ332" i="2"/>
  <c r="EV332" i="2"/>
  <c r="FU333" i="2"/>
  <c r="GG333" i="2"/>
  <c r="EO334" i="2"/>
  <c r="FU334" i="2"/>
  <c r="GG334" i="2"/>
  <c r="EO335" i="2"/>
  <c r="FU335" i="2"/>
  <c r="GG335" i="2"/>
  <c r="EO336" i="2"/>
  <c r="GF336" i="2"/>
  <c r="EN337" i="2"/>
  <c r="FA337" i="2"/>
  <c r="GF337" i="2"/>
  <c r="EN338" i="2"/>
  <c r="FA338" i="2"/>
  <c r="GF338" i="2"/>
  <c r="EN347" i="2"/>
  <c r="FA347" i="2"/>
  <c r="GE347" i="2"/>
  <c r="GE339" i="2"/>
  <c r="GA358" i="2"/>
  <c r="FZ369" i="2"/>
  <c r="GM369" i="2"/>
  <c r="FZ371" i="2"/>
  <c r="GM371" i="2"/>
  <c r="ET372" i="2"/>
  <c r="GF579" i="2"/>
  <c r="EN533" i="2"/>
  <c r="FA533" i="2"/>
  <c r="FV630" i="2"/>
  <c r="GH630" i="2"/>
  <c r="FW588" i="2"/>
  <c r="EQ589" i="2"/>
  <c r="FU131" i="2"/>
  <c r="GG131" i="2"/>
  <c r="EO461" i="2"/>
  <c r="GF461" i="2"/>
  <c r="EN241" i="2"/>
  <c r="FA241" i="2"/>
  <c r="GF241" i="2"/>
  <c r="EN242" i="2"/>
  <c r="FA242" i="2"/>
  <c r="GF242" i="2"/>
  <c r="EN251" i="2"/>
  <c r="FA251" i="2"/>
  <c r="FU13" i="2"/>
  <c r="EQ526" i="2"/>
  <c r="FV526" i="2"/>
  <c r="GH526" i="2"/>
  <c r="FU527" i="2"/>
  <c r="GG527" i="2"/>
  <c r="EO528" i="2"/>
  <c r="GE528" i="2"/>
  <c r="GD6" i="2"/>
  <c r="GD83" i="2"/>
  <c r="GC69" i="2"/>
  <c r="EK123" i="2"/>
  <c r="GA123" i="2"/>
  <c r="EI124" i="2"/>
  <c r="EU124" i="2"/>
  <c r="FZ124" i="2"/>
  <c r="GM124" i="2"/>
  <c r="GA93" i="2"/>
  <c r="FZ96" i="2"/>
  <c r="GM96" i="2"/>
  <c r="ET130" i="2"/>
  <c r="FZ130" i="2"/>
  <c r="GM130" i="2"/>
  <c r="ET98" i="2"/>
  <c r="ER115" i="2"/>
  <c r="FW115" i="2"/>
  <c r="FV99" i="2"/>
  <c r="GH99" i="2"/>
  <c r="FV139" i="2"/>
  <c r="GH139" i="2"/>
  <c r="FU140" i="2"/>
  <c r="GG140" i="2"/>
  <c r="EO141" i="2"/>
  <c r="GF141" i="2"/>
  <c r="EN142" i="2"/>
  <c r="FA142" i="2"/>
  <c r="GF142" i="2"/>
  <c r="EN143" i="2"/>
  <c r="FA143" i="2"/>
  <c r="GE143" i="2"/>
  <c r="GF144" i="2"/>
  <c r="EN226" i="2"/>
  <c r="FA226" i="2"/>
  <c r="GE226" i="2"/>
  <c r="GF206" i="2"/>
  <c r="EN227" i="2"/>
  <c r="FA227" i="2"/>
  <c r="GE227" i="2"/>
  <c r="GE385" i="2"/>
  <c r="GC472" i="2"/>
  <c r="EK473" i="2"/>
  <c r="EJ386" i="2"/>
  <c r="EV386" i="2"/>
  <c r="GA386" i="2"/>
  <c r="EI577" i="2"/>
  <c r="EU577" i="2"/>
  <c r="FZ577" i="2"/>
  <c r="GM577" i="2"/>
  <c r="ET100" i="2"/>
  <c r="ES101" i="2"/>
  <c r="GD207" i="2"/>
  <c r="GF190" i="2"/>
  <c r="EN5" i="2"/>
  <c r="FA5" i="2"/>
  <c r="GF5" i="2"/>
  <c r="EN23" i="2"/>
  <c r="FA23" i="2"/>
  <c r="GE23" i="2"/>
  <c r="GD31" i="2"/>
  <c r="GC33" i="2"/>
  <c r="EK620" i="2"/>
  <c r="GC620" i="2"/>
  <c r="EK332" i="2"/>
  <c r="GC332" i="2"/>
  <c r="FV333" i="2"/>
  <c r="GH333" i="2"/>
  <c r="FV334" i="2"/>
  <c r="GH334" i="2"/>
  <c r="FV335" i="2"/>
  <c r="GH335" i="2"/>
  <c r="FU336" i="2"/>
  <c r="GG336" i="2"/>
  <c r="EO337" i="2"/>
  <c r="FU337" i="2"/>
  <c r="GG337" i="2"/>
  <c r="EO338" i="2"/>
  <c r="FU338" i="2"/>
  <c r="GG338" i="2"/>
  <c r="EO347" i="2"/>
  <c r="GF347" i="2"/>
  <c r="EN339" i="2"/>
  <c r="FA339" i="2"/>
  <c r="GF339" i="2"/>
  <c r="EN340" i="2"/>
  <c r="GE341" i="2"/>
  <c r="GC370" i="2"/>
  <c r="EK357" i="2"/>
  <c r="EJ358" i="2"/>
  <c r="EV358" i="2"/>
  <c r="GA369" i="2"/>
  <c r="EQ364" i="2"/>
  <c r="ER365" i="2"/>
  <c r="ER366" i="2"/>
  <c r="FW366" i="2"/>
  <c r="EQ474" i="2"/>
  <c r="FW474" i="2"/>
  <c r="EQ460" i="2"/>
  <c r="FW460" i="2"/>
  <c r="FV532" i="2"/>
  <c r="GH532" i="2"/>
  <c r="FU534" i="2"/>
  <c r="GG534" i="2"/>
  <c r="EO535" i="2"/>
  <c r="GF535" i="2"/>
  <c r="EN536" i="2"/>
  <c r="FA536" i="2"/>
  <c r="FW581" i="2"/>
  <c r="EQ630" i="2"/>
  <c r="ES573" i="2"/>
  <c r="ES587" i="2"/>
  <c r="ES588" i="2"/>
  <c r="ER129" i="2"/>
  <c r="ER8" i="2"/>
  <c r="EV623" i="2"/>
  <c r="GA623" i="2"/>
  <c r="EI520" i="2"/>
  <c r="EU520" i="2"/>
  <c r="FZ520" i="2"/>
  <c r="GM520" i="2"/>
  <c r="ET521" i="2"/>
  <c r="FZ521" i="2"/>
  <c r="GM521" i="2"/>
  <c r="GA576" i="2"/>
  <c r="EI627" i="2"/>
  <c r="EU627" i="2"/>
  <c r="FZ627" i="2"/>
  <c r="GM627" i="2"/>
  <c r="ET628" i="2"/>
  <c r="ES629" i="2"/>
  <c r="EJ459" i="2"/>
  <c r="EV459" i="2"/>
  <c r="EJ522" i="2"/>
  <c r="EV522" i="2"/>
  <c r="GA522" i="2"/>
  <c r="EI523" i="2"/>
  <c r="EU523" i="2"/>
  <c r="FZ523" i="2"/>
  <c r="GM523" i="2"/>
  <c r="ET524" i="2"/>
  <c r="ES525" i="2"/>
  <c r="ER526" i="2"/>
  <c r="FW526" i="2"/>
  <c r="EQ527" i="2"/>
  <c r="FV527" i="2"/>
  <c r="GH527" i="2"/>
  <c r="GF528" i="2"/>
  <c r="EN6" i="2"/>
  <c r="FA6" i="2"/>
  <c r="GE6" i="2"/>
  <c r="GE83" i="2"/>
  <c r="GD69" i="2"/>
  <c r="EJ124" i="2"/>
  <c r="EV124" i="2"/>
  <c r="GA124" i="2"/>
  <c r="GA96" i="2"/>
  <c r="EI130" i="2"/>
  <c r="EU130" i="2"/>
  <c r="GA130" i="2"/>
  <c r="EU98" i="2"/>
  <c r="ES115" i="2"/>
  <c r="ER99" i="2"/>
  <c r="FW99" i="2"/>
  <c r="FW139" i="2"/>
  <c r="FV140" i="2"/>
  <c r="GH140" i="2"/>
  <c r="FU141" i="2"/>
  <c r="GG141" i="2"/>
  <c r="EO142" i="2"/>
  <c r="FU142" i="2"/>
  <c r="GG142" i="2"/>
  <c r="EO143" i="2"/>
  <c r="GF143" i="2"/>
  <c r="FU144" i="2"/>
  <c r="GG144" i="2"/>
  <c r="GF226" i="2"/>
  <c r="FU206" i="2"/>
  <c r="GG206" i="2"/>
  <c r="EO227" i="2"/>
  <c r="GF227" i="2"/>
  <c r="EN385" i="2"/>
  <c r="FA385" i="2"/>
  <c r="GF385" i="2"/>
  <c r="EN472" i="2"/>
  <c r="FA472" i="2"/>
  <c r="GD472" i="2"/>
  <c r="GC473" i="2"/>
  <c r="EK386" i="2"/>
  <c r="EJ577" i="2"/>
  <c r="EV577" i="2"/>
  <c r="GA577" i="2"/>
  <c r="EI100" i="2"/>
  <c r="EU100" i="2"/>
  <c r="FZ100" i="2"/>
  <c r="GM100" i="2"/>
  <c r="ET101" i="2"/>
  <c r="GE207" i="2"/>
  <c r="FU190" i="2"/>
  <c r="GG190" i="2"/>
  <c r="EO5" i="2"/>
  <c r="FU5" i="2"/>
  <c r="GG5" i="2"/>
  <c r="EO23" i="2"/>
  <c r="GF23" i="2"/>
  <c r="FZ27" i="2"/>
  <c r="GM27" i="2"/>
  <c r="GE31" i="2"/>
  <c r="GD33" i="2"/>
  <c r="GD620" i="2"/>
  <c r="GD332" i="2"/>
  <c r="FW333" i="2"/>
  <c r="EQ334" i="2"/>
  <c r="FW334" i="2"/>
  <c r="EQ335" i="2"/>
  <c r="FW335" i="2"/>
  <c r="FV336" i="2"/>
  <c r="GH336" i="2"/>
  <c r="FV337" i="2"/>
  <c r="GH337" i="2"/>
  <c r="FV338" i="2"/>
  <c r="GH338" i="2"/>
  <c r="FU347" i="2"/>
  <c r="GG347" i="2"/>
  <c r="EO339" i="2"/>
  <c r="FU339" i="2"/>
  <c r="GG339" i="2"/>
  <c r="EO340" i="2"/>
  <c r="FU340" i="2"/>
  <c r="GG340" i="2"/>
  <c r="EO341" i="2"/>
  <c r="GD368" i="2"/>
  <c r="GD370" i="2"/>
  <c r="GC357" i="2"/>
  <c r="EK358" i="2"/>
  <c r="ET364" i="2"/>
  <c r="ES532" i="2"/>
  <c r="FV533" i="2"/>
  <c r="GH533" i="2"/>
  <c r="ER581" i="2"/>
  <c r="FZ571" i="2"/>
  <c r="GM571" i="2"/>
  <c r="ET572" i="2"/>
  <c r="ES574" i="2"/>
  <c r="EJ520" i="2"/>
  <c r="EV520" i="2"/>
  <c r="GA520" i="2"/>
  <c r="EI521" i="2"/>
  <c r="EU521" i="2"/>
  <c r="GA521" i="2"/>
  <c r="EJ627" i="2"/>
  <c r="EV627" i="2"/>
  <c r="GA627" i="2"/>
  <c r="EI628" i="2"/>
  <c r="EU628" i="2"/>
  <c r="FZ628" i="2"/>
  <c r="GM628" i="2"/>
  <c r="ET629" i="2"/>
  <c r="EK459" i="2"/>
  <c r="GC459" i="2"/>
  <c r="EK522" i="2"/>
  <c r="EJ523" i="2"/>
  <c r="EV523" i="2"/>
  <c r="GA523" i="2"/>
  <c r="EI524" i="2"/>
  <c r="EU524" i="2"/>
  <c r="FZ524" i="2"/>
  <c r="GM524" i="2"/>
  <c r="ET525" i="2"/>
  <c r="ES526" i="2"/>
  <c r="ER527" i="2"/>
  <c r="FW527" i="2"/>
  <c r="EQ528" i="2"/>
  <c r="FU528" i="2"/>
  <c r="GG528" i="2"/>
  <c r="GF6" i="2"/>
  <c r="EN83" i="2"/>
  <c r="FA83" i="2"/>
  <c r="GF83" i="2"/>
  <c r="EN69" i="2"/>
  <c r="FA69" i="2"/>
  <c r="GE69" i="2"/>
  <c r="GC123" i="2"/>
  <c r="EK124" i="2"/>
  <c r="GC93" i="2"/>
  <c r="EJ130" i="2"/>
  <c r="EV130" i="2"/>
  <c r="EJ98" i="2"/>
  <c r="EV98" i="2"/>
  <c r="FZ98" i="2"/>
  <c r="GM98" i="2"/>
  <c r="ET115" i="2"/>
  <c r="ES99" i="2"/>
  <c r="ER140" i="2"/>
  <c r="FW140" i="2"/>
  <c r="FV141" i="2"/>
  <c r="GH141" i="2"/>
  <c r="FV142" i="2"/>
  <c r="GH142" i="2"/>
  <c r="FU143" i="2"/>
  <c r="GG143" i="2"/>
  <c r="FV144" i="2"/>
  <c r="GH144" i="2"/>
  <c r="FU226" i="2"/>
  <c r="GG226" i="2"/>
  <c r="FV206" i="2"/>
  <c r="GH206" i="2"/>
  <c r="FU227" i="2"/>
  <c r="GG227" i="2"/>
  <c r="EO385" i="2"/>
  <c r="FU385" i="2"/>
  <c r="GG385" i="2"/>
  <c r="GE472" i="2"/>
  <c r="GD473" i="2"/>
  <c r="GC386" i="2"/>
  <c r="EK577" i="2"/>
  <c r="EJ100" i="2"/>
  <c r="EV100" i="2"/>
  <c r="GA100" i="2"/>
  <c r="EI101" i="2"/>
  <c r="EU101" i="2"/>
  <c r="FZ101" i="2"/>
  <c r="GM101" i="2"/>
  <c r="GF207" i="2"/>
  <c r="FV190" i="2"/>
  <c r="GH190" i="2"/>
  <c r="FV5" i="2"/>
  <c r="GH5" i="2"/>
  <c r="FU23" i="2"/>
  <c r="GG23" i="2"/>
  <c r="GA27" i="2"/>
  <c r="GF31" i="2"/>
  <c r="EN33" i="2"/>
  <c r="FA33" i="2"/>
  <c r="GE33" i="2"/>
  <c r="GE620" i="2"/>
  <c r="GE332" i="2"/>
  <c r="ER334" i="2"/>
  <c r="ER335" i="2"/>
  <c r="ER336" i="2"/>
  <c r="FW336" i="2"/>
  <c r="EQ337" i="2"/>
  <c r="FW337" i="2"/>
  <c r="EQ338" i="2"/>
  <c r="FW338" i="2"/>
  <c r="FV347" i="2"/>
  <c r="GH347" i="2"/>
  <c r="FV339" i="2"/>
  <c r="GH339" i="2"/>
  <c r="FU367" i="2"/>
  <c r="GG367" i="2"/>
  <c r="GE368" i="2"/>
  <c r="ER362" i="2"/>
  <c r="FW362" i="2"/>
  <c r="EQ363" i="2"/>
  <c r="FW363" i="2"/>
  <c r="FW579" i="2"/>
  <c r="EQ533" i="2"/>
  <c r="FV516" i="2"/>
  <c r="GH516" i="2"/>
  <c r="FZ518" i="2"/>
  <c r="GM518" i="2"/>
  <c r="ET539" i="2"/>
  <c r="FZ588" i="2"/>
  <c r="GM588" i="2"/>
  <c r="ET589" i="2"/>
  <c r="GC623" i="2"/>
  <c r="EK520" i="2"/>
  <c r="EJ521" i="2"/>
  <c r="EV521" i="2"/>
  <c r="GC576" i="2"/>
  <c r="EK627" i="2"/>
  <c r="EJ628" i="2"/>
  <c r="EV628" i="2"/>
  <c r="GA628" i="2"/>
  <c r="EI629" i="2"/>
  <c r="EU629" i="2"/>
  <c r="FZ629" i="2"/>
  <c r="GM629" i="2"/>
  <c r="GD459" i="2"/>
  <c r="GC522" i="2"/>
  <c r="EK523" i="2"/>
  <c r="EJ524" i="2"/>
  <c r="EV524" i="2"/>
  <c r="GA524" i="2"/>
  <c r="EI525" i="2"/>
  <c r="EU525" i="2"/>
  <c r="FZ525" i="2"/>
  <c r="GM525" i="2"/>
  <c r="ET526" i="2"/>
  <c r="ES527" i="2"/>
  <c r="ER528" i="2"/>
  <c r="FV528" i="2"/>
  <c r="GH528" i="2"/>
  <c r="FU6" i="2"/>
  <c r="GG6" i="2"/>
  <c r="EO83" i="2"/>
  <c r="FU83" i="2"/>
  <c r="GG83" i="2"/>
  <c r="GF69" i="2"/>
  <c r="EN123" i="2"/>
  <c r="FA123" i="2"/>
  <c r="GD123" i="2"/>
  <c r="GC124" i="2"/>
  <c r="GD93" i="2"/>
  <c r="GC96" i="2"/>
  <c r="EK130" i="2"/>
  <c r="GC130" i="2"/>
  <c r="EK98" i="2"/>
  <c r="GA98" i="2"/>
  <c r="EI115" i="2"/>
  <c r="EU115" i="2"/>
  <c r="FZ115" i="2"/>
  <c r="GM115" i="2"/>
  <c r="ET99" i="2"/>
  <c r="ES140" i="2"/>
  <c r="ER141" i="2"/>
  <c r="FW141" i="2"/>
  <c r="EQ142" i="2"/>
  <c r="FW142" i="2"/>
  <c r="EQ143" i="2"/>
  <c r="FV143" i="2"/>
  <c r="GH143" i="2"/>
  <c r="FW144" i="2"/>
  <c r="EQ226" i="2"/>
  <c r="FV226" i="2"/>
  <c r="GH226" i="2"/>
  <c r="FW206" i="2"/>
  <c r="EQ227" i="2"/>
  <c r="FV227" i="2"/>
  <c r="GH227" i="2"/>
  <c r="FV385" i="2"/>
  <c r="GH385" i="2"/>
  <c r="GF472" i="2"/>
  <c r="EN473" i="2"/>
  <c r="FA473" i="2"/>
  <c r="GE473" i="2"/>
  <c r="GD386" i="2"/>
  <c r="GC577" i="2"/>
  <c r="EK100" i="2"/>
  <c r="EJ101" i="2"/>
  <c r="EV101" i="2"/>
  <c r="GA101" i="2"/>
  <c r="FU207" i="2"/>
  <c r="GG207" i="2"/>
  <c r="FW190" i="2"/>
  <c r="EQ5" i="2"/>
  <c r="FW5" i="2"/>
  <c r="FV23" i="2"/>
  <c r="GH23" i="2"/>
  <c r="FU31" i="2"/>
  <c r="GG31" i="2"/>
  <c r="EO33" i="2"/>
  <c r="GF33" i="2"/>
  <c r="EN620" i="2"/>
  <c r="FA620" i="2"/>
  <c r="GF620" i="2"/>
  <c r="EN332" i="2"/>
  <c r="FA332" i="2"/>
  <c r="GF332" i="2"/>
  <c r="ES334" i="2"/>
  <c r="ES335" i="2"/>
  <c r="ES336" i="2"/>
  <c r="ER337" i="2"/>
  <c r="ER338" i="2"/>
  <c r="ER347" i="2"/>
  <c r="FW347" i="2"/>
  <c r="EQ339" i="2"/>
  <c r="FW339" i="2"/>
  <c r="EQ340" i="2"/>
  <c r="FV346" i="2"/>
  <c r="GH346" i="2"/>
  <c r="FV367" i="2"/>
  <c r="GH367" i="2"/>
  <c r="GE358" i="2"/>
  <c r="GD369" i="2"/>
  <c r="GD494" i="2"/>
  <c r="GA530" i="2"/>
  <c r="EI531" i="2"/>
  <c r="EU531" i="2"/>
  <c r="ES579" i="2"/>
  <c r="GF538" i="2"/>
  <c r="FW515" i="2"/>
  <c r="EQ516" i="2"/>
  <c r="GA517" i="2"/>
  <c r="EI518" i="2"/>
  <c r="EU518" i="2"/>
  <c r="FZ581" i="2"/>
  <c r="GM581" i="2"/>
  <c r="ET630" i="2"/>
  <c r="EJ585" i="2"/>
  <c r="EV585" i="2"/>
  <c r="EJ586" i="2"/>
  <c r="EV586" i="2"/>
  <c r="EJ571" i="2"/>
  <c r="EV571" i="2"/>
  <c r="EJ573" i="2"/>
  <c r="EV573" i="2"/>
  <c r="EJ587" i="2"/>
  <c r="EV587" i="2"/>
  <c r="EJ588" i="2"/>
  <c r="EV588" i="2"/>
  <c r="GE340" i="2"/>
  <c r="GC341" i="2"/>
  <c r="EK346" i="2"/>
  <c r="GA346" i="2"/>
  <c r="EI367" i="2"/>
  <c r="EU367" i="2"/>
  <c r="FZ367" i="2"/>
  <c r="GM367" i="2"/>
  <c r="ET368" i="2"/>
  <c r="FW368" i="2"/>
  <c r="EQ370" i="2"/>
  <c r="FV370" i="2"/>
  <c r="GH370" i="2"/>
  <c r="FU357" i="2"/>
  <c r="GG357" i="2"/>
  <c r="EO358" i="2"/>
  <c r="GF358" i="2"/>
  <c r="GE369" i="2"/>
  <c r="ER360" i="2"/>
  <c r="FW360" i="2"/>
  <c r="ES362" i="2"/>
  <c r="ER363" i="2"/>
  <c r="FV364" i="2"/>
  <c r="GH364" i="2"/>
  <c r="FV365" i="2"/>
  <c r="GH365" i="2"/>
  <c r="FU366" i="2"/>
  <c r="GG366" i="2"/>
  <c r="EO474" i="2"/>
  <c r="FU474" i="2"/>
  <c r="GG474" i="2"/>
  <c r="EO460" i="2"/>
  <c r="FU460" i="2"/>
  <c r="GG460" i="2"/>
  <c r="ER372" i="2"/>
  <c r="FW372" i="2"/>
  <c r="FV475" i="2"/>
  <c r="GH475" i="2"/>
  <c r="FV476" i="2"/>
  <c r="GH476" i="2"/>
  <c r="GF493" i="2"/>
  <c r="EN494" i="2"/>
  <c r="FA494" i="2"/>
  <c r="GE494" i="2"/>
  <c r="GD497" i="2"/>
  <c r="GC498" i="2"/>
  <c r="FV499" i="2"/>
  <c r="GH499" i="2"/>
  <c r="GF500" i="2"/>
  <c r="EN529" i="2"/>
  <c r="FA529" i="2"/>
  <c r="GD529" i="2"/>
  <c r="GC578" i="2"/>
  <c r="EK530" i="2"/>
  <c r="EJ531" i="2"/>
  <c r="EV531" i="2"/>
  <c r="FZ531" i="2"/>
  <c r="GM531" i="2"/>
  <c r="ET532" i="2"/>
  <c r="FW532" i="2"/>
  <c r="EQ579" i="2"/>
  <c r="FU579" i="2"/>
  <c r="GG579" i="2"/>
  <c r="EO533" i="2"/>
  <c r="GF533" i="2"/>
  <c r="EN534" i="2"/>
  <c r="FA534" i="2"/>
  <c r="GE534" i="2"/>
  <c r="GD535" i="2"/>
  <c r="EJ580" i="2"/>
  <c r="EV580" i="2"/>
  <c r="GA580" i="2"/>
  <c r="EU537" i="2"/>
  <c r="ER538" i="2"/>
  <c r="FU538" i="2"/>
  <c r="GG538" i="2"/>
  <c r="FZ514" i="2"/>
  <c r="GM514" i="2"/>
  <c r="ET515" i="2"/>
  <c r="ER516" i="2"/>
  <c r="FW516" i="2"/>
  <c r="EJ518" i="2"/>
  <c r="EV518" i="2"/>
  <c r="GA518" i="2"/>
  <c r="EU539" i="2"/>
  <c r="ES581" i="2"/>
  <c r="ER630" i="2"/>
  <c r="FW630" i="2"/>
  <c r="FV631" i="2"/>
  <c r="GH631" i="2"/>
  <c r="FU582" i="2"/>
  <c r="GG582" i="2"/>
  <c r="EO540" i="2"/>
  <c r="FU540" i="2"/>
  <c r="GG540" i="2"/>
  <c r="EO541" i="2"/>
  <c r="GF541" i="2"/>
  <c r="EN583" i="2"/>
  <c r="FA583" i="2"/>
  <c r="GF583" i="2"/>
  <c r="EN570" i="2"/>
  <c r="FA570" i="2"/>
  <c r="GD570" i="2"/>
  <c r="GC584" i="2"/>
  <c r="EK585" i="2"/>
  <c r="GC585" i="2"/>
  <c r="EK586" i="2"/>
  <c r="GC586" i="2"/>
  <c r="EK571" i="2"/>
  <c r="GA571" i="2"/>
  <c r="EU572" i="2"/>
  <c r="FZ572" i="2"/>
  <c r="GM572" i="2"/>
  <c r="ET573" i="2"/>
  <c r="FZ573" i="2"/>
  <c r="GM573" i="2"/>
  <c r="ET587" i="2"/>
  <c r="FZ587" i="2"/>
  <c r="GM587" i="2"/>
  <c r="ET588" i="2"/>
  <c r="ER589" i="2"/>
  <c r="FW589" i="2"/>
  <c r="EQ574" i="2"/>
  <c r="FW574" i="2"/>
  <c r="EN131" i="2"/>
  <c r="FA131" i="2"/>
  <c r="GE131" i="2"/>
  <c r="GD461" i="2"/>
  <c r="GD241" i="2"/>
  <c r="GD242" i="2"/>
  <c r="FV129" i="2"/>
  <c r="GH129" i="2"/>
  <c r="GE10" i="2"/>
  <c r="FV42" i="2"/>
  <c r="GH42" i="2"/>
  <c r="EK219" i="2"/>
  <c r="FW275" i="2"/>
  <c r="EQ276" i="2"/>
  <c r="FA340" i="2"/>
  <c r="GF340" i="2"/>
  <c r="EN341" i="2"/>
  <c r="GD341" i="2"/>
  <c r="EJ367" i="2"/>
  <c r="EV367" i="2"/>
  <c r="GA367" i="2"/>
  <c r="EI368" i="2"/>
  <c r="EU368" i="2"/>
  <c r="ER370" i="2"/>
  <c r="FW370" i="2"/>
  <c r="EQ357" i="2"/>
  <c r="FV357" i="2"/>
  <c r="GH357" i="2"/>
  <c r="FU358" i="2"/>
  <c r="GG358" i="2"/>
  <c r="GF369" i="2"/>
  <c r="ES360" i="2"/>
  <c r="FZ361" i="2"/>
  <c r="GM361" i="2"/>
  <c r="ET362" i="2"/>
  <c r="ES363" i="2"/>
  <c r="FW364" i="2"/>
  <c r="EQ365" i="2"/>
  <c r="FW365" i="2"/>
  <c r="FV366" i="2"/>
  <c r="GH366" i="2"/>
  <c r="FV474" i="2"/>
  <c r="GH474" i="2"/>
  <c r="FV460" i="2"/>
  <c r="GH460" i="2"/>
  <c r="ES372" i="2"/>
  <c r="ER475" i="2"/>
  <c r="FW475" i="2"/>
  <c r="EQ476" i="2"/>
  <c r="FW476" i="2"/>
  <c r="EQ493" i="2"/>
  <c r="FU493" i="2"/>
  <c r="GG493" i="2"/>
  <c r="GF494" i="2"/>
  <c r="GE497" i="2"/>
  <c r="GD498" i="2"/>
  <c r="FW499" i="2"/>
  <c r="EQ500" i="2"/>
  <c r="FU500" i="2"/>
  <c r="GG500" i="2"/>
  <c r="GE529" i="2"/>
  <c r="GD578" i="2"/>
  <c r="GC530" i="2"/>
  <c r="EK531" i="2"/>
  <c r="GA531" i="2"/>
  <c r="EI532" i="2"/>
  <c r="EU532" i="2"/>
  <c r="ER579" i="2"/>
  <c r="FV579" i="2"/>
  <c r="GH579" i="2"/>
  <c r="FU533" i="2"/>
  <c r="GG533" i="2"/>
  <c r="EO534" i="2"/>
  <c r="GF534" i="2"/>
  <c r="EN535" i="2"/>
  <c r="FA535" i="2"/>
  <c r="GE535" i="2"/>
  <c r="GC536" i="2"/>
  <c r="EK580" i="2"/>
  <c r="EJ537" i="2"/>
  <c r="EV537" i="2"/>
  <c r="ES538" i="2"/>
  <c r="FV538" i="2"/>
  <c r="GH538" i="2"/>
  <c r="GA514" i="2"/>
  <c r="EU515" i="2"/>
  <c r="ES516" i="2"/>
  <c r="GC517" i="2"/>
  <c r="EK518" i="2"/>
  <c r="EJ539" i="2"/>
  <c r="EV539" i="2"/>
  <c r="FZ539" i="2"/>
  <c r="GM539" i="2"/>
  <c r="ET581" i="2"/>
  <c r="ES630" i="2"/>
  <c r="FW631" i="2"/>
  <c r="EQ582" i="2"/>
  <c r="FV582" i="2"/>
  <c r="GH582" i="2"/>
  <c r="FV540" i="2"/>
  <c r="GH540" i="2"/>
  <c r="FU541" i="2"/>
  <c r="GG541" i="2"/>
  <c r="EO583" i="2"/>
  <c r="FU583" i="2"/>
  <c r="GG583" i="2"/>
  <c r="EO570" i="2"/>
  <c r="GE570" i="2"/>
  <c r="GD584" i="2"/>
  <c r="GD585" i="2"/>
  <c r="GD586" i="2"/>
  <c r="EJ572" i="2"/>
  <c r="EV572" i="2"/>
  <c r="GA572" i="2"/>
  <c r="EI573" i="2"/>
  <c r="EU573" i="2"/>
  <c r="GA573" i="2"/>
  <c r="EI587" i="2"/>
  <c r="EU587" i="2"/>
  <c r="GA587" i="2"/>
  <c r="EU588" i="2"/>
  <c r="ES589" i="2"/>
  <c r="ER574" i="2"/>
  <c r="EO131" i="2"/>
  <c r="GD251" i="2"/>
  <c r="GC255" i="2"/>
  <c r="FV8" i="2"/>
  <c r="GH8" i="2"/>
  <c r="FU9" i="2"/>
  <c r="GG9" i="2"/>
  <c r="EO10" i="2"/>
  <c r="FW34" i="2"/>
  <c r="EQ42" i="2"/>
  <c r="FV340" i="2"/>
  <c r="GH340" i="2"/>
  <c r="GF341" i="2"/>
  <c r="GD346" i="2"/>
  <c r="GC367" i="2"/>
  <c r="EK368" i="2"/>
  <c r="FZ368" i="2"/>
  <c r="GM368" i="2"/>
  <c r="ET370" i="2"/>
  <c r="ES357" i="2"/>
  <c r="ER358" i="2"/>
  <c r="FW358" i="2"/>
  <c r="FV369" i="2"/>
  <c r="GH369" i="2"/>
  <c r="EI360" i="2"/>
  <c r="EU360" i="2"/>
  <c r="FZ360" i="2"/>
  <c r="GM360" i="2"/>
  <c r="EJ362" i="2"/>
  <c r="EV362" i="2"/>
  <c r="GA362" i="2"/>
  <c r="EI363" i="2"/>
  <c r="EU363" i="2"/>
  <c r="GA363" i="2"/>
  <c r="EI364" i="2"/>
  <c r="EU364" i="2"/>
  <c r="ES365" i="2"/>
  <c r="ES366" i="2"/>
  <c r="ER474" i="2"/>
  <c r="ER460" i="2"/>
  <c r="GA371" i="2"/>
  <c r="EI372" i="2"/>
  <c r="EU372" i="2"/>
  <c r="FZ372" i="2"/>
  <c r="GM372" i="2"/>
  <c r="ET475" i="2"/>
  <c r="ES493" i="2"/>
  <c r="FW493" i="2"/>
  <c r="EQ494" i="2"/>
  <c r="FV494" i="2"/>
  <c r="GH494" i="2"/>
  <c r="FU497" i="2"/>
  <c r="GG497" i="2"/>
  <c r="EO498" i="2"/>
  <c r="GF498" i="2"/>
  <c r="ES500" i="2"/>
  <c r="FW500" i="2"/>
  <c r="EQ529" i="2"/>
  <c r="FU529" i="2"/>
  <c r="GG529" i="2"/>
  <c r="EO578" i="2"/>
  <c r="GF578" i="2"/>
  <c r="EN530" i="2"/>
  <c r="FA530" i="2"/>
  <c r="GE530" i="2"/>
  <c r="GC531" i="2"/>
  <c r="EK532" i="2"/>
  <c r="FZ532" i="2"/>
  <c r="GM532" i="2"/>
  <c r="ET579" i="2"/>
  <c r="ER533" i="2"/>
  <c r="FW533" i="2"/>
  <c r="EQ534" i="2"/>
  <c r="FV534" i="2"/>
  <c r="GH534" i="2"/>
  <c r="FU535" i="2"/>
  <c r="GG535" i="2"/>
  <c r="GE536" i="2"/>
  <c r="GD580" i="2"/>
  <c r="GA537" i="2"/>
  <c r="EI538" i="2"/>
  <c r="EU538" i="2"/>
  <c r="GC514" i="2"/>
  <c r="EK515" i="2"/>
  <c r="GA515" i="2"/>
  <c r="EI516" i="2"/>
  <c r="EU516" i="2"/>
  <c r="FZ516" i="2"/>
  <c r="GM516" i="2"/>
  <c r="GE517" i="2"/>
  <c r="GD518" i="2"/>
  <c r="EJ581" i="2"/>
  <c r="EV581" i="2"/>
  <c r="GA581" i="2"/>
  <c r="EI630" i="2"/>
  <c r="EU630" i="2"/>
  <c r="FZ630" i="2"/>
  <c r="GM630" i="2"/>
  <c r="ES582" i="2"/>
  <c r="ER540" i="2"/>
  <c r="ER541" i="2"/>
  <c r="FW541" i="2"/>
  <c r="EQ583" i="2"/>
  <c r="FW583" i="2"/>
  <c r="EQ570" i="2"/>
  <c r="FU570" i="2"/>
  <c r="GG570" i="2"/>
  <c r="EO584" i="2"/>
  <c r="GF584" i="2"/>
  <c r="EN585" i="2"/>
  <c r="FA585" i="2"/>
  <c r="GF585" i="2"/>
  <c r="EN586" i="2"/>
  <c r="FA586" i="2"/>
  <c r="GF586" i="2"/>
  <c r="EN571" i="2"/>
  <c r="FA571" i="2"/>
  <c r="GD571" i="2"/>
  <c r="GC572" i="2"/>
  <c r="EK573" i="2"/>
  <c r="GC573" i="2"/>
  <c r="EK587" i="2"/>
  <c r="GC587" i="2"/>
  <c r="EK588" i="2"/>
  <c r="GA588" i="2"/>
  <c r="EU589" i="2"/>
  <c r="FZ589" i="2"/>
  <c r="GM589" i="2"/>
  <c r="EQ131" i="2"/>
  <c r="GF251" i="2"/>
  <c r="EN255" i="2"/>
  <c r="FA255" i="2"/>
  <c r="GE255" i="2"/>
  <c r="ES7" i="2"/>
  <c r="ER9" i="2"/>
  <c r="FU47" i="2"/>
  <c r="GG47" i="2"/>
  <c r="GF24" i="2"/>
  <c r="FW340" i="2"/>
  <c r="FU341" i="2"/>
  <c r="GG341" i="2"/>
  <c r="EO346" i="2"/>
  <c r="GE346" i="2"/>
  <c r="GD367" i="2"/>
  <c r="GA368" i="2"/>
  <c r="EI370" i="2"/>
  <c r="EU370" i="2"/>
  <c r="FZ370" i="2"/>
  <c r="GM370" i="2"/>
  <c r="ET357" i="2"/>
  <c r="ES358" i="2"/>
  <c r="FW369" i="2"/>
  <c r="EJ360" i="2"/>
  <c r="EV360" i="2"/>
  <c r="GA360" i="2"/>
  <c r="GC361" i="2"/>
  <c r="EK362" i="2"/>
  <c r="EJ363" i="2"/>
  <c r="EV363" i="2"/>
  <c r="EV364" i="2"/>
  <c r="FZ364" i="2"/>
  <c r="GM364" i="2"/>
  <c r="ET365" i="2"/>
  <c r="FZ365" i="2"/>
  <c r="GM365" i="2"/>
  <c r="ET366" i="2"/>
  <c r="ES474" i="2"/>
  <c r="ES460" i="2"/>
  <c r="EJ372" i="2"/>
  <c r="EV372" i="2"/>
  <c r="GA372" i="2"/>
  <c r="EI475" i="2"/>
  <c r="EU475" i="2"/>
  <c r="FZ475" i="2"/>
  <c r="GM475" i="2"/>
  <c r="ET476" i="2"/>
  <c r="FZ476" i="2"/>
  <c r="GM476" i="2"/>
  <c r="ET493" i="2"/>
  <c r="ER494" i="2"/>
  <c r="FW494" i="2"/>
  <c r="FV497" i="2"/>
  <c r="GH497" i="2"/>
  <c r="FU498" i="2"/>
  <c r="GG498" i="2"/>
  <c r="FZ499" i="2"/>
  <c r="GM499" i="2"/>
  <c r="ET500" i="2"/>
  <c r="ER529" i="2"/>
  <c r="FV529" i="2"/>
  <c r="GH529" i="2"/>
  <c r="FU578" i="2"/>
  <c r="GG578" i="2"/>
  <c r="EO530" i="2"/>
  <c r="GF530" i="2"/>
  <c r="EN531" i="2"/>
  <c r="FA531" i="2"/>
  <c r="GD531" i="2"/>
  <c r="GA532" i="2"/>
  <c r="EI579" i="2"/>
  <c r="EU579" i="2"/>
  <c r="ES533" i="2"/>
  <c r="ER534" i="2"/>
  <c r="FW534" i="2"/>
  <c r="EQ535" i="2"/>
  <c r="FV535" i="2"/>
  <c r="GH535" i="2"/>
  <c r="GF536" i="2"/>
  <c r="EN580" i="2"/>
  <c r="FA580" i="2"/>
  <c r="GE580" i="2"/>
  <c r="EJ538" i="2"/>
  <c r="EV538" i="2"/>
  <c r="GD514" i="2"/>
  <c r="EJ516" i="2"/>
  <c r="EV516" i="2"/>
  <c r="GA516" i="2"/>
  <c r="GF517" i="2"/>
  <c r="EN518" i="2"/>
  <c r="FA518" i="2"/>
  <c r="GE518" i="2"/>
  <c r="GC539" i="2"/>
  <c r="EK581" i="2"/>
  <c r="EJ630" i="2"/>
  <c r="EV630" i="2"/>
  <c r="GA630" i="2"/>
  <c r="FZ631" i="2"/>
  <c r="GM631" i="2"/>
  <c r="ET582" i="2"/>
  <c r="ES540" i="2"/>
  <c r="ES541" i="2"/>
  <c r="ER583" i="2"/>
  <c r="ER570" i="2"/>
  <c r="FV570" i="2"/>
  <c r="GH570" i="2"/>
  <c r="FU584" i="2"/>
  <c r="GG584" i="2"/>
  <c r="EO585" i="2"/>
  <c r="FU585" i="2"/>
  <c r="GG585" i="2"/>
  <c r="EO586" i="2"/>
  <c r="FU586" i="2"/>
  <c r="GG586" i="2"/>
  <c r="EO571" i="2"/>
  <c r="GE571" i="2"/>
  <c r="GD572" i="2"/>
  <c r="GD573" i="2"/>
  <c r="GD587" i="2"/>
  <c r="EJ589" i="2"/>
  <c r="EV589" i="2"/>
  <c r="GA589" i="2"/>
  <c r="EI574" i="2"/>
  <c r="FW131" i="2"/>
  <c r="EQ461" i="2"/>
  <c r="FV461" i="2"/>
  <c r="GH461" i="2"/>
  <c r="FV241" i="2"/>
  <c r="GH241" i="2"/>
  <c r="FV242" i="2"/>
  <c r="GH242" i="2"/>
  <c r="FU251" i="2"/>
  <c r="GG251" i="2"/>
  <c r="EO255" i="2"/>
  <c r="GF255" i="2"/>
  <c r="GA259" i="2"/>
  <c r="EI97" i="2"/>
  <c r="EU97" i="2"/>
  <c r="FZ97" i="2"/>
  <c r="GM97" i="2"/>
  <c r="ET102" i="2"/>
  <c r="FZ7" i="2"/>
  <c r="GM7" i="2"/>
  <c r="ET8" i="2"/>
  <c r="FW12" i="2"/>
  <c r="EQ13" i="2"/>
  <c r="FW14" i="2"/>
  <c r="EQ47" i="2"/>
  <c r="FV342" i="2"/>
  <c r="GH342" i="2"/>
  <c r="FV343" i="2"/>
  <c r="GH343" i="2"/>
  <c r="ER341" i="2"/>
  <c r="FV341" i="2"/>
  <c r="GH341" i="2"/>
  <c r="GF346" i="2"/>
  <c r="EN367" i="2"/>
  <c r="FA367" i="2"/>
  <c r="GE367" i="2"/>
  <c r="EJ370" i="2"/>
  <c r="EV370" i="2"/>
  <c r="GA370" i="2"/>
  <c r="EI357" i="2"/>
  <c r="EU357" i="2"/>
  <c r="FZ357" i="2"/>
  <c r="GM357" i="2"/>
  <c r="ET358" i="2"/>
  <c r="EK360" i="2"/>
  <c r="GD361" i="2"/>
  <c r="GC362" i="2"/>
  <c r="EK363" i="2"/>
  <c r="GC363" i="2"/>
  <c r="GA364" i="2"/>
  <c r="EI365" i="2"/>
  <c r="EU365" i="2"/>
  <c r="GA365" i="2"/>
  <c r="EI366" i="2"/>
  <c r="EU366" i="2"/>
  <c r="FZ366" i="2"/>
  <c r="GM366" i="2"/>
  <c r="ET474" i="2"/>
  <c r="FZ474" i="2"/>
  <c r="GM474" i="2"/>
  <c r="ET460" i="2"/>
  <c r="FZ460" i="2"/>
  <c r="GM460" i="2"/>
  <c r="GC371" i="2"/>
  <c r="EK372" i="2"/>
  <c r="EJ475" i="2"/>
  <c r="EV475" i="2"/>
  <c r="GA475" i="2"/>
  <c r="EI476" i="2"/>
  <c r="EU476" i="2"/>
  <c r="GA476" i="2"/>
  <c r="EI493" i="2"/>
  <c r="EU493" i="2"/>
  <c r="ES494" i="2"/>
  <c r="FW497" i="2"/>
  <c r="EQ498" i="2"/>
  <c r="FV498" i="2"/>
  <c r="GH498" i="2"/>
  <c r="GA499" i="2"/>
  <c r="EI500" i="2"/>
  <c r="EU500" i="2"/>
  <c r="ES529" i="2"/>
  <c r="FW529" i="2"/>
  <c r="EQ578" i="2"/>
  <c r="FV578" i="2"/>
  <c r="GH578" i="2"/>
  <c r="FU530" i="2"/>
  <c r="GG530" i="2"/>
  <c r="EO531" i="2"/>
  <c r="GE531" i="2"/>
  <c r="EJ579" i="2"/>
  <c r="EV579" i="2"/>
  <c r="FZ579" i="2"/>
  <c r="GM579" i="2"/>
  <c r="ET533" i="2"/>
  <c r="ES534" i="2"/>
  <c r="ER535" i="2"/>
  <c r="FW535" i="2"/>
  <c r="EQ536" i="2"/>
  <c r="FU536" i="2"/>
  <c r="GG536" i="2"/>
  <c r="EO580" i="2"/>
  <c r="GF580" i="2"/>
  <c r="EN537" i="2"/>
  <c r="FA537" i="2"/>
  <c r="GC537" i="2"/>
  <c r="EK538" i="2"/>
  <c r="FZ538" i="2"/>
  <c r="GM538" i="2"/>
  <c r="GE514" i="2"/>
  <c r="GC515" i="2"/>
  <c r="EK516" i="2"/>
  <c r="FU517" i="2"/>
  <c r="GG517" i="2"/>
  <c r="EO518" i="2"/>
  <c r="GF518" i="2"/>
  <c r="EN539" i="2"/>
  <c r="FA539" i="2"/>
  <c r="GD539" i="2"/>
  <c r="GC581" i="2"/>
  <c r="EK630" i="2"/>
  <c r="GA631" i="2"/>
  <c r="EU582" i="2"/>
  <c r="FZ582" i="2"/>
  <c r="GM582" i="2"/>
  <c r="ET540" i="2"/>
  <c r="FZ540" i="2"/>
  <c r="GM540" i="2"/>
  <c r="ET541" i="2"/>
  <c r="ES583" i="2"/>
  <c r="ES570" i="2"/>
  <c r="FW570" i="2"/>
  <c r="EQ584" i="2"/>
  <c r="FV584" i="2"/>
  <c r="GH584" i="2"/>
  <c r="FV585" i="2"/>
  <c r="GH585" i="2"/>
  <c r="FV586" i="2"/>
  <c r="GH586" i="2"/>
  <c r="GF571" i="2"/>
  <c r="EN572" i="2"/>
  <c r="FA572" i="2"/>
  <c r="GE572" i="2"/>
  <c r="GE573" i="2"/>
  <c r="GE587" i="2"/>
  <c r="GC588" i="2"/>
  <c r="EK589" i="2"/>
  <c r="EJ574" i="2"/>
  <c r="ES131" i="2"/>
  <c r="ER461" i="2"/>
  <c r="FW461" i="2"/>
  <c r="EQ241" i="2"/>
  <c r="FW241" i="2"/>
  <c r="EQ242" i="2"/>
  <c r="FW242" i="2"/>
  <c r="EQ251" i="2"/>
  <c r="GC258" i="2"/>
  <c r="EK259" i="2"/>
  <c r="EJ97" i="2"/>
  <c r="EV97" i="2"/>
  <c r="GA97" i="2"/>
  <c r="EU102" i="2"/>
  <c r="GA102" i="2"/>
  <c r="EI129" i="2"/>
  <c r="EU129" i="2"/>
  <c r="GA129" i="2"/>
  <c r="EI7" i="2"/>
  <c r="EU7" i="2"/>
  <c r="ER12" i="2"/>
  <c r="ER14" i="2"/>
  <c r="FW45" i="2"/>
  <c r="EQ342" i="2"/>
  <c r="ES341" i="2"/>
  <c r="FW341" i="2"/>
  <c r="EQ346" i="2"/>
  <c r="FU346" i="2"/>
  <c r="GG346" i="2"/>
  <c r="EO367" i="2"/>
  <c r="GF367" i="2"/>
  <c r="EN368" i="2"/>
  <c r="GC368" i="2"/>
  <c r="EK370" i="2"/>
  <c r="EJ357" i="2"/>
  <c r="EV357" i="2"/>
  <c r="GA357" i="2"/>
  <c r="EI358" i="2"/>
  <c r="EU358" i="2"/>
  <c r="FZ358" i="2"/>
  <c r="GM358" i="2"/>
  <c r="GC360" i="2"/>
  <c r="GE361" i="2"/>
  <c r="GD362" i="2"/>
  <c r="GD363" i="2"/>
  <c r="EJ365" i="2"/>
  <c r="EV365" i="2"/>
  <c r="EJ366" i="2"/>
  <c r="EV366" i="2"/>
  <c r="GA366" i="2"/>
  <c r="EI474" i="2"/>
  <c r="EU474" i="2"/>
  <c r="GA474" i="2"/>
  <c r="EI460" i="2"/>
  <c r="EU460" i="2"/>
  <c r="GA460" i="2"/>
  <c r="GD371" i="2"/>
  <c r="GC372" i="2"/>
  <c r="EK475" i="2"/>
  <c r="EJ476" i="2"/>
  <c r="EV476" i="2"/>
  <c r="EJ493" i="2"/>
  <c r="EV493" i="2"/>
  <c r="FZ493" i="2"/>
  <c r="GM493" i="2"/>
  <c r="ET494" i="2"/>
  <c r="ER498" i="2"/>
  <c r="FW498" i="2"/>
  <c r="EJ500" i="2"/>
  <c r="EV500" i="2"/>
  <c r="FZ500" i="2"/>
  <c r="GM500" i="2"/>
  <c r="ET529" i="2"/>
  <c r="ER578" i="2"/>
  <c r="FW578" i="2"/>
  <c r="EQ530" i="2"/>
  <c r="FV530" i="2"/>
  <c r="GH530" i="2"/>
  <c r="GF531" i="2"/>
  <c r="EN532" i="2"/>
  <c r="FA532" i="2"/>
  <c r="GC532" i="2"/>
  <c r="EK579" i="2"/>
  <c r="GA579" i="2"/>
  <c r="EI533" i="2"/>
  <c r="EU533" i="2"/>
  <c r="FZ533" i="2"/>
  <c r="GM533" i="2"/>
  <c r="ET534" i="2"/>
  <c r="ES535" i="2"/>
  <c r="ER536" i="2"/>
  <c r="FV536" i="2"/>
  <c r="GH536" i="2"/>
  <c r="FU580" i="2"/>
  <c r="GG580" i="2"/>
  <c r="EO537" i="2"/>
  <c r="GD537" i="2"/>
  <c r="GA538" i="2"/>
  <c r="GF514" i="2"/>
  <c r="EN515" i="2"/>
  <c r="FA515" i="2"/>
  <c r="GD515" i="2"/>
  <c r="GC516" i="2"/>
  <c r="FV517" i="2"/>
  <c r="GH517" i="2"/>
  <c r="FU518" i="2"/>
  <c r="GG518" i="2"/>
  <c r="EO539" i="2"/>
  <c r="GE539" i="2"/>
  <c r="GD581" i="2"/>
  <c r="GC630" i="2"/>
  <c r="EJ582" i="2"/>
  <c r="EV582" i="2"/>
  <c r="GA582" i="2"/>
  <c r="EI540" i="2"/>
  <c r="EU540" i="2"/>
  <c r="GA540" i="2"/>
  <c r="EI541" i="2"/>
  <c r="EU541" i="2"/>
  <c r="FZ541" i="2"/>
  <c r="GM541" i="2"/>
  <c r="ET583" i="2"/>
  <c r="FZ583" i="2"/>
  <c r="GM583" i="2"/>
  <c r="ET570" i="2"/>
  <c r="ER584" i="2"/>
  <c r="FW584" i="2"/>
  <c r="EQ585" i="2"/>
  <c r="FW585" i="2"/>
  <c r="EQ586" i="2"/>
  <c r="FW586" i="2"/>
  <c r="EQ571" i="2"/>
  <c r="FU571" i="2"/>
  <c r="GG571" i="2"/>
  <c r="EO572" i="2"/>
  <c r="GF572" i="2"/>
  <c r="EN573" i="2"/>
  <c r="FA573" i="2"/>
  <c r="GF573" i="2"/>
  <c r="EN587" i="2"/>
  <c r="FA587" i="2"/>
  <c r="GF587" i="2"/>
  <c r="EN588" i="2"/>
  <c r="FA588" i="2"/>
  <c r="GD588" i="2"/>
  <c r="GC589" i="2"/>
  <c r="EK574" i="2"/>
  <c r="ET131" i="2"/>
  <c r="GD258" i="2"/>
  <c r="FV594" i="2"/>
  <c r="GH594" i="2"/>
  <c r="GD360" i="2"/>
  <c r="GF361" i="2"/>
  <c r="EN362" i="2"/>
  <c r="FA362" i="2"/>
  <c r="GE362" i="2"/>
  <c r="GE363" i="2"/>
  <c r="GC364" i="2"/>
  <c r="EK365" i="2"/>
  <c r="GC365" i="2"/>
  <c r="EK366" i="2"/>
  <c r="EJ474" i="2"/>
  <c r="EV474" i="2"/>
  <c r="EJ460" i="2"/>
  <c r="EV460" i="2"/>
  <c r="GE371" i="2"/>
  <c r="GD372" i="2"/>
  <c r="GC475" i="2"/>
  <c r="EK476" i="2"/>
  <c r="GC476" i="2"/>
  <c r="EK493" i="2"/>
  <c r="GA493" i="2"/>
  <c r="EI494" i="2"/>
  <c r="EU494" i="2"/>
  <c r="FZ494" i="2"/>
  <c r="GM494" i="2"/>
  <c r="ES498" i="2"/>
  <c r="GC499" i="2"/>
  <c r="EK500" i="2"/>
  <c r="GA500" i="2"/>
  <c r="EI529" i="2"/>
  <c r="EU529" i="2"/>
  <c r="ES578" i="2"/>
  <c r="ER530" i="2"/>
  <c r="FW530" i="2"/>
  <c r="EQ531" i="2"/>
  <c r="FU531" i="2"/>
  <c r="GG531" i="2"/>
  <c r="EO532" i="2"/>
  <c r="GD532" i="2"/>
  <c r="EJ533" i="2"/>
  <c r="EV533" i="2"/>
  <c r="GA533" i="2"/>
  <c r="EI534" i="2"/>
  <c r="EU534" i="2"/>
  <c r="FZ534" i="2"/>
  <c r="GM534" i="2"/>
  <c r="ET535" i="2"/>
  <c r="ES536" i="2"/>
  <c r="FW536" i="2"/>
  <c r="EQ580" i="2"/>
  <c r="FV580" i="2"/>
  <c r="GH580" i="2"/>
  <c r="GE537" i="2"/>
  <c r="FU514" i="2"/>
  <c r="GG514" i="2"/>
  <c r="EO515" i="2"/>
  <c r="GE515" i="2"/>
  <c r="GD516" i="2"/>
  <c r="FW517" i="2"/>
  <c r="EQ518" i="2"/>
  <c r="FV518" i="2"/>
  <c r="GH518" i="2"/>
  <c r="GF539" i="2"/>
  <c r="EN581" i="2"/>
  <c r="FA581" i="2"/>
  <c r="GE581" i="2"/>
  <c r="GD630" i="2"/>
  <c r="GC631" i="2"/>
  <c r="EK582" i="2"/>
  <c r="EJ540" i="2"/>
  <c r="EV540" i="2"/>
  <c r="EJ541" i="2"/>
  <c r="EV541" i="2"/>
  <c r="GA541" i="2"/>
  <c r="EI583" i="2"/>
  <c r="EU583" i="2"/>
  <c r="GA583" i="2"/>
  <c r="EU570" i="2"/>
  <c r="ES584" i="2"/>
  <c r="ER585" i="2"/>
  <c r="ER586" i="2"/>
  <c r="ER571" i="2"/>
  <c r="FV571" i="2"/>
  <c r="GH571" i="2"/>
  <c r="FU572" i="2"/>
  <c r="GG572" i="2"/>
  <c r="EO573" i="2"/>
  <c r="FU573" i="2"/>
  <c r="GG573" i="2"/>
  <c r="EO587" i="2"/>
  <c r="FU587" i="2"/>
  <c r="GG587" i="2"/>
  <c r="EO588" i="2"/>
  <c r="GE588" i="2"/>
  <c r="GD589" i="2"/>
  <c r="GD574" i="2"/>
  <c r="GD259" i="2"/>
  <c r="GC97" i="2"/>
  <c r="EK102" i="2"/>
  <c r="GC102" i="2"/>
  <c r="EK129" i="2"/>
  <c r="FZ10" i="2"/>
  <c r="GM10" i="2"/>
  <c r="ET11" i="2"/>
  <c r="FZ12" i="2"/>
  <c r="GM12" i="2"/>
  <c r="ET13" i="2"/>
  <c r="FZ40" i="2"/>
  <c r="GM40" i="2"/>
  <c r="ET41" i="2"/>
  <c r="GA545" i="2"/>
  <c r="EI546" i="2"/>
  <c r="EU546" i="2"/>
  <c r="FZ546" i="2"/>
  <c r="GM546" i="2"/>
  <c r="ET547" i="2"/>
  <c r="EN360" i="2"/>
  <c r="FA360" i="2"/>
  <c r="GE360" i="2"/>
  <c r="FU361" i="2"/>
  <c r="GG361" i="2"/>
  <c r="EO362" i="2"/>
  <c r="GF362" i="2"/>
  <c r="EN363" i="2"/>
  <c r="FA363" i="2"/>
  <c r="GF363" i="2"/>
  <c r="EN364" i="2"/>
  <c r="FA364" i="2"/>
  <c r="GD364" i="2"/>
  <c r="GD365" i="2"/>
  <c r="GC366" i="2"/>
  <c r="EK474" i="2"/>
  <c r="GC474" i="2"/>
  <c r="EK460" i="2"/>
  <c r="GC460" i="2"/>
  <c r="GF371" i="2"/>
  <c r="EN372" i="2"/>
  <c r="FA372" i="2"/>
  <c r="GE372" i="2"/>
  <c r="GD475" i="2"/>
  <c r="GD476" i="2"/>
  <c r="EJ494" i="2"/>
  <c r="EV494" i="2"/>
  <c r="GA494" i="2"/>
  <c r="FZ497" i="2"/>
  <c r="GM497" i="2"/>
  <c r="ET498" i="2"/>
  <c r="GD499" i="2"/>
  <c r="EJ529" i="2"/>
  <c r="EV529" i="2"/>
  <c r="FZ529" i="2"/>
  <c r="GM529" i="2"/>
  <c r="ET578" i="2"/>
  <c r="ES530" i="2"/>
  <c r="ER531" i="2"/>
  <c r="FV531" i="2"/>
  <c r="GH531" i="2"/>
  <c r="GE532" i="2"/>
  <c r="GC579" i="2"/>
  <c r="EK533" i="2"/>
  <c r="EJ534" i="2"/>
  <c r="EV534" i="2"/>
  <c r="GA534" i="2"/>
  <c r="EI535" i="2"/>
  <c r="EU535" i="2"/>
  <c r="FZ535" i="2"/>
  <c r="GM535" i="2"/>
  <c r="ET536" i="2"/>
  <c r="ER580" i="2"/>
  <c r="FW580" i="2"/>
  <c r="EQ537" i="2"/>
  <c r="GF537" i="2"/>
  <c r="EN538" i="2"/>
  <c r="FA538" i="2"/>
  <c r="GC538" i="2"/>
  <c r="FV514" i="2"/>
  <c r="GH514" i="2"/>
  <c r="GF515" i="2"/>
  <c r="EN516" i="2"/>
  <c r="FA516" i="2"/>
  <c r="GE516" i="2"/>
  <c r="ER518" i="2"/>
  <c r="FW518" i="2"/>
  <c r="EQ539" i="2"/>
  <c r="FU539" i="2"/>
  <c r="GG539" i="2"/>
  <c r="EO581" i="2"/>
  <c r="GF581" i="2"/>
  <c r="EN630" i="2"/>
  <c r="FA630" i="2"/>
  <c r="GE630" i="2"/>
  <c r="GD631" i="2"/>
  <c r="GC582" i="2"/>
  <c r="EK540" i="2"/>
  <c r="GC540" i="2"/>
  <c r="EK541" i="2"/>
  <c r="EJ583" i="2"/>
  <c r="EV583" i="2"/>
  <c r="EJ570" i="2"/>
  <c r="EV570" i="2"/>
  <c r="FZ570" i="2"/>
  <c r="GM570" i="2"/>
  <c r="ET584" i="2"/>
  <c r="ES585" i="2"/>
  <c r="ES586" i="2"/>
  <c r="ES571" i="2"/>
  <c r="FW571" i="2"/>
  <c r="EQ572" i="2"/>
  <c r="FV572" i="2"/>
  <c r="GH572" i="2"/>
  <c r="FV573" i="2"/>
  <c r="GH573" i="2"/>
  <c r="FV587" i="2"/>
  <c r="GH587" i="2"/>
  <c r="GF588" i="2"/>
  <c r="EN589" i="2"/>
  <c r="FA589" i="2"/>
  <c r="GE589" i="2"/>
  <c r="GE574" i="2"/>
  <c r="EO258" i="2"/>
  <c r="GF258" i="2"/>
  <c r="EN259" i="2"/>
  <c r="FA259" i="2"/>
  <c r="GD102" i="2"/>
  <c r="EJ10" i="2"/>
  <c r="EV10" i="2"/>
  <c r="GA11" i="2"/>
  <c r="EI12" i="2"/>
  <c r="EU12" i="2"/>
  <c r="EJ544" i="2"/>
  <c r="EV544" i="2"/>
  <c r="EV340" i="2"/>
  <c r="EJ341" i="2"/>
  <c r="EV341" i="2"/>
  <c r="FZ341" i="2"/>
  <c r="GM341" i="2"/>
  <c r="ET346" i="2"/>
  <c r="ER367" i="2"/>
  <c r="FW367" i="2"/>
  <c r="EQ368" i="2"/>
  <c r="GF368" i="2"/>
  <c r="FA370" i="2"/>
  <c r="GE370" i="2"/>
  <c r="GD357" i="2"/>
  <c r="GC358" i="2"/>
  <c r="EO360" i="2"/>
  <c r="GF360" i="2"/>
  <c r="FV361" i="2"/>
  <c r="GH361" i="2"/>
  <c r="FU362" i="2"/>
  <c r="GG362" i="2"/>
  <c r="EO363" i="2"/>
  <c r="FU363" i="2"/>
  <c r="GG363" i="2"/>
  <c r="EO364" i="2"/>
  <c r="GE364" i="2"/>
  <c r="GE365" i="2"/>
  <c r="GD366" i="2"/>
  <c r="GD474" i="2"/>
  <c r="GD460" i="2"/>
  <c r="FU371" i="2"/>
  <c r="GG371" i="2"/>
  <c r="EO372" i="2"/>
  <c r="GF372" i="2"/>
  <c r="EN475" i="2"/>
  <c r="FA475" i="2"/>
  <c r="GE475" i="2"/>
  <c r="GE476" i="2"/>
  <c r="GC493" i="2"/>
  <c r="EK494" i="2"/>
  <c r="GA497" i="2"/>
  <c r="EI498" i="2"/>
  <c r="EU498" i="2"/>
  <c r="FZ498" i="2"/>
  <c r="GM498" i="2"/>
  <c r="GE499" i="2"/>
  <c r="GC500" i="2"/>
  <c r="EK529" i="2"/>
  <c r="GA529" i="2"/>
  <c r="EI578" i="2"/>
  <c r="EU578" i="2"/>
  <c r="FZ578" i="2"/>
  <c r="GM578" i="2"/>
  <c r="ET530" i="2"/>
  <c r="ES531" i="2"/>
  <c r="FW531" i="2"/>
  <c r="EQ532" i="2"/>
  <c r="GF532" i="2"/>
  <c r="EN579" i="2"/>
  <c r="FA579" i="2"/>
  <c r="GD579" i="2"/>
  <c r="GC533" i="2"/>
  <c r="EK534" i="2"/>
  <c r="EJ535" i="2"/>
  <c r="EV535" i="2"/>
  <c r="GA535" i="2"/>
  <c r="EI536" i="2"/>
  <c r="EU536" i="2"/>
  <c r="ES580" i="2"/>
  <c r="ER537" i="2"/>
  <c r="FU537" i="2"/>
  <c r="GG537" i="2"/>
  <c r="GD538" i="2"/>
  <c r="FW514" i="2"/>
  <c r="EQ515" i="2"/>
  <c r="FU515" i="2"/>
  <c r="GG515" i="2"/>
  <c r="EO516" i="2"/>
  <c r="GF516" i="2"/>
  <c r="ES518" i="2"/>
  <c r="ER539" i="2"/>
  <c r="FV539" i="2"/>
  <c r="GH539" i="2"/>
  <c r="FU581" i="2"/>
  <c r="GG581" i="2"/>
  <c r="EO630" i="2"/>
  <c r="GF630" i="2"/>
  <c r="GE631" i="2"/>
  <c r="GD582" i="2"/>
  <c r="GD540" i="2"/>
  <c r="GC541" i="2"/>
  <c r="EK583" i="2"/>
  <c r="GC583" i="2"/>
  <c r="EK570" i="2"/>
  <c r="GA570" i="2"/>
  <c r="EU584" i="2"/>
  <c r="FZ584" i="2"/>
  <c r="GM584" i="2"/>
  <c r="ET585" i="2"/>
  <c r="FZ585" i="2"/>
  <c r="GM585" i="2"/>
  <c r="ET586" i="2"/>
  <c r="FZ586" i="2"/>
  <c r="GM586" i="2"/>
  <c r="ET571" i="2"/>
  <c r="ER572" i="2"/>
  <c r="FW572" i="2"/>
  <c r="EQ573" i="2"/>
  <c r="FW573" i="2"/>
  <c r="EQ587" i="2"/>
  <c r="FW587" i="2"/>
  <c r="EQ588" i="2"/>
  <c r="FU588" i="2"/>
  <c r="GG588" i="2"/>
  <c r="EO589" i="2"/>
  <c r="GF589" i="2"/>
  <c r="EN574" i="2"/>
  <c r="GF259" i="2"/>
  <c r="EN97" i="2"/>
  <c r="FA97" i="2"/>
  <c r="GE97" i="2"/>
  <c r="EJ13" i="2"/>
  <c r="EV13" i="2"/>
  <c r="EJ40" i="2"/>
  <c r="EV40" i="2"/>
  <c r="GG375" i="2"/>
  <c r="EO590" i="2"/>
  <c r="GC340" i="2"/>
  <c r="EK341" i="2"/>
  <c r="GA341" i="2"/>
  <c r="EI346" i="2"/>
  <c r="EU346" i="2"/>
  <c r="ES367" i="2"/>
  <c r="ER368" i="2"/>
  <c r="FU368" i="2"/>
  <c r="GG368" i="2"/>
  <c r="EO370" i="2"/>
  <c r="GF370" i="2"/>
  <c r="EN357" i="2"/>
  <c r="FA357" i="2"/>
  <c r="GE357" i="2"/>
  <c r="GD358" i="2"/>
  <c r="GC369" i="2"/>
  <c r="FU360" i="2"/>
  <c r="GG360" i="2"/>
  <c r="FW361" i="2"/>
  <c r="EQ362" i="2"/>
  <c r="FV362" i="2"/>
  <c r="GH362" i="2"/>
  <c r="FV363" i="2"/>
  <c r="GH363" i="2"/>
  <c r="GF364" i="2"/>
  <c r="EN365" i="2"/>
  <c r="FA365" i="2"/>
  <c r="GF365" i="2"/>
  <c r="EN366" i="2"/>
  <c r="FA366" i="2"/>
  <c r="GE366" i="2"/>
  <c r="GE474" i="2"/>
  <c r="GE460" i="2"/>
  <c r="FV371" i="2"/>
  <c r="GH371" i="2"/>
  <c r="FU372" i="2"/>
  <c r="GG372" i="2"/>
  <c r="EO475" i="2"/>
  <c r="GF475" i="2"/>
  <c r="EN476" i="2"/>
  <c r="FA476" i="2"/>
  <c r="GF476" i="2"/>
  <c r="EN493" i="2"/>
  <c r="FA493" i="2"/>
  <c r="GD493" i="2"/>
  <c r="GC494" i="2"/>
  <c r="EJ498" i="2"/>
  <c r="EV498" i="2"/>
  <c r="GA498" i="2"/>
  <c r="GF499" i="2"/>
  <c r="EN500" i="2"/>
  <c r="FA500" i="2"/>
  <c r="GD500" i="2"/>
  <c r="EJ578" i="2"/>
  <c r="EV578" i="2"/>
  <c r="GA578" i="2"/>
  <c r="EI530" i="2"/>
  <c r="EU530" i="2"/>
  <c r="FZ530" i="2"/>
  <c r="GM530" i="2"/>
  <c r="ET531" i="2"/>
  <c r="ER532" i="2"/>
  <c r="FU532" i="2"/>
  <c r="GG532" i="2"/>
  <c r="GE579" i="2"/>
  <c r="GD533" i="2"/>
  <c r="GC534" i="2"/>
  <c r="EK535" i="2"/>
  <c r="EJ536" i="2"/>
  <c r="EV536" i="2"/>
  <c r="FZ536" i="2"/>
  <c r="GM536" i="2"/>
  <c r="ET580" i="2"/>
  <c r="ES537" i="2"/>
  <c r="FV537" i="2"/>
  <c r="GH537" i="2"/>
  <c r="GE538" i="2"/>
  <c r="ER515" i="2"/>
  <c r="FV515" i="2"/>
  <c r="GH515" i="2"/>
  <c r="FU516" i="2"/>
  <c r="GG516" i="2"/>
  <c r="FZ517" i="2"/>
  <c r="GM517" i="2"/>
  <c r="ET518" i="2"/>
  <c r="ES539" i="2"/>
  <c r="FW539" i="2"/>
  <c r="EQ581" i="2"/>
  <c r="FV581" i="2"/>
  <c r="GH581" i="2"/>
  <c r="FU630" i="2"/>
  <c r="GG630" i="2"/>
  <c r="GF631" i="2"/>
  <c r="EN582" i="2"/>
  <c r="FA582" i="2"/>
  <c r="GE582" i="2"/>
  <c r="GE540" i="2"/>
  <c r="GD541" i="2"/>
  <c r="GD583" i="2"/>
  <c r="EJ584" i="2"/>
  <c r="EV584" i="2"/>
  <c r="GA584" i="2"/>
  <c r="EI585" i="2"/>
  <c r="EU585" i="2"/>
  <c r="GA585" i="2"/>
  <c r="EI586" i="2"/>
  <c r="EU586" i="2"/>
  <c r="GA586" i="2"/>
  <c r="EU571" i="2"/>
  <c r="ES572" i="2"/>
  <c r="ER573" i="2"/>
  <c r="ER587" i="2"/>
  <c r="ER588" i="2"/>
  <c r="FV588" i="2"/>
  <c r="GH588" i="2"/>
  <c r="FU589" i="2"/>
  <c r="GG589" i="2"/>
  <c r="EO574" i="2"/>
  <c r="FU574" i="2"/>
  <c r="GG574" i="2"/>
  <c r="GA251" i="2"/>
  <c r="EU255" i="2"/>
  <c r="FZ255" i="2"/>
  <c r="GM255" i="2"/>
  <c r="EQ258" i="2"/>
  <c r="FV258" i="2"/>
  <c r="GH258" i="2"/>
  <c r="FU259" i="2"/>
  <c r="GG259" i="2"/>
  <c r="EO97" i="2"/>
  <c r="GF97" i="2"/>
  <c r="EN102" i="2"/>
  <c r="FA102" i="2"/>
  <c r="GE8" i="2"/>
  <c r="GC10" i="2"/>
  <c r="EK11" i="2"/>
  <c r="GC11" i="2"/>
  <c r="EK12" i="2"/>
  <c r="GD37" i="2"/>
  <c r="FV574" i="2"/>
  <c r="GH574" i="2"/>
  <c r="ER131" i="2"/>
  <c r="FV131" i="2"/>
  <c r="GH131" i="2"/>
  <c r="FU461" i="2"/>
  <c r="GG461" i="2"/>
  <c r="EO241" i="2"/>
  <c r="FU241" i="2"/>
  <c r="GG241" i="2"/>
  <c r="EO242" i="2"/>
  <c r="FU242" i="2"/>
  <c r="GG242" i="2"/>
  <c r="EO251" i="2"/>
  <c r="GE251" i="2"/>
  <c r="GD255" i="2"/>
  <c r="FU258" i="2"/>
  <c r="GG258" i="2"/>
  <c r="EO259" i="2"/>
  <c r="GE259" i="2"/>
  <c r="GD97" i="2"/>
  <c r="EJ129" i="2"/>
  <c r="EV129" i="2"/>
  <c r="FZ129" i="2"/>
  <c r="GM129" i="2"/>
  <c r="ET7" i="2"/>
  <c r="ES8" i="2"/>
  <c r="FW8" i="2"/>
  <c r="EQ9" i="2"/>
  <c r="GF9" i="2"/>
  <c r="EN10" i="2"/>
  <c r="GD10" i="2"/>
  <c r="EJ12" i="2"/>
  <c r="EV12" i="2"/>
  <c r="GA12" i="2"/>
  <c r="EI13" i="2"/>
  <c r="EU13" i="2"/>
  <c r="ES14" i="2"/>
  <c r="ER47" i="2"/>
  <c r="FV47" i="2"/>
  <c r="GH47" i="2"/>
  <c r="FU24" i="2"/>
  <c r="GG24" i="2"/>
  <c r="ER42" i="2"/>
  <c r="FW42" i="2"/>
  <c r="EQ35" i="2"/>
  <c r="FU35" i="2"/>
  <c r="GG35" i="2"/>
  <c r="GF36" i="2"/>
  <c r="GD38" i="2"/>
  <c r="ES44" i="2"/>
  <c r="ER45" i="2"/>
  <c r="ER342" i="2"/>
  <c r="FW342" i="2"/>
  <c r="EQ343" i="2"/>
  <c r="FU374" i="2"/>
  <c r="GG374" i="2"/>
  <c r="GE542" i="2"/>
  <c r="EJ545" i="2"/>
  <c r="EV545" i="2"/>
  <c r="EJ546" i="2"/>
  <c r="EV546" i="2"/>
  <c r="ES592" i="2"/>
  <c r="ER593" i="2"/>
  <c r="FW593" i="2"/>
  <c r="EQ594" i="2"/>
  <c r="ER88" i="2"/>
  <c r="EJ245" i="2"/>
  <c r="EV245" i="2"/>
  <c r="FV132" i="2"/>
  <c r="GH132" i="2"/>
  <c r="GE133" i="2"/>
  <c r="FZ13" i="2"/>
  <c r="GM13" i="2"/>
  <c r="ET14" i="2"/>
  <c r="ES47" i="2"/>
  <c r="FW47" i="2"/>
  <c r="EQ24" i="2"/>
  <c r="FV24" i="2"/>
  <c r="GH24" i="2"/>
  <c r="ES42" i="2"/>
  <c r="ER35" i="2"/>
  <c r="FV35" i="2"/>
  <c r="GH35" i="2"/>
  <c r="GF37" i="2"/>
  <c r="FA38" i="2"/>
  <c r="GE38" i="2"/>
  <c r="FZ41" i="2"/>
  <c r="GM41" i="2"/>
  <c r="ET43" i="2"/>
  <c r="FV373" i="2"/>
  <c r="GH373" i="2"/>
  <c r="FU375" i="2"/>
  <c r="FU590" i="2"/>
  <c r="GG590" i="2"/>
  <c r="EO542" i="2"/>
  <c r="GC544" i="2"/>
  <c r="EK545" i="2"/>
  <c r="GA547" i="2"/>
  <c r="EI591" i="2"/>
  <c r="EU591" i="2"/>
  <c r="GF549" i="2"/>
  <c r="FA600" i="2"/>
  <c r="GC118" i="2"/>
  <c r="EK119" i="2"/>
  <c r="GA119" i="2"/>
  <c r="EI103" i="2"/>
  <c r="EU103" i="2"/>
  <c r="EJ7" i="2"/>
  <c r="EV7" i="2"/>
  <c r="GA7" i="2"/>
  <c r="EI8" i="2"/>
  <c r="EU8" i="2"/>
  <c r="ES9" i="2"/>
  <c r="FV9" i="2"/>
  <c r="GH9" i="2"/>
  <c r="GF10" i="2"/>
  <c r="EN11" i="2"/>
  <c r="FA11" i="2"/>
  <c r="GD11" i="2"/>
  <c r="GC12" i="2"/>
  <c r="EK13" i="2"/>
  <c r="GA13" i="2"/>
  <c r="EI14" i="2"/>
  <c r="EU14" i="2"/>
  <c r="FZ14" i="2"/>
  <c r="GM14" i="2"/>
  <c r="ET47" i="2"/>
  <c r="ER24" i="2"/>
  <c r="FW24" i="2"/>
  <c r="FZ34" i="2"/>
  <c r="GM34" i="2"/>
  <c r="ET42" i="2"/>
  <c r="ES35" i="2"/>
  <c r="FW35" i="2"/>
  <c r="FV36" i="2"/>
  <c r="GH36" i="2"/>
  <c r="FU37" i="2"/>
  <c r="GG37" i="2"/>
  <c r="EO38" i="2"/>
  <c r="GE39" i="2"/>
  <c r="GC40" i="2"/>
  <c r="EK41" i="2"/>
  <c r="GA43" i="2"/>
  <c r="EI44" i="2"/>
  <c r="EU44" i="2"/>
  <c r="FZ44" i="2"/>
  <c r="GM44" i="2"/>
  <c r="ET45" i="2"/>
  <c r="ES373" i="2"/>
  <c r="FW374" i="2"/>
  <c r="ER590" i="2"/>
  <c r="FU542" i="2"/>
  <c r="GG542" i="2"/>
  <c r="GC546" i="2"/>
  <c r="EK547" i="2"/>
  <c r="GA591" i="2"/>
  <c r="EI592" i="2"/>
  <c r="EU592" i="2"/>
  <c r="FZ592" i="2"/>
  <c r="GM592" i="2"/>
  <c r="ET593" i="2"/>
  <c r="ES594" i="2"/>
  <c r="FW599" i="2"/>
  <c r="EQ549" i="2"/>
  <c r="GC243" i="2"/>
  <c r="GD212" i="2"/>
  <c r="ES125" i="2"/>
  <c r="EJ268" i="2"/>
  <c r="EV268" i="2"/>
  <c r="GA268" i="2"/>
  <c r="EI550" i="2"/>
  <c r="EU550" i="2"/>
  <c r="EU131" i="2"/>
  <c r="ES461" i="2"/>
  <c r="ER241" i="2"/>
  <c r="ER242" i="2"/>
  <c r="ER251" i="2"/>
  <c r="FV251" i="2"/>
  <c r="GH251" i="2"/>
  <c r="FU255" i="2"/>
  <c r="GG255" i="2"/>
  <c r="ES258" i="2"/>
  <c r="ER259" i="2"/>
  <c r="FV259" i="2"/>
  <c r="GH259" i="2"/>
  <c r="FU97" i="2"/>
  <c r="GG97" i="2"/>
  <c r="EO102" i="2"/>
  <c r="GE102" i="2"/>
  <c r="GC129" i="2"/>
  <c r="EK7" i="2"/>
  <c r="EJ8" i="2"/>
  <c r="EV8" i="2"/>
  <c r="FZ8" i="2"/>
  <c r="GM8" i="2"/>
  <c r="ET9" i="2"/>
  <c r="FW9" i="2"/>
  <c r="EQ10" i="2"/>
  <c r="FU10" i="2"/>
  <c r="GG10" i="2"/>
  <c r="GE11" i="2"/>
  <c r="GD12" i="2"/>
  <c r="EJ14" i="2"/>
  <c r="EV14" i="2"/>
  <c r="GA14" i="2"/>
  <c r="EI47" i="2"/>
  <c r="EU47" i="2"/>
  <c r="ES24" i="2"/>
  <c r="GA34" i="2"/>
  <c r="EI42" i="2"/>
  <c r="EU42" i="2"/>
  <c r="FZ42" i="2"/>
  <c r="GM42" i="2"/>
  <c r="ET35" i="2"/>
  <c r="ER36" i="2"/>
  <c r="FW36" i="2"/>
  <c r="EQ37" i="2"/>
  <c r="EJ43" i="2"/>
  <c r="EV43" i="2"/>
  <c r="EJ44" i="2"/>
  <c r="EV44" i="2"/>
  <c r="GA44" i="2"/>
  <c r="EI45" i="2"/>
  <c r="EU45" i="2"/>
  <c r="GA45" i="2"/>
  <c r="EI342" i="2"/>
  <c r="EU342" i="2"/>
  <c r="FZ342" i="2"/>
  <c r="GM342" i="2"/>
  <c r="ET343" i="2"/>
  <c r="ER374" i="2"/>
  <c r="FW590" i="2"/>
  <c r="EQ542" i="2"/>
  <c r="GE545" i="2"/>
  <c r="GC547" i="2"/>
  <c r="EK591" i="2"/>
  <c r="ET574" i="2"/>
  <c r="FZ574" i="2"/>
  <c r="GM574" i="2"/>
  <c r="EJ131" i="2"/>
  <c r="EV131" i="2"/>
  <c r="FZ131" i="2"/>
  <c r="GM131" i="2"/>
  <c r="ET461" i="2"/>
  <c r="ES241" i="2"/>
  <c r="ES242" i="2"/>
  <c r="ES251" i="2"/>
  <c r="FW251" i="2"/>
  <c r="EQ255" i="2"/>
  <c r="FV255" i="2"/>
  <c r="GH255" i="2"/>
  <c r="ET258" i="2"/>
  <c r="ES259" i="2"/>
  <c r="FW259" i="2"/>
  <c r="EQ97" i="2"/>
  <c r="FV97" i="2"/>
  <c r="GH97" i="2"/>
  <c r="GF102" i="2"/>
  <c r="FA129" i="2"/>
  <c r="GD129" i="2"/>
  <c r="GC7" i="2"/>
  <c r="EK8" i="2"/>
  <c r="GA8" i="2"/>
  <c r="EU9" i="2"/>
  <c r="ER10" i="2"/>
  <c r="FV10" i="2"/>
  <c r="GH10" i="2"/>
  <c r="GF11" i="2"/>
  <c r="EN12" i="2"/>
  <c r="GE12" i="2"/>
  <c r="GC13" i="2"/>
  <c r="EK14" i="2"/>
  <c r="EJ47" i="2"/>
  <c r="EV47" i="2"/>
  <c r="FZ47" i="2"/>
  <c r="GM47" i="2"/>
  <c r="ET24" i="2"/>
  <c r="EJ42" i="2"/>
  <c r="EV42" i="2"/>
  <c r="GA42" i="2"/>
  <c r="EI35" i="2"/>
  <c r="EU35" i="2"/>
  <c r="ES36" i="2"/>
  <c r="FV38" i="2"/>
  <c r="GH38" i="2"/>
  <c r="FU39" i="2"/>
  <c r="GG39" i="2"/>
  <c r="GE40" i="2"/>
  <c r="GC41" i="2"/>
  <c r="EK43" i="2"/>
  <c r="GC43" i="2"/>
  <c r="GA343" i="2"/>
  <c r="EI373" i="2"/>
  <c r="EU373" i="2"/>
  <c r="GM375" i="2"/>
  <c r="ET590" i="2"/>
  <c r="GF544" i="2"/>
  <c r="EN545" i="2"/>
  <c r="FA545" i="2"/>
  <c r="GE546" i="2"/>
  <c r="ES599" i="2"/>
  <c r="FU211" i="2"/>
  <c r="GG211" i="2"/>
  <c r="EO212" i="2"/>
  <c r="EU574" i="2"/>
  <c r="GA574" i="2"/>
  <c r="EK131" i="2"/>
  <c r="GA131" i="2"/>
  <c r="EU461" i="2"/>
  <c r="FZ461" i="2"/>
  <c r="GM461" i="2"/>
  <c r="ET241" i="2"/>
  <c r="FZ241" i="2"/>
  <c r="GM241" i="2"/>
  <c r="ET242" i="2"/>
  <c r="FZ242" i="2"/>
  <c r="GM242" i="2"/>
  <c r="ET251" i="2"/>
  <c r="ER255" i="2"/>
  <c r="FW255" i="2"/>
  <c r="EI258" i="2"/>
  <c r="EU258" i="2"/>
  <c r="FZ258" i="2"/>
  <c r="GM258" i="2"/>
  <c r="ET259" i="2"/>
  <c r="ER97" i="2"/>
  <c r="FW97" i="2"/>
  <c r="EQ102" i="2"/>
  <c r="FU102" i="2"/>
  <c r="GG102" i="2"/>
  <c r="EO129" i="2"/>
  <c r="GE129" i="2"/>
  <c r="GD7" i="2"/>
  <c r="EJ9" i="2"/>
  <c r="EV9" i="2"/>
  <c r="ES10" i="2"/>
  <c r="FW10" i="2"/>
  <c r="EQ11" i="2"/>
  <c r="FU11" i="2"/>
  <c r="GG11" i="2"/>
  <c r="EO12" i="2"/>
  <c r="GF12" i="2"/>
  <c r="EN13" i="2"/>
  <c r="FA13" i="2"/>
  <c r="GD13" i="2"/>
  <c r="GC14" i="2"/>
  <c r="EK47" i="2"/>
  <c r="GA47" i="2"/>
  <c r="EI24" i="2"/>
  <c r="EU24" i="2"/>
  <c r="FZ24" i="2"/>
  <c r="GM24" i="2"/>
  <c r="GC34" i="2"/>
  <c r="EK42" i="2"/>
  <c r="EJ35" i="2"/>
  <c r="EV35" i="2"/>
  <c r="FZ35" i="2"/>
  <c r="GM35" i="2"/>
  <c r="ER38" i="2"/>
  <c r="FV39" i="2"/>
  <c r="GH39" i="2"/>
  <c r="GF40" i="2"/>
  <c r="GD41" i="2"/>
  <c r="GC45" i="2"/>
  <c r="EK342" i="2"/>
  <c r="EJ343" i="2"/>
  <c r="EV343" i="2"/>
  <c r="FU545" i="2"/>
  <c r="GG545" i="2"/>
  <c r="EO546" i="2"/>
  <c r="EJ263" i="2"/>
  <c r="EV263" i="2"/>
  <c r="EV574" i="2"/>
  <c r="EJ461" i="2"/>
  <c r="EV461" i="2"/>
  <c r="GA461" i="2"/>
  <c r="EI241" i="2"/>
  <c r="EU241" i="2"/>
  <c r="GA241" i="2"/>
  <c r="EI242" i="2"/>
  <c r="EU242" i="2"/>
  <c r="GA242" i="2"/>
  <c r="EU251" i="2"/>
  <c r="ES255" i="2"/>
  <c r="EJ258" i="2"/>
  <c r="EV258" i="2"/>
  <c r="GA258" i="2"/>
  <c r="EU259" i="2"/>
  <c r="ES97" i="2"/>
  <c r="ER102" i="2"/>
  <c r="FV102" i="2"/>
  <c r="GH102" i="2"/>
  <c r="GF129" i="2"/>
  <c r="FA7" i="2"/>
  <c r="GE7" i="2"/>
  <c r="GC8" i="2"/>
  <c r="EK9" i="2"/>
  <c r="FZ9" i="2"/>
  <c r="GM9" i="2"/>
  <c r="ET10" i="2"/>
  <c r="ER11" i="2"/>
  <c r="FV11" i="2"/>
  <c r="GH11" i="2"/>
  <c r="FU12" i="2"/>
  <c r="GG12" i="2"/>
  <c r="GE13" i="2"/>
  <c r="GD14" i="2"/>
  <c r="EJ24" i="2"/>
  <c r="EV24" i="2"/>
  <c r="GA24" i="2"/>
  <c r="GD34" i="2"/>
  <c r="GC42" i="2"/>
  <c r="EK35" i="2"/>
  <c r="GA35" i="2"/>
  <c r="EI36" i="2"/>
  <c r="FZ36" i="2"/>
  <c r="GM36" i="2"/>
  <c r="ET37" i="2"/>
  <c r="ER39" i="2"/>
  <c r="FW39" i="2"/>
  <c r="EQ40" i="2"/>
  <c r="FU40" i="2"/>
  <c r="GG40" i="2"/>
  <c r="EO41" i="2"/>
  <c r="GE43" i="2"/>
  <c r="GD44" i="2"/>
  <c r="GA374" i="2"/>
  <c r="FZ375" i="2"/>
  <c r="FV544" i="2"/>
  <c r="GH544" i="2"/>
  <c r="GE591" i="2"/>
  <c r="GE261" i="2"/>
  <c r="GC574" i="2"/>
  <c r="GC131" i="2"/>
  <c r="EK461" i="2"/>
  <c r="EJ241" i="2"/>
  <c r="EV241" i="2"/>
  <c r="EJ242" i="2"/>
  <c r="EV242" i="2"/>
  <c r="EJ251" i="2"/>
  <c r="EV251" i="2"/>
  <c r="FZ251" i="2"/>
  <c r="GM251" i="2"/>
  <c r="ET255" i="2"/>
  <c r="EK258" i="2"/>
  <c r="EJ259" i="2"/>
  <c r="EV259" i="2"/>
  <c r="FZ259" i="2"/>
  <c r="GM259" i="2"/>
  <c r="ET97" i="2"/>
  <c r="ES102" i="2"/>
  <c r="FW102" i="2"/>
  <c r="EQ129" i="2"/>
  <c r="FU129" i="2"/>
  <c r="GG129" i="2"/>
  <c r="EO7" i="2"/>
  <c r="GF7" i="2"/>
  <c r="GD8" i="2"/>
  <c r="GA9" i="2"/>
  <c r="EI10" i="2"/>
  <c r="EU10" i="2"/>
  <c r="ES11" i="2"/>
  <c r="FW11" i="2"/>
  <c r="EQ12" i="2"/>
  <c r="FV12" i="2"/>
  <c r="GH12" i="2"/>
  <c r="GF13" i="2"/>
  <c r="EN14" i="2"/>
  <c r="GE14" i="2"/>
  <c r="GC47" i="2"/>
  <c r="EK24" i="2"/>
  <c r="GE34" i="2"/>
  <c r="GD42" i="2"/>
  <c r="EJ36" i="2"/>
  <c r="EV36" i="2"/>
  <c r="FZ37" i="2"/>
  <c r="GM37" i="2"/>
  <c r="ET38" i="2"/>
  <c r="ES39" i="2"/>
  <c r="GF41" i="2"/>
  <c r="EN43" i="2"/>
  <c r="FA43" i="2"/>
  <c r="EJ374" i="2"/>
  <c r="EV374" i="2"/>
  <c r="GA590" i="2"/>
  <c r="EI542" i="2"/>
  <c r="EU542" i="2"/>
  <c r="ER544" i="2"/>
  <c r="FU547" i="2"/>
  <c r="GG547" i="2"/>
  <c r="EJ598" i="2"/>
  <c r="EV598" i="2"/>
  <c r="FZ244" i="2"/>
  <c r="GM244" i="2"/>
  <c r="GE16" i="2"/>
  <c r="GD17" i="2"/>
  <c r="FV18" i="2"/>
  <c r="GH18" i="2"/>
  <c r="GG13" i="2"/>
  <c r="EO14" i="2"/>
  <c r="GF14" i="2"/>
  <c r="EN47" i="2"/>
  <c r="GD47" i="2"/>
  <c r="GC24" i="2"/>
  <c r="GF34" i="2"/>
  <c r="EN42" i="2"/>
  <c r="FA42" i="2"/>
  <c r="GE42" i="2"/>
  <c r="GC35" i="2"/>
  <c r="EJ37" i="2"/>
  <c r="EV37" i="2"/>
  <c r="GA37" i="2"/>
  <c r="EI38" i="2"/>
  <c r="EU38" i="2"/>
  <c r="FZ38" i="2"/>
  <c r="GM38" i="2"/>
  <c r="ET39" i="2"/>
  <c r="ES40" i="2"/>
  <c r="FW40" i="2"/>
  <c r="EQ41" i="2"/>
  <c r="FU43" i="2"/>
  <c r="GG43" i="2"/>
  <c r="EO44" i="2"/>
  <c r="GF44" i="2"/>
  <c r="GE343" i="2"/>
  <c r="GC374" i="2"/>
  <c r="GD375" i="2"/>
  <c r="GA542" i="2"/>
  <c r="FW546" i="2"/>
  <c r="EQ547" i="2"/>
  <c r="FU591" i="2"/>
  <c r="GG591" i="2"/>
  <c r="GE624" i="2"/>
  <c r="FV252" i="2"/>
  <c r="GH252" i="2"/>
  <c r="GE282" i="2"/>
  <c r="ES129" i="2"/>
  <c r="FW129" i="2"/>
  <c r="EQ7" i="2"/>
  <c r="FV7" i="2"/>
  <c r="GH7" i="2"/>
  <c r="GF8" i="2"/>
  <c r="GC9" i="2"/>
  <c r="EK10" i="2"/>
  <c r="GA10" i="2"/>
  <c r="EI11" i="2"/>
  <c r="EU11" i="2"/>
  <c r="ES12" i="2"/>
  <c r="ER13" i="2"/>
  <c r="FV13" i="2"/>
  <c r="GH13" i="2"/>
  <c r="FU14" i="2"/>
  <c r="GG14" i="2"/>
  <c r="EO47" i="2"/>
  <c r="GE47" i="2"/>
  <c r="GD24" i="2"/>
  <c r="FU34" i="2"/>
  <c r="GG34" i="2"/>
  <c r="GF42" i="2"/>
  <c r="EN35" i="2"/>
  <c r="GD35" i="2"/>
  <c r="GC36" i="2"/>
  <c r="EK37" i="2"/>
  <c r="EJ38" i="2"/>
  <c r="EV38" i="2"/>
  <c r="FV41" i="2"/>
  <c r="GH41" i="2"/>
  <c r="FV43" i="2"/>
  <c r="FU45" i="2"/>
  <c r="GG45" i="2"/>
  <c r="EO342" i="2"/>
  <c r="GF342" i="2"/>
  <c r="EN343" i="2"/>
  <c r="FA343" i="2"/>
  <c r="GD373" i="2"/>
  <c r="GD374" i="2"/>
  <c r="GC590" i="2"/>
  <c r="EK542" i="2"/>
  <c r="ES546" i="2"/>
  <c r="FW547" i="2"/>
  <c r="EQ591" i="2"/>
  <c r="FV591" i="2"/>
  <c r="GH591" i="2"/>
  <c r="GD597" i="2"/>
  <c r="FU88" i="2"/>
  <c r="GG88" i="2"/>
  <c r="ES252" i="2"/>
  <c r="FA574" i="2"/>
  <c r="GF574" i="2"/>
  <c r="GF131" i="2"/>
  <c r="EN461" i="2"/>
  <c r="FA461" i="2"/>
  <c r="GE461" i="2"/>
  <c r="GE241" i="2"/>
  <c r="GE242" i="2"/>
  <c r="GC251" i="2"/>
  <c r="EK255" i="2"/>
  <c r="EN258" i="2"/>
  <c r="FA258" i="2"/>
  <c r="GE258" i="2"/>
  <c r="GC259" i="2"/>
  <c r="EK97" i="2"/>
  <c r="EJ102" i="2"/>
  <c r="EV102" i="2"/>
  <c r="FZ102" i="2"/>
  <c r="GM102" i="2"/>
  <c r="ET129" i="2"/>
  <c r="ER7" i="2"/>
  <c r="FW7" i="2"/>
  <c r="EQ8" i="2"/>
  <c r="FU8" i="2"/>
  <c r="GG8" i="2"/>
  <c r="EO9" i="2"/>
  <c r="GD9" i="2"/>
  <c r="EJ11" i="2"/>
  <c r="EV11" i="2"/>
  <c r="FZ11" i="2"/>
  <c r="GM11" i="2"/>
  <c r="ET12" i="2"/>
  <c r="ES13" i="2"/>
  <c r="FW13" i="2"/>
  <c r="EQ14" i="2"/>
  <c r="FV14" i="2"/>
  <c r="GH14" i="2"/>
  <c r="GF47" i="2"/>
  <c r="EN24" i="2"/>
  <c r="FA24" i="2"/>
  <c r="GE24" i="2"/>
  <c r="FV34" i="2"/>
  <c r="GH34" i="2"/>
  <c r="FU42" i="2"/>
  <c r="GG42" i="2"/>
  <c r="EO35" i="2"/>
  <c r="GE35" i="2"/>
  <c r="GD36" i="2"/>
  <c r="EJ39" i="2"/>
  <c r="EV39" i="2"/>
  <c r="GA39" i="2"/>
  <c r="EI40" i="2"/>
  <c r="EU40" i="2"/>
  <c r="ES41" i="2"/>
  <c r="FW41" i="2"/>
  <c r="EQ43" i="2"/>
  <c r="FU343" i="2"/>
  <c r="GG343" i="2"/>
  <c r="EO373" i="2"/>
  <c r="GE373" i="2"/>
  <c r="GF375" i="2"/>
  <c r="GD590" i="2"/>
  <c r="FZ544" i="2"/>
  <c r="GM544" i="2"/>
  <c r="ET545" i="2"/>
  <c r="ES547" i="2"/>
  <c r="ER591" i="2"/>
  <c r="FU595" i="2"/>
  <c r="GG595" i="2"/>
  <c r="GF596" i="2"/>
  <c r="EN597" i="2"/>
  <c r="FA597" i="2"/>
  <c r="GC600" i="2"/>
  <c r="EQ36" i="2"/>
  <c r="FU36" i="2"/>
  <c r="GG36" i="2"/>
  <c r="EO37" i="2"/>
  <c r="GE37" i="2"/>
  <c r="GC38" i="2"/>
  <c r="EK39" i="2"/>
  <c r="FZ39" i="2"/>
  <c r="GM39" i="2"/>
  <c r="ET40" i="2"/>
  <c r="ER41" i="2"/>
  <c r="FU41" i="2"/>
  <c r="GG41" i="2"/>
  <c r="EO43" i="2"/>
  <c r="GF43" i="2"/>
  <c r="EN44" i="2"/>
  <c r="FA44" i="2"/>
  <c r="GE44" i="2"/>
  <c r="EJ342" i="2"/>
  <c r="EV342" i="2"/>
  <c r="GA342" i="2"/>
  <c r="EI343" i="2"/>
  <c r="EU343" i="2"/>
  <c r="FZ343" i="2"/>
  <c r="GM343" i="2"/>
  <c r="ET373" i="2"/>
  <c r="FW373" i="2"/>
  <c r="EQ374" i="2"/>
  <c r="FV374" i="2"/>
  <c r="GH374" i="2"/>
  <c r="ES590" i="2"/>
  <c r="FV590" i="2"/>
  <c r="GH590" i="2"/>
  <c r="GF542" i="2"/>
  <c r="EQ544" i="2"/>
  <c r="FU544" i="2"/>
  <c r="GG544" i="2"/>
  <c r="EO545" i="2"/>
  <c r="GF545" i="2"/>
  <c r="EN546" i="2"/>
  <c r="FA546" i="2"/>
  <c r="GD546" i="2"/>
  <c r="EJ591" i="2"/>
  <c r="EV591" i="2"/>
  <c r="FZ591" i="2"/>
  <c r="GM591" i="2"/>
  <c r="ET592" i="2"/>
  <c r="ES593" i="2"/>
  <c r="ER594" i="2"/>
  <c r="FW594" i="2"/>
  <c r="EQ595" i="2"/>
  <c r="FV595" i="2"/>
  <c r="GH595" i="2"/>
  <c r="FU596" i="2"/>
  <c r="GG596" i="2"/>
  <c r="EO597" i="2"/>
  <c r="GE597" i="2"/>
  <c r="GC548" i="2"/>
  <c r="EK598" i="2"/>
  <c r="FZ598" i="2"/>
  <c r="GM598" i="2"/>
  <c r="ET599" i="2"/>
  <c r="ER549" i="2"/>
  <c r="FU549" i="2"/>
  <c r="GG549" i="2"/>
  <c r="EO600" i="2"/>
  <c r="GD600" i="2"/>
  <c r="GF624" i="2"/>
  <c r="GD243" i="2"/>
  <c r="GA244" i="2"/>
  <c r="ES88" i="2"/>
  <c r="FV88" i="2"/>
  <c r="GH88" i="2"/>
  <c r="FV211" i="2"/>
  <c r="GH211" i="2"/>
  <c r="GE212" i="2"/>
  <c r="GC228" i="2"/>
  <c r="EK245" i="2"/>
  <c r="FZ245" i="2"/>
  <c r="GM245" i="2"/>
  <c r="ET252" i="2"/>
  <c r="FW252" i="2"/>
  <c r="EQ261" i="2"/>
  <c r="GF261" i="2"/>
  <c r="FA262" i="2"/>
  <c r="GC262" i="2"/>
  <c r="EK263" i="2"/>
  <c r="FZ263" i="2"/>
  <c r="GM263" i="2"/>
  <c r="ET125" i="2"/>
  <c r="ER132" i="2"/>
  <c r="FW132" i="2"/>
  <c r="EQ133" i="2"/>
  <c r="GF133" i="2"/>
  <c r="GD118" i="2"/>
  <c r="GA214" i="2"/>
  <c r="GF16" i="2"/>
  <c r="EN17" i="2"/>
  <c r="FA17" i="2"/>
  <c r="GE17" i="2"/>
  <c r="EN18" i="2"/>
  <c r="ER595" i="2"/>
  <c r="FW595" i="2"/>
  <c r="EQ596" i="2"/>
  <c r="FV596" i="2"/>
  <c r="GH596" i="2"/>
  <c r="GF597" i="2"/>
  <c r="EN548" i="2"/>
  <c r="FA548" i="2"/>
  <c r="GD548" i="2"/>
  <c r="GA598" i="2"/>
  <c r="EI599" i="2"/>
  <c r="EU599" i="2"/>
  <c r="ES549" i="2"/>
  <c r="FV549" i="2"/>
  <c r="GH549" i="2"/>
  <c r="GE600" i="2"/>
  <c r="FU624" i="2"/>
  <c r="GG624" i="2"/>
  <c r="GE243" i="2"/>
  <c r="FZ260" i="2"/>
  <c r="GM260" i="2"/>
  <c r="ET88" i="2"/>
  <c r="FW88" i="2"/>
  <c r="FW211" i="2"/>
  <c r="GF212" i="2"/>
  <c r="FA228" i="2"/>
  <c r="GD228" i="2"/>
  <c r="GA245" i="2"/>
  <c r="EI252" i="2"/>
  <c r="EU252" i="2"/>
  <c r="ER261" i="2"/>
  <c r="FU261" i="2"/>
  <c r="GG261" i="2"/>
  <c r="EO262" i="2"/>
  <c r="GD262" i="2"/>
  <c r="GA263" i="2"/>
  <c r="EI125" i="2"/>
  <c r="EU125" i="2"/>
  <c r="ES132" i="2"/>
  <c r="FA118" i="2"/>
  <c r="GA103" i="2"/>
  <c r="EI281" i="2"/>
  <c r="EU281" i="2"/>
  <c r="FU282" i="2"/>
  <c r="GG282" i="2"/>
  <c r="GE231" i="2"/>
  <c r="GD264" i="2"/>
  <c r="GC232" i="2"/>
  <c r="EK233" i="2"/>
  <c r="GC233" i="2"/>
  <c r="EK213" i="2"/>
  <c r="EJ214" i="2"/>
  <c r="EV214" i="2"/>
  <c r="FW15" i="2"/>
  <c r="FW85" i="2"/>
  <c r="EQ265" i="2"/>
  <c r="FW265" i="2"/>
  <c r="FU256" i="2"/>
  <c r="GG256" i="2"/>
  <c r="GH43" i="2"/>
  <c r="FU44" i="2"/>
  <c r="GG44" i="2"/>
  <c r="EO45" i="2"/>
  <c r="GD45" i="2"/>
  <c r="GC342" i="2"/>
  <c r="EK343" i="2"/>
  <c r="EJ373" i="2"/>
  <c r="EV373" i="2"/>
  <c r="ES374" i="2"/>
  <c r="GA375" i="2"/>
  <c r="EI590" i="2"/>
  <c r="EU590" i="2"/>
  <c r="ER542" i="2"/>
  <c r="FV542" i="2"/>
  <c r="GH542" i="2"/>
  <c r="ES544" i="2"/>
  <c r="FW544" i="2"/>
  <c r="EQ545" i="2"/>
  <c r="FV545" i="2"/>
  <c r="GH545" i="2"/>
  <c r="GF546" i="2"/>
  <c r="FA547" i="2"/>
  <c r="GD547" i="2"/>
  <c r="EJ592" i="2"/>
  <c r="EV592" i="2"/>
  <c r="GA592" i="2"/>
  <c r="EI593" i="2"/>
  <c r="EU593" i="2"/>
  <c r="FZ593" i="2"/>
  <c r="GM593" i="2"/>
  <c r="ET594" i="2"/>
  <c r="ES595" i="2"/>
  <c r="ER596" i="2"/>
  <c r="FW596" i="2"/>
  <c r="EQ597" i="2"/>
  <c r="FU597" i="2"/>
  <c r="GG597" i="2"/>
  <c r="GE548" i="2"/>
  <c r="EJ599" i="2"/>
  <c r="EV599" i="2"/>
  <c r="FZ599" i="2"/>
  <c r="GM599" i="2"/>
  <c r="ET549" i="2"/>
  <c r="FW549" i="2"/>
  <c r="EQ600" i="2"/>
  <c r="GF600" i="2"/>
  <c r="FV624" i="2"/>
  <c r="GH624" i="2"/>
  <c r="GF243" i="2"/>
  <c r="GC244" i="2"/>
  <c r="GA260" i="2"/>
  <c r="EI88" i="2"/>
  <c r="EU88" i="2"/>
  <c r="ER212" i="2"/>
  <c r="FU212" i="2"/>
  <c r="GG212" i="2"/>
  <c r="EO228" i="2"/>
  <c r="GE228" i="2"/>
  <c r="EJ252" i="2"/>
  <c r="EV252" i="2"/>
  <c r="ES261" i="2"/>
  <c r="FV261" i="2"/>
  <c r="GH261" i="2"/>
  <c r="GE262" i="2"/>
  <c r="EJ125" i="2"/>
  <c r="EV125" i="2"/>
  <c r="FZ125" i="2"/>
  <c r="GM125" i="2"/>
  <c r="ET132" i="2"/>
  <c r="ES133" i="2"/>
  <c r="FV133" i="2"/>
  <c r="GH133" i="2"/>
  <c r="GD119" i="2"/>
  <c r="FZ281" i="2"/>
  <c r="GM281" i="2"/>
  <c r="GC214" i="2"/>
  <c r="FZ235" i="2"/>
  <c r="GM235" i="2"/>
  <c r="ES19" i="2"/>
  <c r="ES84" i="2"/>
  <c r="ER85" i="2"/>
  <c r="EN248" i="2"/>
  <c r="FA248" i="2"/>
  <c r="GF248" i="2"/>
  <c r="EN173" i="2"/>
  <c r="FA173" i="2"/>
  <c r="ET36" i="2"/>
  <c r="ER37" i="2"/>
  <c r="FV37" i="2"/>
  <c r="GH37" i="2"/>
  <c r="GF38" i="2"/>
  <c r="GC39" i="2"/>
  <c r="EK40" i="2"/>
  <c r="GA40" i="2"/>
  <c r="EI41" i="2"/>
  <c r="EU41" i="2"/>
  <c r="ER43" i="2"/>
  <c r="FW43" i="2"/>
  <c r="EQ44" i="2"/>
  <c r="FV44" i="2"/>
  <c r="GH44" i="2"/>
  <c r="GE45" i="2"/>
  <c r="GD342" i="2"/>
  <c r="GC343" i="2"/>
  <c r="EK373" i="2"/>
  <c r="FZ373" i="2"/>
  <c r="GM373" i="2"/>
  <c r="ET374" i="2"/>
  <c r="EJ590" i="2"/>
  <c r="EV590" i="2"/>
  <c r="ES542" i="2"/>
  <c r="FW542" i="2"/>
  <c r="ET544" i="2"/>
  <c r="ER545" i="2"/>
  <c r="FW545" i="2"/>
  <c r="EQ546" i="2"/>
  <c r="FU546" i="2"/>
  <c r="GG546" i="2"/>
  <c r="EO547" i="2"/>
  <c r="GE547" i="2"/>
  <c r="GC591" i="2"/>
  <c r="EK592" i="2"/>
  <c r="EJ593" i="2"/>
  <c r="EV593" i="2"/>
  <c r="GA593" i="2"/>
  <c r="EI594" i="2"/>
  <c r="EU594" i="2"/>
  <c r="FZ594" i="2"/>
  <c r="GM594" i="2"/>
  <c r="ET595" i="2"/>
  <c r="ES596" i="2"/>
  <c r="ER597" i="2"/>
  <c r="FV597" i="2"/>
  <c r="GH597" i="2"/>
  <c r="GF548" i="2"/>
  <c r="GC598" i="2"/>
  <c r="EK599" i="2"/>
  <c r="GA599" i="2"/>
  <c r="EI549" i="2"/>
  <c r="EU549" i="2"/>
  <c r="ER600" i="2"/>
  <c r="FU600" i="2"/>
  <c r="GG600" i="2"/>
  <c r="FW624" i="2"/>
  <c r="FU243" i="2"/>
  <c r="GG243" i="2"/>
  <c r="GD244" i="2"/>
  <c r="EJ88" i="2"/>
  <c r="EV88" i="2"/>
  <c r="ES212" i="2"/>
  <c r="FV212" i="2"/>
  <c r="GH212" i="2"/>
  <c r="GF228" i="2"/>
  <c r="FA245" i="2"/>
  <c r="GC245" i="2"/>
  <c r="EK252" i="2"/>
  <c r="FZ252" i="2"/>
  <c r="GM252" i="2"/>
  <c r="ET261" i="2"/>
  <c r="FW261" i="2"/>
  <c r="EQ262" i="2"/>
  <c r="GF262" i="2"/>
  <c r="FA263" i="2"/>
  <c r="GC263" i="2"/>
  <c r="EK125" i="2"/>
  <c r="FU118" i="2"/>
  <c r="GG118" i="2"/>
  <c r="EO119" i="2"/>
  <c r="GC103" i="2"/>
  <c r="EK281" i="2"/>
  <c r="GA281" i="2"/>
  <c r="ER282" i="2"/>
  <c r="FU231" i="2"/>
  <c r="GG231" i="2"/>
  <c r="EO264" i="2"/>
  <c r="GF264" i="2"/>
  <c r="EN232" i="2"/>
  <c r="FA232" i="2"/>
  <c r="GE232" i="2"/>
  <c r="GE233" i="2"/>
  <c r="GD213" i="2"/>
  <c r="GD214" i="2"/>
  <c r="FW16" i="2"/>
  <c r="EQ17" i="2"/>
  <c r="FV17" i="2"/>
  <c r="GH17" i="2"/>
  <c r="ES18" i="2"/>
  <c r="EU36" i="2"/>
  <c r="ES37" i="2"/>
  <c r="FW37" i="2"/>
  <c r="EQ38" i="2"/>
  <c r="FU38" i="2"/>
  <c r="GG38" i="2"/>
  <c r="EO39" i="2"/>
  <c r="GD39" i="2"/>
  <c r="EJ41" i="2"/>
  <c r="EV41" i="2"/>
  <c r="ES43" i="2"/>
  <c r="ER44" i="2"/>
  <c r="FW44" i="2"/>
  <c r="EQ45" i="2"/>
  <c r="GF45" i="2"/>
  <c r="EN342" i="2"/>
  <c r="GE342" i="2"/>
  <c r="GD343" i="2"/>
  <c r="GA373" i="2"/>
  <c r="EI374" i="2"/>
  <c r="EU374" i="2"/>
  <c r="FZ374" i="2"/>
  <c r="GM374" i="2"/>
  <c r="EK590" i="2"/>
  <c r="FZ590" i="2"/>
  <c r="GM590" i="2"/>
  <c r="ET542" i="2"/>
  <c r="EI544" i="2"/>
  <c r="EU544" i="2"/>
  <c r="ES545" i="2"/>
  <c r="ER546" i="2"/>
  <c r="FV546" i="2"/>
  <c r="GH546" i="2"/>
  <c r="GF547" i="2"/>
  <c r="EN591" i="2"/>
  <c r="FA591" i="2"/>
  <c r="GD591" i="2"/>
  <c r="GC592" i="2"/>
  <c r="EK593" i="2"/>
  <c r="EJ594" i="2"/>
  <c r="EV594" i="2"/>
  <c r="GA594" i="2"/>
  <c r="EI595" i="2"/>
  <c r="EU595" i="2"/>
  <c r="FZ595" i="2"/>
  <c r="GM595" i="2"/>
  <c r="ET596" i="2"/>
  <c r="ES597" i="2"/>
  <c r="FW597" i="2"/>
  <c r="EQ548" i="2"/>
  <c r="FU548" i="2"/>
  <c r="GG548" i="2"/>
  <c r="GD598" i="2"/>
  <c r="EJ549" i="2"/>
  <c r="EV549" i="2"/>
  <c r="ES600" i="2"/>
  <c r="FV600" i="2"/>
  <c r="GH600" i="2"/>
  <c r="FV243" i="2"/>
  <c r="GH243" i="2"/>
  <c r="GE244" i="2"/>
  <c r="GC260" i="2"/>
  <c r="EK88" i="2"/>
  <c r="FZ88" i="2"/>
  <c r="GM88" i="2"/>
  <c r="FZ211" i="2"/>
  <c r="GM211" i="2"/>
  <c r="ET212" i="2"/>
  <c r="FW212" i="2"/>
  <c r="EQ228" i="2"/>
  <c r="FU228" i="2"/>
  <c r="GG228" i="2"/>
  <c r="EO245" i="2"/>
  <c r="GD245" i="2"/>
  <c r="GA252" i="2"/>
  <c r="EI261" i="2"/>
  <c r="EU261" i="2"/>
  <c r="ER262" i="2"/>
  <c r="FU262" i="2"/>
  <c r="GG262" i="2"/>
  <c r="EO263" i="2"/>
  <c r="GD263" i="2"/>
  <c r="EJ132" i="2"/>
  <c r="EV132" i="2"/>
  <c r="GA132" i="2"/>
  <c r="EI133" i="2"/>
  <c r="EU133" i="2"/>
  <c r="GF119" i="2"/>
  <c r="FA103" i="2"/>
  <c r="GD103" i="2"/>
  <c r="FV231" i="2"/>
  <c r="GH231" i="2"/>
  <c r="FU264" i="2"/>
  <c r="GG264" i="2"/>
  <c r="GF232" i="2"/>
  <c r="EN233" i="2"/>
  <c r="FA233" i="2"/>
  <c r="GF233" i="2"/>
  <c r="EN213" i="2"/>
  <c r="FA213" i="2"/>
  <c r="GE213" i="2"/>
  <c r="GA18" i="2"/>
  <c r="GD592" i="2"/>
  <c r="GC593" i="2"/>
  <c r="EK594" i="2"/>
  <c r="EJ595" i="2"/>
  <c r="EV595" i="2"/>
  <c r="GA595" i="2"/>
  <c r="EI596" i="2"/>
  <c r="EU596" i="2"/>
  <c r="FZ596" i="2"/>
  <c r="GM596" i="2"/>
  <c r="ET597" i="2"/>
  <c r="ER548" i="2"/>
  <c r="FV548" i="2"/>
  <c r="GH548" i="2"/>
  <c r="GE598" i="2"/>
  <c r="GC599" i="2"/>
  <c r="EK549" i="2"/>
  <c r="FZ549" i="2"/>
  <c r="GM549" i="2"/>
  <c r="ET600" i="2"/>
  <c r="FW600" i="2"/>
  <c r="FW243" i="2"/>
  <c r="GF244" i="2"/>
  <c r="GD260" i="2"/>
  <c r="GA88" i="2"/>
  <c r="GA211" i="2"/>
  <c r="EI212" i="2"/>
  <c r="EU212" i="2"/>
  <c r="ER228" i="2"/>
  <c r="FV228" i="2"/>
  <c r="GH228" i="2"/>
  <c r="GE245" i="2"/>
  <c r="EJ261" i="2"/>
  <c r="EV261" i="2"/>
  <c r="ES262" i="2"/>
  <c r="FV262" i="2"/>
  <c r="GH262" i="2"/>
  <c r="GE263" i="2"/>
  <c r="EJ133" i="2"/>
  <c r="EV133" i="2"/>
  <c r="ER118" i="2"/>
  <c r="FW118" i="2"/>
  <c r="EQ119" i="2"/>
  <c r="FU119" i="2"/>
  <c r="GG119" i="2"/>
  <c r="GE103" i="2"/>
  <c r="GD234" i="2"/>
  <c r="ES17" i="2"/>
  <c r="EU18" i="2"/>
  <c r="GD110" i="2"/>
  <c r="EK36" i="2"/>
  <c r="GA36" i="2"/>
  <c r="EI37" i="2"/>
  <c r="EU37" i="2"/>
  <c r="ES38" i="2"/>
  <c r="FW38" i="2"/>
  <c r="EQ39" i="2"/>
  <c r="GF39" i="2"/>
  <c r="EN40" i="2"/>
  <c r="FA40" i="2"/>
  <c r="GD40" i="2"/>
  <c r="GA41" i="2"/>
  <c r="EI43" i="2"/>
  <c r="EU43" i="2"/>
  <c r="FZ43" i="2"/>
  <c r="GM43" i="2"/>
  <c r="ET44" i="2"/>
  <c r="ES45" i="2"/>
  <c r="FV45" i="2"/>
  <c r="GH45" i="2"/>
  <c r="FU342" i="2"/>
  <c r="GG342" i="2"/>
  <c r="EO343" i="2"/>
  <c r="GF343" i="2"/>
  <c r="GC373" i="2"/>
  <c r="EK374" i="2"/>
  <c r="GE375" i="2"/>
  <c r="EJ542" i="2"/>
  <c r="EV542" i="2"/>
  <c r="FZ542" i="2"/>
  <c r="GM542" i="2"/>
  <c r="EK544" i="2"/>
  <c r="GA544" i="2"/>
  <c r="EI545" i="2"/>
  <c r="EU545" i="2"/>
  <c r="FZ545" i="2"/>
  <c r="GM545" i="2"/>
  <c r="ET546" i="2"/>
  <c r="ER547" i="2"/>
  <c r="FV547" i="2"/>
  <c r="GH547" i="2"/>
  <c r="GF591" i="2"/>
  <c r="EN592" i="2"/>
  <c r="FA592" i="2"/>
  <c r="GE592" i="2"/>
  <c r="GD593" i="2"/>
  <c r="GC594" i="2"/>
  <c r="EK595" i="2"/>
  <c r="EJ596" i="2"/>
  <c r="EV596" i="2"/>
  <c r="GA596" i="2"/>
  <c r="EI597" i="2"/>
  <c r="EU597" i="2"/>
  <c r="ES548" i="2"/>
  <c r="FW548" i="2"/>
  <c r="EQ598" i="2"/>
  <c r="GF598" i="2"/>
  <c r="FA599" i="2"/>
  <c r="GD599" i="2"/>
  <c r="GA549" i="2"/>
  <c r="EI600" i="2"/>
  <c r="EU600" i="2"/>
  <c r="FZ624" i="2"/>
  <c r="GM624" i="2"/>
  <c r="FU244" i="2"/>
  <c r="GG244" i="2"/>
  <c r="GE260" i="2"/>
  <c r="EJ212" i="2"/>
  <c r="EV212" i="2"/>
  <c r="ES228" i="2"/>
  <c r="FW228" i="2"/>
  <c r="EQ245" i="2"/>
  <c r="GF245" i="2"/>
  <c r="FA252" i="2"/>
  <c r="GC252" i="2"/>
  <c r="EK261" i="2"/>
  <c r="FZ261" i="2"/>
  <c r="GM261" i="2"/>
  <c r="ET262" i="2"/>
  <c r="FW262" i="2"/>
  <c r="EQ263" i="2"/>
  <c r="GF263" i="2"/>
  <c r="GD125" i="2"/>
  <c r="ER119" i="2"/>
  <c r="FV119" i="2"/>
  <c r="GH119" i="2"/>
  <c r="GD281" i="2"/>
  <c r="FU214" i="2"/>
  <c r="GG214" i="2"/>
  <c r="GE234" i="2"/>
  <c r="GD235" i="2"/>
  <c r="EO592" i="2"/>
  <c r="GF592" i="2"/>
  <c r="EN593" i="2"/>
  <c r="FA593" i="2"/>
  <c r="GE593" i="2"/>
  <c r="GD594" i="2"/>
  <c r="GC595" i="2"/>
  <c r="EK596" i="2"/>
  <c r="EJ597" i="2"/>
  <c r="EV597" i="2"/>
  <c r="FZ597" i="2"/>
  <c r="GM597" i="2"/>
  <c r="ET548" i="2"/>
  <c r="ER598" i="2"/>
  <c r="FU598" i="2"/>
  <c r="GG598" i="2"/>
  <c r="GE599" i="2"/>
  <c r="EJ600" i="2"/>
  <c r="EV600" i="2"/>
  <c r="GA624" i="2"/>
  <c r="FV244" i="2"/>
  <c r="GH244" i="2"/>
  <c r="GF260" i="2"/>
  <c r="FA88" i="2"/>
  <c r="GC88" i="2"/>
  <c r="GC211" i="2"/>
  <c r="EK212" i="2"/>
  <c r="FZ212" i="2"/>
  <c r="GM212" i="2"/>
  <c r="ET228" i="2"/>
  <c r="ER245" i="2"/>
  <c r="FU245" i="2"/>
  <c r="GG245" i="2"/>
  <c r="EO252" i="2"/>
  <c r="GD252" i="2"/>
  <c r="GA261" i="2"/>
  <c r="EI262" i="2"/>
  <c r="EU262" i="2"/>
  <c r="ER263" i="2"/>
  <c r="FU263" i="2"/>
  <c r="GG263" i="2"/>
  <c r="EO125" i="2"/>
  <c r="GE125" i="2"/>
  <c r="ET118" i="2"/>
  <c r="ES119" i="2"/>
  <c r="FU103" i="2"/>
  <c r="GG103" i="2"/>
  <c r="EO281" i="2"/>
  <c r="EJ282" i="2"/>
  <c r="EV282" i="2"/>
  <c r="GA282" i="2"/>
  <c r="ES264" i="2"/>
  <c r="ER232" i="2"/>
  <c r="FW232" i="2"/>
  <c r="EQ233" i="2"/>
  <c r="FW233" i="2"/>
  <c r="EQ213" i="2"/>
  <c r="FV213" i="2"/>
  <c r="GH213" i="2"/>
  <c r="GC15" i="2"/>
  <c r="FV86" i="2"/>
  <c r="GH86" i="2"/>
  <c r="FU592" i="2"/>
  <c r="GG592" i="2"/>
  <c r="EO593" i="2"/>
  <c r="GF593" i="2"/>
  <c r="EN594" i="2"/>
  <c r="FA594" i="2"/>
  <c r="GE594" i="2"/>
  <c r="GD595" i="2"/>
  <c r="GC596" i="2"/>
  <c r="EK597" i="2"/>
  <c r="GA597" i="2"/>
  <c r="EI548" i="2"/>
  <c r="EU548" i="2"/>
  <c r="ES598" i="2"/>
  <c r="FV598" i="2"/>
  <c r="GH598" i="2"/>
  <c r="GF599" i="2"/>
  <c r="FA549" i="2"/>
  <c r="GC549" i="2"/>
  <c r="EK600" i="2"/>
  <c r="FZ600" i="2"/>
  <c r="GM600" i="2"/>
  <c r="FZ243" i="2"/>
  <c r="GM243" i="2"/>
  <c r="FW244" i="2"/>
  <c r="FU260" i="2"/>
  <c r="GG260" i="2"/>
  <c r="EO88" i="2"/>
  <c r="GD88" i="2"/>
  <c r="GD211" i="2"/>
  <c r="GA212" i="2"/>
  <c r="EI228" i="2"/>
  <c r="EU228" i="2"/>
  <c r="ES245" i="2"/>
  <c r="FV245" i="2"/>
  <c r="GH245" i="2"/>
  <c r="GE252" i="2"/>
  <c r="EJ262" i="2"/>
  <c r="EV262" i="2"/>
  <c r="ES263" i="2"/>
  <c r="FV263" i="2"/>
  <c r="GH263" i="2"/>
  <c r="GE132" i="2"/>
  <c r="EI118" i="2"/>
  <c r="EU118" i="2"/>
  <c r="ER103" i="2"/>
  <c r="GF281" i="2"/>
  <c r="FW214" i="2"/>
  <c r="GF235" i="2"/>
  <c r="GE18" i="2"/>
  <c r="GE19" i="2"/>
  <c r="FU266" i="2"/>
  <c r="GG266" i="2"/>
  <c r="EO94" i="2"/>
  <c r="FU94" i="2"/>
  <c r="GG94" i="2"/>
  <c r="GF126" i="2"/>
  <c r="EN267" i="2"/>
  <c r="FA267" i="2"/>
  <c r="GF267" i="2"/>
  <c r="EN104" i="2"/>
  <c r="FA104" i="2"/>
  <c r="FZ114" i="2"/>
  <c r="GM114" i="2"/>
  <c r="EK44" i="2"/>
  <c r="EJ45" i="2"/>
  <c r="EV45" i="2"/>
  <c r="ES342" i="2"/>
  <c r="ER343" i="2"/>
  <c r="FW343" i="2"/>
  <c r="EQ373" i="2"/>
  <c r="GF373" i="2"/>
  <c r="EN374" i="2"/>
  <c r="GE374" i="2"/>
  <c r="FV375" i="2"/>
  <c r="GH375" i="2"/>
  <c r="GE590" i="2"/>
  <c r="GC542" i="2"/>
  <c r="EN544" i="2"/>
  <c r="FA544" i="2"/>
  <c r="GD544" i="2"/>
  <c r="GC545" i="2"/>
  <c r="EK546" i="2"/>
  <c r="GA546" i="2"/>
  <c r="EI547" i="2"/>
  <c r="EU547" i="2"/>
  <c r="ES591" i="2"/>
  <c r="FW591" i="2"/>
  <c r="EQ592" i="2"/>
  <c r="FV592" i="2"/>
  <c r="GH592" i="2"/>
  <c r="FU593" i="2"/>
  <c r="GG593" i="2"/>
  <c r="EO594" i="2"/>
  <c r="GF594" i="2"/>
  <c r="EN595" i="2"/>
  <c r="FA595" i="2"/>
  <c r="GE595" i="2"/>
  <c r="GD596" i="2"/>
  <c r="EJ548" i="2"/>
  <c r="EV548" i="2"/>
  <c r="FZ548" i="2"/>
  <c r="GM548" i="2"/>
  <c r="ET598" i="2"/>
  <c r="FW598" i="2"/>
  <c r="EQ599" i="2"/>
  <c r="FU599" i="2"/>
  <c r="GG599" i="2"/>
  <c r="EO549" i="2"/>
  <c r="GD549" i="2"/>
  <c r="GA600" i="2"/>
  <c r="GC624" i="2"/>
  <c r="GA243" i="2"/>
  <c r="FV260" i="2"/>
  <c r="GH260" i="2"/>
  <c r="GE88" i="2"/>
  <c r="GE211" i="2"/>
  <c r="EJ228" i="2"/>
  <c r="EV228" i="2"/>
  <c r="FZ228" i="2"/>
  <c r="GM228" i="2"/>
  <c r="ET245" i="2"/>
  <c r="FW245" i="2"/>
  <c r="EQ252" i="2"/>
  <c r="GF252" i="2"/>
  <c r="FA261" i="2"/>
  <c r="GC261" i="2"/>
  <c r="EK262" i="2"/>
  <c r="FZ262" i="2"/>
  <c r="GM262" i="2"/>
  <c r="ET263" i="2"/>
  <c r="FW263" i="2"/>
  <c r="EQ125" i="2"/>
  <c r="EJ118" i="2"/>
  <c r="EV118" i="2"/>
  <c r="GA118" i="2"/>
  <c r="EI119" i="2"/>
  <c r="EU119" i="2"/>
  <c r="FW103" i="2"/>
  <c r="EQ281" i="2"/>
  <c r="FU281" i="2"/>
  <c r="GG281" i="2"/>
  <c r="GA231" i="2"/>
  <c r="EI264" i="2"/>
  <c r="EU264" i="2"/>
  <c r="FZ264" i="2"/>
  <c r="GM264" i="2"/>
  <c r="ET232" i="2"/>
  <c r="ES233" i="2"/>
  <c r="ES213" i="2"/>
  <c r="ER214" i="2"/>
  <c r="FV234" i="2"/>
  <c r="GH234" i="2"/>
  <c r="FU235" i="2"/>
  <c r="GG235" i="2"/>
  <c r="GE15" i="2"/>
  <c r="GC16" i="2"/>
  <c r="EK17" i="2"/>
  <c r="EK18" i="2"/>
  <c r="FV215" i="2"/>
  <c r="GH215" i="2"/>
  <c r="GE36" i="2"/>
  <c r="GC37" i="2"/>
  <c r="EK38" i="2"/>
  <c r="GA38" i="2"/>
  <c r="EI39" i="2"/>
  <c r="EU39" i="2"/>
  <c r="ER40" i="2"/>
  <c r="FV40" i="2"/>
  <c r="GH40" i="2"/>
  <c r="GE41" i="2"/>
  <c r="GD43" i="2"/>
  <c r="GC44" i="2"/>
  <c r="EK45" i="2"/>
  <c r="FZ45" i="2"/>
  <c r="GM45" i="2"/>
  <c r="ET342" i="2"/>
  <c r="ES343" i="2"/>
  <c r="ER373" i="2"/>
  <c r="FU373" i="2"/>
  <c r="GG373" i="2"/>
  <c r="EO374" i="2"/>
  <c r="GF374" i="2"/>
  <c r="FW375" i="2"/>
  <c r="EQ590" i="2"/>
  <c r="GF590" i="2"/>
  <c r="EN542" i="2"/>
  <c r="GD542" i="2"/>
  <c r="EO544" i="2"/>
  <c r="GE544" i="2"/>
  <c r="GD545" i="2"/>
  <c r="EJ547" i="2"/>
  <c r="EV547" i="2"/>
  <c r="FZ547" i="2"/>
  <c r="GM547" i="2"/>
  <c r="ET591" i="2"/>
  <c r="ER592" i="2"/>
  <c r="FW592" i="2"/>
  <c r="EQ593" i="2"/>
  <c r="FV593" i="2"/>
  <c r="GH593" i="2"/>
  <c r="FU594" i="2"/>
  <c r="GG594" i="2"/>
  <c r="GF595" i="2"/>
  <c r="EN596" i="2"/>
  <c r="FA596" i="2"/>
  <c r="GE596" i="2"/>
  <c r="GC597" i="2"/>
  <c r="EK548" i="2"/>
  <c r="GA548" i="2"/>
  <c r="EI598" i="2"/>
  <c r="EU598" i="2"/>
  <c r="ER599" i="2"/>
  <c r="FV599" i="2"/>
  <c r="GH599" i="2"/>
  <c r="GE549" i="2"/>
  <c r="GD624" i="2"/>
  <c r="FW260" i="2"/>
  <c r="EQ88" i="2"/>
  <c r="GF88" i="2"/>
  <c r="GF211" i="2"/>
  <c r="FA212" i="2"/>
  <c r="GC212" i="2"/>
  <c r="EK228" i="2"/>
  <c r="GA228" i="2"/>
  <c r="EI245" i="2"/>
  <c r="EU245" i="2"/>
  <c r="ER252" i="2"/>
  <c r="FU252" i="2"/>
  <c r="GG252" i="2"/>
  <c r="EO261" i="2"/>
  <c r="GD261" i="2"/>
  <c r="GA262" i="2"/>
  <c r="EI263" i="2"/>
  <c r="EU263" i="2"/>
  <c r="ER125" i="2"/>
  <c r="FV125" i="2"/>
  <c r="GH125" i="2"/>
  <c r="FU132" i="2"/>
  <c r="GG132" i="2"/>
  <c r="EO133" i="2"/>
  <c r="GD133" i="2"/>
  <c r="FZ119" i="2"/>
  <c r="GM119" i="2"/>
  <c r="ET103" i="2"/>
  <c r="ER281" i="2"/>
  <c r="GF15" i="2"/>
  <c r="FZ550" i="2"/>
  <c r="GM550" i="2"/>
  <c r="ET602" i="2"/>
  <c r="FZ602" i="2"/>
  <c r="GM602" i="2"/>
  <c r="ET551" i="2"/>
  <c r="ES603" i="2"/>
  <c r="EJ113" i="2"/>
  <c r="EV113" i="2"/>
  <c r="EJ114" i="2"/>
  <c r="EV114" i="2"/>
  <c r="FA125" i="2"/>
  <c r="GC125" i="2"/>
  <c r="EK132" i="2"/>
  <c r="FZ132" i="2"/>
  <c r="GM132" i="2"/>
  <c r="ET133" i="2"/>
  <c r="FW133" i="2"/>
  <c r="EJ119" i="2"/>
  <c r="EV119" i="2"/>
  <c r="ES103" i="2"/>
  <c r="FV103" i="2"/>
  <c r="GH103" i="2"/>
  <c r="GE281" i="2"/>
  <c r="EQ282" i="2"/>
  <c r="GF282" i="2"/>
  <c r="FZ231" i="2"/>
  <c r="GM231" i="2"/>
  <c r="ET264" i="2"/>
  <c r="ES232" i="2"/>
  <c r="ER233" i="2"/>
  <c r="ER213" i="2"/>
  <c r="FW213" i="2"/>
  <c r="EQ214" i="2"/>
  <c r="FV214" i="2"/>
  <c r="GH214" i="2"/>
  <c r="FW234" i="2"/>
  <c r="ER17" i="2"/>
  <c r="FW17" i="2"/>
  <c r="ET18" i="2"/>
  <c r="FZ18" i="2"/>
  <c r="GM18" i="2"/>
  <c r="ET19" i="2"/>
  <c r="FZ19" i="2"/>
  <c r="GM19" i="2"/>
  <c r="ET84" i="2"/>
  <c r="ES85" i="2"/>
  <c r="ER265" i="2"/>
  <c r="FW86" i="2"/>
  <c r="FV256" i="2"/>
  <c r="GH256" i="2"/>
  <c r="FW215" i="2"/>
  <c r="EQ266" i="2"/>
  <c r="FV266" i="2"/>
  <c r="GH266" i="2"/>
  <c r="FV94" i="2"/>
  <c r="GH94" i="2"/>
  <c r="FU126" i="2"/>
  <c r="GG126" i="2"/>
  <c r="EO267" i="2"/>
  <c r="FU267" i="2"/>
  <c r="FU104" i="2"/>
  <c r="GG104" i="2"/>
  <c r="GF105" i="2"/>
  <c r="FZ605" i="2"/>
  <c r="GM605" i="2"/>
  <c r="ET246" i="2"/>
  <c r="ES106" i="2"/>
  <c r="ES107" i="2"/>
  <c r="EQ111" i="2"/>
  <c r="FW111" i="2"/>
  <c r="EO109" i="2"/>
  <c r="GE109" i="2"/>
  <c r="GE110" i="2"/>
  <c r="GC120" i="2"/>
  <c r="EK121" i="2"/>
  <c r="GC121" i="2"/>
  <c r="EK113" i="2"/>
  <c r="GC113" i="2"/>
  <c r="EK114" i="2"/>
  <c r="ER95" i="2"/>
  <c r="EI19" i="2"/>
  <c r="EU19" i="2"/>
  <c r="GA19" i="2"/>
  <c r="EI84" i="2"/>
  <c r="EU84" i="2"/>
  <c r="FZ84" i="2"/>
  <c r="GM84" i="2"/>
  <c r="ET85" i="2"/>
  <c r="ES265" i="2"/>
  <c r="FW256" i="2"/>
  <c r="ER266" i="2"/>
  <c r="FW266" i="2"/>
  <c r="EQ94" i="2"/>
  <c r="FW94" i="2"/>
  <c r="EQ126" i="2"/>
  <c r="FV126" i="2"/>
  <c r="GH126" i="2"/>
  <c r="FV267" i="2"/>
  <c r="GH267" i="2"/>
  <c r="FV104" i="2"/>
  <c r="GH104" i="2"/>
  <c r="FU105" i="2"/>
  <c r="GG105" i="2"/>
  <c r="GA603" i="2"/>
  <c r="EI604" i="2"/>
  <c r="EU604" i="2"/>
  <c r="GA604" i="2"/>
  <c r="EI605" i="2"/>
  <c r="EU605" i="2"/>
  <c r="ER111" i="2"/>
  <c r="GF109" i="2"/>
  <c r="EN110" i="2"/>
  <c r="ES282" i="2"/>
  <c r="FV282" i="2"/>
  <c r="GH282" i="2"/>
  <c r="EJ264" i="2"/>
  <c r="EV264" i="2"/>
  <c r="GA264" i="2"/>
  <c r="EI232" i="2"/>
  <c r="EU232" i="2"/>
  <c r="FZ232" i="2"/>
  <c r="GM232" i="2"/>
  <c r="ET233" i="2"/>
  <c r="FZ233" i="2"/>
  <c r="GM233" i="2"/>
  <c r="ET213" i="2"/>
  <c r="ES214" i="2"/>
  <c r="GA235" i="2"/>
  <c r="FZ15" i="2"/>
  <c r="GM15" i="2"/>
  <c r="FZ16" i="2"/>
  <c r="GM16" i="2"/>
  <c r="ET17" i="2"/>
  <c r="EV18" i="2"/>
  <c r="EJ19" i="2"/>
  <c r="EV19" i="2"/>
  <c r="EJ84" i="2"/>
  <c r="EV84" i="2"/>
  <c r="GA84" i="2"/>
  <c r="EI85" i="2"/>
  <c r="EU85" i="2"/>
  <c r="FZ85" i="2"/>
  <c r="GM85" i="2"/>
  <c r="ET265" i="2"/>
  <c r="FZ265" i="2"/>
  <c r="GM265" i="2"/>
  <c r="ES266" i="2"/>
  <c r="ER94" i="2"/>
  <c r="ER126" i="2"/>
  <c r="FW126" i="2"/>
  <c r="EQ267" i="2"/>
  <c r="FW267" i="2"/>
  <c r="EQ104" i="2"/>
  <c r="FW104" i="2"/>
  <c r="EQ105" i="2"/>
  <c r="FV105" i="2"/>
  <c r="GH105" i="2"/>
  <c r="GE216" i="2"/>
  <c r="GD268" i="2"/>
  <c r="GC550" i="2"/>
  <c r="EK602" i="2"/>
  <c r="GC602" i="2"/>
  <c r="EK551" i="2"/>
  <c r="EJ603" i="2"/>
  <c r="EV603" i="2"/>
  <c r="EJ246" i="2"/>
  <c r="EV246" i="2"/>
  <c r="GA246" i="2"/>
  <c r="EI106" i="2"/>
  <c r="EU106" i="2"/>
  <c r="GA106" i="2"/>
  <c r="EI107" i="2"/>
  <c r="EU107" i="2"/>
  <c r="FZ107" i="2"/>
  <c r="GM107" i="2"/>
  <c r="GE120" i="2"/>
  <c r="GC168" i="2"/>
  <c r="GF125" i="2"/>
  <c r="FA132" i="2"/>
  <c r="GC132" i="2"/>
  <c r="EK133" i="2"/>
  <c r="FZ133" i="2"/>
  <c r="GM133" i="2"/>
  <c r="GE118" i="2"/>
  <c r="EJ103" i="2"/>
  <c r="EV103" i="2"/>
  <c r="ES281" i="2"/>
  <c r="FV281" i="2"/>
  <c r="GH281" i="2"/>
  <c r="ET282" i="2"/>
  <c r="FW282" i="2"/>
  <c r="GC231" i="2"/>
  <c r="EK264" i="2"/>
  <c r="EJ232" i="2"/>
  <c r="EV232" i="2"/>
  <c r="GA232" i="2"/>
  <c r="EI233" i="2"/>
  <c r="EU233" i="2"/>
  <c r="GA233" i="2"/>
  <c r="EI213" i="2"/>
  <c r="EU213" i="2"/>
  <c r="FZ213" i="2"/>
  <c r="GM213" i="2"/>
  <c r="ET214" i="2"/>
  <c r="FZ234" i="2"/>
  <c r="GM234" i="2"/>
  <c r="GA15" i="2"/>
  <c r="GA16" i="2"/>
  <c r="EI17" i="2"/>
  <c r="EU17" i="2"/>
  <c r="FZ17" i="2"/>
  <c r="GM17" i="2"/>
  <c r="GC18" i="2"/>
  <c r="EK19" i="2"/>
  <c r="GC19" i="2"/>
  <c r="EK84" i="2"/>
  <c r="EJ85" i="2"/>
  <c r="EV85" i="2"/>
  <c r="GA85" i="2"/>
  <c r="EI265" i="2"/>
  <c r="EU265" i="2"/>
  <c r="GA265" i="2"/>
  <c r="FZ86" i="2"/>
  <c r="GM86" i="2"/>
  <c r="FZ215" i="2"/>
  <c r="GM215" i="2"/>
  <c r="ET266" i="2"/>
  <c r="ES94" i="2"/>
  <c r="ES126" i="2"/>
  <c r="ER267" i="2"/>
  <c r="ER104" i="2"/>
  <c r="GC603" i="2"/>
  <c r="EK604" i="2"/>
  <c r="GC604" i="2"/>
  <c r="EK605" i="2"/>
  <c r="GC605" i="2"/>
  <c r="EK246" i="2"/>
  <c r="EJ106" i="2"/>
  <c r="EV106" i="2"/>
  <c r="EJ107" i="2"/>
  <c r="EV107" i="2"/>
  <c r="GA107" i="2"/>
  <c r="GF120" i="2"/>
  <c r="GD114" i="2"/>
  <c r="FU125" i="2"/>
  <c r="GG125" i="2"/>
  <c r="GD132" i="2"/>
  <c r="GA133" i="2"/>
  <c r="EQ118" i="2"/>
  <c r="GF118" i="2"/>
  <c r="FA119" i="2"/>
  <c r="GC119" i="2"/>
  <c r="EK103" i="2"/>
  <c r="FZ103" i="2"/>
  <c r="GM103" i="2"/>
  <c r="ET281" i="2"/>
  <c r="FW281" i="2"/>
  <c r="EI282" i="2"/>
  <c r="EU282" i="2"/>
  <c r="GD231" i="2"/>
  <c r="GC264" i="2"/>
  <c r="EK232" i="2"/>
  <c r="EJ233" i="2"/>
  <c r="EV233" i="2"/>
  <c r="EJ213" i="2"/>
  <c r="EV213" i="2"/>
  <c r="GA213" i="2"/>
  <c r="EI214" i="2"/>
  <c r="EU214" i="2"/>
  <c r="FZ214" i="2"/>
  <c r="GM214" i="2"/>
  <c r="GA234" i="2"/>
  <c r="GC235" i="2"/>
  <c r="EJ17" i="2"/>
  <c r="EV17" i="2"/>
  <c r="GA17" i="2"/>
  <c r="EJ18" i="2"/>
  <c r="GD18" i="2"/>
  <c r="GD19" i="2"/>
  <c r="GC84" i="2"/>
  <c r="EK85" i="2"/>
  <c r="EJ265" i="2"/>
  <c r="EV265" i="2"/>
  <c r="GA86" i="2"/>
  <c r="FZ256" i="2"/>
  <c r="GM256" i="2"/>
  <c r="GA215" i="2"/>
  <c r="EI266" i="2"/>
  <c r="EU266" i="2"/>
  <c r="FZ266" i="2"/>
  <c r="GM266" i="2"/>
  <c r="ET94" i="2"/>
  <c r="FZ94" i="2"/>
  <c r="GM94" i="2"/>
  <c r="ET126" i="2"/>
  <c r="ES267" i="2"/>
  <c r="FU216" i="2"/>
  <c r="GG216" i="2"/>
  <c r="EO268" i="2"/>
  <c r="GF268" i="2"/>
  <c r="EN550" i="2"/>
  <c r="FA550" i="2"/>
  <c r="GE550" i="2"/>
  <c r="GE602" i="2"/>
  <c r="GD551" i="2"/>
  <c r="GD603" i="2"/>
  <c r="GD604" i="2"/>
  <c r="FW110" i="2"/>
  <c r="FU121" i="2"/>
  <c r="GG121" i="2"/>
  <c r="EO113" i="2"/>
  <c r="FU113" i="2"/>
  <c r="GG113" i="2"/>
  <c r="EO114" i="2"/>
  <c r="GE114" i="2"/>
  <c r="ES248" i="2"/>
  <c r="GD84" i="2"/>
  <c r="GC85" i="2"/>
  <c r="EK265" i="2"/>
  <c r="GC265" i="2"/>
  <c r="GA256" i="2"/>
  <c r="EJ266" i="2"/>
  <c r="EV266" i="2"/>
  <c r="GA266" i="2"/>
  <c r="EI94" i="2"/>
  <c r="EU94" i="2"/>
  <c r="GA94" i="2"/>
  <c r="EI126" i="2"/>
  <c r="EU126" i="2"/>
  <c r="FZ126" i="2"/>
  <c r="GM126" i="2"/>
  <c r="ET267" i="2"/>
  <c r="FZ104" i="2"/>
  <c r="GM104" i="2"/>
  <c r="ET105" i="2"/>
  <c r="FV216" i="2"/>
  <c r="GH216" i="2"/>
  <c r="FU268" i="2"/>
  <c r="GG268" i="2"/>
  <c r="GF550" i="2"/>
  <c r="EN602" i="2"/>
  <c r="FA602" i="2"/>
  <c r="GF602" i="2"/>
  <c r="EN551" i="2"/>
  <c r="FA551" i="2"/>
  <c r="GE551" i="2"/>
  <c r="GE603" i="2"/>
  <c r="EJ111" i="2"/>
  <c r="EV111" i="2"/>
  <c r="ET109" i="2"/>
  <c r="ER110" i="2"/>
  <c r="FV121" i="2"/>
  <c r="GH121" i="2"/>
  <c r="FV113" i="2"/>
  <c r="GH113" i="2"/>
  <c r="FV277" i="2"/>
  <c r="GH277" i="2"/>
  <c r="FW125" i="2"/>
  <c r="EQ132" i="2"/>
  <c r="GF132" i="2"/>
  <c r="FA133" i="2"/>
  <c r="GC133" i="2"/>
  <c r="ES118" i="2"/>
  <c r="FV118" i="2"/>
  <c r="GH118" i="2"/>
  <c r="GE119" i="2"/>
  <c r="EJ281" i="2"/>
  <c r="EV281" i="2"/>
  <c r="EK282" i="2"/>
  <c r="FZ282" i="2"/>
  <c r="GM282" i="2"/>
  <c r="GF231" i="2"/>
  <c r="EN264" i="2"/>
  <c r="FA264" i="2"/>
  <c r="GE264" i="2"/>
  <c r="GD232" i="2"/>
  <c r="GD233" i="2"/>
  <c r="GC213" i="2"/>
  <c r="EK214" i="2"/>
  <c r="GC234" i="2"/>
  <c r="GE235" i="2"/>
  <c r="GD15" i="2"/>
  <c r="GD16" i="2"/>
  <c r="GC17" i="2"/>
  <c r="GF18" i="2"/>
  <c r="EN19" i="2"/>
  <c r="FA19" i="2"/>
  <c r="GF19" i="2"/>
  <c r="EN84" i="2"/>
  <c r="FA84" i="2"/>
  <c r="GE84" i="2"/>
  <c r="GD85" i="2"/>
  <c r="GD265" i="2"/>
  <c r="GC86" i="2"/>
  <c r="GC215" i="2"/>
  <c r="EK266" i="2"/>
  <c r="EJ94" i="2"/>
  <c r="EV94" i="2"/>
  <c r="EJ126" i="2"/>
  <c r="EV126" i="2"/>
  <c r="GA126" i="2"/>
  <c r="EI267" i="2"/>
  <c r="EU267" i="2"/>
  <c r="GA267" i="2"/>
  <c r="EI104" i="2"/>
  <c r="EU104" i="2"/>
  <c r="GA104" i="2"/>
  <c r="EI105" i="2"/>
  <c r="EU105" i="2"/>
  <c r="FZ105" i="2"/>
  <c r="GM105" i="2"/>
  <c r="FW216" i="2"/>
  <c r="EQ268" i="2"/>
  <c r="FV268" i="2"/>
  <c r="GH268" i="2"/>
  <c r="FU550" i="2"/>
  <c r="GG550" i="2"/>
  <c r="EO602" i="2"/>
  <c r="FU602" i="2"/>
  <c r="GG602" i="2"/>
  <c r="EO551" i="2"/>
  <c r="GF551" i="2"/>
  <c r="EN603" i="2"/>
  <c r="FA603" i="2"/>
  <c r="EU109" i="2"/>
  <c r="ES110" i="2"/>
  <c r="FU168" i="2"/>
  <c r="GG168" i="2"/>
  <c r="EI248" i="2"/>
  <c r="EU248" i="2"/>
  <c r="FU18" i="2"/>
  <c r="GG18" i="2"/>
  <c r="EO19" i="2"/>
  <c r="FU19" i="2"/>
  <c r="GG19" i="2"/>
  <c r="EO84" i="2"/>
  <c r="GF84" i="2"/>
  <c r="EN85" i="2"/>
  <c r="FA85" i="2"/>
  <c r="GE85" i="2"/>
  <c r="GE265" i="2"/>
  <c r="GD86" i="2"/>
  <c r="GC256" i="2"/>
  <c r="GD215" i="2"/>
  <c r="GC266" i="2"/>
  <c r="EK94" i="2"/>
  <c r="GC94" i="2"/>
  <c r="EK126" i="2"/>
  <c r="EJ267" i="2"/>
  <c r="EV267" i="2"/>
  <c r="EJ104" i="2"/>
  <c r="EV104" i="2"/>
  <c r="EJ105" i="2"/>
  <c r="EV105" i="2"/>
  <c r="GA105" i="2"/>
  <c r="FU605" i="2"/>
  <c r="GG605" i="2"/>
  <c r="GF246" i="2"/>
  <c r="EN106" i="2"/>
  <c r="FA106" i="2"/>
  <c r="GF106" i="2"/>
  <c r="EN107" i="2"/>
  <c r="FA107" i="2"/>
  <c r="GE107" i="2"/>
  <c r="GD111" i="2"/>
  <c r="ER121" i="2"/>
  <c r="FV19" i="2"/>
  <c r="GH19" i="2"/>
  <c r="FU84" i="2"/>
  <c r="GG84" i="2"/>
  <c r="GF85" i="2"/>
  <c r="EN265" i="2"/>
  <c r="FA265" i="2"/>
  <c r="GF265" i="2"/>
  <c r="GE86" i="2"/>
  <c r="GD256" i="2"/>
  <c r="GE215" i="2"/>
  <c r="GD266" i="2"/>
  <c r="GD94" i="2"/>
  <c r="GC126" i="2"/>
  <c r="EK267" i="2"/>
  <c r="GC267" i="2"/>
  <c r="EK104" i="2"/>
  <c r="FV603" i="2"/>
  <c r="GH603" i="2"/>
  <c r="FV604" i="2"/>
  <c r="GH604" i="2"/>
  <c r="FV605" i="2"/>
  <c r="GH605" i="2"/>
  <c r="FU246" i="2"/>
  <c r="GG246" i="2"/>
  <c r="EO106" i="2"/>
  <c r="FU106" i="2"/>
  <c r="GG106" i="2"/>
  <c r="EO107" i="2"/>
  <c r="GF107" i="2"/>
  <c r="GE111" i="2"/>
  <c r="ES121" i="2"/>
  <c r="FW114" i="2"/>
  <c r="FW247" i="2"/>
  <c r="EQ168" i="2"/>
  <c r="FW168" i="2"/>
  <c r="FU223" i="2"/>
  <c r="GG223" i="2"/>
  <c r="EO224" i="2"/>
  <c r="GF224" i="2"/>
  <c r="EN272" i="2"/>
  <c r="FA272" i="2"/>
  <c r="FA282" i="2"/>
  <c r="GC282" i="2"/>
  <c r="FW231" i="2"/>
  <c r="EQ264" i="2"/>
  <c r="FV264" i="2"/>
  <c r="GH264" i="2"/>
  <c r="FU232" i="2"/>
  <c r="GG232" i="2"/>
  <c r="EO233" i="2"/>
  <c r="FU233" i="2"/>
  <c r="GG233" i="2"/>
  <c r="EO213" i="2"/>
  <c r="GF213" i="2"/>
  <c r="EN214" i="2"/>
  <c r="FA214" i="2"/>
  <c r="GE214" i="2"/>
  <c r="GF234" i="2"/>
  <c r="FV235" i="2"/>
  <c r="GH235" i="2"/>
  <c r="FU15" i="2"/>
  <c r="GG15" i="2"/>
  <c r="FU16" i="2"/>
  <c r="GG16" i="2"/>
  <c r="EO17" i="2"/>
  <c r="GF17" i="2"/>
  <c r="FW18" i="2"/>
  <c r="EQ19" i="2"/>
  <c r="FW19" i="2"/>
  <c r="EQ84" i="2"/>
  <c r="FV84" i="2"/>
  <c r="GH84" i="2"/>
  <c r="FU85" i="2"/>
  <c r="GG85" i="2"/>
  <c r="EO265" i="2"/>
  <c r="FU265" i="2"/>
  <c r="GG265" i="2"/>
  <c r="GF86" i="2"/>
  <c r="GE256" i="2"/>
  <c r="GF215" i="2"/>
  <c r="EN266" i="2"/>
  <c r="FA266" i="2"/>
  <c r="GE266" i="2"/>
  <c r="GE94" i="2"/>
  <c r="GD126" i="2"/>
  <c r="FZ216" i="2"/>
  <c r="GM216" i="2"/>
  <c r="ET268" i="2"/>
  <c r="ES550" i="2"/>
  <c r="ER602" i="2"/>
  <c r="ER551" i="2"/>
  <c r="FW551" i="2"/>
  <c r="EQ603" i="2"/>
  <c r="FW603" i="2"/>
  <c r="EQ604" i="2"/>
  <c r="FW604" i="2"/>
  <c r="EQ605" i="2"/>
  <c r="FZ121" i="2"/>
  <c r="GM121" i="2"/>
  <c r="ET113" i="2"/>
  <c r="FZ113" i="2"/>
  <c r="GM113" i="2"/>
  <c r="ET114" i="2"/>
  <c r="ER270" i="2"/>
  <c r="FU236" i="2"/>
  <c r="GG236" i="2"/>
  <c r="GA125" i="2"/>
  <c r="EI132" i="2"/>
  <c r="EU132" i="2"/>
  <c r="ER133" i="2"/>
  <c r="FU133" i="2"/>
  <c r="GG133" i="2"/>
  <c r="EK118" i="2"/>
  <c r="FZ118" i="2"/>
  <c r="GM118" i="2"/>
  <c r="ET119" i="2"/>
  <c r="FW119" i="2"/>
  <c r="EQ103" i="2"/>
  <c r="GF103" i="2"/>
  <c r="FA281" i="2"/>
  <c r="GC281" i="2"/>
  <c r="EO282" i="2"/>
  <c r="GD282" i="2"/>
  <c r="ER264" i="2"/>
  <c r="FW264" i="2"/>
  <c r="EQ232" i="2"/>
  <c r="FV232" i="2"/>
  <c r="GH232" i="2"/>
  <c r="FV233" i="2"/>
  <c r="GH233" i="2"/>
  <c r="FU213" i="2"/>
  <c r="GG213" i="2"/>
  <c r="GF214" i="2"/>
  <c r="FU234" i="2"/>
  <c r="GG234" i="2"/>
  <c r="FW235" i="2"/>
  <c r="FV15" i="2"/>
  <c r="GH15" i="2"/>
  <c r="FV16" i="2"/>
  <c r="GH16" i="2"/>
  <c r="FU17" i="2"/>
  <c r="GG17" i="2"/>
  <c r="ER18" i="2"/>
  <c r="ER19" i="2"/>
  <c r="ER84" i="2"/>
  <c r="FW84" i="2"/>
  <c r="EQ85" i="2"/>
  <c r="FV85" i="2"/>
  <c r="GH85" i="2"/>
  <c r="FV265" i="2"/>
  <c r="GH265" i="2"/>
  <c r="FU86" i="2"/>
  <c r="GG86" i="2"/>
  <c r="GF256" i="2"/>
  <c r="FU215" i="2"/>
  <c r="GG215" i="2"/>
  <c r="GF266" i="2"/>
  <c r="EN94" i="2"/>
  <c r="FA94" i="2"/>
  <c r="GF94" i="2"/>
  <c r="EN126" i="2"/>
  <c r="FA126" i="2"/>
  <c r="GE126" i="2"/>
  <c r="GE104" i="2"/>
  <c r="GD105" i="2"/>
  <c r="GA216" i="2"/>
  <c r="EI268" i="2"/>
  <c r="EU268" i="2"/>
  <c r="FZ268" i="2"/>
  <c r="GM268" i="2"/>
  <c r="ET550" i="2"/>
  <c r="ES602" i="2"/>
  <c r="ES551" i="2"/>
  <c r="ER603" i="2"/>
  <c r="ER604" i="2"/>
  <c r="GC109" i="2"/>
  <c r="EK110" i="2"/>
  <c r="ES247" i="2"/>
  <c r="GE201" i="2"/>
  <c r="GE191" i="2"/>
  <c r="GA220" i="2"/>
  <c r="EU221" i="2"/>
  <c r="GA221" i="2"/>
  <c r="EU284" i="2"/>
  <c r="FU276" i="2"/>
  <c r="GG276" i="2"/>
  <c r="FZ267" i="2"/>
  <c r="GM267" i="2"/>
  <c r="ET104" i="2"/>
  <c r="ES105" i="2"/>
  <c r="ES268" i="2"/>
  <c r="ER550" i="2"/>
  <c r="FW550" i="2"/>
  <c r="EQ602" i="2"/>
  <c r="FW602" i="2"/>
  <c r="EQ551" i="2"/>
  <c r="FV551" i="2"/>
  <c r="GH551" i="2"/>
  <c r="FU603" i="2"/>
  <c r="GG603" i="2"/>
  <c r="EO604" i="2"/>
  <c r="FU604" i="2"/>
  <c r="GG604" i="2"/>
  <c r="EO605" i="2"/>
  <c r="GF605" i="2"/>
  <c r="EN246" i="2"/>
  <c r="FA246" i="2"/>
  <c r="GE246" i="2"/>
  <c r="GE106" i="2"/>
  <c r="GD107" i="2"/>
  <c r="FV111" i="2"/>
  <c r="GH111" i="2"/>
  <c r="ES109" i="2"/>
  <c r="FW109" i="2"/>
  <c r="EQ110" i="2"/>
  <c r="FV110" i="2"/>
  <c r="GH110" i="2"/>
  <c r="FW120" i="2"/>
  <c r="EQ121" i="2"/>
  <c r="GF121" i="2"/>
  <c r="EN113" i="2"/>
  <c r="FA113" i="2"/>
  <c r="GF113" i="2"/>
  <c r="EN114" i="2"/>
  <c r="GC114" i="2"/>
  <c r="EK247" i="2"/>
  <c r="GA247" i="2"/>
  <c r="EU168" i="2"/>
  <c r="GE248" i="2"/>
  <c r="GE173" i="2"/>
  <c r="EJ219" i="2"/>
  <c r="EV219" i="2"/>
  <c r="GC219" i="2"/>
  <c r="EK283" i="2"/>
  <c r="EJ269" i="2"/>
  <c r="EV269" i="2"/>
  <c r="FZ221" i="2"/>
  <c r="GM221" i="2"/>
  <c r="ET284" i="2"/>
  <c r="FW284" i="2"/>
  <c r="EQ270" i="2"/>
  <c r="FW270" i="2"/>
  <c r="EQ271" i="2"/>
  <c r="EO237" i="2"/>
  <c r="GF237" i="2"/>
  <c r="EN170" i="2"/>
  <c r="FA170" i="2"/>
  <c r="GF170" i="2"/>
  <c r="EN223" i="2"/>
  <c r="FA223" i="2"/>
  <c r="GE272" i="2"/>
  <c r="FW95" i="2"/>
  <c r="EQ275" i="2"/>
  <c r="EJ128" i="2"/>
  <c r="EV128" i="2"/>
  <c r="GF175" i="2"/>
  <c r="EN257" i="2"/>
  <c r="FA257" i="2"/>
  <c r="GF257" i="2"/>
  <c r="EN201" i="2"/>
  <c r="FA201" i="2"/>
  <c r="GC269" i="2"/>
  <c r="EK220" i="2"/>
  <c r="EJ221" i="2"/>
  <c r="EV221" i="2"/>
  <c r="EJ284" i="2"/>
  <c r="EV284" i="2"/>
  <c r="ER222" i="2"/>
  <c r="ER285" i="2"/>
  <c r="FV285" i="2"/>
  <c r="GH285" i="2"/>
  <c r="EQ237" i="2"/>
  <c r="FV237" i="2"/>
  <c r="GH237" i="2"/>
  <c r="FV170" i="2"/>
  <c r="GH170" i="2"/>
  <c r="FU272" i="2"/>
  <c r="GG272" i="2"/>
  <c r="GA273" i="2"/>
  <c r="ES275" i="2"/>
  <c r="ER605" i="2"/>
  <c r="FW605" i="2"/>
  <c r="EQ246" i="2"/>
  <c r="FV246" i="2"/>
  <c r="GH246" i="2"/>
  <c r="FV106" i="2"/>
  <c r="GH106" i="2"/>
  <c r="FU107" i="2"/>
  <c r="GG107" i="2"/>
  <c r="ES111" i="2"/>
  <c r="EJ109" i="2"/>
  <c r="EV109" i="2"/>
  <c r="FZ109" i="2"/>
  <c r="GM109" i="2"/>
  <c r="ET110" i="2"/>
  <c r="FZ120" i="2"/>
  <c r="GM120" i="2"/>
  <c r="ET121" i="2"/>
  <c r="FW121" i="2"/>
  <c r="EQ113" i="2"/>
  <c r="FW113" i="2"/>
  <c r="GF114" i="2"/>
  <c r="EN247" i="2"/>
  <c r="GD247" i="2"/>
  <c r="GD168" i="2"/>
  <c r="FV173" i="2"/>
  <c r="GH173" i="2"/>
  <c r="FU201" i="2"/>
  <c r="GG201" i="2"/>
  <c r="EO191" i="2"/>
  <c r="FU191" i="2"/>
  <c r="GG191" i="2"/>
  <c r="FA219" i="2"/>
  <c r="GF219" i="2"/>
  <c r="EN283" i="2"/>
  <c r="FA283" i="2"/>
  <c r="GE283" i="2"/>
  <c r="GD269" i="2"/>
  <c r="GC220" i="2"/>
  <c r="EK221" i="2"/>
  <c r="FZ270" i="2"/>
  <c r="GM270" i="2"/>
  <c r="ET271" i="2"/>
  <c r="FW236" i="2"/>
  <c r="FW223" i="2"/>
  <c r="EQ224" i="2"/>
  <c r="FV224" i="2"/>
  <c r="GH224" i="2"/>
  <c r="FZ274" i="2"/>
  <c r="GM274" i="2"/>
  <c r="ET95" i="2"/>
  <c r="GD267" i="2"/>
  <c r="GC104" i="2"/>
  <c r="EK105" i="2"/>
  <c r="GC216" i="2"/>
  <c r="EK268" i="2"/>
  <c r="EJ550" i="2"/>
  <c r="EV550" i="2"/>
  <c r="GA550" i="2"/>
  <c r="EI602" i="2"/>
  <c r="EU602" i="2"/>
  <c r="GA602" i="2"/>
  <c r="EI551" i="2"/>
  <c r="EU551" i="2"/>
  <c r="FZ551" i="2"/>
  <c r="GM551" i="2"/>
  <c r="ET603" i="2"/>
  <c r="ES604" i="2"/>
  <c r="ES605" i="2"/>
  <c r="ER246" i="2"/>
  <c r="FW246" i="2"/>
  <c r="EQ106" i="2"/>
  <c r="FW106" i="2"/>
  <c r="EQ107" i="2"/>
  <c r="FV107" i="2"/>
  <c r="GH107" i="2"/>
  <c r="ET111" i="2"/>
  <c r="FZ111" i="2"/>
  <c r="GM111" i="2"/>
  <c r="EK109" i="2"/>
  <c r="GA109" i="2"/>
  <c r="EI110" i="2"/>
  <c r="EU110" i="2"/>
  <c r="FZ110" i="2"/>
  <c r="GM110" i="2"/>
  <c r="GA120" i="2"/>
  <c r="EU121" i="2"/>
  <c r="ER113" i="2"/>
  <c r="ER114" i="2"/>
  <c r="FU114" i="2"/>
  <c r="GG114" i="2"/>
  <c r="EO247" i="2"/>
  <c r="GE247" i="2"/>
  <c r="EQ248" i="2"/>
  <c r="FW248" i="2"/>
  <c r="EQ173" i="2"/>
  <c r="FV175" i="2"/>
  <c r="GH175" i="2"/>
  <c r="FV257" i="2"/>
  <c r="GH257" i="2"/>
  <c r="FV201" i="2"/>
  <c r="GH201" i="2"/>
  <c r="FV191" i="2"/>
  <c r="GH191" i="2"/>
  <c r="EN219" i="2"/>
  <c r="FU219" i="2"/>
  <c r="GG219" i="2"/>
  <c r="EO283" i="2"/>
  <c r="GF283" i="2"/>
  <c r="EN269" i="2"/>
  <c r="FA269" i="2"/>
  <c r="GE269" i="2"/>
  <c r="GA284" i="2"/>
  <c r="EI270" i="2"/>
  <c r="EU270" i="2"/>
  <c r="FZ271" i="2"/>
  <c r="GM271" i="2"/>
  <c r="ET222" i="2"/>
  <c r="FZ222" i="2"/>
  <c r="GM222" i="2"/>
  <c r="ET285" i="2"/>
  <c r="ER236" i="2"/>
  <c r="ES237" i="2"/>
  <c r="ER170" i="2"/>
  <c r="ER223" i="2"/>
  <c r="FZ275" i="2"/>
  <c r="GM275" i="2"/>
  <c r="ET276" i="2"/>
  <c r="FV462" i="2"/>
  <c r="GH462" i="2"/>
  <c r="GE267" i="2"/>
  <c r="GD104" i="2"/>
  <c r="GC105" i="2"/>
  <c r="GD216" i="2"/>
  <c r="GC268" i="2"/>
  <c r="EK550" i="2"/>
  <c r="EJ602" i="2"/>
  <c r="EV602" i="2"/>
  <c r="EJ551" i="2"/>
  <c r="EV551" i="2"/>
  <c r="GA551" i="2"/>
  <c r="EI603" i="2"/>
  <c r="EU603" i="2"/>
  <c r="FZ603" i="2"/>
  <c r="GM603" i="2"/>
  <c r="ET604" i="2"/>
  <c r="FZ604" i="2"/>
  <c r="GM604" i="2"/>
  <c r="ET605" i="2"/>
  <c r="ES246" i="2"/>
  <c r="ER106" i="2"/>
  <c r="ER107" i="2"/>
  <c r="FW107" i="2"/>
  <c r="EI111" i="2"/>
  <c r="EU111" i="2"/>
  <c r="GA111" i="2"/>
  <c r="EJ110" i="2"/>
  <c r="EV110" i="2"/>
  <c r="GA110" i="2"/>
  <c r="EJ121" i="2"/>
  <c r="EV121" i="2"/>
  <c r="ES113" i="2"/>
  <c r="ES114" i="2"/>
  <c r="FV114" i="2"/>
  <c r="GH114" i="2"/>
  <c r="GF247" i="2"/>
  <c r="FA168" i="2"/>
  <c r="ER175" i="2"/>
  <c r="FW175" i="2"/>
  <c r="EQ257" i="2"/>
  <c r="FW257" i="2"/>
  <c r="FW201" i="2"/>
  <c r="EQ191" i="2"/>
  <c r="FW191" i="2"/>
  <c r="EO219" i="2"/>
  <c r="FV219" i="2"/>
  <c r="GH219" i="2"/>
  <c r="FU283" i="2"/>
  <c r="GG283" i="2"/>
  <c r="EO269" i="2"/>
  <c r="GE221" i="2"/>
  <c r="EJ271" i="2"/>
  <c r="EV271" i="2"/>
  <c r="GD273" i="2"/>
  <c r="EJ275" i="2"/>
  <c r="EV275" i="2"/>
  <c r="ES173" i="2"/>
  <c r="ES175" i="2"/>
  <c r="ER257" i="2"/>
  <c r="ER201" i="2"/>
  <c r="GF220" i="2"/>
  <c r="EN221" i="2"/>
  <c r="FA221" i="2"/>
  <c r="GC284" i="2"/>
  <c r="EK270" i="2"/>
  <c r="EJ222" i="2"/>
  <c r="EV222" i="2"/>
  <c r="EJ285" i="2"/>
  <c r="EV285" i="2"/>
  <c r="FZ285" i="2"/>
  <c r="GM285" i="2"/>
  <c r="ET236" i="2"/>
  <c r="FZ223" i="2"/>
  <c r="GM223" i="2"/>
  <c r="ET224" i="2"/>
  <c r="ES272" i="2"/>
  <c r="GC274" i="2"/>
  <c r="EK95" i="2"/>
  <c r="EJ276" i="2"/>
  <c r="EV276" i="2"/>
  <c r="FZ276" i="2"/>
  <c r="GM276" i="2"/>
  <c r="GG267" i="2"/>
  <c r="EO104" i="2"/>
  <c r="GF104" i="2"/>
  <c r="EN105" i="2"/>
  <c r="FA105" i="2"/>
  <c r="GE105" i="2"/>
  <c r="GF216" i="2"/>
  <c r="EN268" i="2"/>
  <c r="FA268" i="2"/>
  <c r="GE268" i="2"/>
  <c r="GD550" i="2"/>
  <c r="GD602" i="2"/>
  <c r="GC551" i="2"/>
  <c r="EK603" i="2"/>
  <c r="EJ604" i="2"/>
  <c r="EV604" i="2"/>
  <c r="EJ605" i="2"/>
  <c r="EV605" i="2"/>
  <c r="GA605" i="2"/>
  <c r="EI246" i="2"/>
  <c r="EU246" i="2"/>
  <c r="FZ246" i="2"/>
  <c r="GM246" i="2"/>
  <c r="ET106" i="2"/>
  <c r="FZ106" i="2"/>
  <c r="GM106" i="2"/>
  <c r="ET107" i="2"/>
  <c r="EK111" i="2"/>
  <c r="GC111" i="2"/>
  <c r="EN109" i="2"/>
  <c r="FA109" i="2"/>
  <c r="GD109" i="2"/>
  <c r="GC110" i="2"/>
  <c r="GD120" i="2"/>
  <c r="GA121" i="2"/>
  <c r="EI113" i="2"/>
  <c r="EU113" i="2"/>
  <c r="GA113" i="2"/>
  <c r="EU114" i="2"/>
  <c r="ET248" i="2"/>
  <c r="FZ248" i="2"/>
  <c r="GM248" i="2"/>
  <c r="ET173" i="2"/>
  <c r="FZ173" i="2"/>
  <c r="GM173" i="2"/>
  <c r="ET175" i="2"/>
  <c r="FV269" i="2"/>
  <c r="GH269" i="2"/>
  <c r="FU221" i="2"/>
  <c r="GG221" i="2"/>
  <c r="EO284" i="2"/>
  <c r="GD284" i="2"/>
  <c r="GD270" i="2"/>
  <c r="EJ237" i="2"/>
  <c r="EV237" i="2"/>
  <c r="GA237" i="2"/>
  <c r="EI170" i="2"/>
  <c r="EU170" i="2"/>
  <c r="GA170" i="2"/>
  <c r="EI223" i="2"/>
  <c r="EU223" i="2"/>
  <c r="FZ272" i="2"/>
  <c r="GM272" i="2"/>
  <c r="GF273" i="2"/>
  <c r="GD95" i="2"/>
  <c r="ES350" i="2"/>
  <c r="ES351" i="2"/>
  <c r="GA248" i="2"/>
  <c r="EU173" i="2"/>
  <c r="FZ201" i="2"/>
  <c r="GM201" i="2"/>
  <c r="ET191" i="2"/>
  <c r="FZ191" i="2"/>
  <c r="GM191" i="2"/>
  <c r="ES283" i="2"/>
  <c r="ER269" i="2"/>
  <c r="FV220" i="2"/>
  <c r="GH220" i="2"/>
  <c r="FV221" i="2"/>
  <c r="GH221" i="2"/>
  <c r="GE284" i="2"/>
  <c r="EJ224" i="2"/>
  <c r="EV224" i="2"/>
  <c r="GA224" i="2"/>
  <c r="EI272" i="2"/>
  <c r="EU272" i="2"/>
  <c r="GE274" i="2"/>
  <c r="GC277" i="2"/>
  <c r="GF278" i="2"/>
  <c r="EN48" i="2"/>
  <c r="FA48" i="2"/>
  <c r="FZ348" i="2"/>
  <c r="GM348" i="2"/>
  <c r="ET349" i="2"/>
  <c r="GA175" i="2"/>
  <c r="EI257" i="2"/>
  <c r="EU257" i="2"/>
  <c r="GA257" i="2"/>
  <c r="EI201" i="2"/>
  <c r="EU201" i="2"/>
  <c r="GA201" i="2"/>
  <c r="EI191" i="2"/>
  <c r="EU191" i="2"/>
  <c r="GA191" i="2"/>
  <c r="ES219" i="2"/>
  <c r="ER220" i="2"/>
  <c r="FW220" i="2"/>
  <c r="EQ221" i="2"/>
  <c r="FW221" i="2"/>
  <c r="EQ284" i="2"/>
  <c r="GE271" i="2"/>
  <c r="GE222" i="2"/>
  <c r="GC285" i="2"/>
  <c r="EK236" i="2"/>
  <c r="GC237" i="2"/>
  <c r="EK170" i="2"/>
  <c r="GC170" i="2"/>
  <c r="EK223" i="2"/>
  <c r="GE275" i="2"/>
  <c r="GC276" i="2"/>
  <c r="EJ148" i="2"/>
  <c r="EV148" i="2"/>
  <c r="GA468" i="2"/>
  <c r="EI348" i="2"/>
  <c r="EU348" i="2"/>
  <c r="GE604" i="2"/>
  <c r="GD605" i="2"/>
  <c r="GC246" i="2"/>
  <c r="EK106" i="2"/>
  <c r="GC106" i="2"/>
  <c r="EK107" i="2"/>
  <c r="EN111" i="2"/>
  <c r="FA111" i="2"/>
  <c r="GF111" i="2"/>
  <c r="FU109" i="2"/>
  <c r="GG109" i="2"/>
  <c r="EO110" i="2"/>
  <c r="GF110" i="2"/>
  <c r="FU120" i="2"/>
  <c r="GG120" i="2"/>
  <c r="EO121" i="2"/>
  <c r="GD121" i="2"/>
  <c r="GD113" i="2"/>
  <c r="GA114" i="2"/>
  <c r="EU247" i="2"/>
  <c r="ES168" i="2"/>
  <c r="GC173" i="2"/>
  <c r="EK175" i="2"/>
  <c r="EJ257" i="2"/>
  <c r="EV257" i="2"/>
  <c r="EJ201" i="2"/>
  <c r="EV201" i="2"/>
  <c r="EJ191" i="2"/>
  <c r="EV191" i="2"/>
  <c r="GA219" i="2"/>
  <c r="EI283" i="2"/>
  <c r="EU283" i="2"/>
  <c r="FZ283" i="2"/>
  <c r="GM283" i="2"/>
  <c r="ET269" i="2"/>
  <c r="ES220" i="2"/>
  <c r="ER221" i="2"/>
  <c r="FU270" i="2"/>
  <c r="GG270" i="2"/>
  <c r="EO271" i="2"/>
  <c r="GD236" i="2"/>
  <c r="GC272" i="2"/>
  <c r="FW273" i="2"/>
  <c r="FU95" i="2"/>
  <c r="GG95" i="2"/>
  <c r="FZ128" i="2"/>
  <c r="GM128" i="2"/>
  <c r="GD146" i="2"/>
  <c r="ES104" i="2"/>
  <c r="ER105" i="2"/>
  <c r="FW105" i="2"/>
  <c r="ER268" i="2"/>
  <c r="FW268" i="2"/>
  <c r="EQ550" i="2"/>
  <c r="FV550" i="2"/>
  <c r="GH550" i="2"/>
  <c r="FV602" i="2"/>
  <c r="GH602" i="2"/>
  <c r="FU551" i="2"/>
  <c r="GG551" i="2"/>
  <c r="GF603" i="2"/>
  <c r="EN604" i="2"/>
  <c r="FA604" i="2"/>
  <c r="GF604" i="2"/>
  <c r="EN605" i="2"/>
  <c r="FA605" i="2"/>
  <c r="GE605" i="2"/>
  <c r="GD246" i="2"/>
  <c r="GD106" i="2"/>
  <c r="GC107" i="2"/>
  <c r="EO111" i="2"/>
  <c r="FU111" i="2"/>
  <c r="GG111" i="2"/>
  <c r="ER109" i="2"/>
  <c r="FV109" i="2"/>
  <c r="GH109" i="2"/>
  <c r="FU110" i="2"/>
  <c r="GG110" i="2"/>
  <c r="FV120" i="2"/>
  <c r="GH120" i="2"/>
  <c r="GE121" i="2"/>
  <c r="GE113" i="2"/>
  <c r="EJ247" i="2"/>
  <c r="EV247" i="2"/>
  <c r="FZ247" i="2"/>
  <c r="GM247" i="2"/>
  <c r="ET168" i="2"/>
  <c r="GD248" i="2"/>
  <c r="GD173" i="2"/>
  <c r="GC175" i="2"/>
  <c r="EK257" i="2"/>
  <c r="GC257" i="2"/>
  <c r="EK201" i="2"/>
  <c r="EI219" i="2"/>
  <c r="EU219" i="2"/>
  <c r="EJ283" i="2"/>
  <c r="EV283" i="2"/>
  <c r="GA283" i="2"/>
  <c r="EI269" i="2"/>
  <c r="EU269" i="2"/>
  <c r="FZ269" i="2"/>
  <c r="GM269" i="2"/>
  <c r="ET220" i="2"/>
  <c r="FV284" i="2"/>
  <c r="GH284" i="2"/>
  <c r="FU271" i="2"/>
  <c r="GG271" i="2"/>
  <c r="EO222" i="2"/>
  <c r="FU222" i="2"/>
  <c r="GG222" i="2"/>
  <c r="EO285" i="2"/>
  <c r="GE285" i="2"/>
  <c r="GE223" i="2"/>
  <c r="GD224" i="2"/>
  <c r="FV274" i="2"/>
  <c r="GH274" i="2"/>
  <c r="FU275" i="2"/>
  <c r="GG275" i="2"/>
  <c r="GE276" i="2"/>
  <c r="EI46" i="2"/>
  <c r="EU46" i="2"/>
  <c r="GC247" i="2"/>
  <c r="EK168" i="2"/>
  <c r="GA168" i="2"/>
  <c r="EK248" i="2"/>
  <c r="GC248" i="2"/>
  <c r="EK173" i="2"/>
  <c r="EJ175" i="2"/>
  <c r="EV175" i="2"/>
  <c r="FZ175" i="2"/>
  <c r="GM175" i="2"/>
  <c r="ET257" i="2"/>
  <c r="FZ257" i="2"/>
  <c r="GM257" i="2"/>
  <c r="ET201" i="2"/>
  <c r="ES191" i="2"/>
  <c r="GE219" i="2"/>
  <c r="GD283" i="2"/>
  <c r="EJ220" i="2"/>
  <c r="EV220" i="2"/>
  <c r="FZ220" i="2"/>
  <c r="GM220" i="2"/>
  <c r="ET221" i="2"/>
  <c r="ES284" i="2"/>
  <c r="FU284" i="2"/>
  <c r="GG284" i="2"/>
  <c r="EO270" i="2"/>
  <c r="GF270" i="2"/>
  <c r="EN271" i="2"/>
  <c r="FA271" i="2"/>
  <c r="GD271" i="2"/>
  <c r="GD222" i="2"/>
  <c r="EJ236" i="2"/>
  <c r="EV236" i="2"/>
  <c r="GA236" i="2"/>
  <c r="EU237" i="2"/>
  <c r="FZ237" i="2"/>
  <c r="GM237" i="2"/>
  <c r="ET170" i="2"/>
  <c r="FZ170" i="2"/>
  <c r="GM170" i="2"/>
  <c r="ET223" i="2"/>
  <c r="ES224" i="2"/>
  <c r="ER272" i="2"/>
  <c r="FW272" i="2"/>
  <c r="GC273" i="2"/>
  <c r="EJ95" i="2"/>
  <c r="EV95" i="2"/>
  <c r="GA95" i="2"/>
  <c r="EI275" i="2"/>
  <c r="EU275" i="2"/>
  <c r="ES276" i="2"/>
  <c r="FW276" i="2"/>
  <c r="FV278" i="2"/>
  <c r="GH278" i="2"/>
  <c r="GE145" i="2"/>
  <c r="GA148" i="2"/>
  <c r="EI468" i="2"/>
  <c r="EU468" i="2"/>
  <c r="ER351" i="2"/>
  <c r="FW351" i="2"/>
  <c r="EQ352" i="2"/>
  <c r="FV270" i="2"/>
  <c r="GH270" i="2"/>
  <c r="GF271" i="2"/>
  <c r="EN222" i="2"/>
  <c r="FA222" i="2"/>
  <c r="GF222" i="2"/>
  <c r="EN285" i="2"/>
  <c r="FA285" i="2"/>
  <c r="GD285" i="2"/>
  <c r="GC236" i="2"/>
  <c r="EK237" i="2"/>
  <c r="EJ170" i="2"/>
  <c r="EV170" i="2"/>
  <c r="EJ223" i="2"/>
  <c r="EV223" i="2"/>
  <c r="GA223" i="2"/>
  <c r="EI224" i="2"/>
  <c r="EU224" i="2"/>
  <c r="FZ224" i="2"/>
  <c r="GM224" i="2"/>
  <c r="ET272" i="2"/>
  <c r="GE273" i="2"/>
  <c r="GD274" i="2"/>
  <c r="GC95" i="2"/>
  <c r="EK275" i="2"/>
  <c r="GA275" i="2"/>
  <c r="EI276" i="2"/>
  <c r="EU276" i="2"/>
  <c r="GC46" i="2"/>
  <c r="EK128" i="2"/>
  <c r="GA128" i="2"/>
  <c r="GC148" i="2"/>
  <c r="EK468" i="2"/>
  <c r="EJ348" i="2"/>
  <c r="EV348" i="2"/>
  <c r="GA348" i="2"/>
  <c r="EI349" i="2"/>
  <c r="EU349" i="2"/>
  <c r="FZ349" i="2"/>
  <c r="GM349" i="2"/>
  <c r="ET350" i="2"/>
  <c r="FZ350" i="2"/>
  <c r="GM350" i="2"/>
  <c r="ET351" i="2"/>
  <c r="FW621" i="2"/>
  <c r="EQ462" i="2"/>
  <c r="FW462" i="2"/>
  <c r="EQ463" i="2"/>
  <c r="GE513" i="2"/>
  <c r="ES48" i="2"/>
  <c r="EN46" i="2"/>
  <c r="FA46" i="2"/>
  <c r="GD46" i="2"/>
  <c r="FV145" i="2"/>
  <c r="GH145" i="2"/>
  <c r="GF146" i="2"/>
  <c r="EN147" i="2"/>
  <c r="FA147" i="2"/>
  <c r="GD147" i="2"/>
  <c r="GD148" i="2"/>
  <c r="GC468" i="2"/>
  <c r="EK348" i="2"/>
  <c r="EJ349" i="2"/>
  <c r="EV349" i="2"/>
  <c r="GA349" i="2"/>
  <c r="EI350" i="2"/>
  <c r="EU350" i="2"/>
  <c r="FZ352" i="2"/>
  <c r="GM352" i="2"/>
  <c r="ET353" i="2"/>
  <c r="ES354" i="2"/>
  <c r="ES355" i="2"/>
  <c r="ES356" i="2"/>
  <c r="ER462" i="2"/>
  <c r="FZ463" i="2"/>
  <c r="FA513" i="2"/>
  <c r="EQ247" i="2"/>
  <c r="FU247" i="2"/>
  <c r="GG247" i="2"/>
  <c r="EO168" i="2"/>
  <c r="GE168" i="2"/>
  <c r="EO248" i="2"/>
  <c r="FU248" i="2"/>
  <c r="GG248" i="2"/>
  <c r="EO173" i="2"/>
  <c r="GF173" i="2"/>
  <c r="EN175" i="2"/>
  <c r="FA175" i="2"/>
  <c r="GD175" i="2"/>
  <c r="GD257" i="2"/>
  <c r="GC201" i="2"/>
  <c r="EK191" i="2"/>
  <c r="GC191" i="2"/>
  <c r="EQ219" i="2"/>
  <c r="FW219" i="2"/>
  <c r="EQ283" i="2"/>
  <c r="FV283" i="2"/>
  <c r="GH283" i="2"/>
  <c r="GF269" i="2"/>
  <c r="EN220" i="2"/>
  <c r="FA220" i="2"/>
  <c r="GD220" i="2"/>
  <c r="GC221" i="2"/>
  <c r="EK284" i="2"/>
  <c r="ES270" i="2"/>
  <c r="ER271" i="2"/>
  <c r="FV271" i="2"/>
  <c r="GH271" i="2"/>
  <c r="FV222" i="2"/>
  <c r="GH222" i="2"/>
  <c r="GF285" i="2"/>
  <c r="EN236" i="2"/>
  <c r="FA236" i="2"/>
  <c r="GE236" i="2"/>
  <c r="GD237" i="2"/>
  <c r="GD170" i="2"/>
  <c r="GC223" i="2"/>
  <c r="EK224" i="2"/>
  <c r="EJ272" i="2"/>
  <c r="EV272" i="2"/>
  <c r="GA272" i="2"/>
  <c r="FU273" i="2"/>
  <c r="GG273" i="2"/>
  <c r="GF274" i="2"/>
  <c r="EN95" i="2"/>
  <c r="FA95" i="2"/>
  <c r="GE95" i="2"/>
  <c r="GC275" i="2"/>
  <c r="EK276" i="2"/>
  <c r="GA276" i="2"/>
  <c r="GF277" i="2"/>
  <c r="FZ278" i="2"/>
  <c r="GM278" i="2"/>
  <c r="ET48" i="2"/>
  <c r="FU146" i="2"/>
  <c r="GG146" i="2"/>
  <c r="GE147" i="2"/>
  <c r="GE148" i="2"/>
  <c r="GA351" i="2"/>
  <c r="EI352" i="2"/>
  <c r="EU352" i="2"/>
  <c r="GA352" i="2"/>
  <c r="EI353" i="2"/>
  <c r="EU353" i="2"/>
  <c r="FZ353" i="2"/>
  <c r="GM353" i="2"/>
  <c r="ET354" i="2"/>
  <c r="FZ354" i="2"/>
  <c r="GM354" i="2"/>
  <c r="ET355" i="2"/>
  <c r="FZ355" i="2"/>
  <c r="GM355" i="2"/>
  <c r="ET356" i="2"/>
  <c r="EU463" i="2"/>
  <c r="FU608" i="2"/>
  <c r="GG608" i="2"/>
  <c r="ER247" i="2"/>
  <c r="FV247" i="2"/>
  <c r="GH247" i="2"/>
  <c r="GF168" i="2"/>
  <c r="FV248" i="2"/>
  <c r="GH248" i="2"/>
  <c r="FU173" i="2"/>
  <c r="GG173" i="2"/>
  <c r="EO175" i="2"/>
  <c r="GE175" i="2"/>
  <c r="GE257" i="2"/>
  <c r="GD201" i="2"/>
  <c r="GD191" i="2"/>
  <c r="ER219" i="2"/>
  <c r="ER283" i="2"/>
  <c r="FW283" i="2"/>
  <c r="EQ269" i="2"/>
  <c r="FU269" i="2"/>
  <c r="GG269" i="2"/>
  <c r="EO220" i="2"/>
  <c r="GE220" i="2"/>
  <c r="GD221" i="2"/>
  <c r="FZ284" i="2"/>
  <c r="GM284" i="2"/>
  <c r="ET270" i="2"/>
  <c r="ES271" i="2"/>
  <c r="FW271" i="2"/>
  <c r="EQ222" i="2"/>
  <c r="FW222" i="2"/>
  <c r="EQ285" i="2"/>
  <c r="FU285" i="2"/>
  <c r="GG285" i="2"/>
  <c r="EO236" i="2"/>
  <c r="GF236" i="2"/>
  <c r="EN237" i="2"/>
  <c r="FA237" i="2"/>
  <c r="GE237" i="2"/>
  <c r="GE170" i="2"/>
  <c r="GD223" i="2"/>
  <c r="GC224" i="2"/>
  <c r="EK272" i="2"/>
  <c r="FV273" i="2"/>
  <c r="GH273" i="2"/>
  <c r="FU274" i="2"/>
  <c r="GG274" i="2"/>
  <c r="EO95" i="2"/>
  <c r="GF95" i="2"/>
  <c r="EN275" i="2"/>
  <c r="FA275" i="2"/>
  <c r="GD275" i="2"/>
  <c r="GA278" i="2"/>
  <c r="EI48" i="2"/>
  <c r="EU48" i="2"/>
  <c r="ER146" i="2"/>
  <c r="FV146" i="2"/>
  <c r="GH146" i="2"/>
  <c r="GF147" i="2"/>
  <c r="EN148" i="2"/>
  <c r="FA148" i="2"/>
  <c r="GC350" i="2"/>
  <c r="EK351" i="2"/>
  <c r="EJ352" i="2"/>
  <c r="EV352" i="2"/>
  <c r="EJ477" i="2"/>
  <c r="EV477" i="2"/>
  <c r="FU46" i="2"/>
  <c r="GG46" i="2"/>
  <c r="GE128" i="2"/>
  <c r="ES146" i="2"/>
  <c r="GF468" i="2"/>
  <c r="EN348" i="2"/>
  <c r="FA348" i="2"/>
  <c r="GE348" i="2"/>
  <c r="GD349" i="2"/>
  <c r="GD350" i="2"/>
  <c r="GA462" i="2"/>
  <c r="EI463" i="2"/>
  <c r="GC463" i="2"/>
  <c r="EK477" i="2"/>
  <c r="GC477" i="2"/>
  <c r="EK469" i="2"/>
  <c r="GC469" i="2"/>
  <c r="GC478" i="2"/>
  <c r="EK479" i="2"/>
  <c r="GC479" i="2"/>
  <c r="EK480" i="2"/>
  <c r="EJ481" i="2"/>
  <c r="EV481" i="2"/>
  <c r="ES606" i="2"/>
  <c r="ES509" i="2"/>
  <c r="ES510" i="2"/>
  <c r="ER511" i="2"/>
  <c r="ET247" i="2"/>
  <c r="ER168" i="2"/>
  <c r="FV168" i="2"/>
  <c r="GH168" i="2"/>
  <c r="ER248" i="2"/>
  <c r="ER173" i="2"/>
  <c r="FW173" i="2"/>
  <c r="FU175" i="2"/>
  <c r="GG175" i="2"/>
  <c r="EO257" i="2"/>
  <c r="FU257" i="2"/>
  <c r="GG257" i="2"/>
  <c r="EO201" i="2"/>
  <c r="GF201" i="2"/>
  <c r="EN191" i="2"/>
  <c r="FA191" i="2"/>
  <c r="GF191" i="2"/>
  <c r="ET219" i="2"/>
  <c r="FZ219" i="2"/>
  <c r="GM219" i="2"/>
  <c r="ET283" i="2"/>
  <c r="ES269" i="2"/>
  <c r="FW269" i="2"/>
  <c r="EQ220" i="2"/>
  <c r="FU220" i="2"/>
  <c r="GG220" i="2"/>
  <c r="EO221" i="2"/>
  <c r="GF221" i="2"/>
  <c r="EN284" i="2"/>
  <c r="FA284" i="2"/>
  <c r="EJ270" i="2"/>
  <c r="EV270" i="2"/>
  <c r="GA270" i="2"/>
  <c r="EI271" i="2"/>
  <c r="EU271" i="2"/>
  <c r="ES222" i="2"/>
  <c r="ES285" i="2"/>
  <c r="FW285" i="2"/>
  <c r="EQ236" i="2"/>
  <c r="FV236" i="2"/>
  <c r="GH236" i="2"/>
  <c r="FU237" i="2"/>
  <c r="GG237" i="2"/>
  <c r="EO170" i="2"/>
  <c r="FU170" i="2"/>
  <c r="GG170" i="2"/>
  <c r="EO223" i="2"/>
  <c r="GF223" i="2"/>
  <c r="EN224" i="2"/>
  <c r="FA224" i="2"/>
  <c r="GE224" i="2"/>
  <c r="GD272" i="2"/>
  <c r="FW274" i="2"/>
  <c r="EQ95" i="2"/>
  <c r="FV95" i="2"/>
  <c r="GH95" i="2"/>
  <c r="GF275" i="2"/>
  <c r="EN276" i="2"/>
  <c r="FA276" i="2"/>
  <c r="GD276" i="2"/>
  <c r="FW277" i="2"/>
  <c r="FV46" i="2"/>
  <c r="GH46" i="2"/>
  <c r="GF128" i="2"/>
  <c r="FZ145" i="2"/>
  <c r="GM145" i="2"/>
  <c r="ET146" i="2"/>
  <c r="FV148" i="2"/>
  <c r="GH148" i="2"/>
  <c r="FU468" i="2"/>
  <c r="GG468" i="2"/>
  <c r="GF348" i="2"/>
  <c r="EN349" i="2"/>
  <c r="FA349" i="2"/>
  <c r="GE349" i="2"/>
  <c r="EJ462" i="2"/>
  <c r="EV462" i="2"/>
  <c r="GD278" i="2"/>
  <c r="ES46" i="2"/>
  <c r="FW46" i="2"/>
  <c r="EQ128" i="2"/>
  <c r="FU128" i="2"/>
  <c r="GG128" i="2"/>
  <c r="ES147" i="2"/>
  <c r="FW147" i="2"/>
  <c r="EQ148" i="2"/>
  <c r="FW148" i="2"/>
  <c r="EQ468" i="2"/>
  <c r="FV468" i="2"/>
  <c r="GH468" i="2"/>
  <c r="FU348" i="2"/>
  <c r="GG348" i="2"/>
  <c r="GF349" i="2"/>
  <c r="EN350" i="2"/>
  <c r="GE352" i="2"/>
  <c r="GD353" i="2"/>
  <c r="GD354" i="2"/>
  <c r="GD355" i="2"/>
  <c r="GC356" i="2"/>
  <c r="EK621" i="2"/>
  <c r="GC462" i="2"/>
  <c r="EK463" i="2"/>
  <c r="ES483" i="2"/>
  <c r="GC270" i="2"/>
  <c r="EK271" i="2"/>
  <c r="GA271" i="2"/>
  <c r="EI222" i="2"/>
  <c r="EU222" i="2"/>
  <c r="GA222" i="2"/>
  <c r="EI285" i="2"/>
  <c r="EU285" i="2"/>
  <c r="ES236" i="2"/>
  <c r="ER237" i="2"/>
  <c r="FW237" i="2"/>
  <c r="EQ170" i="2"/>
  <c r="FW170" i="2"/>
  <c r="EQ223" i="2"/>
  <c r="FV223" i="2"/>
  <c r="GH223" i="2"/>
  <c r="FU224" i="2"/>
  <c r="GG224" i="2"/>
  <c r="GF272" i="2"/>
  <c r="FZ273" i="2"/>
  <c r="GM273" i="2"/>
  <c r="ES95" i="2"/>
  <c r="ER275" i="2"/>
  <c r="FV275" i="2"/>
  <c r="GH275" i="2"/>
  <c r="GF276" i="2"/>
  <c r="ET46" i="2"/>
  <c r="FZ146" i="2"/>
  <c r="GM146" i="2"/>
  <c r="ET147" i="2"/>
  <c r="ER148" i="2"/>
  <c r="ER468" i="2"/>
  <c r="GF351" i="2"/>
  <c r="EN352" i="2"/>
  <c r="FA352" i="2"/>
  <c r="GD621" i="2"/>
  <c r="GD462" i="2"/>
  <c r="EQ465" i="2"/>
  <c r="EI482" i="2"/>
  <c r="EU482" i="2"/>
  <c r="FZ482" i="2"/>
  <c r="GM482" i="2"/>
  <c r="ET501" i="2"/>
  <c r="GC145" i="2"/>
  <c r="EK146" i="2"/>
  <c r="GA146" i="2"/>
  <c r="EI147" i="2"/>
  <c r="EU147" i="2"/>
  <c r="ES148" i="2"/>
  <c r="FV350" i="2"/>
  <c r="GH350" i="2"/>
  <c r="FU352" i="2"/>
  <c r="GG352" i="2"/>
  <c r="EO353" i="2"/>
  <c r="GF353" i="2"/>
  <c r="EN354" i="2"/>
  <c r="FA354" i="2"/>
  <c r="GF354" i="2"/>
  <c r="EN355" i="2"/>
  <c r="FA355" i="2"/>
  <c r="GF355" i="2"/>
  <c r="EN356" i="2"/>
  <c r="FA356" i="2"/>
  <c r="GE356" i="2"/>
  <c r="GE621" i="2"/>
  <c r="FU463" i="2"/>
  <c r="GG463" i="2"/>
  <c r="EO477" i="2"/>
  <c r="FU477" i="2"/>
  <c r="GG477" i="2"/>
  <c r="EO469" i="2"/>
  <c r="FU469" i="2"/>
  <c r="GG469" i="2"/>
  <c r="FU478" i="2"/>
  <c r="GG478" i="2"/>
  <c r="EO479" i="2"/>
  <c r="FU479" i="2"/>
  <c r="GG479" i="2"/>
  <c r="EO480" i="2"/>
  <c r="GF480" i="2"/>
  <c r="EN481" i="2"/>
  <c r="FA481" i="2"/>
  <c r="GF481" i="2"/>
  <c r="EN387" i="2"/>
  <c r="FA387" i="2"/>
  <c r="GF387" i="2"/>
  <c r="EN464" i="2"/>
  <c r="FV464" i="2"/>
  <c r="ET465" i="2"/>
  <c r="EJ168" i="2"/>
  <c r="EV168" i="2"/>
  <c r="FZ168" i="2"/>
  <c r="GM168" i="2"/>
  <c r="EJ248" i="2"/>
  <c r="EV248" i="2"/>
  <c r="EJ173" i="2"/>
  <c r="EV173" i="2"/>
  <c r="GA173" i="2"/>
  <c r="EU175" i="2"/>
  <c r="ES257" i="2"/>
  <c r="ES201" i="2"/>
  <c r="ER191" i="2"/>
  <c r="GD219" i="2"/>
  <c r="GC283" i="2"/>
  <c r="EK269" i="2"/>
  <c r="GA269" i="2"/>
  <c r="EI220" i="2"/>
  <c r="EU220" i="2"/>
  <c r="ES221" i="2"/>
  <c r="ER284" i="2"/>
  <c r="GF284" i="2"/>
  <c r="EN270" i="2"/>
  <c r="FA270" i="2"/>
  <c r="GE270" i="2"/>
  <c r="GC271" i="2"/>
  <c r="EK222" i="2"/>
  <c r="GC222" i="2"/>
  <c r="EK285" i="2"/>
  <c r="GA285" i="2"/>
  <c r="EI236" i="2"/>
  <c r="EU236" i="2"/>
  <c r="FZ236" i="2"/>
  <c r="GM236" i="2"/>
  <c r="ET237" i="2"/>
  <c r="ES170" i="2"/>
  <c r="ES223" i="2"/>
  <c r="ER224" i="2"/>
  <c r="FW224" i="2"/>
  <c r="EQ272" i="2"/>
  <c r="FV272" i="2"/>
  <c r="GH272" i="2"/>
  <c r="GA274" i="2"/>
  <c r="EI95" i="2"/>
  <c r="EU95" i="2"/>
  <c r="FZ95" i="2"/>
  <c r="GM95" i="2"/>
  <c r="ET275" i="2"/>
  <c r="ER276" i="2"/>
  <c r="FV276" i="2"/>
  <c r="GH276" i="2"/>
  <c r="GA277" i="2"/>
  <c r="FU278" i="2"/>
  <c r="GG278" i="2"/>
  <c r="FZ46" i="2"/>
  <c r="GM46" i="2"/>
  <c r="ET128" i="2"/>
  <c r="GD145" i="2"/>
  <c r="ES348" i="2"/>
  <c r="ER349" i="2"/>
  <c r="FW349" i="2"/>
  <c r="EQ350" i="2"/>
  <c r="FV351" i="2"/>
  <c r="GH351" i="2"/>
  <c r="FV352" i="2"/>
  <c r="GH352" i="2"/>
  <c r="FU353" i="2"/>
  <c r="GG353" i="2"/>
  <c r="EO354" i="2"/>
  <c r="FU354" i="2"/>
  <c r="GG354" i="2"/>
  <c r="EO355" i="2"/>
  <c r="FU355" i="2"/>
  <c r="GG355" i="2"/>
  <c r="EO356" i="2"/>
  <c r="GF356" i="2"/>
  <c r="EN621" i="2"/>
  <c r="FA621" i="2"/>
  <c r="FV463" i="2"/>
  <c r="GH463" i="2"/>
  <c r="FV477" i="2"/>
  <c r="GH477" i="2"/>
  <c r="FV469" i="2"/>
  <c r="GH469" i="2"/>
  <c r="FW464" i="2"/>
  <c r="FZ277" i="2"/>
  <c r="GM277" i="2"/>
  <c r="ER48" i="2"/>
  <c r="ER46" i="2"/>
  <c r="GF46" i="2"/>
  <c r="EN128" i="2"/>
  <c r="FA128" i="2"/>
  <c r="GD128" i="2"/>
  <c r="EJ146" i="2"/>
  <c r="EV146" i="2"/>
  <c r="ER147" i="2"/>
  <c r="FV147" i="2"/>
  <c r="GH147" i="2"/>
  <c r="FU148" i="2"/>
  <c r="GG148" i="2"/>
  <c r="GE468" i="2"/>
  <c r="GD348" i="2"/>
  <c r="GC349" i="2"/>
  <c r="EK350" i="2"/>
  <c r="EJ351" i="2"/>
  <c r="EV351" i="2"/>
  <c r="FZ351" i="2"/>
  <c r="GM351" i="2"/>
  <c r="ET352" i="2"/>
  <c r="ES353" i="2"/>
  <c r="ER354" i="2"/>
  <c r="ER355" i="2"/>
  <c r="ER356" i="2"/>
  <c r="FW356" i="2"/>
  <c r="EQ621" i="2"/>
  <c r="FV621" i="2"/>
  <c r="GH621" i="2"/>
  <c r="FU462" i="2"/>
  <c r="GG462" i="2"/>
  <c r="EO463" i="2"/>
  <c r="GF463" i="2"/>
  <c r="EN477" i="2"/>
  <c r="FA477" i="2"/>
  <c r="GF477" i="2"/>
  <c r="EN469" i="2"/>
  <c r="FA469" i="2"/>
  <c r="GF469" i="2"/>
  <c r="EN478" i="2"/>
  <c r="FA478" i="2"/>
  <c r="GH464" i="2"/>
  <c r="ES482" i="2"/>
  <c r="ER501" i="2"/>
  <c r="FW501" i="2"/>
  <c r="ER606" i="2"/>
  <c r="ER509" i="2"/>
  <c r="ER510" i="2"/>
  <c r="FW510" i="2"/>
  <c r="EQ511" i="2"/>
  <c r="FW511" i="2"/>
  <c r="EQ552" i="2"/>
  <c r="FV552" i="2"/>
  <c r="GH552" i="2"/>
  <c r="FV607" i="2"/>
  <c r="GH607" i="2"/>
  <c r="GE512" i="2"/>
  <c r="GE609" i="2"/>
  <c r="GD610" i="2"/>
  <c r="GM483" i="2"/>
  <c r="ET484" i="2"/>
  <c r="FZ484" i="2"/>
  <c r="GM484" i="2"/>
  <c r="ET606" i="2"/>
  <c r="FZ606" i="2"/>
  <c r="GM606" i="2"/>
  <c r="ET509" i="2"/>
  <c r="ES552" i="2"/>
  <c r="ER607" i="2"/>
  <c r="ER608" i="2"/>
  <c r="FU512" i="2"/>
  <c r="GG512" i="2"/>
  <c r="EO609" i="2"/>
  <c r="FU609" i="2"/>
  <c r="GG609" i="2"/>
  <c r="GF610" i="2"/>
  <c r="EN513" i="2"/>
  <c r="GF513" i="2"/>
  <c r="EN611" i="2"/>
  <c r="FA611" i="2"/>
  <c r="GF611" i="2"/>
  <c r="EN612" i="2"/>
  <c r="FA612" i="2"/>
  <c r="GE612" i="2"/>
  <c r="FZ399" i="2"/>
  <c r="GM399" i="2"/>
  <c r="ET400" i="2"/>
  <c r="FZ403" i="2"/>
  <c r="GM403" i="2"/>
  <c r="ET404" i="2"/>
  <c r="ES405" i="2"/>
  <c r="FA350" i="2"/>
  <c r="GE350" i="2"/>
  <c r="GC351" i="2"/>
  <c r="EK352" i="2"/>
  <c r="EJ353" i="2"/>
  <c r="EV353" i="2"/>
  <c r="GA353" i="2"/>
  <c r="EI354" i="2"/>
  <c r="EU354" i="2"/>
  <c r="GA354" i="2"/>
  <c r="EI355" i="2"/>
  <c r="EU355" i="2"/>
  <c r="GA355" i="2"/>
  <c r="EI356" i="2"/>
  <c r="EU356" i="2"/>
  <c r="FZ356" i="2"/>
  <c r="GM356" i="2"/>
  <c r="ET621" i="2"/>
  <c r="ES462" i="2"/>
  <c r="FW463" i="2"/>
  <c r="EQ477" i="2"/>
  <c r="FW477" i="2"/>
  <c r="EQ469" i="2"/>
  <c r="FW469" i="2"/>
  <c r="FW478" i="2"/>
  <c r="EQ479" i="2"/>
  <c r="FW479" i="2"/>
  <c r="EQ480" i="2"/>
  <c r="FV480" i="2"/>
  <c r="GH480" i="2"/>
  <c r="FV481" i="2"/>
  <c r="GH481" i="2"/>
  <c r="FV387" i="2"/>
  <c r="GH387" i="2"/>
  <c r="GA465" i="2"/>
  <c r="EJ482" i="2"/>
  <c r="EV482" i="2"/>
  <c r="GA482" i="2"/>
  <c r="EI501" i="2"/>
  <c r="EU501" i="2"/>
  <c r="FZ501" i="2"/>
  <c r="GM501" i="2"/>
  <c r="ET483" i="2"/>
  <c r="FZ483" i="2"/>
  <c r="GA509" i="2"/>
  <c r="EI510" i="2"/>
  <c r="EU510" i="2"/>
  <c r="FZ510" i="2"/>
  <c r="GM510" i="2"/>
  <c r="ET511" i="2"/>
  <c r="FW608" i="2"/>
  <c r="EQ512" i="2"/>
  <c r="FV512" i="2"/>
  <c r="GH512" i="2"/>
  <c r="FV609" i="2"/>
  <c r="GH609" i="2"/>
  <c r="FU610" i="2"/>
  <c r="GG610" i="2"/>
  <c r="EO513" i="2"/>
  <c r="GD277" i="2"/>
  <c r="EJ48" i="2"/>
  <c r="EV48" i="2"/>
  <c r="EJ46" i="2"/>
  <c r="EV46" i="2"/>
  <c r="ER128" i="2"/>
  <c r="FV128" i="2"/>
  <c r="GH128" i="2"/>
  <c r="GF145" i="2"/>
  <c r="EN146" i="2"/>
  <c r="FA146" i="2"/>
  <c r="EJ147" i="2"/>
  <c r="EV147" i="2"/>
  <c r="FZ147" i="2"/>
  <c r="GM147" i="2"/>
  <c r="ET148" i="2"/>
  <c r="ES468" i="2"/>
  <c r="FW468" i="2"/>
  <c r="EQ348" i="2"/>
  <c r="FV348" i="2"/>
  <c r="GH348" i="2"/>
  <c r="FU349" i="2"/>
  <c r="GG349" i="2"/>
  <c r="GF350" i="2"/>
  <c r="EN351" i="2"/>
  <c r="FA351" i="2"/>
  <c r="GD351" i="2"/>
  <c r="GC352" i="2"/>
  <c r="EK353" i="2"/>
  <c r="EJ354" i="2"/>
  <c r="EV354" i="2"/>
  <c r="EJ355" i="2"/>
  <c r="EV355" i="2"/>
  <c r="EJ356" i="2"/>
  <c r="EV356" i="2"/>
  <c r="GA356" i="2"/>
  <c r="EI621" i="2"/>
  <c r="EU621" i="2"/>
  <c r="FZ621" i="2"/>
  <c r="GM621" i="2"/>
  <c r="ET462" i="2"/>
  <c r="ER477" i="2"/>
  <c r="ER469" i="2"/>
  <c r="ER478" i="2"/>
  <c r="ER479" i="2"/>
  <c r="ER480" i="2"/>
  <c r="FW480" i="2"/>
  <c r="EQ481" i="2"/>
  <c r="FW481" i="2"/>
  <c r="EQ387" i="2"/>
  <c r="FW387" i="2"/>
  <c r="EQ464" i="2"/>
  <c r="GM464" i="2"/>
  <c r="EV465" i="2"/>
  <c r="EK482" i="2"/>
  <c r="EJ501" i="2"/>
  <c r="EV501" i="2"/>
  <c r="GA501" i="2"/>
  <c r="EI483" i="2"/>
  <c r="EU483" i="2"/>
  <c r="EJ484" i="2"/>
  <c r="EV484" i="2"/>
  <c r="EJ606" i="2"/>
  <c r="EV606" i="2"/>
  <c r="EJ509" i="2"/>
  <c r="EV509" i="2"/>
  <c r="GA511" i="2"/>
  <c r="EI552" i="2"/>
  <c r="EU552" i="2"/>
  <c r="FZ552" i="2"/>
  <c r="GM552" i="2"/>
  <c r="ET607" i="2"/>
  <c r="FZ607" i="2"/>
  <c r="GM607" i="2"/>
  <c r="ET608" i="2"/>
  <c r="ER512" i="2"/>
  <c r="GE277" i="2"/>
  <c r="GC278" i="2"/>
  <c r="EK48" i="2"/>
  <c r="EK46" i="2"/>
  <c r="ES128" i="2"/>
  <c r="FW128" i="2"/>
  <c r="FU145" i="2"/>
  <c r="GG145" i="2"/>
  <c r="GC146" i="2"/>
  <c r="EK147" i="2"/>
  <c r="GA147" i="2"/>
  <c r="EI148" i="2"/>
  <c r="EU148" i="2"/>
  <c r="FZ148" i="2"/>
  <c r="GM148" i="2"/>
  <c r="ET468" i="2"/>
  <c r="ER348" i="2"/>
  <c r="FW348" i="2"/>
  <c r="EQ349" i="2"/>
  <c r="FV349" i="2"/>
  <c r="GH349" i="2"/>
  <c r="FU350" i="2"/>
  <c r="GG350" i="2"/>
  <c r="EO351" i="2"/>
  <c r="GE351" i="2"/>
  <c r="GD352" i="2"/>
  <c r="GC353" i="2"/>
  <c r="EK354" i="2"/>
  <c r="GC354" i="2"/>
  <c r="EK355" i="2"/>
  <c r="GC355" i="2"/>
  <c r="EK356" i="2"/>
  <c r="EJ621" i="2"/>
  <c r="EV621" i="2"/>
  <c r="GA621" i="2"/>
  <c r="EI462" i="2"/>
  <c r="EU462" i="2"/>
  <c r="FZ462" i="2"/>
  <c r="GM462" i="2"/>
  <c r="ET463" i="2"/>
  <c r="ES477" i="2"/>
  <c r="ES469" i="2"/>
  <c r="ES478" i="2"/>
  <c r="ET464" i="2"/>
  <c r="FZ464" i="2"/>
  <c r="GC465" i="2"/>
  <c r="GC509" i="2"/>
  <c r="EK510" i="2"/>
  <c r="EJ511" i="2"/>
  <c r="EV511" i="2"/>
  <c r="EJ552" i="2"/>
  <c r="EV552" i="2"/>
  <c r="GA552" i="2"/>
  <c r="EI607" i="2"/>
  <c r="EU607" i="2"/>
  <c r="GA607" i="2"/>
  <c r="EI608" i="2"/>
  <c r="EU608" i="2"/>
  <c r="GM463" i="2"/>
  <c r="ET477" i="2"/>
  <c r="FZ477" i="2"/>
  <c r="GM477" i="2"/>
  <c r="ET469" i="2"/>
  <c r="FZ469" i="2"/>
  <c r="GM469" i="2"/>
  <c r="EJ465" i="2"/>
  <c r="GD482" i="2"/>
  <c r="GC501" i="2"/>
  <c r="EK483" i="2"/>
  <c r="GD483" i="2"/>
  <c r="GD484" i="2"/>
  <c r="GD606" i="2"/>
  <c r="GD509" i="2"/>
  <c r="GC510" i="2"/>
  <c r="EK511" i="2"/>
  <c r="ES609" i="2"/>
  <c r="FW613" i="2"/>
  <c r="EQ82" i="2"/>
  <c r="FU277" i="2"/>
  <c r="GG277" i="2"/>
  <c r="GE278" i="2"/>
  <c r="GA46" i="2"/>
  <c r="EI128" i="2"/>
  <c r="EU128" i="2"/>
  <c r="FW145" i="2"/>
  <c r="EQ146" i="2"/>
  <c r="GE146" i="2"/>
  <c r="GC147" i="2"/>
  <c r="EK148" i="2"/>
  <c r="EJ468" i="2"/>
  <c r="EV468" i="2"/>
  <c r="FZ468" i="2"/>
  <c r="GM468" i="2"/>
  <c r="ET348" i="2"/>
  <c r="ES349" i="2"/>
  <c r="ER350" i="2"/>
  <c r="FW350" i="2"/>
  <c r="FU351" i="2"/>
  <c r="GG351" i="2"/>
  <c r="EO352" i="2"/>
  <c r="GF352" i="2"/>
  <c r="EN353" i="2"/>
  <c r="FA353" i="2"/>
  <c r="GE353" i="2"/>
  <c r="GE354" i="2"/>
  <c r="GE355" i="2"/>
  <c r="GD356" i="2"/>
  <c r="GC621" i="2"/>
  <c r="EK462" i="2"/>
  <c r="EJ463" i="2"/>
  <c r="EV463" i="2"/>
  <c r="GA463" i="2"/>
  <c r="EI477" i="2"/>
  <c r="EU477" i="2"/>
  <c r="GA477" i="2"/>
  <c r="EI469" i="2"/>
  <c r="EU469" i="2"/>
  <c r="GA469" i="2"/>
  <c r="EI478" i="2"/>
  <c r="GA478" i="2"/>
  <c r="EI479" i="2"/>
  <c r="EU479" i="2"/>
  <c r="GA479" i="2"/>
  <c r="EI480" i="2"/>
  <c r="EU480" i="2"/>
  <c r="FZ480" i="2"/>
  <c r="GM480" i="2"/>
  <c r="ET481" i="2"/>
  <c r="FZ481" i="2"/>
  <c r="GM481" i="2"/>
  <c r="ET387" i="2"/>
  <c r="FZ387" i="2"/>
  <c r="GM387" i="2"/>
  <c r="EV464" i="2"/>
  <c r="EK465" i="2"/>
  <c r="GE483" i="2"/>
  <c r="GE484" i="2"/>
  <c r="GE606" i="2"/>
  <c r="GA608" i="2"/>
  <c r="EI512" i="2"/>
  <c r="EU512" i="2"/>
  <c r="ET513" i="2"/>
  <c r="ES611" i="2"/>
  <c r="ES612" i="2"/>
  <c r="ER613" i="2"/>
  <c r="EJ469" i="2"/>
  <c r="EV469" i="2"/>
  <c r="EJ478" i="2"/>
  <c r="EV478" i="2"/>
  <c r="GC464" i="2"/>
  <c r="FA465" i="2"/>
  <c r="GG465" i="2"/>
  <c r="EO482" i="2"/>
  <c r="GF482" i="2"/>
  <c r="EN501" i="2"/>
  <c r="FA501" i="2"/>
  <c r="GE501" i="2"/>
  <c r="GE511" i="2"/>
  <c r="GD552" i="2"/>
  <c r="GD607" i="2"/>
  <c r="GA512" i="2"/>
  <c r="EI609" i="2"/>
  <c r="EU609" i="2"/>
  <c r="GA609" i="2"/>
  <c r="EI610" i="2"/>
  <c r="EU610" i="2"/>
  <c r="FZ610" i="2"/>
  <c r="GM610" i="2"/>
  <c r="EU513" i="2"/>
  <c r="FZ513" i="2"/>
  <c r="GM513" i="2"/>
  <c r="EJ387" i="2"/>
  <c r="EV387" i="2"/>
  <c r="EJ464" i="2"/>
  <c r="FU465" i="2"/>
  <c r="GH465" i="2"/>
  <c r="FU482" i="2"/>
  <c r="GG482" i="2"/>
  <c r="EO501" i="2"/>
  <c r="GF501" i="2"/>
  <c r="EN483" i="2"/>
  <c r="FA483" i="2"/>
  <c r="FU509" i="2"/>
  <c r="GG509" i="2"/>
  <c r="EO510" i="2"/>
  <c r="GF510" i="2"/>
  <c r="EN511" i="2"/>
  <c r="FA511" i="2"/>
  <c r="GC608" i="2"/>
  <c r="EK512" i="2"/>
  <c r="EJ609" i="2"/>
  <c r="EV609" i="2"/>
  <c r="EJ610" i="2"/>
  <c r="EV610" i="2"/>
  <c r="GA610" i="2"/>
  <c r="EI513" i="2"/>
  <c r="EV513" i="2"/>
  <c r="FZ87" i="2"/>
  <c r="GM87" i="2"/>
  <c r="ET279" i="2"/>
  <c r="GE344" i="2"/>
  <c r="GE388" i="2"/>
  <c r="ER352" i="2"/>
  <c r="FW352" i="2"/>
  <c r="EQ353" i="2"/>
  <c r="FV353" i="2"/>
  <c r="GH353" i="2"/>
  <c r="FV354" i="2"/>
  <c r="GH354" i="2"/>
  <c r="FV355" i="2"/>
  <c r="GH355" i="2"/>
  <c r="FU356" i="2"/>
  <c r="GG356" i="2"/>
  <c r="EO621" i="2"/>
  <c r="GF621" i="2"/>
  <c r="EN462" i="2"/>
  <c r="FA462" i="2"/>
  <c r="GE462" i="2"/>
  <c r="GD463" i="2"/>
  <c r="GD477" i="2"/>
  <c r="GD469" i="2"/>
  <c r="GD478" i="2"/>
  <c r="GD479" i="2"/>
  <c r="GC480" i="2"/>
  <c r="EK481" i="2"/>
  <c r="GC481" i="2"/>
  <c r="EK387" i="2"/>
  <c r="GC387" i="2"/>
  <c r="EK464" i="2"/>
  <c r="GF464" i="2"/>
  <c r="EN465" i="2"/>
  <c r="FV465" i="2"/>
  <c r="GH483" i="2"/>
  <c r="FV484" i="2"/>
  <c r="GH484" i="2"/>
  <c r="FV606" i="2"/>
  <c r="GH606" i="2"/>
  <c r="FU511" i="2"/>
  <c r="GG511" i="2"/>
  <c r="EO552" i="2"/>
  <c r="GF552" i="2"/>
  <c r="EN607" i="2"/>
  <c r="FA607" i="2"/>
  <c r="GF607" i="2"/>
  <c r="FA608" i="2"/>
  <c r="GD608" i="2"/>
  <c r="GC512" i="2"/>
  <c r="EK609" i="2"/>
  <c r="GC609" i="2"/>
  <c r="EK610" i="2"/>
  <c r="EJ513" i="2"/>
  <c r="GA613" i="2"/>
  <c r="EI82" i="2"/>
  <c r="EU82" i="2"/>
  <c r="GA82" i="2"/>
  <c r="EI87" i="2"/>
  <c r="EU87" i="2"/>
  <c r="FW278" i="2"/>
  <c r="EQ48" i="2"/>
  <c r="EQ46" i="2"/>
  <c r="GE46" i="2"/>
  <c r="GC128" i="2"/>
  <c r="GA145" i="2"/>
  <c r="EI146" i="2"/>
  <c r="EU146" i="2"/>
  <c r="FW146" i="2"/>
  <c r="EQ147" i="2"/>
  <c r="FU147" i="2"/>
  <c r="GG147" i="2"/>
  <c r="GF148" i="2"/>
  <c r="EN468" i="2"/>
  <c r="FA468" i="2"/>
  <c r="GD468" i="2"/>
  <c r="GC348" i="2"/>
  <c r="EK349" i="2"/>
  <c r="EJ350" i="2"/>
  <c r="EV350" i="2"/>
  <c r="GA350" i="2"/>
  <c r="EU351" i="2"/>
  <c r="ES352" i="2"/>
  <c r="ER353" i="2"/>
  <c r="FW353" i="2"/>
  <c r="EQ354" i="2"/>
  <c r="FW354" i="2"/>
  <c r="EQ355" i="2"/>
  <c r="FW355" i="2"/>
  <c r="EQ356" i="2"/>
  <c r="FV356" i="2"/>
  <c r="GH356" i="2"/>
  <c r="FU621" i="2"/>
  <c r="GG621" i="2"/>
  <c r="EO462" i="2"/>
  <c r="GF462" i="2"/>
  <c r="EN463" i="2"/>
  <c r="FA463" i="2"/>
  <c r="GE463" i="2"/>
  <c r="GE477" i="2"/>
  <c r="GE469" i="2"/>
  <c r="GE478" i="2"/>
  <c r="GE479" i="2"/>
  <c r="GD480" i="2"/>
  <c r="GD481" i="2"/>
  <c r="GD387" i="2"/>
  <c r="FA464" i="2"/>
  <c r="FV483" i="2"/>
  <c r="FW509" i="2"/>
  <c r="EQ510" i="2"/>
  <c r="FV510" i="2"/>
  <c r="GH510" i="2"/>
  <c r="FV511" i="2"/>
  <c r="GH511" i="2"/>
  <c r="FU552" i="2"/>
  <c r="GG552" i="2"/>
  <c r="EO607" i="2"/>
  <c r="FU607" i="2"/>
  <c r="GG607" i="2"/>
  <c r="EO608" i="2"/>
  <c r="GE608" i="2"/>
  <c r="EK611" i="2"/>
  <c r="GC611" i="2"/>
  <c r="EK612" i="2"/>
  <c r="EJ613" i="2"/>
  <c r="EV613" i="2"/>
  <c r="EQ478" i="2"/>
  <c r="FV478" i="2"/>
  <c r="GH478" i="2"/>
  <c r="FV479" i="2"/>
  <c r="GH479" i="2"/>
  <c r="FU480" i="2"/>
  <c r="GG480" i="2"/>
  <c r="EO481" i="2"/>
  <c r="FU481" i="2"/>
  <c r="GG481" i="2"/>
  <c r="EO387" i="2"/>
  <c r="FU387" i="2"/>
  <c r="GG387" i="2"/>
  <c r="EO464" i="2"/>
  <c r="FU464" i="2"/>
  <c r="GG464" i="2"/>
  <c r="EO465" i="2"/>
  <c r="GF465" i="2"/>
  <c r="EN482" i="2"/>
  <c r="FA482" i="2"/>
  <c r="GE482" i="2"/>
  <c r="GD501" i="2"/>
  <c r="EK484" i="2"/>
  <c r="GC484" i="2"/>
  <c r="EK606" i="2"/>
  <c r="GC606" i="2"/>
  <c r="EK509" i="2"/>
  <c r="EJ510" i="2"/>
  <c r="EV510" i="2"/>
  <c r="GA510" i="2"/>
  <c r="EI511" i="2"/>
  <c r="EU511" i="2"/>
  <c r="FZ511" i="2"/>
  <c r="GM511" i="2"/>
  <c r="ET552" i="2"/>
  <c r="ES607" i="2"/>
  <c r="ES608" i="2"/>
  <c r="FV608" i="2"/>
  <c r="GH608" i="2"/>
  <c r="GF512" i="2"/>
  <c r="EN609" i="2"/>
  <c r="FA609" i="2"/>
  <c r="GF609" i="2"/>
  <c r="EN610" i="2"/>
  <c r="FA610" i="2"/>
  <c r="GE610" i="2"/>
  <c r="GD513" i="2"/>
  <c r="GD611" i="2"/>
  <c r="GC612" i="2"/>
  <c r="EK613" i="2"/>
  <c r="EJ82" i="2"/>
  <c r="EV82" i="2"/>
  <c r="EJ87" i="2"/>
  <c r="EV87" i="2"/>
  <c r="GA87" i="2"/>
  <c r="EI279" i="2"/>
  <c r="EU279" i="2"/>
  <c r="FZ279" i="2"/>
  <c r="GM279" i="2"/>
  <c r="ET127" i="2"/>
  <c r="FZ127" i="2"/>
  <c r="GM127" i="2"/>
  <c r="ET225" i="2"/>
  <c r="ES280" i="2"/>
  <c r="GF344" i="2"/>
  <c r="EN388" i="2"/>
  <c r="FA388" i="2"/>
  <c r="GE390" i="2"/>
  <c r="GD391" i="2"/>
  <c r="GD376" i="2"/>
  <c r="GC392" i="2"/>
  <c r="EK393" i="2"/>
  <c r="EJ394" i="2"/>
  <c r="EV394" i="2"/>
  <c r="EJ377" i="2"/>
  <c r="EV377" i="2"/>
  <c r="EI399" i="2"/>
  <c r="EU399" i="2"/>
  <c r="GA402" i="2"/>
  <c r="EI403" i="2"/>
  <c r="EU403" i="2"/>
  <c r="GE611" i="2"/>
  <c r="GD612" i="2"/>
  <c r="GC613" i="2"/>
  <c r="EK82" i="2"/>
  <c r="GC82" i="2"/>
  <c r="EK87" i="2"/>
  <c r="EJ279" i="2"/>
  <c r="EV279" i="2"/>
  <c r="GA279" i="2"/>
  <c r="EI127" i="2"/>
  <c r="EU127" i="2"/>
  <c r="GA127" i="2"/>
  <c r="EI225" i="2"/>
  <c r="EU225" i="2"/>
  <c r="FZ225" i="2"/>
  <c r="GM225" i="2"/>
  <c r="ET280" i="2"/>
  <c r="FZ280" i="2"/>
  <c r="GM280" i="2"/>
  <c r="GF389" i="2"/>
  <c r="EN390" i="2"/>
  <c r="EK398" i="2"/>
  <c r="GA398" i="2"/>
  <c r="EJ399" i="2"/>
  <c r="EJ402" i="2"/>
  <c r="EV402" i="2"/>
  <c r="GC424" i="2"/>
  <c r="EK425" i="2"/>
  <c r="EJ426" i="2"/>
  <c r="EV426" i="2"/>
  <c r="EJ427" i="2"/>
  <c r="EV427" i="2"/>
  <c r="GD613" i="2"/>
  <c r="GD82" i="2"/>
  <c r="GC87" i="2"/>
  <c r="EK279" i="2"/>
  <c r="EJ127" i="2"/>
  <c r="EV127" i="2"/>
  <c r="EJ225" i="2"/>
  <c r="EV225" i="2"/>
  <c r="GA225" i="2"/>
  <c r="EI280" i="2"/>
  <c r="EU280" i="2"/>
  <c r="GA280" i="2"/>
  <c r="FV388" i="2"/>
  <c r="GH388" i="2"/>
  <c r="FU390" i="2"/>
  <c r="GG390" i="2"/>
  <c r="GF391" i="2"/>
  <c r="EN376" i="2"/>
  <c r="FA376" i="2"/>
  <c r="GF376" i="2"/>
  <c r="EN392" i="2"/>
  <c r="FA392" i="2"/>
  <c r="GE392" i="2"/>
  <c r="GD378" i="2"/>
  <c r="GD395" i="2"/>
  <c r="GD396" i="2"/>
  <c r="GD397" i="2"/>
  <c r="GC400" i="2"/>
  <c r="EK401" i="2"/>
  <c r="FV418" i="2"/>
  <c r="GH418" i="2"/>
  <c r="ET478" i="2"/>
  <c r="ES479" i="2"/>
  <c r="ES480" i="2"/>
  <c r="ER481" i="2"/>
  <c r="ER387" i="2"/>
  <c r="FW465" i="2"/>
  <c r="EQ482" i="2"/>
  <c r="FV482" i="2"/>
  <c r="GH482" i="2"/>
  <c r="FU501" i="2"/>
  <c r="GG501" i="2"/>
  <c r="EO483" i="2"/>
  <c r="GF483" i="2"/>
  <c r="EN484" i="2"/>
  <c r="FA484" i="2"/>
  <c r="GF484" i="2"/>
  <c r="EN606" i="2"/>
  <c r="FA606" i="2"/>
  <c r="GF606" i="2"/>
  <c r="EN509" i="2"/>
  <c r="FA509" i="2"/>
  <c r="GE509" i="2"/>
  <c r="GD510" i="2"/>
  <c r="GC511" i="2"/>
  <c r="EK552" i="2"/>
  <c r="EJ607" i="2"/>
  <c r="EV607" i="2"/>
  <c r="EJ608" i="2"/>
  <c r="EV608" i="2"/>
  <c r="ES512" i="2"/>
  <c r="FW512" i="2"/>
  <c r="EQ609" i="2"/>
  <c r="FW609" i="2"/>
  <c r="EQ610" i="2"/>
  <c r="FV610" i="2"/>
  <c r="GH610" i="2"/>
  <c r="FU513" i="2"/>
  <c r="GG513" i="2"/>
  <c r="EO611" i="2"/>
  <c r="FU611" i="2"/>
  <c r="GG611" i="2"/>
  <c r="EO612" i="2"/>
  <c r="GF612" i="2"/>
  <c r="EN613" i="2"/>
  <c r="FA613" i="2"/>
  <c r="GE613" i="2"/>
  <c r="GE82" i="2"/>
  <c r="GD87" i="2"/>
  <c r="FW344" i="2"/>
  <c r="EQ388" i="2"/>
  <c r="FV389" i="2"/>
  <c r="GH389" i="2"/>
  <c r="FV390" i="2"/>
  <c r="GH390" i="2"/>
  <c r="FU391" i="2"/>
  <c r="GG391" i="2"/>
  <c r="EO376" i="2"/>
  <c r="FU376" i="2"/>
  <c r="GG376" i="2"/>
  <c r="EO392" i="2"/>
  <c r="GF392" i="2"/>
  <c r="EN393" i="2"/>
  <c r="FA393" i="2"/>
  <c r="GE393" i="2"/>
  <c r="GE394" i="2"/>
  <c r="GE377" i="2"/>
  <c r="GE378" i="2"/>
  <c r="GE395" i="2"/>
  <c r="GE396" i="2"/>
  <c r="GE397" i="2"/>
  <c r="GD399" i="2"/>
  <c r="ES415" i="2"/>
  <c r="EU478" i="2"/>
  <c r="FZ478" i="2"/>
  <c r="GM478" i="2"/>
  <c r="ET479" i="2"/>
  <c r="FZ479" i="2"/>
  <c r="GM479" i="2"/>
  <c r="ET480" i="2"/>
  <c r="ES481" i="2"/>
  <c r="ES387" i="2"/>
  <c r="ER482" i="2"/>
  <c r="FW482" i="2"/>
  <c r="EQ501" i="2"/>
  <c r="FV501" i="2"/>
  <c r="GH501" i="2"/>
  <c r="FU483" i="2"/>
  <c r="GG483" i="2"/>
  <c r="EO484" i="2"/>
  <c r="FU484" i="2"/>
  <c r="GG484" i="2"/>
  <c r="EO606" i="2"/>
  <c r="FU606" i="2"/>
  <c r="GG606" i="2"/>
  <c r="EO509" i="2"/>
  <c r="GF509" i="2"/>
  <c r="EN510" i="2"/>
  <c r="FA510" i="2"/>
  <c r="GE510" i="2"/>
  <c r="GD511" i="2"/>
  <c r="GC552" i="2"/>
  <c r="EK607" i="2"/>
  <c r="GC607" i="2"/>
  <c r="EK608" i="2"/>
  <c r="FZ608" i="2"/>
  <c r="GM608" i="2"/>
  <c r="ET512" i="2"/>
  <c r="ER609" i="2"/>
  <c r="ER610" i="2"/>
  <c r="FW610" i="2"/>
  <c r="FV513" i="2"/>
  <c r="GH513" i="2"/>
  <c r="FV611" i="2"/>
  <c r="GH611" i="2"/>
  <c r="FU612" i="2"/>
  <c r="GG612" i="2"/>
  <c r="EO613" i="2"/>
  <c r="GF613" i="2"/>
  <c r="EN82" i="2"/>
  <c r="FA82" i="2"/>
  <c r="GF82" i="2"/>
  <c r="EN87" i="2"/>
  <c r="FA87" i="2"/>
  <c r="GE87" i="2"/>
  <c r="ER389" i="2"/>
  <c r="FW389" i="2"/>
  <c r="EQ390" i="2"/>
  <c r="FW390" i="2"/>
  <c r="EQ391" i="2"/>
  <c r="FV391" i="2"/>
  <c r="GH391" i="2"/>
  <c r="FV376" i="2"/>
  <c r="GH376" i="2"/>
  <c r="FU392" i="2"/>
  <c r="GG392" i="2"/>
  <c r="EO393" i="2"/>
  <c r="GF393" i="2"/>
  <c r="EN394" i="2"/>
  <c r="FA394" i="2"/>
  <c r="GF394" i="2"/>
  <c r="EN377" i="2"/>
  <c r="FA377" i="2"/>
  <c r="GF377" i="2"/>
  <c r="EN378" i="2"/>
  <c r="FA378" i="2"/>
  <c r="GE399" i="2"/>
  <c r="FZ413" i="2"/>
  <c r="GM413" i="2"/>
  <c r="ET414" i="2"/>
  <c r="ES610" i="2"/>
  <c r="ER513" i="2"/>
  <c r="FW513" i="2"/>
  <c r="EQ611" i="2"/>
  <c r="FW611" i="2"/>
  <c r="EQ612" i="2"/>
  <c r="FV612" i="2"/>
  <c r="GH612" i="2"/>
  <c r="FU613" i="2"/>
  <c r="GG613" i="2"/>
  <c r="EO82" i="2"/>
  <c r="FU82" i="2"/>
  <c r="GG82" i="2"/>
  <c r="GF87" i="2"/>
  <c r="EN279" i="2"/>
  <c r="FA279" i="2"/>
  <c r="GE279" i="2"/>
  <c r="GE127" i="2"/>
  <c r="GD225" i="2"/>
  <c r="GD280" i="2"/>
  <c r="ES388" i="2"/>
  <c r="ES389" i="2"/>
  <c r="ER390" i="2"/>
  <c r="GE398" i="2"/>
  <c r="EN399" i="2"/>
  <c r="FA399" i="2"/>
  <c r="GA412" i="2"/>
  <c r="EI413" i="2"/>
  <c r="EU413" i="2"/>
  <c r="EK478" i="2"/>
  <c r="EJ479" i="2"/>
  <c r="EV479" i="2"/>
  <c r="EJ480" i="2"/>
  <c r="EV480" i="2"/>
  <c r="GA480" i="2"/>
  <c r="EI481" i="2"/>
  <c r="EU481" i="2"/>
  <c r="GA481" i="2"/>
  <c r="EI387" i="2"/>
  <c r="EU387" i="2"/>
  <c r="GA387" i="2"/>
  <c r="EI464" i="2"/>
  <c r="EU464" i="2"/>
  <c r="GA464" i="2"/>
  <c r="EI465" i="2"/>
  <c r="EU465" i="2"/>
  <c r="FZ465" i="2"/>
  <c r="GM465" i="2"/>
  <c r="ET482" i="2"/>
  <c r="ES501" i="2"/>
  <c r="ER483" i="2"/>
  <c r="FW483" i="2"/>
  <c r="EQ484" i="2"/>
  <c r="FW484" i="2"/>
  <c r="EQ606" i="2"/>
  <c r="FW606" i="2"/>
  <c r="EQ509" i="2"/>
  <c r="FV509" i="2"/>
  <c r="GH509" i="2"/>
  <c r="FU510" i="2"/>
  <c r="GG510" i="2"/>
  <c r="EO511" i="2"/>
  <c r="GF511" i="2"/>
  <c r="EN552" i="2"/>
  <c r="FA552" i="2"/>
  <c r="GE552" i="2"/>
  <c r="GE607" i="2"/>
  <c r="EJ512" i="2"/>
  <c r="EV512" i="2"/>
  <c r="FZ512" i="2"/>
  <c r="GM512" i="2"/>
  <c r="ET609" i="2"/>
  <c r="FZ609" i="2"/>
  <c r="GM609" i="2"/>
  <c r="ET610" i="2"/>
  <c r="ES513" i="2"/>
  <c r="ER611" i="2"/>
  <c r="ER612" i="2"/>
  <c r="FW612" i="2"/>
  <c r="EQ613" i="2"/>
  <c r="FV613" i="2"/>
  <c r="GH613" i="2"/>
  <c r="FV82" i="2"/>
  <c r="GH82" i="2"/>
  <c r="FU87" i="2"/>
  <c r="GG87" i="2"/>
  <c r="EO279" i="2"/>
  <c r="GF279" i="2"/>
  <c r="EN127" i="2"/>
  <c r="FA127" i="2"/>
  <c r="GF127" i="2"/>
  <c r="FA225" i="2"/>
  <c r="GE225" i="2"/>
  <c r="GE280" i="2"/>
  <c r="FZ344" i="2"/>
  <c r="GM344" i="2"/>
  <c r="ET388" i="2"/>
  <c r="FZ388" i="2"/>
  <c r="GM388" i="2"/>
  <c r="ET389" i="2"/>
  <c r="FV378" i="2"/>
  <c r="GH378" i="2"/>
  <c r="FV395" i="2"/>
  <c r="GH395" i="2"/>
  <c r="FV396" i="2"/>
  <c r="GH396" i="2"/>
  <c r="FV397" i="2"/>
  <c r="GH397" i="2"/>
  <c r="GF398" i="2"/>
  <c r="FW82" i="2"/>
  <c r="EQ87" i="2"/>
  <c r="FV87" i="2"/>
  <c r="GH87" i="2"/>
  <c r="FU279" i="2"/>
  <c r="GG279" i="2"/>
  <c r="EO127" i="2"/>
  <c r="FU127" i="2"/>
  <c r="GG127" i="2"/>
  <c r="EO225" i="2"/>
  <c r="GF225" i="2"/>
  <c r="EN280" i="2"/>
  <c r="FA280" i="2"/>
  <c r="GF280" i="2"/>
  <c r="GA344" i="2"/>
  <c r="EI388" i="2"/>
  <c r="EU388" i="2"/>
  <c r="FZ390" i="2"/>
  <c r="GM390" i="2"/>
  <c r="ET391" i="2"/>
  <c r="ES376" i="2"/>
  <c r="ES392" i="2"/>
  <c r="ER393" i="2"/>
  <c r="FW393" i="2"/>
  <c r="EQ394" i="2"/>
  <c r="FW394" i="2"/>
  <c r="EQ377" i="2"/>
  <c r="FW377" i="2"/>
  <c r="EQ378" i="2"/>
  <c r="FW378" i="2"/>
  <c r="EQ395" i="2"/>
  <c r="FW395" i="2"/>
  <c r="EQ396" i="2"/>
  <c r="FW396" i="2"/>
  <c r="EQ397" i="2"/>
  <c r="FW397" i="2"/>
  <c r="EQ398" i="2"/>
  <c r="FU398" i="2"/>
  <c r="ET611" i="2"/>
  <c r="FZ611" i="2"/>
  <c r="GM611" i="2"/>
  <c r="ET612" i="2"/>
  <c r="ES613" i="2"/>
  <c r="ER82" i="2"/>
  <c r="ER87" i="2"/>
  <c r="FW87" i="2"/>
  <c r="EQ279" i="2"/>
  <c r="GA389" i="2"/>
  <c r="EI390" i="2"/>
  <c r="EU390" i="2"/>
  <c r="GA390" i="2"/>
  <c r="EI391" i="2"/>
  <c r="EU391" i="2"/>
  <c r="FZ391" i="2"/>
  <c r="GM391" i="2"/>
  <c r="ET376" i="2"/>
  <c r="FZ376" i="2"/>
  <c r="GM376" i="2"/>
  <c r="ET392" i="2"/>
  <c r="ES393" i="2"/>
  <c r="ER394" i="2"/>
  <c r="ER377" i="2"/>
  <c r="ER378" i="2"/>
  <c r="ER395" i="2"/>
  <c r="ER396" i="2"/>
  <c r="ER397" i="2"/>
  <c r="FW402" i="2"/>
  <c r="GD450" i="2"/>
  <c r="GA513" i="2"/>
  <c r="EI611" i="2"/>
  <c r="EU611" i="2"/>
  <c r="GA611" i="2"/>
  <c r="EI612" i="2"/>
  <c r="EU612" i="2"/>
  <c r="FZ612" i="2"/>
  <c r="GM612" i="2"/>
  <c r="ET613" i="2"/>
  <c r="ES82" i="2"/>
  <c r="ES87" i="2"/>
  <c r="ER279" i="2"/>
  <c r="FW279" i="2"/>
  <c r="GC388" i="2"/>
  <c r="EK389" i="2"/>
  <c r="EJ390" i="2"/>
  <c r="EV390" i="2"/>
  <c r="EJ391" i="2"/>
  <c r="EV391" i="2"/>
  <c r="GA391" i="2"/>
  <c r="EI376" i="2"/>
  <c r="EU376" i="2"/>
  <c r="GA376" i="2"/>
  <c r="EI392" i="2"/>
  <c r="EU392" i="2"/>
  <c r="FZ392" i="2"/>
  <c r="GM392" i="2"/>
  <c r="ET393" i="2"/>
  <c r="ES394" i="2"/>
  <c r="ES377" i="2"/>
  <c r="ES378" i="2"/>
  <c r="ER402" i="2"/>
  <c r="FU406" i="2"/>
  <c r="GG406" i="2"/>
  <c r="EO407" i="2"/>
  <c r="GF407" i="2"/>
  <c r="EN408" i="2"/>
  <c r="EO478" i="2"/>
  <c r="GF478" i="2"/>
  <c r="EN479" i="2"/>
  <c r="FA479" i="2"/>
  <c r="GF479" i="2"/>
  <c r="EN480" i="2"/>
  <c r="FA480" i="2"/>
  <c r="GE480" i="2"/>
  <c r="GE481" i="2"/>
  <c r="GE387" i="2"/>
  <c r="GC482" i="2"/>
  <c r="EK501" i="2"/>
  <c r="EJ483" i="2"/>
  <c r="EV483" i="2"/>
  <c r="GA483" i="2"/>
  <c r="EI484" i="2"/>
  <c r="EU484" i="2"/>
  <c r="GA484" i="2"/>
  <c r="EI606" i="2"/>
  <c r="EU606" i="2"/>
  <c r="GA606" i="2"/>
  <c r="EI509" i="2"/>
  <c r="EU509" i="2"/>
  <c r="FZ509" i="2"/>
  <c r="GM509" i="2"/>
  <c r="ET510" i="2"/>
  <c r="ES511" i="2"/>
  <c r="ER552" i="2"/>
  <c r="FW552" i="2"/>
  <c r="EQ607" i="2"/>
  <c r="FW607" i="2"/>
  <c r="EQ608" i="2"/>
  <c r="GF608" i="2"/>
  <c r="EN512" i="2"/>
  <c r="FA512" i="2"/>
  <c r="GD512" i="2"/>
  <c r="GD609" i="2"/>
  <c r="GC610" i="2"/>
  <c r="EK513" i="2"/>
  <c r="EJ611" i="2"/>
  <c r="EV611" i="2"/>
  <c r="EJ612" i="2"/>
  <c r="EV612" i="2"/>
  <c r="GA612" i="2"/>
  <c r="EI613" i="2"/>
  <c r="EU613" i="2"/>
  <c r="FZ613" i="2"/>
  <c r="GM613" i="2"/>
  <c r="ET82" i="2"/>
  <c r="FZ82" i="2"/>
  <c r="GM82" i="2"/>
  <c r="ET87" i="2"/>
  <c r="ES279" i="2"/>
  <c r="ER127" i="2"/>
  <c r="ER225" i="2"/>
  <c r="FW225" i="2"/>
  <c r="EQ280" i="2"/>
  <c r="FW280" i="2"/>
  <c r="GD344" i="2"/>
  <c r="GD388" i="2"/>
  <c r="GC389" i="2"/>
  <c r="EK390" i="2"/>
  <c r="ES401" i="2"/>
  <c r="FW405" i="2"/>
  <c r="EQ406" i="2"/>
  <c r="GD279" i="2"/>
  <c r="GD127" i="2"/>
  <c r="GC225" i="2"/>
  <c r="EK280" i="2"/>
  <c r="GC280" i="2"/>
  <c r="GC344" i="2"/>
  <c r="EK388" i="2"/>
  <c r="EJ389" i="2"/>
  <c r="EV389" i="2"/>
  <c r="FZ389" i="2"/>
  <c r="GM389" i="2"/>
  <c r="ET390" i="2"/>
  <c r="ES391" i="2"/>
  <c r="ER376" i="2"/>
  <c r="ER392" i="2"/>
  <c r="FW392" i="2"/>
  <c r="FV393" i="2"/>
  <c r="GH393" i="2"/>
  <c r="FV394" i="2"/>
  <c r="GH394" i="2"/>
  <c r="FV377" i="2"/>
  <c r="GH377" i="2"/>
  <c r="FU378" i="2"/>
  <c r="GG378" i="2"/>
  <c r="EO395" i="2"/>
  <c r="FU395" i="2"/>
  <c r="GG395" i="2"/>
  <c r="EO396" i="2"/>
  <c r="FU396" i="2"/>
  <c r="GG396" i="2"/>
  <c r="EO397" i="2"/>
  <c r="FU397" i="2"/>
  <c r="GG397" i="2"/>
  <c r="EN398" i="2"/>
  <c r="FA398" i="2"/>
  <c r="GD398" i="2"/>
  <c r="GC399" i="2"/>
  <c r="EK400" i="2"/>
  <c r="EJ401" i="2"/>
  <c r="EV401" i="2"/>
  <c r="GA401" i="2"/>
  <c r="EI402" i="2"/>
  <c r="EU402" i="2"/>
  <c r="FZ402" i="2"/>
  <c r="GM402" i="2"/>
  <c r="ET403" i="2"/>
  <c r="ES404" i="2"/>
  <c r="ER405" i="2"/>
  <c r="FV405" i="2"/>
  <c r="GH405" i="2"/>
  <c r="GF406" i="2"/>
  <c r="EN407" i="2"/>
  <c r="FA407" i="2"/>
  <c r="GE407" i="2"/>
  <c r="GC450" i="2"/>
  <c r="EK411" i="2"/>
  <c r="FZ411" i="2"/>
  <c r="GM411" i="2"/>
  <c r="ET412" i="2"/>
  <c r="ES414" i="2"/>
  <c r="ER415" i="2"/>
  <c r="ER416" i="2"/>
  <c r="FU418" i="2"/>
  <c r="GG418" i="2"/>
  <c r="GD419" i="2"/>
  <c r="GA425" i="2"/>
  <c r="EI426" i="2"/>
  <c r="EU426" i="2"/>
  <c r="GA426" i="2"/>
  <c r="EI427" i="2"/>
  <c r="EU427" i="2"/>
  <c r="GA427" i="2"/>
  <c r="EI428" i="2"/>
  <c r="EU428" i="2"/>
  <c r="GA428" i="2"/>
  <c r="EI429" i="2"/>
  <c r="EU429" i="2"/>
  <c r="FZ429" i="2"/>
  <c r="GD400" i="2"/>
  <c r="GC401" i="2"/>
  <c r="EK402" i="2"/>
  <c r="EJ403" i="2"/>
  <c r="EV403" i="2"/>
  <c r="GA403" i="2"/>
  <c r="EI404" i="2"/>
  <c r="EU404" i="2"/>
  <c r="FZ404" i="2"/>
  <c r="GM404" i="2"/>
  <c r="ET405" i="2"/>
  <c r="ER406" i="2"/>
  <c r="GF410" i="2"/>
  <c r="EJ413" i="2"/>
  <c r="EV413" i="2"/>
  <c r="GA413" i="2"/>
  <c r="EI414" i="2"/>
  <c r="EU414" i="2"/>
  <c r="GD421" i="2"/>
  <c r="GD422" i="2"/>
  <c r="GD423" i="2"/>
  <c r="GG398" i="2"/>
  <c r="GF399" i="2"/>
  <c r="EN400" i="2"/>
  <c r="FA400" i="2"/>
  <c r="GE400" i="2"/>
  <c r="GD401" i="2"/>
  <c r="GC402" i="2"/>
  <c r="EK403" i="2"/>
  <c r="EJ404" i="2"/>
  <c r="EV404" i="2"/>
  <c r="GA404" i="2"/>
  <c r="EI405" i="2"/>
  <c r="EU405" i="2"/>
  <c r="ES406" i="2"/>
  <c r="FV409" i="2"/>
  <c r="GH409" i="2"/>
  <c r="FU410" i="2"/>
  <c r="GG410" i="2"/>
  <c r="EO450" i="2"/>
  <c r="GC412" i="2"/>
  <c r="EK413" i="2"/>
  <c r="GF420" i="2"/>
  <c r="EN421" i="2"/>
  <c r="FA421" i="2"/>
  <c r="GE421" i="2"/>
  <c r="GE379" i="2"/>
  <c r="FV279" i="2"/>
  <c r="GH279" i="2"/>
  <c r="FV127" i="2"/>
  <c r="GH127" i="2"/>
  <c r="FU225" i="2"/>
  <c r="GG225" i="2"/>
  <c r="EO280" i="2"/>
  <c r="FU280" i="2"/>
  <c r="GG280" i="2"/>
  <c r="FU344" i="2"/>
  <c r="GG344" i="2"/>
  <c r="GF388" i="2"/>
  <c r="GD389" i="2"/>
  <c r="GC390" i="2"/>
  <c r="EK391" i="2"/>
  <c r="EJ376" i="2"/>
  <c r="EV376" i="2"/>
  <c r="EJ392" i="2"/>
  <c r="EV392" i="2"/>
  <c r="GA392" i="2"/>
  <c r="EI393" i="2"/>
  <c r="EU393" i="2"/>
  <c r="FZ393" i="2"/>
  <c r="GM393" i="2"/>
  <c r="ET394" i="2"/>
  <c r="FZ394" i="2"/>
  <c r="GM394" i="2"/>
  <c r="ET377" i="2"/>
  <c r="FZ377" i="2"/>
  <c r="GM377" i="2"/>
  <c r="ET378" i="2"/>
  <c r="ES395" i="2"/>
  <c r="ES396" i="2"/>
  <c r="ES397" i="2"/>
  <c r="ER398" i="2"/>
  <c r="FV398" i="2"/>
  <c r="GH398" i="2"/>
  <c r="FU399" i="2"/>
  <c r="GG399" i="2"/>
  <c r="EO400" i="2"/>
  <c r="GF400" i="2"/>
  <c r="EN401" i="2"/>
  <c r="FA401" i="2"/>
  <c r="GE401" i="2"/>
  <c r="GD402" i="2"/>
  <c r="GC403" i="2"/>
  <c r="EK404" i="2"/>
  <c r="EJ405" i="2"/>
  <c r="EV405" i="2"/>
  <c r="FZ405" i="2"/>
  <c r="GM405" i="2"/>
  <c r="FW408" i="2"/>
  <c r="EQ409" i="2"/>
  <c r="FW409" i="2"/>
  <c r="EQ410" i="2"/>
  <c r="GD411" i="2"/>
  <c r="GA416" i="2"/>
  <c r="EI417" i="2"/>
  <c r="EU417" i="2"/>
  <c r="ES418" i="2"/>
  <c r="FV419" i="2"/>
  <c r="GH419" i="2"/>
  <c r="FU420" i="2"/>
  <c r="GG420" i="2"/>
  <c r="EJ438" i="2"/>
  <c r="EV438" i="2"/>
  <c r="GA438" i="2"/>
  <c r="EI380" i="2"/>
  <c r="EU380" i="2"/>
  <c r="GA380" i="2"/>
  <c r="EI439" i="2"/>
  <c r="EQ127" i="2"/>
  <c r="FW127" i="2"/>
  <c r="EQ225" i="2"/>
  <c r="FV225" i="2"/>
  <c r="GH225" i="2"/>
  <c r="FV280" i="2"/>
  <c r="GH280" i="2"/>
  <c r="FV344" i="2"/>
  <c r="GH344" i="2"/>
  <c r="FU388" i="2"/>
  <c r="GG388" i="2"/>
  <c r="EO389" i="2"/>
  <c r="GE389" i="2"/>
  <c r="GD390" i="2"/>
  <c r="GC391" i="2"/>
  <c r="EK376" i="2"/>
  <c r="GC376" i="2"/>
  <c r="EK392" i="2"/>
  <c r="EJ393" i="2"/>
  <c r="EV393" i="2"/>
  <c r="GA393" i="2"/>
  <c r="EI394" i="2"/>
  <c r="EU394" i="2"/>
  <c r="GA394" i="2"/>
  <c r="EI377" i="2"/>
  <c r="EU377" i="2"/>
  <c r="GA377" i="2"/>
  <c r="EI378" i="2"/>
  <c r="EU378" i="2"/>
  <c r="FZ378" i="2"/>
  <c r="GM378" i="2"/>
  <c r="ET395" i="2"/>
  <c r="FZ395" i="2"/>
  <c r="GM395" i="2"/>
  <c r="ET396" i="2"/>
  <c r="FZ396" i="2"/>
  <c r="GM396" i="2"/>
  <c r="ET397" i="2"/>
  <c r="FZ397" i="2"/>
  <c r="GM397" i="2"/>
  <c r="ES398" i="2"/>
  <c r="FW398" i="2"/>
  <c r="EQ399" i="2"/>
  <c r="FV399" i="2"/>
  <c r="GH399" i="2"/>
  <c r="FU400" i="2"/>
  <c r="GG400" i="2"/>
  <c r="EO401" i="2"/>
  <c r="GF401" i="2"/>
  <c r="EN402" i="2"/>
  <c r="FA402" i="2"/>
  <c r="GE402" i="2"/>
  <c r="GD403" i="2"/>
  <c r="GC404" i="2"/>
  <c r="EK405" i="2"/>
  <c r="GA405" i="2"/>
  <c r="EI406" i="2"/>
  <c r="EU406" i="2"/>
  <c r="ER409" i="2"/>
  <c r="FV450" i="2"/>
  <c r="GH450" i="2"/>
  <c r="GE411" i="2"/>
  <c r="GC415" i="2"/>
  <c r="EK416" i="2"/>
  <c r="EJ417" i="2"/>
  <c r="EV417" i="2"/>
  <c r="FZ417" i="2"/>
  <c r="GM417" i="2"/>
  <c r="ET418" i="2"/>
  <c r="FZ418" i="2"/>
  <c r="GM418" i="2"/>
  <c r="ET419" i="2"/>
  <c r="FW419" i="2"/>
  <c r="EQ420" i="2"/>
  <c r="FV420" i="2"/>
  <c r="EU28" i="2"/>
  <c r="EJ378" i="2"/>
  <c r="EV378" i="2"/>
  <c r="GA378" i="2"/>
  <c r="EI395" i="2"/>
  <c r="EU395" i="2"/>
  <c r="GA395" i="2"/>
  <c r="EI396" i="2"/>
  <c r="EU396" i="2"/>
  <c r="GA396" i="2"/>
  <c r="EI397" i="2"/>
  <c r="EU397" i="2"/>
  <c r="GA397" i="2"/>
  <c r="ET398" i="2"/>
  <c r="ER399" i="2"/>
  <c r="FW399" i="2"/>
  <c r="FV400" i="2"/>
  <c r="GH400" i="2"/>
  <c r="FU401" i="2"/>
  <c r="GG401" i="2"/>
  <c r="EO402" i="2"/>
  <c r="GF402" i="2"/>
  <c r="EN403" i="2"/>
  <c r="FA403" i="2"/>
  <c r="GE403" i="2"/>
  <c r="GD404" i="2"/>
  <c r="EJ406" i="2"/>
  <c r="EV406" i="2"/>
  <c r="FZ406" i="2"/>
  <c r="GM406" i="2"/>
  <c r="ET407" i="2"/>
  <c r="ES408" i="2"/>
  <c r="FW450" i="2"/>
  <c r="EQ411" i="2"/>
  <c r="GF411" i="2"/>
  <c r="GD414" i="2"/>
  <c r="GD415" i="2"/>
  <c r="GA418" i="2"/>
  <c r="EI419" i="2"/>
  <c r="EU419" i="2"/>
  <c r="ER420" i="2"/>
  <c r="FU428" i="2"/>
  <c r="GG428" i="2"/>
  <c r="EO429" i="2"/>
  <c r="GF429" i="2"/>
  <c r="EN430" i="2"/>
  <c r="FA430" i="2"/>
  <c r="GF430" i="2"/>
  <c r="EN431" i="2"/>
  <c r="FA431" i="2"/>
  <c r="GF431" i="2"/>
  <c r="EN432" i="2"/>
  <c r="FA432" i="2"/>
  <c r="GE432" i="2"/>
  <c r="GE433" i="2"/>
  <c r="FA442" i="2"/>
  <c r="ES127" i="2"/>
  <c r="ES225" i="2"/>
  <c r="ER280" i="2"/>
  <c r="ER388" i="2"/>
  <c r="FW388" i="2"/>
  <c r="EQ389" i="2"/>
  <c r="FU389" i="2"/>
  <c r="GG389" i="2"/>
  <c r="EO390" i="2"/>
  <c r="GF390" i="2"/>
  <c r="EN391" i="2"/>
  <c r="FA391" i="2"/>
  <c r="GE391" i="2"/>
  <c r="GE376" i="2"/>
  <c r="GD392" i="2"/>
  <c r="GC393" i="2"/>
  <c r="EK394" i="2"/>
  <c r="GC394" i="2"/>
  <c r="EK377" i="2"/>
  <c r="GC377" i="2"/>
  <c r="EK378" i="2"/>
  <c r="EJ395" i="2"/>
  <c r="EV395" i="2"/>
  <c r="EJ396" i="2"/>
  <c r="EV396" i="2"/>
  <c r="EJ397" i="2"/>
  <c r="EV397" i="2"/>
  <c r="EI398" i="2"/>
  <c r="EU398" i="2"/>
  <c r="ES399" i="2"/>
  <c r="ER400" i="2"/>
  <c r="FW400" i="2"/>
  <c r="FV401" i="2"/>
  <c r="GH401" i="2"/>
  <c r="FU402" i="2"/>
  <c r="GG402" i="2"/>
  <c r="EO403" i="2"/>
  <c r="GF403" i="2"/>
  <c r="EN404" i="2"/>
  <c r="FA404" i="2"/>
  <c r="GE404" i="2"/>
  <c r="GC405" i="2"/>
  <c r="EK406" i="2"/>
  <c r="GA406" i="2"/>
  <c r="EI407" i="2"/>
  <c r="EU407" i="2"/>
  <c r="FZ407" i="2"/>
  <c r="GM407" i="2"/>
  <c r="ET408" i="2"/>
  <c r="ES450" i="2"/>
  <c r="ER411" i="2"/>
  <c r="GF413" i="2"/>
  <c r="EN414" i="2"/>
  <c r="GE414" i="2"/>
  <c r="EJ419" i="2"/>
  <c r="EV419" i="2"/>
  <c r="FW424" i="2"/>
  <c r="EQ425" i="2"/>
  <c r="GD393" i="2"/>
  <c r="GD394" i="2"/>
  <c r="GD377" i="2"/>
  <c r="GC378" i="2"/>
  <c r="EK395" i="2"/>
  <c r="GC395" i="2"/>
  <c r="EK396" i="2"/>
  <c r="GC396" i="2"/>
  <c r="EK397" i="2"/>
  <c r="GC397" i="2"/>
  <c r="EJ398" i="2"/>
  <c r="EV398" i="2"/>
  <c r="FZ398" i="2"/>
  <c r="GM398" i="2"/>
  <c r="ET399" i="2"/>
  <c r="ES400" i="2"/>
  <c r="ER401" i="2"/>
  <c r="FW401" i="2"/>
  <c r="EQ402" i="2"/>
  <c r="FV402" i="2"/>
  <c r="GH402" i="2"/>
  <c r="FU403" i="2"/>
  <c r="GG403" i="2"/>
  <c r="EO404" i="2"/>
  <c r="GF404" i="2"/>
  <c r="EN405" i="2"/>
  <c r="FA405" i="2"/>
  <c r="GD405" i="2"/>
  <c r="EJ407" i="2"/>
  <c r="GA409" i="2"/>
  <c r="EI410" i="2"/>
  <c r="EU410" i="2"/>
  <c r="FZ410" i="2"/>
  <c r="GM410" i="2"/>
  <c r="ET450" i="2"/>
  <c r="FV412" i="2"/>
  <c r="GH412" i="2"/>
  <c r="FU413" i="2"/>
  <c r="GG413" i="2"/>
  <c r="ER423" i="2"/>
  <c r="ER424" i="2"/>
  <c r="FV403" i="2"/>
  <c r="GH403" i="2"/>
  <c r="FU404" i="2"/>
  <c r="GG404" i="2"/>
  <c r="GE405" i="2"/>
  <c r="EJ409" i="2"/>
  <c r="EV409" i="2"/>
  <c r="EJ410" i="2"/>
  <c r="EV410" i="2"/>
  <c r="GA410" i="2"/>
  <c r="EI450" i="2"/>
  <c r="EU450" i="2"/>
  <c r="FW412" i="2"/>
  <c r="EQ413" i="2"/>
  <c r="GF416" i="2"/>
  <c r="EN417" i="2"/>
  <c r="FA417" i="2"/>
  <c r="GD417" i="2"/>
  <c r="ES379" i="2"/>
  <c r="ES422" i="2"/>
  <c r="FU437" i="2"/>
  <c r="GG437" i="2"/>
  <c r="EO438" i="2"/>
  <c r="GF438" i="2"/>
  <c r="EN380" i="2"/>
  <c r="FA380" i="2"/>
  <c r="GF380" i="2"/>
  <c r="EN439" i="2"/>
  <c r="FA439" i="2"/>
  <c r="EV399" i="2"/>
  <c r="GA399" i="2"/>
  <c r="EI400" i="2"/>
  <c r="EU400" i="2"/>
  <c r="FZ400" i="2"/>
  <c r="GM400" i="2"/>
  <c r="ET401" i="2"/>
  <c r="ES402" i="2"/>
  <c r="ER403" i="2"/>
  <c r="FW403" i="2"/>
  <c r="EQ404" i="2"/>
  <c r="FV404" i="2"/>
  <c r="GH404" i="2"/>
  <c r="GF405" i="2"/>
  <c r="EN406" i="2"/>
  <c r="GC408" i="2"/>
  <c r="EK409" i="2"/>
  <c r="GC409" i="2"/>
  <c r="EK410" i="2"/>
  <c r="FV415" i="2"/>
  <c r="GH415" i="2"/>
  <c r="FU416" i="2"/>
  <c r="GG416" i="2"/>
  <c r="EO417" i="2"/>
  <c r="GE417" i="2"/>
  <c r="GA420" i="2"/>
  <c r="EI421" i="2"/>
  <c r="EU421" i="2"/>
  <c r="GC279" i="2"/>
  <c r="EK127" i="2"/>
  <c r="GC127" i="2"/>
  <c r="EK225" i="2"/>
  <c r="EJ280" i="2"/>
  <c r="EV280" i="2"/>
  <c r="EJ388" i="2"/>
  <c r="EV388" i="2"/>
  <c r="GA388" i="2"/>
  <c r="EI389" i="2"/>
  <c r="EU389" i="2"/>
  <c r="ES390" i="2"/>
  <c r="ER391" i="2"/>
  <c r="FW391" i="2"/>
  <c r="EQ376" i="2"/>
  <c r="FW376" i="2"/>
  <c r="FV392" i="2"/>
  <c r="GH392" i="2"/>
  <c r="FU393" i="2"/>
  <c r="GG393" i="2"/>
  <c r="EO394" i="2"/>
  <c r="FU394" i="2"/>
  <c r="GG394" i="2"/>
  <c r="EO377" i="2"/>
  <c r="FU377" i="2"/>
  <c r="GG377" i="2"/>
  <c r="EO378" i="2"/>
  <c r="GF378" i="2"/>
  <c r="EN395" i="2"/>
  <c r="FA395" i="2"/>
  <c r="GF395" i="2"/>
  <c r="EN396" i="2"/>
  <c r="FA396" i="2"/>
  <c r="GF396" i="2"/>
  <c r="EN397" i="2"/>
  <c r="FA397" i="2"/>
  <c r="GF397" i="2"/>
  <c r="GC398" i="2"/>
  <c r="EK399" i="2"/>
  <c r="EJ400" i="2"/>
  <c r="EV400" i="2"/>
  <c r="GA400" i="2"/>
  <c r="EI401" i="2"/>
  <c r="EU401" i="2"/>
  <c r="FZ401" i="2"/>
  <c r="GM401" i="2"/>
  <c r="ET402" i="2"/>
  <c r="ES403" i="2"/>
  <c r="ER404" i="2"/>
  <c r="FW404" i="2"/>
  <c r="EQ405" i="2"/>
  <c r="FU405" i="2"/>
  <c r="GG405" i="2"/>
  <c r="EO406" i="2"/>
  <c r="GE406" i="2"/>
  <c r="GD407" i="2"/>
  <c r="GD408" i="2"/>
  <c r="ES412" i="2"/>
  <c r="FW414" i="2"/>
  <c r="EQ415" i="2"/>
  <c r="FW415" i="2"/>
  <c r="EQ416" i="2"/>
  <c r="FV416" i="2"/>
  <c r="GH416" i="2"/>
  <c r="GF417" i="2"/>
  <c r="GC419" i="2"/>
  <c r="EK420" i="2"/>
  <c r="FZ427" i="2"/>
  <c r="GM427" i="2"/>
  <c r="ET428" i="2"/>
  <c r="FZ428" i="2"/>
  <c r="GM428" i="2"/>
  <c r="ET429" i="2"/>
  <c r="ES430" i="2"/>
  <c r="ES431" i="2"/>
  <c r="ES432" i="2"/>
  <c r="ER433" i="2"/>
  <c r="ER434" i="2"/>
  <c r="FA406" i="2"/>
  <c r="GD406" i="2"/>
  <c r="GC407" i="2"/>
  <c r="EK408" i="2"/>
  <c r="GA408" i="2"/>
  <c r="EI409" i="2"/>
  <c r="EU409" i="2"/>
  <c r="FZ409" i="2"/>
  <c r="GM409" i="2"/>
  <c r="ET410" i="2"/>
  <c r="ER450" i="2"/>
  <c r="FU450" i="2"/>
  <c r="GG450" i="2"/>
  <c r="GC411" i="2"/>
  <c r="EK412" i="2"/>
  <c r="FZ412" i="2"/>
  <c r="GM412" i="2"/>
  <c r="ET413" i="2"/>
  <c r="ER414" i="2"/>
  <c r="FV414" i="2"/>
  <c r="GH414" i="2"/>
  <c r="FU415" i="2"/>
  <c r="GG415" i="2"/>
  <c r="EO416" i="2"/>
  <c r="GE416" i="2"/>
  <c r="GC417" i="2"/>
  <c r="EK418" i="2"/>
  <c r="ES419" i="2"/>
  <c r="FU419" i="2"/>
  <c r="GG419" i="2"/>
  <c r="EO420" i="2"/>
  <c r="GE420" i="2"/>
  <c r="GC421" i="2"/>
  <c r="EK379" i="2"/>
  <c r="GC379" i="2"/>
  <c r="EK422" i="2"/>
  <c r="EJ423" i="2"/>
  <c r="EV423" i="2"/>
  <c r="EJ424" i="2"/>
  <c r="EV424" i="2"/>
  <c r="GA424" i="2"/>
  <c r="EU425" i="2"/>
  <c r="ES429" i="2"/>
  <c r="ER430" i="2"/>
  <c r="ER431" i="2"/>
  <c r="ER432" i="2"/>
  <c r="FW432" i="2"/>
  <c r="EQ433" i="2"/>
  <c r="FW433" i="2"/>
  <c r="EQ434" i="2"/>
  <c r="FW434" i="2"/>
  <c r="EQ435" i="2"/>
  <c r="FU435" i="2"/>
  <c r="GG435" i="2"/>
  <c r="EO436" i="2"/>
  <c r="GF436" i="2"/>
  <c r="EN437" i="2"/>
  <c r="GD439" i="2"/>
  <c r="GD440" i="2"/>
  <c r="GD381" i="2"/>
  <c r="GD441" i="2"/>
  <c r="GC382" i="2"/>
  <c r="EK467" i="2"/>
  <c r="GC467" i="2"/>
  <c r="EK383" i="2"/>
  <c r="GE443" i="2"/>
  <c r="GM429" i="2"/>
  <c r="ET430" i="2"/>
  <c r="FZ430" i="2"/>
  <c r="GM430" i="2"/>
  <c r="ET431" i="2"/>
  <c r="FZ431" i="2"/>
  <c r="GM431" i="2"/>
  <c r="ET432" i="2"/>
  <c r="ES433" i="2"/>
  <c r="ES434" i="2"/>
  <c r="EN442" i="2"/>
  <c r="FU442" i="2"/>
  <c r="GG442" i="2"/>
  <c r="FV384" i="2"/>
  <c r="GH384" i="2"/>
  <c r="FW553" i="2"/>
  <c r="EI28" i="2"/>
  <c r="GH420" i="2"/>
  <c r="GF421" i="2"/>
  <c r="EN379" i="2"/>
  <c r="FA379" i="2"/>
  <c r="GF379" i="2"/>
  <c r="EN422" i="2"/>
  <c r="FA422" i="2"/>
  <c r="GE422" i="2"/>
  <c r="GE423" i="2"/>
  <c r="GD424" i="2"/>
  <c r="GC425" i="2"/>
  <c r="EK426" i="2"/>
  <c r="GC426" i="2"/>
  <c r="EK427" i="2"/>
  <c r="EJ428" i="2"/>
  <c r="EV428" i="2"/>
  <c r="FZ434" i="2"/>
  <c r="GM434" i="2"/>
  <c r="ET435" i="2"/>
  <c r="ER436" i="2"/>
  <c r="FW436" i="2"/>
  <c r="EQ437" i="2"/>
  <c r="FU439" i="2"/>
  <c r="GG439" i="2"/>
  <c r="EO440" i="2"/>
  <c r="FU440" i="2"/>
  <c r="GG440" i="2"/>
  <c r="EO381" i="2"/>
  <c r="FU381" i="2"/>
  <c r="GG381" i="2"/>
  <c r="EO441" i="2"/>
  <c r="FU441" i="2"/>
  <c r="GG441" i="2"/>
  <c r="GF382" i="2"/>
  <c r="EN467" i="2"/>
  <c r="FA467" i="2"/>
  <c r="GF467" i="2"/>
  <c r="EN383" i="2"/>
  <c r="FA383" i="2"/>
  <c r="GE383" i="2"/>
  <c r="FV442" i="2"/>
  <c r="GH442" i="2"/>
  <c r="FU443" i="2"/>
  <c r="FW384" i="2"/>
  <c r="GA250" i="2"/>
  <c r="FV406" i="2"/>
  <c r="GH406" i="2"/>
  <c r="FU407" i="2"/>
  <c r="GG407" i="2"/>
  <c r="EO408" i="2"/>
  <c r="GE408" i="2"/>
  <c r="GD409" i="2"/>
  <c r="EJ450" i="2"/>
  <c r="EV450" i="2"/>
  <c r="ES411" i="2"/>
  <c r="FU411" i="2"/>
  <c r="GG411" i="2"/>
  <c r="GD412" i="2"/>
  <c r="EJ414" i="2"/>
  <c r="EV414" i="2"/>
  <c r="FZ414" i="2"/>
  <c r="GM414" i="2"/>
  <c r="ET415" i="2"/>
  <c r="ES416" i="2"/>
  <c r="FW416" i="2"/>
  <c r="EQ417" i="2"/>
  <c r="FU417" i="2"/>
  <c r="GG417" i="2"/>
  <c r="GC418" i="2"/>
  <c r="EK419" i="2"/>
  <c r="ES420" i="2"/>
  <c r="FW420" i="2"/>
  <c r="EQ421" i="2"/>
  <c r="FU421" i="2"/>
  <c r="GG421" i="2"/>
  <c r="EO379" i="2"/>
  <c r="FU379" i="2"/>
  <c r="GG379" i="2"/>
  <c r="EO422" i="2"/>
  <c r="GF422" i="2"/>
  <c r="EN423" i="2"/>
  <c r="FA423" i="2"/>
  <c r="GF423" i="2"/>
  <c r="EN424" i="2"/>
  <c r="FA424" i="2"/>
  <c r="GE424" i="2"/>
  <c r="GD425" i="2"/>
  <c r="GD426" i="2"/>
  <c r="ER438" i="2"/>
  <c r="FW438" i="2"/>
  <c r="EQ380" i="2"/>
  <c r="FW380" i="2"/>
  <c r="EQ439" i="2"/>
  <c r="FV439" i="2"/>
  <c r="GH439" i="2"/>
  <c r="FV440" i="2"/>
  <c r="GH440" i="2"/>
  <c r="FV381" i="2"/>
  <c r="GH381" i="2"/>
  <c r="FV441" i="2"/>
  <c r="GH441" i="2"/>
  <c r="FU382" i="2"/>
  <c r="GG382" i="2"/>
  <c r="EO467" i="2"/>
  <c r="FU467" i="2"/>
  <c r="GG467" i="2"/>
  <c r="EO383" i="2"/>
  <c r="GF383" i="2"/>
  <c r="EQ442" i="2"/>
  <c r="FW442" i="2"/>
  <c r="FW443" i="2"/>
  <c r="FW406" i="2"/>
  <c r="EQ407" i="2"/>
  <c r="FV407" i="2"/>
  <c r="GH407" i="2"/>
  <c r="GF408" i="2"/>
  <c r="EN409" i="2"/>
  <c r="FA409" i="2"/>
  <c r="GE409" i="2"/>
  <c r="GC410" i="2"/>
  <c r="EK450" i="2"/>
  <c r="FZ450" i="2"/>
  <c r="GM450" i="2"/>
  <c r="ET411" i="2"/>
  <c r="FV411" i="2"/>
  <c r="GH411" i="2"/>
  <c r="GE412" i="2"/>
  <c r="GC413" i="2"/>
  <c r="EK414" i="2"/>
  <c r="GA414" i="2"/>
  <c r="EI415" i="2"/>
  <c r="EU415" i="2"/>
  <c r="FZ415" i="2"/>
  <c r="GM415" i="2"/>
  <c r="ET416" i="2"/>
  <c r="ER417" i="2"/>
  <c r="FV417" i="2"/>
  <c r="GH417" i="2"/>
  <c r="GD418" i="2"/>
  <c r="FZ419" i="2"/>
  <c r="GM419" i="2"/>
  <c r="ET420" i="2"/>
  <c r="ER421" i="2"/>
  <c r="FV421" i="2"/>
  <c r="GH421" i="2"/>
  <c r="FV379" i="2"/>
  <c r="GH379" i="2"/>
  <c r="FU422" i="2"/>
  <c r="GG422" i="2"/>
  <c r="EO423" i="2"/>
  <c r="FU423" i="2"/>
  <c r="GG423" i="2"/>
  <c r="EO424" i="2"/>
  <c r="GF424" i="2"/>
  <c r="EN425" i="2"/>
  <c r="FA425" i="2"/>
  <c r="GD428" i="2"/>
  <c r="GC429" i="2"/>
  <c r="EK430" i="2"/>
  <c r="GC430" i="2"/>
  <c r="EK431" i="2"/>
  <c r="GC431" i="2"/>
  <c r="EK432" i="2"/>
  <c r="EJ433" i="2"/>
  <c r="EV433" i="2"/>
  <c r="EJ434" i="2"/>
  <c r="EV434" i="2"/>
  <c r="ES438" i="2"/>
  <c r="ER380" i="2"/>
  <c r="ER439" i="2"/>
  <c r="FV20" i="2"/>
  <c r="GH20" i="2"/>
  <c r="EQ21" i="2"/>
  <c r="ET406" i="2"/>
  <c r="ER407" i="2"/>
  <c r="FW407" i="2"/>
  <c r="EQ408" i="2"/>
  <c r="FU408" i="2"/>
  <c r="GG408" i="2"/>
  <c r="EO409" i="2"/>
  <c r="GF409" i="2"/>
  <c r="FA410" i="2"/>
  <c r="GD410" i="2"/>
  <c r="GA450" i="2"/>
  <c r="EI411" i="2"/>
  <c r="EU411" i="2"/>
  <c r="FW411" i="2"/>
  <c r="EQ412" i="2"/>
  <c r="GF412" i="2"/>
  <c r="EN413" i="2"/>
  <c r="GD413" i="2"/>
  <c r="EJ415" i="2"/>
  <c r="EV415" i="2"/>
  <c r="GA415" i="2"/>
  <c r="EI416" i="2"/>
  <c r="EU416" i="2"/>
  <c r="ES417" i="2"/>
  <c r="FW417" i="2"/>
  <c r="EQ418" i="2"/>
  <c r="GE418" i="2"/>
  <c r="GA419" i="2"/>
  <c r="EU420" i="2"/>
  <c r="ES421" i="2"/>
  <c r="FW421" i="2"/>
  <c r="EQ379" i="2"/>
  <c r="GF425" i="2"/>
  <c r="EN426" i="2"/>
  <c r="FA426" i="2"/>
  <c r="GF426" i="2"/>
  <c r="EN427" i="2"/>
  <c r="FA427" i="2"/>
  <c r="GE427" i="2"/>
  <c r="GE428" i="2"/>
  <c r="GD429" i="2"/>
  <c r="GD430" i="2"/>
  <c r="GD431" i="2"/>
  <c r="GC432" i="2"/>
  <c r="EK433" i="2"/>
  <c r="GC433" i="2"/>
  <c r="EK434" i="2"/>
  <c r="GC434" i="2"/>
  <c r="EK435" i="2"/>
  <c r="GA435" i="2"/>
  <c r="EI436" i="2"/>
  <c r="EU436" i="2"/>
  <c r="FZ436" i="2"/>
  <c r="GM436" i="2"/>
  <c r="ET437" i="2"/>
  <c r="GF502" i="2"/>
  <c r="EN495" i="2"/>
  <c r="FA495" i="2"/>
  <c r="GE495" i="2"/>
  <c r="GE496" i="2"/>
  <c r="GD615" i="2"/>
  <c r="GC616" i="2"/>
  <c r="EK617" i="2"/>
  <c r="ES407" i="2"/>
  <c r="ER408" i="2"/>
  <c r="FV408" i="2"/>
  <c r="GH408" i="2"/>
  <c r="FU409" i="2"/>
  <c r="GG409" i="2"/>
  <c r="EO410" i="2"/>
  <c r="GE410" i="2"/>
  <c r="EJ411" i="2"/>
  <c r="EV411" i="2"/>
  <c r="ER412" i="2"/>
  <c r="FU412" i="2"/>
  <c r="GG412" i="2"/>
  <c r="GE413" i="2"/>
  <c r="GC414" i="2"/>
  <c r="EK415" i="2"/>
  <c r="EJ416" i="2"/>
  <c r="EV416" i="2"/>
  <c r="FZ416" i="2"/>
  <c r="GM416" i="2"/>
  <c r="ET417" i="2"/>
  <c r="ER418" i="2"/>
  <c r="GF418" i="2"/>
  <c r="EJ420" i="2"/>
  <c r="EV420" i="2"/>
  <c r="FZ420" i="2"/>
  <c r="GM420" i="2"/>
  <c r="ET421" i="2"/>
  <c r="ER379" i="2"/>
  <c r="ER422" i="2"/>
  <c r="FW422" i="2"/>
  <c r="EQ423" i="2"/>
  <c r="FW423" i="2"/>
  <c r="EQ424" i="2"/>
  <c r="FV424" i="2"/>
  <c r="GH424" i="2"/>
  <c r="FU425" i="2"/>
  <c r="GG425" i="2"/>
  <c r="EO426" i="2"/>
  <c r="FU426" i="2"/>
  <c r="GG426" i="2"/>
  <c r="EO427" i="2"/>
  <c r="GF427" i="2"/>
  <c r="EN428" i="2"/>
  <c r="FA428" i="2"/>
  <c r="GD434" i="2"/>
  <c r="EJ436" i="2"/>
  <c r="EV436" i="2"/>
  <c r="GA436" i="2"/>
  <c r="EI437" i="2"/>
  <c r="EU437" i="2"/>
  <c r="ES440" i="2"/>
  <c r="ES381" i="2"/>
  <c r="ES441" i="2"/>
  <c r="ES382" i="2"/>
  <c r="ER467" i="2"/>
  <c r="ER383" i="2"/>
  <c r="FW383" i="2"/>
  <c r="EU439" i="2"/>
  <c r="FZ439" i="2"/>
  <c r="GM439" i="2"/>
  <c r="ET440" i="2"/>
  <c r="FZ440" i="2"/>
  <c r="GM440" i="2"/>
  <c r="ET381" i="2"/>
  <c r="FZ381" i="2"/>
  <c r="GM381" i="2"/>
  <c r="ET441" i="2"/>
  <c r="FZ441" i="2"/>
  <c r="GM441" i="2"/>
  <c r="ET382" i="2"/>
  <c r="ES467" i="2"/>
  <c r="ES383" i="2"/>
  <c r="FV171" i="2"/>
  <c r="GH171" i="2"/>
  <c r="FV253" i="2"/>
  <c r="GH253" i="2"/>
  <c r="EJ421" i="2"/>
  <c r="EV421" i="2"/>
  <c r="FZ421" i="2"/>
  <c r="GM421" i="2"/>
  <c r="ET379" i="2"/>
  <c r="FW425" i="2"/>
  <c r="EQ426" i="2"/>
  <c r="FW426" i="2"/>
  <c r="EQ427" i="2"/>
  <c r="FV427" i="2"/>
  <c r="GH427" i="2"/>
  <c r="FV428" i="2"/>
  <c r="GH428" i="2"/>
  <c r="FU429" i="2"/>
  <c r="GG429" i="2"/>
  <c r="EO430" i="2"/>
  <c r="FU430" i="2"/>
  <c r="GG430" i="2"/>
  <c r="EO431" i="2"/>
  <c r="FU431" i="2"/>
  <c r="GG431" i="2"/>
  <c r="EO432" i="2"/>
  <c r="GF432" i="2"/>
  <c r="EN433" i="2"/>
  <c r="FA433" i="2"/>
  <c r="GF433" i="2"/>
  <c r="FA434" i="2"/>
  <c r="GC437" i="2"/>
  <c r="EK438" i="2"/>
  <c r="EJ380" i="2"/>
  <c r="EV380" i="2"/>
  <c r="EJ439" i="2"/>
  <c r="EV439" i="2"/>
  <c r="GA439" i="2"/>
  <c r="EI440" i="2"/>
  <c r="EU440" i="2"/>
  <c r="GA440" i="2"/>
  <c r="EI381" i="2"/>
  <c r="EU381" i="2"/>
  <c r="GA381" i="2"/>
  <c r="EI441" i="2"/>
  <c r="EU441" i="2"/>
  <c r="GA441" i="2"/>
  <c r="EI382" i="2"/>
  <c r="EU382" i="2"/>
  <c r="FZ382" i="2"/>
  <c r="GM382" i="2"/>
  <c r="ET467" i="2"/>
  <c r="FZ467" i="2"/>
  <c r="GM467" i="2"/>
  <c r="ET383" i="2"/>
  <c r="EV407" i="2"/>
  <c r="GA407" i="2"/>
  <c r="EI408" i="2"/>
  <c r="EU408" i="2"/>
  <c r="ES409" i="2"/>
  <c r="ER410" i="2"/>
  <c r="FV410" i="2"/>
  <c r="GH410" i="2"/>
  <c r="GE450" i="2"/>
  <c r="GA411" i="2"/>
  <c r="EI412" i="2"/>
  <c r="EU412" i="2"/>
  <c r="ER413" i="2"/>
  <c r="FV413" i="2"/>
  <c r="GH413" i="2"/>
  <c r="GF414" i="2"/>
  <c r="EN415" i="2"/>
  <c r="GE415" i="2"/>
  <c r="GC416" i="2"/>
  <c r="EK417" i="2"/>
  <c r="GA417" i="2"/>
  <c r="EI418" i="2"/>
  <c r="EU418" i="2"/>
  <c r="FW418" i="2"/>
  <c r="EQ419" i="2"/>
  <c r="GE419" i="2"/>
  <c r="GC420" i="2"/>
  <c r="EK421" i="2"/>
  <c r="GA421" i="2"/>
  <c r="EI379" i="2"/>
  <c r="EU379" i="2"/>
  <c r="GA379" i="2"/>
  <c r="EI422" i="2"/>
  <c r="EU422" i="2"/>
  <c r="FZ422" i="2"/>
  <c r="GM422" i="2"/>
  <c r="ET423" i="2"/>
  <c r="FZ423" i="2"/>
  <c r="GM423" i="2"/>
  <c r="ET424" i="2"/>
  <c r="ES425" i="2"/>
  <c r="ER426" i="2"/>
  <c r="ER427" i="2"/>
  <c r="FW427" i="2"/>
  <c r="EQ428" i="2"/>
  <c r="FW428" i="2"/>
  <c r="EQ429" i="2"/>
  <c r="FV429" i="2"/>
  <c r="GH429" i="2"/>
  <c r="FV430" i="2"/>
  <c r="GH430" i="2"/>
  <c r="FV431" i="2"/>
  <c r="GH431" i="2"/>
  <c r="FU432" i="2"/>
  <c r="GG432" i="2"/>
  <c r="EO433" i="2"/>
  <c r="FU433" i="2"/>
  <c r="GG433" i="2"/>
  <c r="EO434" i="2"/>
  <c r="FU434" i="2"/>
  <c r="GG434" i="2"/>
  <c r="EO435" i="2"/>
  <c r="GE435" i="2"/>
  <c r="GD436" i="2"/>
  <c r="GD437" i="2"/>
  <c r="GC438" i="2"/>
  <c r="EK380" i="2"/>
  <c r="GC380" i="2"/>
  <c r="EK439" i="2"/>
  <c r="GC442" i="2"/>
  <c r="GD384" i="2"/>
  <c r="GE553" i="2"/>
  <c r="ES29" i="2"/>
  <c r="ES502" i="2"/>
  <c r="FV614" i="2"/>
  <c r="GH614" i="2"/>
  <c r="GE556" i="2"/>
  <c r="GE557" i="2"/>
  <c r="GC406" i="2"/>
  <c r="EK407" i="2"/>
  <c r="EJ408" i="2"/>
  <c r="EV408" i="2"/>
  <c r="FZ408" i="2"/>
  <c r="GM408" i="2"/>
  <c r="ET409" i="2"/>
  <c r="ES410" i="2"/>
  <c r="FW410" i="2"/>
  <c r="EQ450" i="2"/>
  <c r="GF450" i="2"/>
  <c r="EJ412" i="2"/>
  <c r="EV412" i="2"/>
  <c r="ES413" i="2"/>
  <c r="FW413" i="2"/>
  <c r="EQ414" i="2"/>
  <c r="FU414" i="2"/>
  <c r="GG414" i="2"/>
  <c r="EO415" i="2"/>
  <c r="GF415" i="2"/>
  <c r="EN416" i="2"/>
  <c r="GD416" i="2"/>
  <c r="EJ418" i="2"/>
  <c r="EV418" i="2"/>
  <c r="ER419" i="2"/>
  <c r="GF419" i="2"/>
  <c r="EN420" i="2"/>
  <c r="FA420" i="2"/>
  <c r="GD420" i="2"/>
  <c r="EJ379" i="2"/>
  <c r="EV379" i="2"/>
  <c r="EJ422" i="2"/>
  <c r="EV422" i="2"/>
  <c r="GA422" i="2"/>
  <c r="EI423" i="2"/>
  <c r="EU423" i="2"/>
  <c r="GA423" i="2"/>
  <c r="EI424" i="2"/>
  <c r="EU424" i="2"/>
  <c r="FZ424" i="2"/>
  <c r="GM424" i="2"/>
  <c r="ET425" i="2"/>
  <c r="ES426" i="2"/>
  <c r="ES427" i="2"/>
  <c r="ER428" i="2"/>
  <c r="FV434" i="2"/>
  <c r="GH434" i="2"/>
  <c r="GF435" i="2"/>
  <c r="EN436" i="2"/>
  <c r="FA436" i="2"/>
  <c r="GE436" i="2"/>
  <c r="GD442" i="2"/>
  <c r="GD443" i="2"/>
  <c r="GE384" i="2"/>
  <c r="ER614" i="2"/>
  <c r="FU617" i="2"/>
  <c r="GG617" i="2"/>
  <c r="EO555" i="2"/>
  <c r="GF555" i="2"/>
  <c r="EN556" i="2"/>
  <c r="FA556" i="2"/>
  <c r="GA563" i="2"/>
  <c r="GD379" i="2"/>
  <c r="GC422" i="2"/>
  <c r="EK423" i="2"/>
  <c r="GC423" i="2"/>
  <c r="EK424" i="2"/>
  <c r="EJ425" i="2"/>
  <c r="EV425" i="2"/>
  <c r="FZ425" i="2"/>
  <c r="GM425" i="2"/>
  <c r="ET426" i="2"/>
  <c r="FZ426" i="2"/>
  <c r="GM426" i="2"/>
  <c r="ET427" i="2"/>
  <c r="ES428" i="2"/>
  <c r="ER429" i="2"/>
  <c r="FW429" i="2"/>
  <c r="EQ430" i="2"/>
  <c r="FW430" i="2"/>
  <c r="EQ431" i="2"/>
  <c r="FW431" i="2"/>
  <c r="EQ432" i="2"/>
  <c r="FV432" i="2"/>
  <c r="GH432" i="2"/>
  <c r="FV433" i="2"/>
  <c r="GH433" i="2"/>
  <c r="GF434" i="2"/>
  <c r="GD435" i="2"/>
  <c r="GC436" i="2"/>
  <c r="EK437" i="2"/>
  <c r="GA437" i="2"/>
  <c r="EI438" i="2"/>
  <c r="EU438" i="2"/>
  <c r="FZ438" i="2"/>
  <c r="GM438" i="2"/>
  <c r="ET380" i="2"/>
  <c r="FZ380" i="2"/>
  <c r="GM380" i="2"/>
  <c r="ET439" i="2"/>
  <c r="ER440" i="2"/>
  <c r="ER381" i="2"/>
  <c r="ER441" i="2"/>
  <c r="ER382" i="2"/>
  <c r="FW382" i="2"/>
  <c r="EQ467" i="2"/>
  <c r="FW467" i="2"/>
  <c r="EQ383" i="2"/>
  <c r="FV383" i="2"/>
  <c r="GH383" i="2"/>
  <c r="GF442" i="2"/>
  <c r="GH443" i="2"/>
  <c r="FU384" i="2"/>
  <c r="GG384" i="2"/>
  <c r="FV553" i="2"/>
  <c r="GH553" i="2"/>
  <c r="ES28" i="2"/>
  <c r="FW502" i="2"/>
  <c r="EQ495" i="2"/>
  <c r="FV495" i="2"/>
  <c r="GH495" i="2"/>
  <c r="FU615" i="2"/>
  <c r="GG615" i="2"/>
  <c r="EO616" i="2"/>
  <c r="GF616" i="2"/>
  <c r="EN617" i="2"/>
  <c r="FA617" i="2"/>
  <c r="FU21" i="2"/>
  <c r="GG21" i="2"/>
  <c r="FU471" i="2"/>
  <c r="GG471" i="2"/>
  <c r="EO503" i="2"/>
  <c r="GE506" i="2"/>
  <c r="EJ28" i="2"/>
  <c r="FZ502" i="2"/>
  <c r="GM502" i="2"/>
  <c r="ET495" i="2"/>
  <c r="ES496" i="2"/>
  <c r="ER615" i="2"/>
  <c r="ER616" i="2"/>
  <c r="FW616" i="2"/>
  <c r="EQ617" i="2"/>
  <c r="GC136" i="2"/>
  <c r="EK137" i="2"/>
  <c r="FW503" i="2"/>
  <c r="FV618" i="2"/>
  <c r="GH618" i="2"/>
  <c r="FV508" i="2"/>
  <c r="GH508" i="2"/>
  <c r="GC427" i="2"/>
  <c r="EK428" i="2"/>
  <c r="EJ429" i="2"/>
  <c r="EV429" i="2"/>
  <c r="GA429" i="2"/>
  <c r="EI430" i="2"/>
  <c r="EU430" i="2"/>
  <c r="GA430" i="2"/>
  <c r="EI431" i="2"/>
  <c r="EU431" i="2"/>
  <c r="GA431" i="2"/>
  <c r="EI432" i="2"/>
  <c r="EU432" i="2"/>
  <c r="FZ432" i="2"/>
  <c r="GM432" i="2"/>
  <c r="ET433" i="2"/>
  <c r="FZ433" i="2"/>
  <c r="GM433" i="2"/>
  <c r="ET434" i="2"/>
  <c r="ER435" i="2"/>
  <c r="FV435" i="2"/>
  <c r="GH435" i="2"/>
  <c r="FU436" i="2"/>
  <c r="GG436" i="2"/>
  <c r="EO437" i="2"/>
  <c r="GE437" i="2"/>
  <c r="GD438" i="2"/>
  <c r="GD380" i="2"/>
  <c r="EJ440" i="2"/>
  <c r="EV440" i="2"/>
  <c r="EJ381" i="2"/>
  <c r="EV381" i="2"/>
  <c r="EJ441" i="2"/>
  <c r="EV441" i="2"/>
  <c r="EJ382" i="2"/>
  <c r="EV382" i="2"/>
  <c r="GA382" i="2"/>
  <c r="EI467" i="2"/>
  <c r="EU467" i="2"/>
  <c r="GA467" i="2"/>
  <c r="EI383" i="2"/>
  <c r="EU383" i="2"/>
  <c r="FZ383" i="2"/>
  <c r="GM383" i="2"/>
  <c r="ET442" i="2"/>
  <c r="GM443" i="2"/>
  <c r="FZ553" i="2"/>
  <c r="GM553" i="2"/>
  <c r="EK28" i="2"/>
  <c r="EJ29" i="2"/>
  <c r="EV29" i="2"/>
  <c r="EJ502" i="2"/>
  <c r="EV502" i="2"/>
  <c r="FZ496" i="2"/>
  <c r="GM496" i="2"/>
  <c r="ET614" i="2"/>
  <c r="ES615" i="2"/>
  <c r="ET21" i="2"/>
  <c r="FW379" i="2"/>
  <c r="EQ422" i="2"/>
  <c r="FV422" i="2"/>
  <c r="GH422" i="2"/>
  <c r="FV423" i="2"/>
  <c r="GH423" i="2"/>
  <c r="FU424" i="2"/>
  <c r="GG424" i="2"/>
  <c r="EO425" i="2"/>
  <c r="GE425" i="2"/>
  <c r="GE426" i="2"/>
  <c r="GD427" i="2"/>
  <c r="GC428" i="2"/>
  <c r="EK429" i="2"/>
  <c r="EJ430" i="2"/>
  <c r="EV430" i="2"/>
  <c r="EJ431" i="2"/>
  <c r="EV431" i="2"/>
  <c r="EJ432" i="2"/>
  <c r="EV432" i="2"/>
  <c r="GA432" i="2"/>
  <c r="EI433" i="2"/>
  <c r="EU433" i="2"/>
  <c r="GA433" i="2"/>
  <c r="EI434" i="2"/>
  <c r="EU434" i="2"/>
  <c r="ES435" i="2"/>
  <c r="FW435" i="2"/>
  <c r="EQ436" i="2"/>
  <c r="FV436" i="2"/>
  <c r="GH436" i="2"/>
  <c r="GF437" i="2"/>
  <c r="EN438" i="2"/>
  <c r="FA438" i="2"/>
  <c r="GE438" i="2"/>
  <c r="GE380" i="2"/>
  <c r="GC439" i="2"/>
  <c r="EK440" i="2"/>
  <c r="GC440" i="2"/>
  <c r="EK381" i="2"/>
  <c r="GC381" i="2"/>
  <c r="EK441" i="2"/>
  <c r="GC441" i="2"/>
  <c r="EK382" i="2"/>
  <c r="EJ467" i="2"/>
  <c r="EV467" i="2"/>
  <c r="EJ383" i="2"/>
  <c r="EV383" i="2"/>
  <c r="GA383" i="2"/>
  <c r="EU442" i="2"/>
  <c r="FZ443" i="2"/>
  <c r="FZ384" i="2"/>
  <c r="GM384" i="2"/>
  <c r="GA553" i="2"/>
  <c r="EJ495" i="2"/>
  <c r="EV495" i="2"/>
  <c r="GA495" i="2"/>
  <c r="EI496" i="2"/>
  <c r="EU496" i="2"/>
  <c r="GA496" i="2"/>
  <c r="EI614" i="2"/>
  <c r="EU614" i="2"/>
  <c r="FW556" i="2"/>
  <c r="EQ557" i="2"/>
  <c r="EV442" i="2"/>
  <c r="FZ442" i="2"/>
  <c r="GM442" i="2"/>
  <c r="GA443" i="2"/>
  <c r="GA384" i="2"/>
  <c r="GD28" i="2"/>
  <c r="GD29" i="2"/>
  <c r="GC502" i="2"/>
  <c r="EK495" i="2"/>
  <c r="EJ496" i="2"/>
  <c r="EV496" i="2"/>
  <c r="ES555" i="2"/>
  <c r="ER556" i="2"/>
  <c r="GF136" i="2"/>
  <c r="EN137" i="2"/>
  <c r="FA137" i="2"/>
  <c r="GE137" i="2"/>
  <c r="GA434" i="2"/>
  <c r="EI435" i="2"/>
  <c r="EU435" i="2"/>
  <c r="ES436" i="2"/>
  <c r="ER437" i="2"/>
  <c r="FV437" i="2"/>
  <c r="GH437" i="2"/>
  <c r="FU438" i="2"/>
  <c r="GG438" i="2"/>
  <c r="EO380" i="2"/>
  <c r="FU380" i="2"/>
  <c r="GG380" i="2"/>
  <c r="EO439" i="2"/>
  <c r="GE439" i="2"/>
  <c r="GE440" i="2"/>
  <c r="GE381" i="2"/>
  <c r="GE441" i="2"/>
  <c r="GD382" i="2"/>
  <c r="GD467" i="2"/>
  <c r="GC383" i="2"/>
  <c r="EK442" i="2"/>
  <c r="GA442" i="2"/>
  <c r="GC553" i="2"/>
  <c r="GE28" i="2"/>
  <c r="GE29" i="2"/>
  <c r="EJ616" i="2"/>
  <c r="EV616" i="2"/>
  <c r="GA616" i="2"/>
  <c r="EI617" i="2"/>
  <c r="EU617" i="2"/>
  <c r="ES557" i="2"/>
  <c r="ES249" i="2"/>
  <c r="ES250" i="2"/>
  <c r="GE135" i="2"/>
  <c r="FZ379" i="2"/>
  <c r="GM379" i="2"/>
  <c r="ET422" i="2"/>
  <c r="ES423" i="2"/>
  <c r="ES424" i="2"/>
  <c r="ER425" i="2"/>
  <c r="FV425" i="2"/>
  <c r="GH425" i="2"/>
  <c r="FV426" i="2"/>
  <c r="GH426" i="2"/>
  <c r="FU427" i="2"/>
  <c r="GG427" i="2"/>
  <c r="EO428" i="2"/>
  <c r="GF428" i="2"/>
  <c r="EN429" i="2"/>
  <c r="FA429" i="2"/>
  <c r="GE429" i="2"/>
  <c r="GE430" i="2"/>
  <c r="GE431" i="2"/>
  <c r="GD432" i="2"/>
  <c r="GD433" i="2"/>
  <c r="EJ435" i="2"/>
  <c r="EV435" i="2"/>
  <c r="FZ435" i="2"/>
  <c r="GM435" i="2"/>
  <c r="ET436" i="2"/>
  <c r="ES437" i="2"/>
  <c r="FW437" i="2"/>
  <c r="EQ438" i="2"/>
  <c r="FV438" i="2"/>
  <c r="GH438" i="2"/>
  <c r="FV380" i="2"/>
  <c r="GH380" i="2"/>
  <c r="GF439" i="2"/>
  <c r="EN440" i="2"/>
  <c r="FA440" i="2"/>
  <c r="GF440" i="2"/>
  <c r="EN381" i="2"/>
  <c r="FA381" i="2"/>
  <c r="GF381" i="2"/>
  <c r="EN441" i="2"/>
  <c r="FA441" i="2"/>
  <c r="GF441" i="2"/>
  <c r="EN382" i="2"/>
  <c r="FA382" i="2"/>
  <c r="GE382" i="2"/>
  <c r="GE467" i="2"/>
  <c r="GD383" i="2"/>
  <c r="GC443" i="2"/>
  <c r="GC384" i="2"/>
  <c r="GD553" i="2"/>
  <c r="EO28" i="2"/>
  <c r="GC614" i="2"/>
  <c r="EK615" i="2"/>
  <c r="GA617" i="2"/>
  <c r="EI555" i="2"/>
  <c r="EU555" i="2"/>
  <c r="FZ555" i="2"/>
  <c r="GM555" i="2"/>
  <c r="ET556" i="2"/>
  <c r="EJ253" i="2"/>
  <c r="EV253" i="2"/>
  <c r="EJ558" i="2"/>
  <c r="EV558" i="2"/>
  <c r="GA558" i="2"/>
  <c r="EI559" i="2"/>
  <c r="EU559" i="2"/>
  <c r="FZ559" i="2"/>
  <c r="GM559" i="2"/>
  <c r="ET134" i="2"/>
  <c r="FW505" i="2"/>
  <c r="GF553" i="2"/>
  <c r="FV28" i="2"/>
  <c r="GH28" i="2"/>
  <c r="FV29" i="2"/>
  <c r="GH29" i="2"/>
  <c r="FU502" i="2"/>
  <c r="GG502" i="2"/>
  <c r="EO495" i="2"/>
  <c r="GF495" i="2"/>
  <c r="EN496" i="2"/>
  <c r="FA496" i="2"/>
  <c r="GE614" i="2"/>
  <c r="EJ557" i="2"/>
  <c r="EV557" i="2"/>
  <c r="EJ249" i="2"/>
  <c r="EV249" i="2"/>
  <c r="EJ250" i="2"/>
  <c r="EV250" i="2"/>
  <c r="FV135" i="2"/>
  <c r="GH135" i="2"/>
  <c r="GE434" i="2"/>
  <c r="GC435" i="2"/>
  <c r="EK436" i="2"/>
  <c r="EJ437" i="2"/>
  <c r="EV437" i="2"/>
  <c r="FZ437" i="2"/>
  <c r="GM437" i="2"/>
  <c r="ET438" i="2"/>
  <c r="ES380" i="2"/>
  <c r="ES439" i="2"/>
  <c r="FW439" i="2"/>
  <c r="EQ440" i="2"/>
  <c r="FW440" i="2"/>
  <c r="EQ381" i="2"/>
  <c r="FW381" i="2"/>
  <c r="EQ441" i="2"/>
  <c r="FW441" i="2"/>
  <c r="EQ382" i="2"/>
  <c r="FV382" i="2"/>
  <c r="GH382" i="2"/>
  <c r="FV467" i="2"/>
  <c r="GH467" i="2"/>
  <c r="FU383" i="2"/>
  <c r="GG383" i="2"/>
  <c r="GE442" i="2"/>
  <c r="GG443" i="2"/>
  <c r="GF384" i="2"/>
  <c r="FU553" i="2"/>
  <c r="GG553" i="2"/>
  <c r="ER28" i="2"/>
  <c r="FW28" i="2"/>
  <c r="EQ29" i="2"/>
  <c r="FW29" i="2"/>
  <c r="EQ502" i="2"/>
  <c r="FU496" i="2"/>
  <c r="GG496" i="2"/>
  <c r="EO614" i="2"/>
  <c r="GD617" i="2"/>
  <c r="GC555" i="2"/>
  <c r="EK556" i="2"/>
  <c r="GE171" i="2"/>
  <c r="GE253" i="2"/>
  <c r="GD558" i="2"/>
  <c r="GC559" i="2"/>
  <c r="EK134" i="2"/>
  <c r="FZ470" i="2"/>
  <c r="GM470" i="2"/>
  <c r="ET28" i="2"/>
  <c r="ER29" i="2"/>
  <c r="ER502" i="2"/>
  <c r="FV502" i="2"/>
  <c r="GH502" i="2"/>
  <c r="FU495" i="2"/>
  <c r="GG495" i="2"/>
  <c r="EO496" i="2"/>
  <c r="GF496" i="2"/>
  <c r="EN614" i="2"/>
  <c r="FA614" i="2"/>
  <c r="GD614" i="2"/>
  <c r="GC615" i="2"/>
  <c r="EK616" i="2"/>
  <c r="EJ617" i="2"/>
  <c r="EV617" i="2"/>
  <c r="FZ617" i="2"/>
  <c r="GM617" i="2"/>
  <c r="ET555" i="2"/>
  <c r="ES556" i="2"/>
  <c r="ER557" i="2"/>
  <c r="GA171" i="2"/>
  <c r="EI253" i="2"/>
  <c r="EU253" i="2"/>
  <c r="GA253" i="2"/>
  <c r="EI558" i="2"/>
  <c r="EU558" i="2"/>
  <c r="FZ558" i="2"/>
  <c r="GM558" i="2"/>
  <c r="ET559" i="2"/>
  <c r="ES134" i="2"/>
  <c r="ER249" i="2"/>
  <c r="ER250" i="2"/>
  <c r="FW250" i="2"/>
  <c r="FU20" i="2"/>
  <c r="GG20" i="2"/>
  <c r="EO21" i="2"/>
  <c r="GF21" i="2"/>
  <c r="GD135" i="2"/>
  <c r="EJ137" i="2"/>
  <c r="EV137" i="2"/>
  <c r="GA137" i="2"/>
  <c r="FV470" i="2"/>
  <c r="GH470" i="2"/>
  <c r="GF471" i="2"/>
  <c r="EN503" i="2"/>
  <c r="FA503" i="2"/>
  <c r="GE503" i="2"/>
  <c r="FV505" i="2"/>
  <c r="GH505" i="2"/>
  <c r="FV567" i="2"/>
  <c r="GH567" i="2"/>
  <c r="EV28" i="2"/>
  <c r="FZ28" i="2"/>
  <c r="GM28" i="2"/>
  <c r="ET29" i="2"/>
  <c r="FZ29" i="2"/>
  <c r="GM29" i="2"/>
  <c r="ET502" i="2"/>
  <c r="ER495" i="2"/>
  <c r="FW495" i="2"/>
  <c r="EQ496" i="2"/>
  <c r="FV496" i="2"/>
  <c r="GH496" i="2"/>
  <c r="GF614" i="2"/>
  <c r="EN615" i="2"/>
  <c r="FA615" i="2"/>
  <c r="GE615" i="2"/>
  <c r="GD616" i="2"/>
  <c r="EJ555" i="2"/>
  <c r="EV555" i="2"/>
  <c r="GA555" i="2"/>
  <c r="EI556" i="2"/>
  <c r="EU556" i="2"/>
  <c r="FZ556" i="2"/>
  <c r="GM556" i="2"/>
  <c r="ET557" i="2"/>
  <c r="FZ557" i="2"/>
  <c r="GM557" i="2"/>
  <c r="GC171" i="2"/>
  <c r="EK253" i="2"/>
  <c r="GC253" i="2"/>
  <c r="EK558" i="2"/>
  <c r="EJ559" i="2"/>
  <c r="EV559" i="2"/>
  <c r="GA559" i="2"/>
  <c r="EI134" i="2"/>
  <c r="EU134" i="2"/>
  <c r="FZ134" i="2"/>
  <c r="GM134" i="2"/>
  <c r="ET249" i="2"/>
  <c r="FZ249" i="2"/>
  <c r="GM249" i="2"/>
  <c r="ET250" i="2"/>
  <c r="FW20" i="2"/>
  <c r="ER21" i="2"/>
  <c r="FV21" i="2"/>
  <c r="GH21" i="2"/>
  <c r="GF135" i="2"/>
  <c r="GD136" i="2"/>
  <c r="GC137" i="2"/>
  <c r="FW504" i="2"/>
  <c r="FV565" i="2"/>
  <c r="GH565" i="2"/>
  <c r="FV566" i="2"/>
  <c r="GH566" i="2"/>
  <c r="FU626" i="2"/>
  <c r="GG626" i="2"/>
  <c r="EO138" i="2"/>
  <c r="FU138" i="2"/>
  <c r="GG138" i="2"/>
  <c r="GC561" i="2"/>
  <c r="EK345" i="2"/>
  <c r="GC345" i="2"/>
  <c r="EK445" i="2"/>
  <c r="GC445" i="2"/>
  <c r="EK446" i="2"/>
  <c r="GC446" i="2"/>
  <c r="EK447" i="2"/>
  <c r="GC447" i="2"/>
  <c r="EK448" i="2"/>
  <c r="GC448" i="2"/>
  <c r="EK449" i="2"/>
  <c r="GA28" i="2"/>
  <c r="EI29" i="2"/>
  <c r="EU29" i="2"/>
  <c r="GA29" i="2"/>
  <c r="EU502" i="2"/>
  <c r="ES495" i="2"/>
  <c r="ER496" i="2"/>
  <c r="FW496" i="2"/>
  <c r="EQ614" i="2"/>
  <c r="FU614" i="2"/>
  <c r="GG614" i="2"/>
  <c r="EO615" i="2"/>
  <c r="GF615" i="2"/>
  <c r="EN616" i="2"/>
  <c r="FA616" i="2"/>
  <c r="GE616" i="2"/>
  <c r="GC617" i="2"/>
  <c r="EK555" i="2"/>
  <c r="EJ556" i="2"/>
  <c r="EV556" i="2"/>
  <c r="GA556" i="2"/>
  <c r="EI557" i="2"/>
  <c r="EU557" i="2"/>
  <c r="GA557" i="2"/>
  <c r="GD171" i="2"/>
  <c r="GD253" i="2"/>
  <c r="GC558" i="2"/>
  <c r="EK559" i="2"/>
  <c r="EJ134" i="2"/>
  <c r="EV134" i="2"/>
  <c r="GA134" i="2"/>
  <c r="EI249" i="2"/>
  <c r="EU249" i="2"/>
  <c r="GA249" i="2"/>
  <c r="EI250" i="2"/>
  <c r="EU250" i="2"/>
  <c r="FZ250" i="2"/>
  <c r="GM250" i="2"/>
  <c r="ES21" i="2"/>
  <c r="FW21" i="2"/>
  <c r="FU135" i="2"/>
  <c r="GG135" i="2"/>
  <c r="GE136" i="2"/>
  <c r="GD137" i="2"/>
  <c r="FW565" i="2"/>
  <c r="FU507" i="2"/>
  <c r="GG507" i="2"/>
  <c r="GA568" i="2"/>
  <c r="EI563" i="2"/>
  <c r="EU563" i="2"/>
  <c r="GC28" i="2"/>
  <c r="EK29" i="2"/>
  <c r="GC29" i="2"/>
  <c r="EK502" i="2"/>
  <c r="GA502" i="2"/>
  <c r="EI495" i="2"/>
  <c r="EU495" i="2"/>
  <c r="FZ495" i="2"/>
  <c r="GM495" i="2"/>
  <c r="ET496" i="2"/>
  <c r="ES614" i="2"/>
  <c r="FW614" i="2"/>
  <c r="EQ615" i="2"/>
  <c r="FV615" i="2"/>
  <c r="GH615" i="2"/>
  <c r="FU616" i="2"/>
  <c r="GG616" i="2"/>
  <c r="EO617" i="2"/>
  <c r="GE617" i="2"/>
  <c r="GD555" i="2"/>
  <c r="GC556" i="2"/>
  <c r="EK557" i="2"/>
  <c r="GC557" i="2"/>
  <c r="GF171" i="2"/>
  <c r="EN253" i="2"/>
  <c r="FA253" i="2"/>
  <c r="GF253" i="2"/>
  <c r="EN558" i="2"/>
  <c r="FA558" i="2"/>
  <c r="GE558" i="2"/>
  <c r="GD559" i="2"/>
  <c r="GC134" i="2"/>
  <c r="EK249" i="2"/>
  <c r="GC249" i="2"/>
  <c r="EK250" i="2"/>
  <c r="FZ20" i="2"/>
  <c r="GM20" i="2"/>
  <c r="EU21" i="2"/>
  <c r="FW135" i="2"/>
  <c r="FU136" i="2"/>
  <c r="GG136" i="2"/>
  <c r="EO137" i="2"/>
  <c r="GF137" i="2"/>
  <c r="GA470" i="2"/>
  <c r="ES503" i="2"/>
  <c r="GA505" i="2"/>
  <c r="FW507" i="2"/>
  <c r="GA567" i="2"/>
  <c r="GC568" i="2"/>
  <c r="EK563" i="2"/>
  <c r="GF26" i="2"/>
  <c r="EN561" i="2"/>
  <c r="FW615" i="2"/>
  <c r="EQ616" i="2"/>
  <c r="FV616" i="2"/>
  <c r="GH616" i="2"/>
  <c r="GF617" i="2"/>
  <c r="EN555" i="2"/>
  <c r="FA555" i="2"/>
  <c r="GE555" i="2"/>
  <c r="GD556" i="2"/>
  <c r="GD557" i="2"/>
  <c r="FU171" i="2"/>
  <c r="GG171" i="2"/>
  <c r="EO253" i="2"/>
  <c r="FU253" i="2"/>
  <c r="GG253" i="2"/>
  <c r="EO558" i="2"/>
  <c r="GF558" i="2"/>
  <c r="EN559" i="2"/>
  <c r="FA559" i="2"/>
  <c r="GE559" i="2"/>
  <c r="GD134" i="2"/>
  <c r="GD249" i="2"/>
  <c r="GC250" i="2"/>
  <c r="GA20" i="2"/>
  <c r="EI21" i="2"/>
  <c r="EV21" i="2"/>
  <c r="FZ21" i="2"/>
  <c r="GM21" i="2"/>
  <c r="FV136" i="2"/>
  <c r="GH136" i="2"/>
  <c r="FU137" i="2"/>
  <c r="GG137" i="2"/>
  <c r="FZ471" i="2"/>
  <c r="GM471" i="2"/>
  <c r="ET503" i="2"/>
  <c r="EV505" i="2"/>
  <c r="ER507" i="2"/>
  <c r="GA618" i="2"/>
  <c r="EI508" i="2"/>
  <c r="EU508" i="2"/>
  <c r="GA508" i="2"/>
  <c r="GC619" i="2"/>
  <c r="FU558" i="2"/>
  <c r="GG558" i="2"/>
  <c r="EO559" i="2"/>
  <c r="GF559" i="2"/>
  <c r="EN134" i="2"/>
  <c r="FA134" i="2"/>
  <c r="GE134" i="2"/>
  <c r="GE249" i="2"/>
  <c r="GD250" i="2"/>
  <c r="EJ21" i="2"/>
  <c r="GA21" i="2"/>
  <c r="FW136" i="2"/>
  <c r="EQ137" i="2"/>
  <c r="FV137" i="2"/>
  <c r="GH137" i="2"/>
  <c r="GA471" i="2"/>
  <c r="EI503" i="2"/>
  <c r="EU503" i="2"/>
  <c r="GC505" i="2"/>
  <c r="GA565" i="2"/>
  <c r="EI506" i="2"/>
  <c r="EU506" i="2"/>
  <c r="ES507" i="2"/>
  <c r="GC562" i="2"/>
  <c r="GF28" i="2"/>
  <c r="EN29" i="2"/>
  <c r="FA29" i="2"/>
  <c r="GF29" i="2"/>
  <c r="EN502" i="2"/>
  <c r="FA502" i="2"/>
  <c r="GD502" i="2"/>
  <c r="GC495" i="2"/>
  <c r="EK496" i="2"/>
  <c r="EJ614" i="2"/>
  <c r="EV614" i="2"/>
  <c r="FZ614" i="2"/>
  <c r="GM614" i="2"/>
  <c r="ET615" i="2"/>
  <c r="ES616" i="2"/>
  <c r="ER617" i="2"/>
  <c r="FV617" i="2"/>
  <c r="GH617" i="2"/>
  <c r="FU555" i="2"/>
  <c r="GG555" i="2"/>
  <c r="EO556" i="2"/>
  <c r="GF556" i="2"/>
  <c r="EN557" i="2"/>
  <c r="FA557" i="2"/>
  <c r="GF557" i="2"/>
  <c r="FW171" i="2"/>
  <c r="EQ253" i="2"/>
  <c r="FW253" i="2"/>
  <c r="EQ558" i="2"/>
  <c r="FV558" i="2"/>
  <c r="GH558" i="2"/>
  <c r="FU559" i="2"/>
  <c r="GG559" i="2"/>
  <c r="EO134" i="2"/>
  <c r="GF134" i="2"/>
  <c r="EN249" i="2"/>
  <c r="FA249" i="2"/>
  <c r="GF249" i="2"/>
  <c r="EN250" i="2"/>
  <c r="FA250" i="2"/>
  <c r="GE250" i="2"/>
  <c r="GC20" i="2"/>
  <c r="EK21" i="2"/>
  <c r="FZ135" i="2"/>
  <c r="GM135" i="2"/>
  <c r="ER137" i="2"/>
  <c r="FW137" i="2"/>
  <c r="GC504" i="2"/>
  <c r="EJ506" i="2"/>
  <c r="EV506" i="2"/>
  <c r="FZ506" i="2"/>
  <c r="GM506" i="2"/>
  <c r="ET507" i="2"/>
  <c r="GE619" i="2"/>
  <c r="GE25" i="2"/>
  <c r="EQ28" i="2"/>
  <c r="FU28" i="2"/>
  <c r="GG28" i="2"/>
  <c r="EO29" i="2"/>
  <c r="FU29" i="2"/>
  <c r="GG29" i="2"/>
  <c r="EO502" i="2"/>
  <c r="GE502" i="2"/>
  <c r="GD495" i="2"/>
  <c r="GC496" i="2"/>
  <c r="EK614" i="2"/>
  <c r="GA614" i="2"/>
  <c r="EI615" i="2"/>
  <c r="EU615" i="2"/>
  <c r="FZ615" i="2"/>
  <c r="GM615" i="2"/>
  <c r="ET616" i="2"/>
  <c r="ES617" i="2"/>
  <c r="FW617" i="2"/>
  <c r="EQ555" i="2"/>
  <c r="FV555" i="2"/>
  <c r="GH555" i="2"/>
  <c r="FU556" i="2"/>
  <c r="GG556" i="2"/>
  <c r="EO557" i="2"/>
  <c r="FU557" i="2"/>
  <c r="GG557" i="2"/>
  <c r="ER253" i="2"/>
  <c r="ER558" i="2"/>
  <c r="FW558" i="2"/>
  <c r="EQ559" i="2"/>
  <c r="FV559" i="2"/>
  <c r="GH559" i="2"/>
  <c r="FU134" i="2"/>
  <c r="GG134" i="2"/>
  <c r="EO249" i="2"/>
  <c r="FU249" i="2"/>
  <c r="GG249" i="2"/>
  <c r="EO250" i="2"/>
  <c r="GF250" i="2"/>
  <c r="GD20" i="2"/>
  <c r="GC21" i="2"/>
  <c r="GA135" i="2"/>
  <c r="ES137" i="2"/>
  <c r="GD504" i="2"/>
  <c r="GC565" i="2"/>
  <c r="EK506" i="2"/>
  <c r="GC566" i="2"/>
  <c r="GE562" i="2"/>
  <c r="GF563" i="2"/>
  <c r="GD496" i="2"/>
  <c r="EJ615" i="2"/>
  <c r="EV615" i="2"/>
  <c r="GA615" i="2"/>
  <c r="EI616" i="2"/>
  <c r="EU616" i="2"/>
  <c r="FZ616" i="2"/>
  <c r="GM616" i="2"/>
  <c r="ET617" i="2"/>
  <c r="ER555" i="2"/>
  <c r="FW555" i="2"/>
  <c r="EQ556" i="2"/>
  <c r="FV556" i="2"/>
  <c r="GH556" i="2"/>
  <c r="FV557" i="2"/>
  <c r="GH557" i="2"/>
  <c r="ES253" i="2"/>
  <c r="ES558" i="2"/>
  <c r="ER559" i="2"/>
  <c r="FW559" i="2"/>
  <c r="EQ134" i="2"/>
  <c r="FV134" i="2"/>
  <c r="GH134" i="2"/>
  <c r="FV249" i="2"/>
  <c r="GH249" i="2"/>
  <c r="FU250" i="2"/>
  <c r="GG250" i="2"/>
  <c r="GE20" i="2"/>
  <c r="FA21" i="2"/>
  <c r="GD21" i="2"/>
  <c r="FZ136" i="2"/>
  <c r="GM136" i="2"/>
  <c r="ET137" i="2"/>
  <c r="GF567" i="2"/>
  <c r="FV568" i="2"/>
  <c r="GH568" i="2"/>
  <c r="FW557" i="2"/>
  <c r="FZ171" i="2"/>
  <c r="GM171" i="2"/>
  <c r="ET253" i="2"/>
  <c r="FZ253" i="2"/>
  <c r="GM253" i="2"/>
  <c r="ET558" i="2"/>
  <c r="ES559" i="2"/>
  <c r="ER134" i="2"/>
  <c r="FW134" i="2"/>
  <c r="EQ249" i="2"/>
  <c r="FW249" i="2"/>
  <c r="EQ250" i="2"/>
  <c r="FV250" i="2"/>
  <c r="GH250" i="2"/>
  <c r="GF20" i="2"/>
  <c r="EN21" i="2"/>
  <c r="GE21" i="2"/>
  <c r="GC135" i="2"/>
  <c r="GA136" i="2"/>
  <c r="EI137" i="2"/>
  <c r="EU137" i="2"/>
  <c r="FZ137" i="2"/>
  <c r="GM137" i="2"/>
  <c r="FU470" i="2"/>
  <c r="GG470" i="2"/>
  <c r="GD503" i="2"/>
  <c r="GF618" i="2"/>
  <c r="EN508" i="2"/>
  <c r="FA508" i="2"/>
  <c r="GF508" i="2"/>
  <c r="ER503" i="2"/>
  <c r="FV503" i="2"/>
  <c r="GH503" i="2"/>
  <c r="EV504" i="2"/>
  <c r="GA504" i="2"/>
  <c r="EI505" i="2"/>
  <c r="EU505" i="2"/>
  <c r="FZ505" i="2"/>
  <c r="GM505" i="2"/>
  <c r="FZ565" i="2"/>
  <c r="GM565" i="2"/>
  <c r="ET506" i="2"/>
  <c r="FW506" i="2"/>
  <c r="EQ507" i="2"/>
  <c r="GF507" i="2"/>
  <c r="FU566" i="2"/>
  <c r="GG566" i="2"/>
  <c r="GE618" i="2"/>
  <c r="GE508" i="2"/>
  <c r="GE567" i="2"/>
  <c r="FZ568" i="2"/>
  <c r="GM568" i="2"/>
  <c r="ET563" i="2"/>
  <c r="FW575" i="2"/>
  <c r="FW625" i="2"/>
  <c r="GF626" i="2"/>
  <c r="EN138" i="2"/>
  <c r="FA138" i="2"/>
  <c r="GF138" i="2"/>
  <c r="GD25" i="2"/>
  <c r="GE26" i="2"/>
  <c r="EJ345" i="2"/>
  <c r="EV345" i="2"/>
  <c r="EJ445" i="2"/>
  <c r="EV445" i="2"/>
  <c r="EJ446" i="2"/>
  <c r="EV446" i="2"/>
  <c r="EJ447" i="2"/>
  <c r="EV447" i="2"/>
  <c r="EJ448" i="2"/>
  <c r="EV448" i="2"/>
  <c r="EJ449" i="2"/>
  <c r="EV449" i="2"/>
  <c r="GA449" i="2"/>
  <c r="FV507" i="2"/>
  <c r="GH507" i="2"/>
  <c r="FW566" i="2"/>
  <c r="FU618" i="2"/>
  <c r="GG618" i="2"/>
  <c r="EO508" i="2"/>
  <c r="FU508" i="2"/>
  <c r="GG508" i="2"/>
  <c r="FU567" i="2"/>
  <c r="GG567" i="2"/>
  <c r="GD562" i="2"/>
  <c r="GD619" i="2"/>
  <c r="EJ563" i="2"/>
  <c r="EV563" i="2"/>
  <c r="FZ563" i="2"/>
  <c r="GM563" i="2"/>
  <c r="FZ564" i="2"/>
  <c r="GM564" i="2"/>
  <c r="FV626" i="2"/>
  <c r="GH626" i="2"/>
  <c r="FV138" i="2"/>
  <c r="GH138" i="2"/>
  <c r="GF25" i="2"/>
  <c r="FU26" i="2"/>
  <c r="GG26" i="2"/>
  <c r="EO561" i="2"/>
  <c r="GD561" i="2"/>
  <c r="GD345" i="2"/>
  <c r="GD445" i="2"/>
  <c r="GD446" i="2"/>
  <c r="GD447" i="2"/>
  <c r="GD448" i="2"/>
  <c r="GC449" i="2"/>
  <c r="GA564" i="2"/>
  <c r="FZ575" i="2"/>
  <c r="GM575" i="2"/>
  <c r="FZ625" i="2"/>
  <c r="GM625" i="2"/>
  <c r="FW626" i="2"/>
  <c r="EQ138" i="2"/>
  <c r="FW138" i="2"/>
  <c r="FU25" i="2"/>
  <c r="GG25" i="2"/>
  <c r="FV26" i="2"/>
  <c r="GH26" i="2"/>
  <c r="GE561" i="2"/>
  <c r="GE345" i="2"/>
  <c r="GE445" i="2"/>
  <c r="GE446" i="2"/>
  <c r="GE447" i="2"/>
  <c r="GE448" i="2"/>
  <c r="GD449" i="2"/>
  <c r="GC470" i="2"/>
  <c r="EJ503" i="2"/>
  <c r="EV503" i="2"/>
  <c r="FZ503" i="2"/>
  <c r="GM503" i="2"/>
  <c r="EN504" i="2"/>
  <c r="FA504" i="2"/>
  <c r="GE504" i="2"/>
  <c r="GD505" i="2"/>
  <c r="GD565" i="2"/>
  <c r="GA506" i="2"/>
  <c r="EU507" i="2"/>
  <c r="FW618" i="2"/>
  <c r="EQ508" i="2"/>
  <c r="FW508" i="2"/>
  <c r="FW567" i="2"/>
  <c r="GF562" i="2"/>
  <c r="GF619" i="2"/>
  <c r="GD568" i="2"/>
  <c r="GA575" i="2"/>
  <c r="GA625" i="2"/>
  <c r="ER138" i="2"/>
  <c r="FV25" i="2"/>
  <c r="GH25" i="2"/>
  <c r="FW26" i="2"/>
  <c r="GF561" i="2"/>
  <c r="EN345" i="2"/>
  <c r="FA345" i="2"/>
  <c r="GF345" i="2"/>
  <c r="EN445" i="2"/>
  <c r="FA445" i="2"/>
  <c r="GF445" i="2"/>
  <c r="EN446" i="2"/>
  <c r="FA446" i="2"/>
  <c r="GF446" i="2"/>
  <c r="EN447" i="2"/>
  <c r="FA447" i="2"/>
  <c r="GF447" i="2"/>
  <c r="EN448" i="2"/>
  <c r="FA448" i="2"/>
  <c r="GF448" i="2"/>
  <c r="EN449" i="2"/>
  <c r="FA449" i="2"/>
  <c r="GE449" i="2"/>
  <c r="GD470" i="2"/>
  <c r="GC471" i="2"/>
  <c r="EK503" i="2"/>
  <c r="GA503" i="2"/>
  <c r="EO504" i="2"/>
  <c r="GF504" i="2"/>
  <c r="EN505" i="2"/>
  <c r="FA505" i="2"/>
  <c r="GE505" i="2"/>
  <c r="GE565" i="2"/>
  <c r="EJ507" i="2"/>
  <c r="EV507" i="2"/>
  <c r="FZ566" i="2"/>
  <c r="GM566" i="2"/>
  <c r="ER508" i="2"/>
  <c r="FU562" i="2"/>
  <c r="GG562" i="2"/>
  <c r="FU619" i="2"/>
  <c r="GG619" i="2"/>
  <c r="GE568" i="2"/>
  <c r="GC563" i="2"/>
  <c r="GC564" i="2"/>
  <c r="ES138" i="2"/>
  <c r="FW25" i="2"/>
  <c r="ER561" i="2"/>
  <c r="FU561" i="2"/>
  <c r="GG561" i="2"/>
  <c r="EO345" i="2"/>
  <c r="FU345" i="2"/>
  <c r="GG345" i="2"/>
  <c r="EO445" i="2"/>
  <c r="FU445" i="2"/>
  <c r="GG445" i="2"/>
  <c r="EO446" i="2"/>
  <c r="FU446" i="2"/>
  <c r="GG446" i="2"/>
  <c r="EO447" i="2"/>
  <c r="FU447" i="2"/>
  <c r="GG447" i="2"/>
  <c r="EO448" i="2"/>
  <c r="FU448" i="2"/>
  <c r="GG448" i="2"/>
  <c r="EO449" i="2"/>
  <c r="GF449" i="2"/>
  <c r="GE470" i="2"/>
  <c r="GD471" i="2"/>
  <c r="FU504" i="2"/>
  <c r="GG504" i="2"/>
  <c r="EO505" i="2"/>
  <c r="GF505" i="2"/>
  <c r="GF565" i="2"/>
  <c r="EN506" i="2"/>
  <c r="FA506" i="2"/>
  <c r="GC506" i="2"/>
  <c r="EK507" i="2"/>
  <c r="FZ507" i="2"/>
  <c r="GM507" i="2"/>
  <c r="GA566" i="2"/>
  <c r="ES508" i="2"/>
  <c r="FV562" i="2"/>
  <c r="GH562" i="2"/>
  <c r="FV619" i="2"/>
  <c r="GH619" i="2"/>
  <c r="GF568" i="2"/>
  <c r="EN563" i="2"/>
  <c r="GD563" i="2"/>
  <c r="GD564" i="2"/>
  <c r="GC575" i="2"/>
  <c r="GC625" i="2"/>
  <c r="FZ626" i="2"/>
  <c r="GM626" i="2"/>
  <c r="ET138" i="2"/>
  <c r="FZ138" i="2"/>
  <c r="GM138" i="2"/>
  <c r="ES561" i="2"/>
  <c r="FV561" i="2"/>
  <c r="GH561" i="2"/>
  <c r="FV345" i="2"/>
  <c r="GH345" i="2"/>
  <c r="FV445" i="2"/>
  <c r="GH445" i="2"/>
  <c r="FV446" i="2"/>
  <c r="GH446" i="2"/>
  <c r="FV447" i="2"/>
  <c r="GH447" i="2"/>
  <c r="FV448" i="2"/>
  <c r="GH448" i="2"/>
  <c r="FU449" i="2"/>
  <c r="GG449" i="2"/>
  <c r="GF470" i="2"/>
  <c r="GE471" i="2"/>
  <c r="GC503" i="2"/>
  <c r="FV504" i="2"/>
  <c r="GH504" i="2"/>
  <c r="FU505" i="2"/>
  <c r="GG505" i="2"/>
  <c r="FU565" i="2"/>
  <c r="GG565" i="2"/>
  <c r="EO506" i="2"/>
  <c r="GD506" i="2"/>
  <c r="GA507" i="2"/>
  <c r="FZ618" i="2"/>
  <c r="GM618" i="2"/>
  <c r="ET508" i="2"/>
  <c r="FZ508" i="2"/>
  <c r="GM508" i="2"/>
  <c r="FZ567" i="2"/>
  <c r="GM567" i="2"/>
  <c r="FW562" i="2"/>
  <c r="FW619" i="2"/>
  <c r="FU568" i="2"/>
  <c r="GG568" i="2"/>
  <c r="EO563" i="2"/>
  <c r="GE563" i="2"/>
  <c r="GE564" i="2"/>
  <c r="GD575" i="2"/>
  <c r="GD625" i="2"/>
  <c r="GA626" i="2"/>
  <c r="EI138" i="2"/>
  <c r="EU138" i="2"/>
  <c r="GA138" i="2"/>
  <c r="FZ26" i="2"/>
  <c r="GM26" i="2"/>
  <c r="ET561" i="2"/>
  <c r="FW561" i="2"/>
  <c r="EQ345" i="2"/>
  <c r="FW345" i="2"/>
  <c r="EQ445" i="2"/>
  <c r="FW445" i="2"/>
  <c r="EQ446" i="2"/>
  <c r="FW446" i="2"/>
  <c r="EQ447" i="2"/>
  <c r="FW447" i="2"/>
  <c r="EQ448" i="2"/>
  <c r="FW448" i="2"/>
  <c r="EQ449" i="2"/>
  <c r="FV449" i="2"/>
  <c r="GH449" i="2"/>
  <c r="GF564" i="2"/>
  <c r="GE575" i="2"/>
  <c r="GE625" i="2"/>
  <c r="EJ138" i="2"/>
  <c r="EV138" i="2"/>
  <c r="FZ25" i="2"/>
  <c r="GM25" i="2"/>
  <c r="GA26" i="2"/>
  <c r="EI561" i="2"/>
  <c r="EU561" i="2"/>
  <c r="ER345" i="2"/>
  <c r="ER445" i="2"/>
  <c r="ER446" i="2"/>
  <c r="ER447" i="2"/>
  <c r="ER448" i="2"/>
  <c r="ER449" i="2"/>
  <c r="FW449" i="2"/>
  <c r="EQ506" i="2"/>
  <c r="GF506" i="2"/>
  <c r="EN507" i="2"/>
  <c r="FA507" i="2"/>
  <c r="GC507" i="2"/>
  <c r="GD566" i="2"/>
  <c r="EJ508" i="2"/>
  <c r="EV508" i="2"/>
  <c r="FW568" i="2"/>
  <c r="FU563" i="2"/>
  <c r="GG563" i="2"/>
  <c r="FU564" i="2"/>
  <c r="GG564" i="2"/>
  <c r="GF575" i="2"/>
  <c r="GF625" i="2"/>
  <c r="GC626" i="2"/>
  <c r="EK138" i="2"/>
  <c r="GC138" i="2"/>
  <c r="GA25" i="2"/>
  <c r="EJ561" i="2"/>
  <c r="EV561" i="2"/>
  <c r="ES345" i="2"/>
  <c r="ES445" i="2"/>
  <c r="ES446" i="2"/>
  <c r="ES447" i="2"/>
  <c r="ES448" i="2"/>
  <c r="ES449" i="2"/>
  <c r="FW470" i="2"/>
  <c r="FV471" i="2"/>
  <c r="GH471" i="2"/>
  <c r="GF503" i="2"/>
  <c r="ET504" i="2"/>
  <c r="ER506" i="2"/>
  <c r="FU506" i="2"/>
  <c r="GG506" i="2"/>
  <c r="EO507" i="2"/>
  <c r="GD507" i="2"/>
  <c r="GE566" i="2"/>
  <c r="GC618" i="2"/>
  <c r="EK508" i="2"/>
  <c r="GC508" i="2"/>
  <c r="GC567" i="2"/>
  <c r="FZ562" i="2"/>
  <c r="GM562" i="2"/>
  <c r="FZ619" i="2"/>
  <c r="GM619" i="2"/>
  <c r="ER563" i="2"/>
  <c r="FV563" i="2"/>
  <c r="GH563" i="2"/>
  <c r="FV564" i="2"/>
  <c r="GH564" i="2"/>
  <c r="FU575" i="2"/>
  <c r="GG575" i="2"/>
  <c r="FU625" i="2"/>
  <c r="GG625" i="2"/>
  <c r="GD626" i="2"/>
  <c r="GD138" i="2"/>
  <c r="GC26" i="2"/>
  <c r="EK561" i="2"/>
  <c r="FZ561" i="2"/>
  <c r="GM561" i="2"/>
  <c r="ET345" i="2"/>
  <c r="FZ345" i="2"/>
  <c r="GM345" i="2"/>
  <c r="ET445" i="2"/>
  <c r="FZ445" i="2"/>
  <c r="GM445" i="2"/>
  <c r="ET446" i="2"/>
  <c r="FZ446" i="2"/>
  <c r="GM446" i="2"/>
  <c r="ET447" i="2"/>
  <c r="FZ447" i="2"/>
  <c r="GM447" i="2"/>
  <c r="ET448" i="2"/>
  <c r="FZ448" i="2"/>
  <c r="GM448" i="2"/>
  <c r="ET449" i="2"/>
  <c r="FW471" i="2"/>
  <c r="EQ503" i="2"/>
  <c r="FU503" i="2"/>
  <c r="GG503" i="2"/>
  <c r="EI504" i="2"/>
  <c r="EU504" i="2"/>
  <c r="FZ504" i="2"/>
  <c r="GM504" i="2"/>
  <c r="ET505" i="2"/>
  <c r="ES506" i="2"/>
  <c r="FV506" i="2"/>
  <c r="GH506" i="2"/>
  <c r="GE507" i="2"/>
  <c r="GF566" i="2"/>
  <c r="GD618" i="2"/>
  <c r="GD508" i="2"/>
  <c r="GD567" i="2"/>
  <c r="GA562" i="2"/>
  <c r="GA619" i="2"/>
  <c r="ES563" i="2"/>
  <c r="FW563" i="2"/>
  <c r="FW564" i="2"/>
  <c r="FV575" i="2"/>
  <c r="GH575" i="2"/>
  <c r="FV625" i="2"/>
  <c r="GH625" i="2"/>
  <c r="GE626" i="2"/>
  <c r="GE138" i="2"/>
  <c r="GC25" i="2"/>
  <c r="GD26" i="2"/>
  <c r="GA561" i="2"/>
  <c r="EI345" i="2"/>
  <c r="EU345" i="2"/>
  <c r="GA345" i="2"/>
  <c r="EI445" i="2"/>
  <c r="EU445" i="2"/>
  <c r="GA445" i="2"/>
  <c r="EI446" i="2"/>
  <c r="EU446" i="2"/>
  <c r="GA446" i="2"/>
  <c r="EI447" i="2"/>
  <c r="EU447" i="2"/>
  <c r="GA447" i="2"/>
  <c r="EI448" i="2"/>
  <c r="EU448" i="2"/>
  <c r="GA448" i="2"/>
  <c r="EI449" i="2"/>
  <c r="EU449" i="2"/>
  <c r="FZ449" i="2"/>
  <c r="GM449" i="2"/>
  <c r="P1" i="2"/>
  <c r="DX34" i="2"/>
  <c r="EQ34" i="2" s="1"/>
  <c r="GW601" i="2"/>
  <c r="GX601" i="2" s="1"/>
  <c r="GY601" i="2" s="1"/>
  <c r="FL601" i="2"/>
  <c r="GE601" i="2" s="1"/>
  <c r="FK601" i="2"/>
  <c r="GD601" i="2" s="1"/>
  <c r="FJ601" i="2"/>
  <c r="GC601" i="2" s="1"/>
  <c r="FI601" i="2"/>
  <c r="GB601" i="2" s="1"/>
  <c r="FH601" i="2"/>
  <c r="GA601" i="2" s="1"/>
  <c r="FT601" i="2"/>
  <c r="GM601" i="2" s="1"/>
  <c r="FG601" i="2"/>
  <c r="FZ601" i="2" s="1"/>
  <c r="FS601" i="2"/>
  <c r="GL601" i="2" s="1"/>
  <c r="FF601" i="2"/>
  <c r="FY601" i="2" s="1"/>
  <c r="FQ601" i="2"/>
  <c r="GJ601" i="2" s="1"/>
  <c r="FE601" i="2"/>
  <c r="FX601" i="2" s="1"/>
  <c r="FP601" i="2"/>
  <c r="GI601" i="2" s="1"/>
  <c r="FD601" i="2"/>
  <c r="FW601" i="2" s="1"/>
  <c r="FO601" i="2"/>
  <c r="GH601" i="2" s="1"/>
  <c r="FC601" i="2"/>
  <c r="FV601" i="2" s="1"/>
  <c r="FN601" i="2"/>
  <c r="GG601" i="2" s="1"/>
  <c r="FB601" i="2"/>
  <c r="FU601" i="2" s="1"/>
  <c r="FM601" i="2"/>
  <c r="GF601" i="2" s="1"/>
  <c r="GR330" i="2"/>
  <c r="GS330" i="2" s="1"/>
  <c r="DW96" i="2"/>
  <c r="EP96" i="2" s="1"/>
  <c r="DX359" i="2"/>
  <c r="EQ359" i="2" s="1"/>
  <c r="DL344" i="2"/>
  <c r="DW344" i="2"/>
  <c r="EP344" i="2" s="1"/>
  <c r="DL120" i="2"/>
  <c r="DW120" i="2"/>
  <c r="EP120" i="2" s="1"/>
  <c r="DM273" i="2"/>
  <c r="DV273" i="2"/>
  <c r="EO273" i="2" s="1"/>
  <c r="EH273" i="2"/>
  <c r="FA273" i="2" s="1"/>
  <c r="DU273" i="2"/>
  <c r="EN273" i="2" s="1"/>
  <c r="EG273" i="2"/>
  <c r="EZ273" i="2" s="1"/>
  <c r="DT273" i="2"/>
  <c r="EM273" i="2" s="1"/>
  <c r="EE273" i="2"/>
  <c r="EX273" i="2" s="1"/>
  <c r="DS273" i="2"/>
  <c r="EL273" i="2" s="1"/>
  <c r="ED273" i="2"/>
  <c r="EW273" i="2" s="1"/>
  <c r="DR273" i="2"/>
  <c r="EK273" i="2" s="1"/>
  <c r="EC273" i="2"/>
  <c r="EV273" i="2" s="1"/>
  <c r="DQ273" i="2"/>
  <c r="EJ273" i="2" s="1"/>
  <c r="EB273" i="2"/>
  <c r="EU273" i="2" s="1"/>
  <c r="DP273" i="2"/>
  <c r="EI273" i="2" s="1"/>
  <c r="EA273" i="2"/>
  <c r="ET273" i="2" s="1"/>
  <c r="DZ273" i="2"/>
  <c r="ES273" i="2" s="1"/>
  <c r="DY273" i="2"/>
  <c r="ER273" i="2" s="1"/>
  <c r="DX273" i="2"/>
  <c r="EQ273" i="2" s="1"/>
  <c r="DW273" i="2"/>
  <c r="EP273" i="2" s="1"/>
  <c r="GR158" i="2"/>
  <c r="GS158" i="2" s="1"/>
  <c r="GP5" i="2"/>
  <c r="DQ443" i="2"/>
  <c r="EJ443" i="2" s="1"/>
  <c r="DW31" i="2"/>
  <c r="EP31" i="2" s="1"/>
  <c r="DM18" i="2"/>
  <c r="DX18" i="2"/>
  <c r="EQ18" i="2" s="1"/>
  <c r="EA443" i="2"/>
  <c r="ET443" i="2" s="1"/>
  <c r="FC443" i="2"/>
  <c r="FV443" i="2" s="1"/>
  <c r="DL624" i="2"/>
  <c r="DW624" i="2"/>
  <c r="EP624" i="2" s="1"/>
  <c r="FM443" i="2"/>
  <c r="GF443" i="2" s="1"/>
  <c r="DL21" i="2"/>
  <c r="DW21" i="2"/>
  <c r="EP21" i="2" s="1"/>
  <c r="DW160" i="2"/>
  <c r="EP160" i="2" s="1"/>
  <c r="DL231" i="2"/>
  <c r="DW231" i="2"/>
  <c r="EP231" i="2" s="1"/>
  <c r="GO601" i="2"/>
  <c r="GP601" i="2" s="1"/>
  <c r="GQ601" i="2" s="1"/>
  <c r="DX601" i="2"/>
  <c r="EQ601" i="2" s="1"/>
  <c r="DW601" i="2"/>
  <c r="EP601" i="2" s="1"/>
  <c r="DV601" i="2"/>
  <c r="EO601" i="2" s="1"/>
  <c r="EH601" i="2"/>
  <c r="FA601" i="2" s="1"/>
  <c r="DU601" i="2"/>
  <c r="EN601" i="2" s="1"/>
  <c r="EG601" i="2"/>
  <c r="EZ601" i="2" s="1"/>
  <c r="DT601" i="2"/>
  <c r="EM601" i="2" s="1"/>
  <c r="EE601" i="2"/>
  <c r="EX601" i="2" s="1"/>
  <c r="DS601" i="2"/>
  <c r="EL601" i="2" s="1"/>
  <c r="ED601" i="2"/>
  <c r="EW601" i="2" s="1"/>
  <c r="DR601" i="2"/>
  <c r="EK601" i="2" s="1"/>
  <c r="EC601" i="2"/>
  <c r="EV601" i="2" s="1"/>
  <c r="DQ601" i="2"/>
  <c r="EJ601" i="2" s="1"/>
  <c r="EB601" i="2"/>
  <c r="EU601" i="2" s="1"/>
  <c r="DP601" i="2"/>
  <c r="EI601" i="2" s="1"/>
  <c r="EA601" i="2"/>
  <c r="ET601" i="2" s="1"/>
  <c r="DZ601" i="2"/>
  <c r="ES601" i="2" s="1"/>
  <c r="DY601" i="2"/>
  <c r="ER601" i="2" s="1"/>
  <c r="GR63" i="2"/>
  <c r="GS63" i="2" s="1"/>
  <c r="AZ514" i="2"/>
  <c r="Y209" i="2"/>
  <c r="GQ354" i="2"/>
  <c r="BO120" i="2"/>
  <c r="EE120" i="2" s="1"/>
  <c r="EX120" i="2" s="1"/>
  <c r="AL218" i="2"/>
  <c r="GU218" i="2" s="1"/>
  <c r="GP463" i="2"/>
  <c r="GQ463" i="2" s="1"/>
  <c r="GO306" i="2"/>
  <c r="AX1" i="2"/>
  <c r="DM25" i="2"/>
  <c r="BS1" i="2"/>
  <c r="Q210" i="2"/>
  <c r="GT210" i="2" s="1"/>
  <c r="CW169" i="2"/>
  <c r="DL631" i="2"/>
  <c r="R210" i="2"/>
  <c r="GX375" i="2"/>
  <c r="GY375" i="2" s="1"/>
  <c r="CW298" i="2"/>
  <c r="Q371" i="2"/>
  <c r="GT371" i="2" s="1"/>
  <c r="DM218" i="2"/>
  <c r="DL303" i="2"/>
  <c r="AN514" i="2"/>
  <c r="DY514" i="2" s="1"/>
  <c r="ER514" i="2" s="1"/>
  <c r="Q209" i="2"/>
  <c r="GT209" i="2" s="1"/>
  <c r="CF1" i="2"/>
  <c r="DL20" i="2"/>
  <c r="BG453" i="2"/>
  <c r="GV453" i="2" s="1"/>
  <c r="CB210" i="2"/>
  <c r="Q287" i="2"/>
  <c r="GQ193" i="2"/>
  <c r="AM207" i="2"/>
  <c r="AI31" i="2"/>
  <c r="AE514" i="2"/>
  <c r="CB209" i="2"/>
  <c r="HB209" i="2" s="1"/>
  <c r="GO543" i="2"/>
  <c r="CW229" i="2"/>
  <c r="HC229" i="2" s="1"/>
  <c r="CC209" i="2"/>
  <c r="CX229" i="2"/>
  <c r="FJ229" i="2" s="1"/>
  <c r="GC229" i="2" s="1"/>
  <c r="DM287" i="2"/>
  <c r="GO326" i="2"/>
  <c r="K454" i="2"/>
  <c r="BH31" i="2"/>
  <c r="AF517" i="2"/>
  <c r="GO631" i="2"/>
  <c r="HQ37" i="2" s="1"/>
  <c r="HQ46" i="2" s="1"/>
  <c r="GW209" i="2"/>
  <c r="K375" i="2"/>
  <c r="GP118" i="2"/>
  <c r="GQ118" i="2" s="1"/>
  <c r="GQ233" i="2"/>
  <c r="BG112" i="2"/>
  <c r="DM278" i="2"/>
  <c r="GO444" i="2"/>
  <c r="GP444" i="2" s="1"/>
  <c r="GQ444" i="2" s="1"/>
  <c r="GW444" i="2"/>
  <c r="GX444" i="2" s="1"/>
  <c r="GY444" i="2" s="1"/>
  <c r="AE26" i="2"/>
  <c r="DP26" i="2" s="1"/>
  <c r="EI26" i="2" s="1"/>
  <c r="GQ325" i="2"/>
  <c r="BG553" i="2"/>
  <c r="GV553" i="2" s="1"/>
  <c r="DL619" i="2"/>
  <c r="DL385" i="2"/>
  <c r="GQ100" i="2"/>
  <c r="GQ365" i="2"/>
  <c r="S375" i="2"/>
  <c r="Q229" i="2"/>
  <c r="GT229" i="2" s="1"/>
  <c r="DL601" i="2"/>
  <c r="AT169" i="2"/>
  <c r="EE169" i="2" s="1"/>
  <c r="EX169" i="2" s="1"/>
  <c r="DM217" i="2"/>
  <c r="GY288" i="2"/>
  <c r="AE359" i="2"/>
  <c r="DP359" i="2" s="1"/>
  <c r="EI359" i="2" s="1"/>
  <c r="GO71" i="2"/>
  <c r="HQ18" i="2" s="1"/>
  <c r="R229" i="2"/>
  <c r="GO553" i="2"/>
  <c r="Y229" i="2"/>
  <c r="AS1" i="2"/>
  <c r="I1" i="2"/>
  <c r="GO359" i="2"/>
  <c r="AT230" i="2"/>
  <c r="DM568" i="2"/>
  <c r="DM304" i="2"/>
  <c r="GO312" i="2"/>
  <c r="BH210" i="2"/>
  <c r="GP18" i="2"/>
  <c r="GQ18" i="2" s="1"/>
  <c r="AL25" i="2"/>
  <c r="GQ58" i="2"/>
  <c r="GQ60" i="2"/>
  <c r="BO76" i="2"/>
  <c r="EE76" i="2" s="1"/>
  <c r="EX76" i="2" s="1"/>
  <c r="GQ77" i="2"/>
  <c r="GQ189" i="2"/>
  <c r="BI454" i="2"/>
  <c r="GO93" i="2"/>
  <c r="AZ31" i="2"/>
  <c r="BO333" i="2"/>
  <c r="GQ338" i="2"/>
  <c r="GO517" i="2"/>
  <c r="AT209" i="2"/>
  <c r="GQ13" i="2"/>
  <c r="J375" i="2"/>
  <c r="CX117" i="2"/>
  <c r="AM235" i="2"/>
  <c r="GW169" i="2"/>
  <c r="DM274" i="2"/>
  <c r="DM331" i="2"/>
  <c r="DM458" i="2"/>
  <c r="GQ336" i="2"/>
  <c r="DL494" i="2"/>
  <c r="BA514" i="2"/>
  <c r="AG517" i="2"/>
  <c r="Q71" i="2"/>
  <c r="BG208" i="2"/>
  <c r="GV208" i="2" s="1"/>
  <c r="GQ11" i="2"/>
  <c r="AE543" i="2"/>
  <c r="CK229" i="2"/>
  <c r="GP86" i="2"/>
  <c r="GQ86" i="2" s="1"/>
  <c r="DM601" i="2"/>
  <c r="GQ272" i="2"/>
  <c r="GQ391" i="2"/>
  <c r="CB554" i="2"/>
  <c r="BH208" i="2"/>
  <c r="AL543" i="2"/>
  <c r="GU543" i="2" s="1"/>
  <c r="GO15" i="2"/>
  <c r="BN1" i="2"/>
  <c r="GW230" i="2"/>
  <c r="GQ128" i="2"/>
  <c r="GQ469" i="2"/>
  <c r="GY428" i="2"/>
  <c r="GP73" i="2"/>
  <c r="GQ73" i="2" s="1"/>
  <c r="AZ576" i="2"/>
  <c r="DP576" i="2" s="1"/>
  <c r="EI576" i="2" s="1"/>
  <c r="AF371" i="2"/>
  <c r="DQ371" i="2" s="1"/>
  <c r="EJ371" i="2" s="1"/>
  <c r="BA517" i="2"/>
  <c r="GP9" i="2"/>
  <c r="GQ9" i="2" s="1"/>
  <c r="CW48" i="2"/>
  <c r="DM504" i="2"/>
  <c r="DL626" i="2"/>
  <c r="GO159" i="2"/>
  <c r="CW453" i="2"/>
  <c r="BC27" i="2"/>
  <c r="DS27" i="2" s="1"/>
  <c r="EL27" i="2" s="1"/>
  <c r="AN371" i="2"/>
  <c r="BB517" i="2"/>
  <c r="BB1" i="2" s="1"/>
  <c r="GW208" i="2"/>
  <c r="DE209" i="2"/>
  <c r="FQ209" i="2" s="1"/>
  <c r="GJ209" i="2" s="1"/>
  <c r="GQ7" i="2"/>
  <c r="GQ228" i="2"/>
  <c r="GQ133" i="2"/>
  <c r="AL117" i="2"/>
  <c r="GU117" i="2" s="1"/>
  <c r="DE229" i="2"/>
  <c r="GO234" i="2"/>
  <c r="CW217" i="2"/>
  <c r="DM277" i="2"/>
  <c r="GP393" i="2"/>
  <c r="GQ393" i="2" s="1"/>
  <c r="GP402" i="2"/>
  <c r="GQ402" i="2" s="1"/>
  <c r="DM443" i="2"/>
  <c r="DL470" i="2"/>
  <c r="DM505" i="2"/>
  <c r="DM626" i="2"/>
  <c r="DM317" i="2"/>
  <c r="GQ323" i="2"/>
  <c r="DM576" i="2"/>
  <c r="BG27" i="2"/>
  <c r="AM117" i="2"/>
  <c r="GO108" i="2"/>
  <c r="BG169" i="2"/>
  <c r="GV169" i="2" s="1"/>
  <c r="GQ400" i="2"/>
  <c r="GO136" i="2"/>
  <c r="GP136" i="2" s="1"/>
  <c r="GQ136" i="2" s="1"/>
  <c r="DM470" i="2"/>
  <c r="GO626" i="2"/>
  <c r="GP626" i="2" s="1"/>
  <c r="GQ626" i="2" s="1"/>
  <c r="GX164" i="2"/>
  <c r="GY164" i="2" s="1"/>
  <c r="DM306" i="2"/>
  <c r="DM308" i="2"/>
  <c r="DL317" i="2"/>
  <c r="GO576" i="2"/>
  <c r="GP339" i="2"/>
  <c r="GQ339" i="2" s="1"/>
  <c r="GQ125" i="2"/>
  <c r="AT117" i="2"/>
  <c r="DA1" i="2"/>
  <c r="GO470" i="2"/>
  <c r="GP470" i="2" s="1"/>
  <c r="GQ470" i="2" s="1"/>
  <c r="GW287" i="2"/>
  <c r="GY105" i="2"/>
  <c r="GW48" i="2"/>
  <c r="HZ16" i="2" s="1"/>
  <c r="GW554" i="2"/>
  <c r="BT1" i="2"/>
  <c r="X1" i="2"/>
  <c r="BH76" i="2"/>
  <c r="BA454" i="2"/>
  <c r="BJ333" i="2"/>
  <c r="AL359" i="2"/>
  <c r="GU359" i="2" s="1"/>
  <c r="GP47" i="2"/>
  <c r="AM116" i="2"/>
  <c r="BO108" i="2"/>
  <c r="EE108" i="2" s="1"/>
  <c r="EX108" i="2" s="1"/>
  <c r="DL278" i="2"/>
  <c r="DM34" i="2"/>
  <c r="AD1" i="2"/>
  <c r="GQ197" i="2"/>
  <c r="BQ205" i="2"/>
  <c r="BQ1" i="2" s="1"/>
  <c r="GQ305" i="2"/>
  <c r="AM453" i="2"/>
  <c r="AE454" i="2"/>
  <c r="GQ455" i="2"/>
  <c r="BD27" i="2"/>
  <c r="DT27" i="2" s="1"/>
  <c r="EM27" i="2" s="1"/>
  <c r="AT333" i="2"/>
  <c r="GQ346" i="2"/>
  <c r="GQ363" i="2"/>
  <c r="S371" i="2"/>
  <c r="BH499" i="2"/>
  <c r="AO514" i="2"/>
  <c r="AO517" i="2"/>
  <c r="DZ517" i="2" s="1"/>
  <c r="ES517" i="2" s="1"/>
  <c r="GQ584" i="2"/>
  <c r="CW208" i="2"/>
  <c r="HC208" i="2" s="1"/>
  <c r="AE34" i="2"/>
  <c r="DL260" i="2"/>
  <c r="BH211" i="2"/>
  <c r="Q116" i="2"/>
  <c r="GT116" i="2" s="1"/>
  <c r="CW116" i="2"/>
  <c r="HC116" i="2" s="1"/>
  <c r="CB117" i="2"/>
  <c r="HB117" i="2" s="1"/>
  <c r="AM229" i="2"/>
  <c r="BO230" i="2"/>
  <c r="GW217" i="2"/>
  <c r="GP377" i="2"/>
  <c r="GQ377" i="2" s="1"/>
  <c r="GQ403" i="2"/>
  <c r="GQ414" i="2"/>
  <c r="GQ425" i="2"/>
  <c r="GO554" i="2"/>
  <c r="AT171" i="2"/>
  <c r="GQ503" i="2"/>
  <c r="CQ560" i="2"/>
  <c r="DM567" i="2"/>
  <c r="GP78" i="2"/>
  <c r="GQ78" i="2" s="1"/>
  <c r="BG290" i="2"/>
  <c r="GV290" i="2" s="1"/>
  <c r="AL300" i="2"/>
  <c r="GU300" i="2" s="1"/>
  <c r="DM310" i="2"/>
  <c r="AN454" i="2"/>
  <c r="AZ458" i="2"/>
  <c r="GO207" i="2"/>
  <c r="BF27" i="2"/>
  <c r="DV27" i="2" s="1"/>
  <c r="EO27" i="2" s="1"/>
  <c r="BI499" i="2"/>
  <c r="GO208" i="2"/>
  <c r="CX208" i="2"/>
  <c r="GW210" i="2"/>
  <c r="AF34" i="2"/>
  <c r="DL375" i="2"/>
  <c r="DM260" i="2"/>
  <c r="R116" i="2"/>
  <c r="CX116" i="2"/>
  <c r="CC117" i="2"/>
  <c r="AU229" i="2"/>
  <c r="BP230" i="2"/>
  <c r="GQ265" i="2"/>
  <c r="AL108" i="2"/>
  <c r="DL145" i="2"/>
  <c r="DM513" i="2"/>
  <c r="GQ408" i="2"/>
  <c r="GQ382" i="2"/>
  <c r="AU171" i="2"/>
  <c r="DM444" i="2"/>
  <c r="DM566" i="2"/>
  <c r="GQ561" i="2"/>
  <c r="DM290" i="2"/>
  <c r="DM300" i="2"/>
  <c r="AO454" i="2"/>
  <c r="BG458" i="2"/>
  <c r="GV458" i="2" s="1"/>
  <c r="DE208" i="2"/>
  <c r="AK34" i="2"/>
  <c r="DV34" i="2" s="1"/>
  <c r="EO34" i="2" s="1"/>
  <c r="GO260" i="2"/>
  <c r="GP260" i="2" s="1"/>
  <c r="GQ260" i="2" s="1"/>
  <c r="Y116" i="2"/>
  <c r="DE116" i="2"/>
  <c r="CJ117" i="2"/>
  <c r="FQ117" i="2" s="1"/>
  <c r="GJ117" i="2" s="1"/>
  <c r="GO229" i="2"/>
  <c r="DM15" i="2"/>
  <c r="GP21" i="2"/>
  <c r="GQ21" i="2" s="1"/>
  <c r="GP240" i="2"/>
  <c r="GQ240" i="2" s="1"/>
  <c r="GQ178" i="2"/>
  <c r="AL308" i="2"/>
  <c r="GU308" i="2" s="1"/>
  <c r="GP318" i="2"/>
  <c r="GQ318" i="2" s="1"/>
  <c r="BH453" i="2"/>
  <c r="GP490" i="2"/>
  <c r="GQ490" i="2" s="1"/>
  <c r="GQ83" i="2"/>
  <c r="GO96" i="2"/>
  <c r="GP96" i="2" s="1"/>
  <c r="GQ96" i="2" s="1"/>
  <c r="GQ577" i="2"/>
  <c r="BH27" i="2"/>
  <c r="DX27" i="2" s="1"/>
  <c r="EQ27" i="2" s="1"/>
  <c r="AL208" i="2"/>
  <c r="GU208" i="2" s="1"/>
  <c r="AL34" i="2"/>
  <c r="GU34" i="2" s="1"/>
  <c r="HO14" i="2" s="1"/>
  <c r="CK117" i="2"/>
  <c r="GP281" i="2"/>
  <c r="GQ281" i="2" s="1"/>
  <c r="Q230" i="2"/>
  <c r="GT230" i="2" s="1"/>
  <c r="CB230" i="2"/>
  <c r="HB230" i="2" s="1"/>
  <c r="CW112" i="2"/>
  <c r="HC112" i="2" s="1"/>
  <c r="GP110" i="2"/>
  <c r="GQ110" i="2" s="1"/>
  <c r="AL217" i="2"/>
  <c r="GU217" i="2" s="1"/>
  <c r="GX223" i="2"/>
  <c r="GY223" i="2" s="1"/>
  <c r="GQ512" i="2"/>
  <c r="GP390" i="2"/>
  <c r="GQ390" i="2" s="1"/>
  <c r="GP399" i="2"/>
  <c r="GQ399" i="2" s="1"/>
  <c r="GP442" i="2"/>
  <c r="GQ442" i="2" s="1"/>
  <c r="GQ616" i="2"/>
  <c r="BG171" i="2"/>
  <c r="GV171" i="2" s="1"/>
  <c r="GO560" i="2"/>
  <c r="GO575" i="2"/>
  <c r="GP575" i="2" s="1"/>
  <c r="GQ575" i="2" s="1"/>
  <c r="GQ629" i="2"/>
  <c r="GP226" i="2"/>
  <c r="GQ226" i="2" s="1"/>
  <c r="AF207" i="2"/>
  <c r="DQ207" i="2" s="1"/>
  <c r="EJ207" i="2" s="1"/>
  <c r="AM190" i="2"/>
  <c r="GP23" i="2"/>
  <c r="GO371" i="2"/>
  <c r="GY497" i="2"/>
  <c r="BJ514" i="2"/>
  <c r="GQ587" i="2"/>
  <c r="DM71" i="2"/>
  <c r="AM208" i="2"/>
  <c r="BG210" i="2"/>
  <c r="GV210" i="2" s="1"/>
  <c r="DM375" i="2"/>
  <c r="CB229" i="2"/>
  <c r="HB229" i="2" s="1"/>
  <c r="Z230" i="2"/>
  <c r="CC230" i="2"/>
  <c r="FJ230" i="2" s="1"/>
  <c r="GC230" i="2" s="1"/>
  <c r="GQ84" i="2"/>
  <c r="DM86" i="2"/>
  <c r="DE112" i="2"/>
  <c r="FQ112" i="2" s="1"/>
  <c r="GJ112" i="2" s="1"/>
  <c r="GQ428" i="2"/>
  <c r="GQ381" i="2"/>
  <c r="BO171" i="2"/>
  <c r="AE560" i="2"/>
  <c r="GO562" i="2"/>
  <c r="GQ95" i="2"/>
  <c r="GO34" i="2"/>
  <c r="HQ14" i="2" s="1"/>
  <c r="CJ230" i="2"/>
  <c r="DL18" i="2"/>
  <c r="GO297" i="2"/>
  <c r="GO308" i="2"/>
  <c r="GQ311" i="2"/>
  <c r="BG319" i="2"/>
  <c r="GV319" i="2" s="1"/>
  <c r="BJ454" i="2"/>
  <c r="GQ525" i="2"/>
  <c r="DM206" i="2"/>
  <c r="AN207" i="2"/>
  <c r="DY207" i="2" s="1"/>
  <c r="ER207" i="2" s="1"/>
  <c r="GO190" i="2"/>
  <c r="GO27" i="2"/>
  <c r="HQ12" i="2" s="1"/>
  <c r="AE31" i="2"/>
  <c r="DL339" i="2"/>
  <c r="AE517" i="2"/>
  <c r="GP570" i="2"/>
  <c r="GQ570" i="2" s="1"/>
  <c r="CW209" i="2"/>
  <c r="HC209" i="2" s="1"/>
  <c r="J34" i="2"/>
  <c r="GQ590" i="2"/>
  <c r="AU116" i="2"/>
  <c r="DF117" i="2"/>
  <c r="AL230" i="2"/>
  <c r="GU230" i="2" s="1"/>
  <c r="CK230" i="2"/>
  <c r="R235" i="2"/>
  <c r="R215" i="2"/>
  <c r="GP605" i="2"/>
  <c r="GQ605" i="2" s="1"/>
  <c r="GP120" i="2"/>
  <c r="GQ120" i="2" s="1"/>
  <c r="GQ247" i="2"/>
  <c r="DM483" i="2"/>
  <c r="GQ392" i="2"/>
  <c r="GQ394" i="2"/>
  <c r="GP404" i="2"/>
  <c r="GQ404" i="2" s="1"/>
  <c r="GP426" i="2"/>
  <c r="GQ426" i="2" s="1"/>
  <c r="GP435" i="2"/>
  <c r="GQ435" i="2" s="1"/>
  <c r="GP443" i="2"/>
  <c r="GQ443" i="2" s="1"/>
  <c r="Q554" i="2"/>
  <c r="GT554" i="2" s="1"/>
  <c r="AL560" i="2"/>
  <c r="GU560" i="2" s="1"/>
  <c r="DL625" i="2"/>
  <c r="GP446" i="2"/>
  <c r="GQ446" i="2" s="1"/>
  <c r="DM454" i="2"/>
  <c r="AH31" i="2"/>
  <c r="GQ357" i="2"/>
  <c r="GP494" i="2"/>
  <c r="GQ494" i="2" s="1"/>
  <c r="CX209" i="2"/>
  <c r="K34" i="2"/>
  <c r="GO116" i="2"/>
  <c r="GW117" i="2"/>
  <c r="AM230" i="2"/>
  <c r="GQ397" i="2"/>
  <c r="GQ411" i="2"/>
  <c r="GQ439" i="2"/>
  <c r="DM625" i="2"/>
  <c r="BG159" i="2"/>
  <c r="GV159" i="2" s="1"/>
  <c r="GQ161" i="2"/>
  <c r="AZ560" i="2"/>
  <c r="BH159" i="2"/>
  <c r="GO177" i="2"/>
  <c r="GQ183" i="2"/>
  <c r="GY204" i="2"/>
  <c r="CW301" i="2"/>
  <c r="HC301" i="2" s="1"/>
  <c r="GQ314" i="2"/>
  <c r="AL331" i="2"/>
  <c r="GU331" i="2" s="1"/>
  <c r="GO453" i="2"/>
  <c r="S454" i="2"/>
  <c r="DM93" i="2"/>
  <c r="GO206" i="2"/>
  <c r="BG207" i="2"/>
  <c r="GV207" i="2" s="1"/>
  <c r="AM31" i="2"/>
  <c r="AF514" i="2"/>
  <c r="AL517" i="2"/>
  <c r="GU517" i="2" s="1"/>
  <c r="GP588" i="2"/>
  <c r="GQ588" i="2" s="1"/>
  <c r="AL209" i="2"/>
  <c r="GU209" i="2" s="1"/>
  <c r="CC210" i="2"/>
  <c r="Q34" i="2"/>
  <c r="GT34" i="2" s="1"/>
  <c r="HN14" i="2" s="1"/>
  <c r="GP262" i="2"/>
  <c r="GQ262" i="2" s="1"/>
  <c r="CB116" i="2"/>
  <c r="GQ113" i="2"/>
  <c r="GP48" i="2"/>
  <c r="GP479" i="2"/>
  <c r="GQ479" i="2" s="1"/>
  <c r="GQ464" i="2"/>
  <c r="GY392" i="2"/>
  <c r="GP438" i="2"/>
  <c r="GQ438" i="2" s="1"/>
  <c r="GQ253" i="2"/>
  <c r="DM20" i="2"/>
  <c r="DL136" i="2"/>
  <c r="BA560" i="2"/>
  <c r="GP505" i="2"/>
  <c r="GQ505" i="2" s="1"/>
  <c r="AM26" i="2"/>
  <c r="GO205" i="2"/>
  <c r="AY1" i="2"/>
  <c r="GO331" i="2"/>
  <c r="Q453" i="2"/>
  <c r="GT453" i="2" s="1"/>
  <c r="T454" i="2"/>
  <c r="GO458" i="2"/>
  <c r="GQ628" i="2"/>
  <c r="GQ386" i="2"/>
  <c r="BH207" i="2"/>
  <c r="AL499" i="2"/>
  <c r="GU499" i="2" s="1"/>
  <c r="AL514" i="2"/>
  <c r="GU514" i="2" s="1"/>
  <c r="AM517" i="2"/>
  <c r="CK116" i="2"/>
  <c r="GY103" i="2"/>
  <c r="GP109" i="2"/>
  <c r="GQ109" i="2" s="1"/>
  <c r="DM120" i="2"/>
  <c r="GQ269" i="2"/>
  <c r="GO273" i="2"/>
  <c r="GQ511" i="2"/>
  <c r="GO344" i="2"/>
  <c r="GP344" i="2" s="1"/>
  <c r="GQ344" i="2" s="1"/>
  <c r="GQ410" i="2"/>
  <c r="GY411" i="2"/>
  <c r="GQ416" i="2"/>
  <c r="GQ383" i="2"/>
  <c r="DL444" i="2"/>
  <c r="DM619" i="2"/>
  <c r="GP564" i="2"/>
  <c r="GQ564" i="2" s="1"/>
  <c r="GQ138" i="2"/>
  <c r="GQ91" i="2"/>
  <c r="BG76" i="2"/>
  <c r="GQ150" i="2"/>
  <c r="GY153" i="2"/>
  <c r="GY154" i="2"/>
  <c r="GP155" i="2"/>
  <c r="GQ155" i="2" s="1"/>
  <c r="GQ158" i="2"/>
  <c r="GQ164" i="2"/>
  <c r="GP196" i="2"/>
  <c r="GQ196" i="2" s="1"/>
  <c r="GP182" i="2"/>
  <c r="GQ182" i="2" s="1"/>
  <c r="GP192" i="2"/>
  <c r="GQ192" i="2" s="1"/>
  <c r="GO298" i="2"/>
  <c r="AL304" i="2"/>
  <c r="GU304" i="2" s="1"/>
  <c r="GO304" i="2"/>
  <c r="GX306" i="2"/>
  <c r="GY306" i="2" s="1"/>
  <c r="GQ324" i="2"/>
  <c r="GQ329" i="2"/>
  <c r="AE453" i="2"/>
  <c r="DL454" i="2"/>
  <c r="BG491" i="2"/>
  <c r="GV491" i="2" s="1"/>
  <c r="GQ124" i="2"/>
  <c r="GQ98" i="2"/>
  <c r="GX99" i="2"/>
  <c r="GY99" i="2" s="1"/>
  <c r="GP385" i="2"/>
  <c r="GQ385" i="2" s="1"/>
  <c r="GP52" i="2"/>
  <c r="GP67" i="2"/>
  <c r="GQ67" i="2" s="1"/>
  <c r="GP70" i="2"/>
  <c r="GQ70" i="2" s="1"/>
  <c r="GQ156" i="2"/>
  <c r="GQ166" i="2"/>
  <c r="GQ179" i="2"/>
  <c r="GQ185" i="2"/>
  <c r="GQ203" i="2"/>
  <c r="AL288" i="2"/>
  <c r="GU288" i="2" s="1"/>
  <c r="GQ292" i="2"/>
  <c r="AL298" i="2"/>
  <c r="DM298" i="2"/>
  <c r="BG320" i="2"/>
  <c r="GV320" i="2" s="1"/>
  <c r="GQ322" i="2"/>
  <c r="DL139" i="2"/>
  <c r="GP473" i="2"/>
  <c r="GQ473" i="2" s="1"/>
  <c r="GP30" i="2"/>
  <c r="GP50" i="2"/>
  <c r="GQ50" i="2" s="1"/>
  <c r="GP65" i="2"/>
  <c r="GQ65" i="2" s="1"/>
  <c r="GP66" i="2"/>
  <c r="GQ66" i="2" s="1"/>
  <c r="GP68" i="2"/>
  <c r="GQ68" i="2" s="1"/>
  <c r="GP72" i="2"/>
  <c r="GQ72" i="2" s="1"/>
  <c r="GP80" i="2"/>
  <c r="GQ80" i="2" s="1"/>
  <c r="GQ239" i="2"/>
  <c r="GQ163" i="2"/>
  <c r="GP194" i="2"/>
  <c r="GQ194" i="2" s="1"/>
  <c r="GP180" i="2"/>
  <c r="GQ180" i="2" s="1"/>
  <c r="GP188" i="2"/>
  <c r="GQ188" i="2" s="1"/>
  <c r="GO295" i="2"/>
  <c r="BG295" i="2"/>
  <c r="DM303" i="2"/>
  <c r="GO320" i="2"/>
  <c r="GP327" i="2"/>
  <c r="GQ327" i="2" s="1"/>
  <c r="AZ452" i="2"/>
  <c r="DP452" i="2" s="1"/>
  <c r="EI452" i="2" s="1"/>
  <c r="GO452" i="2"/>
  <c r="GQ6" i="2"/>
  <c r="GP69" i="2"/>
  <c r="GQ69" i="2" s="1"/>
  <c r="DL206" i="2"/>
  <c r="CW286" i="2"/>
  <c r="HC286" i="2" s="1"/>
  <c r="GW286" i="2"/>
  <c r="GP49" i="2"/>
  <c r="GQ49" i="2" s="1"/>
  <c r="GX53" i="2"/>
  <c r="GY53" i="2" s="1"/>
  <c r="GP54" i="2"/>
  <c r="GQ54" i="2" s="1"/>
  <c r="GP62" i="2"/>
  <c r="GQ62" i="2" s="1"/>
  <c r="GP64" i="2"/>
  <c r="GQ64" i="2" s="1"/>
  <c r="GP79" i="2"/>
  <c r="GQ79" i="2" s="1"/>
  <c r="GP122" i="2"/>
  <c r="GQ122" i="2" s="1"/>
  <c r="Q153" i="2"/>
  <c r="GY156" i="2"/>
  <c r="DM288" i="2"/>
  <c r="DM295" i="2"/>
  <c r="GP309" i="2"/>
  <c r="GQ309" i="2" s="1"/>
  <c r="GQ316" i="2"/>
  <c r="BG452" i="2"/>
  <c r="GV452" i="2" s="1"/>
  <c r="GQ457" i="2"/>
  <c r="GO486" i="2"/>
  <c r="Q486" i="2"/>
  <c r="J486" i="2"/>
  <c r="DP486" i="2" s="1"/>
  <c r="EI486" i="2" s="1"/>
  <c r="GY96" i="2"/>
  <c r="GP142" i="2"/>
  <c r="GQ142" i="2" s="1"/>
  <c r="BH190" i="2"/>
  <c r="BG190" i="2"/>
  <c r="CO1" i="2"/>
  <c r="R153" i="2"/>
  <c r="DX153" i="2" s="1"/>
  <c r="EQ153" i="2" s="1"/>
  <c r="GO288" i="2"/>
  <c r="DM312" i="2"/>
  <c r="GQ330" i="2"/>
  <c r="GQ466" i="2"/>
  <c r="BH452" i="2"/>
  <c r="R486" i="2"/>
  <c r="GQ527" i="2"/>
  <c r="GQ115" i="2"/>
  <c r="GO139" i="2"/>
  <c r="DM139" i="2"/>
  <c r="GP167" i="2"/>
  <c r="GQ167" i="2" s="1"/>
  <c r="GP199" i="2"/>
  <c r="GQ199" i="2" s="1"/>
  <c r="GP186" i="2"/>
  <c r="GQ186" i="2" s="1"/>
  <c r="GP204" i="2"/>
  <c r="GQ204" i="2" s="1"/>
  <c r="GO286" i="2"/>
  <c r="GP293" i="2"/>
  <c r="GQ293" i="2" s="1"/>
  <c r="BG297" i="2"/>
  <c r="DM297" i="2"/>
  <c r="DM319" i="2"/>
  <c r="GP172" i="2"/>
  <c r="GQ172" i="2" s="1"/>
  <c r="GQ328" i="2"/>
  <c r="GQ123" i="2"/>
  <c r="GQ130" i="2"/>
  <c r="GP140" i="2"/>
  <c r="GQ140" i="2" s="1"/>
  <c r="GP81" i="2"/>
  <c r="GP75" i="2"/>
  <c r="GQ75" i="2" s="1"/>
  <c r="GP149" i="2"/>
  <c r="GP157" i="2"/>
  <c r="GQ157" i="2" s="1"/>
  <c r="AL286" i="2"/>
  <c r="GU286" i="2" s="1"/>
  <c r="DM286" i="2"/>
  <c r="CB287" i="2"/>
  <c r="HB287" i="2" s="1"/>
  <c r="BI451" i="2"/>
  <c r="DY451" i="2" s="1"/>
  <c r="ER451" i="2" s="1"/>
  <c r="AZ451" i="2"/>
  <c r="DP451" i="2" s="1"/>
  <c r="EI451" i="2" s="1"/>
  <c r="DM451" i="2"/>
  <c r="GP56" i="2"/>
  <c r="GQ56" i="2" s="1"/>
  <c r="GX58" i="2"/>
  <c r="GY58" i="2" s="1"/>
  <c r="GP74" i="2"/>
  <c r="GQ74" i="2" s="1"/>
  <c r="GP152" i="2"/>
  <c r="GQ152" i="2" s="1"/>
  <c r="AL177" i="2"/>
  <c r="GU177" i="2" s="1"/>
  <c r="GP165" i="2"/>
  <c r="GQ165" i="2" s="1"/>
  <c r="GP198" i="2"/>
  <c r="GQ198" i="2" s="1"/>
  <c r="GP184" i="2"/>
  <c r="GQ184" i="2" s="1"/>
  <c r="GP202" i="2"/>
  <c r="GQ202" i="2" s="1"/>
  <c r="AL205" i="2"/>
  <c r="GU205" i="2" s="1"/>
  <c r="AV205" i="2"/>
  <c r="AT205" i="2"/>
  <c r="GP291" i="2"/>
  <c r="GQ291" i="2" s="1"/>
  <c r="GO303" i="2"/>
  <c r="GP303" i="2" s="1"/>
  <c r="BA451" i="2"/>
  <c r="DQ451" i="2" s="1"/>
  <c r="EJ451" i="2" s="1"/>
  <c r="GX486" i="2"/>
  <c r="GY486" i="2" s="1"/>
  <c r="GQ523" i="2"/>
  <c r="GO333" i="2"/>
  <c r="R333" i="2"/>
  <c r="Y333" i="2"/>
  <c r="T333" i="2"/>
  <c r="S333" i="2"/>
  <c r="Q333" i="2"/>
  <c r="GT333" i="2" s="1"/>
  <c r="GP92" i="2"/>
  <c r="GQ92" i="2" s="1"/>
  <c r="GP57" i="2"/>
  <c r="GQ57" i="2" s="1"/>
  <c r="GP151" i="2"/>
  <c r="GQ151" i="2" s="1"/>
  <c r="GP162" i="2"/>
  <c r="GQ162" i="2" s="1"/>
  <c r="AM205" i="2"/>
  <c r="GP289" i="2"/>
  <c r="GQ289" i="2" s="1"/>
  <c r="BG331" i="2"/>
  <c r="GV331" i="2" s="1"/>
  <c r="AZ331" i="2"/>
  <c r="BG451" i="2"/>
  <c r="GO491" i="2"/>
  <c r="AM491" i="2"/>
  <c r="AL491" i="2"/>
  <c r="GU491" i="2" s="1"/>
  <c r="GX93" i="2"/>
  <c r="GY93" i="2" s="1"/>
  <c r="GP227" i="2"/>
  <c r="GQ227" i="2" s="1"/>
  <c r="DM177" i="2"/>
  <c r="GQ174" i="2"/>
  <c r="GQ200" i="2"/>
  <c r="GQ187" i="2"/>
  <c r="BO205" i="2"/>
  <c r="BH205" i="2"/>
  <c r="GY289" i="2"/>
  <c r="GQ294" i="2"/>
  <c r="DM301" i="2"/>
  <c r="AL301" i="2"/>
  <c r="GU301" i="2" s="1"/>
  <c r="GX303" i="2"/>
  <c r="GY303" i="2" s="1"/>
  <c r="GY319" i="2"/>
  <c r="BJ451" i="2"/>
  <c r="DZ451" i="2" s="1"/>
  <c r="ES451" i="2" s="1"/>
  <c r="GQ459" i="2"/>
  <c r="DM96" i="2"/>
  <c r="GP99" i="2"/>
  <c r="GQ99" i="2" s="1"/>
  <c r="BG144" i="2"/>
  <c r="GO144" i="2"/>
  <c r="DM144" i="2"/>
  <c r="AM160" i="2"/>
  <c r="AL306" i="2"/>
  <c r="AF454" i="2"/>
  <c r="GO454" i="2"/>
  <c r="AL458" i="2"/>
  <c r="GU458" i="2" s="1"/>
  <c r="GX190" i="2"/>
  <c r="GY190" i="2" s="1"/>
  <c r="BC31" i="2"/>
  <c r="BG333" i="2"/>
  <c r="GV333" i="2" s="1"/>
  <c r="GP362" i="2"/>
  <c r="GQ362" i="2" s="1"/>
  <c r="DM371" i="2"/>
  <c r="BG499" i="2"/>
  <c r="GV499" i="2" s="1"/>
  <c r="BA499" i="2"/>
  <c r="AZ499" i="2"/>
  <c r="GQ533" i="2"/>
  <c r="GP540" i="2"/>
  <c r="GQ540" i="2" s="1"/>
  <c r="GQ583" i="2"/>
  <c r="GW71" i="2"/>
  <c r="GX71" i="2" s="1"/>
  <c r="Q208" i="2"/>
  <c r="GT208" i="2" s="1"/>
  <c r="AL310" i="2"/>
  <c r="GU310" i="2" s="1"/>
  <c r="AL320" i="2"/>
  <c r="GU320" i="2" s="1"/>
  <c r="AE331" i="2"/>
  <c r="GW453" i="2"/>
  <c r="Q93" i="2"/>
  <c r="BD31" i="2"/>
  <c r="BI333" i="2"/>
  <c r="GY540" i="2"/>
  <c r="GP40" i="2"/>
  <c r="GQ40" i="2" s="1"/>
  <c r="GP374" i="2"/>
  <c r="GQ374" i="2" s="1"/>
  <c r="GW359" i="2"/>
  <c r="HZ26" i="2" s="1"/>
  <c r="CB359" i="2"/>
  <c r="GP536" i="2"/>
  <c r="GQ536" i="2" s="1"/>
  <c r="GQ35" i="2"/>
  <c r="GQ44" i="2"/>
  <c r="AZ624" i="2"/>
  <c r="DP624" i="2" s="1"/>
  <c r="EI624" i="2" s="1"/>
  <c r="GO624" i="2"/>
  <c r="BJ624" i="2"/>
  <c r="DZ624" i="2" s="1"/>
  <c r="ES624" i="2" s="1"/>
  <c r="BI624" i="2"/>
  <c r="DY624" i="2" s="1"/>
  <c r="ER624" i="2" s="1"/>
  <c r="BA624" i="2"/>
  <c r="DQ624" i="2" s="1"/>
  <c r="EJ624" i="2" s="1"/>
  <c r="R211" i="2"/>
  <c r="Q211" i="2"/>
  <c r="GT211" i="2" s="1"/>
  <c r="GO211" i="2"/>
  <c r="GX119" i="2"/>
  <c r="GY119" i="2" s="1"/>
  <c r="DL369" i="2"/>
  <c r="BU359" i="2"/>
  <c r="GP474" i="2"/>
  <c r="GQ474" i="2" s="1"/>
  <c r="GP498" i="2"/>
  <c r="GQ498" i="2" s="1"/>
  <c r="BO209" i="2"/>
  <c r="BH209" i="2"/>
  <c r="DM209" i="2" s="1"/>
  <c r="GO317" i="2"/>
  <c r="GP317" i="2" s="1"/>
  <c r="GQ341" i="2"/>
  <c r="GQ370" i="2"/>
  <c r="DM369" i="2"/>
  <c r="GO497" i="2"/>
  <c r="DM497" i="2"/>
  <c r="GP532" i="2"/>
  <c r="GQ532" i="2" s="1"/>
  <c r="GP538" i="2"/>
  <c r="GQ538" i="2" s="1"/>
  <c r="BG209" i="2"/>
  <c r="GV209" i="2" s="1"/>
  <c r="GP38" i="2"/>
  <c r="GQ38" i="2" s="1"/>
  <c r="GP343" i="2"/>
  <c r="GQ343" i="2" s="1"/>
  <c r="AL211" i="2"/>
  <c r="GU211" i="2" s="1"/>
  <c r="DM16" i="2"/>
  <c r="GO16" i="2"/>
  <c r="GP16" i="2" s="1"/>
  <c r="DL16" i="2"/>
  <c r="DM320" i="2"/>
  <c r="BG326" i="2"/>
  <c r="J453" i="2"/>
  <c r="CP453" i="2"/>
  <c r="FB453" i="2" s="1"/>
  <c r="FU453" i="2" s="1"/>
  <c r="J454" i="2"/>
  <c r="AZ454" i="2"/>
  <c r="AE207" i="2"/>
  <c r="DP207" i="2" s="1"/>
  <c r="EI207" i="2" s="1"/>
  <c r="GO31" i="2"/>
  <c r="HQ13" i="2" s="1"/>
  <c r="GQ367" i="2"/>
  <c r="GP369" i="2"/>
  <c r="AE371" i="2"/>
  <c r="GP372" i="2"/>
  <c r="GQ372" i="2" s="1"/>
  <c r="Q497" i="2"/>
  <c r="GO499" i="2"/>
  <c r="GP534" i="2"/>
  <c r="GQ534" i="2" s="1"/>
  <c r="BI517" i="2"/>
  <c r="DY517" i="2" s="1"/>
  <c r="ER517" i="2" s="1"/>
  <c r="BH517" i="2"/>
  <c r="BG517" i="2"/>
  <c r="GV517" i="2" s="1"/>
  <c r="AZ517" i="2"/>
  <c r="GY518" i="2"/>
  <c r="GQ41" i="2"/>
  <c r="DM624" i="2"/>
  <c r="GO215" i="2"/>
  <c r="AM215" i="2"/>
  <c r="AL215" i="2"/>
  <c r="R453" i="2"/>
  <c r="AL207" i="2"/>
  <c r="GU207" i="2" s="1"/>
  <c r="AO333" i="2"/>
  <c r="AM333" i="2"/>
  <c r="GQ364" i="2"/>
  <c r="AL371" i="2"/>
  <c r="GU371" i="2" s="1"/>
  <c r="AE499" i="2"/>
  <c r="GP580" i="2"/>
  <c r="GQ580" i="2" s="1"/>
  <c r="GQ516" i="2"/>
  <c r="GQ582" i="2"/>
  <c r="GY541" i="2"/>
  <c r="GQ589" i="2"/>
  <c r="GO209" i="2"/>
  <c r="DE210" i="2"/>
  <c r="FQ210" i="2" s="1"/>
  <c r="GJ210" i="2" s="1"/>
  <c r="CX210" i="2"/>
  <c r="GX34" i="2"/>
  <c r="GY34" i="2" s="1"/>
  <c r="GP36" i="2"/>
  <c r="GQ36" i="2" s="1"/>
  <c r="GP45" i="2"/>
  <c r="GQ45" i="2" s="1"/>
  <c r="GP542" i="2"/>
  <c r="GQ542" i="2" s="1"/>
  <c r="DL243" i="2"/>
  <c r="GP243" i="2"/>
  <c r="GQ243" i="2" s="1"/>
  <c r="DM243" i="2"/>
  <c r="BP117" i="2"/>
  <c r="BO117" i="2"/>
  <c r="BH117" i="2"/>
  <c r="BG117" i="2"/>
  <c r="GV117" i="2" s="1"/>
  <c r="GP267" i="2"/>
  <c r="GQ267" i="2" s="1"/>
  <c r="GP173" i="2"/>
  <c r="GQ173" i="2" s="1"/>
  <c r="GX220" i="2"/>
  <c r="GY220" i="2" s="1"/>
  <c r="GO485" i="2"/>
  <c r="DM485" i="2"/>
  <c r="GX530" i="2"/>
  <c r="GY530" i="2" s="1"/>
  <c r="GP579" i="2"/>
  <c r="GQ579" i="2" s="1"/>
  <c r="GO361" i="2"/>
  <c r="DM361" i="2"/>
  <c r="AL361" i="2"/>
  <c r="GU361" i="2" s="1"/>
  <c r="GP366" i="2"/>
  <c r="GQ366" i="2" s="1"/>
  <c r="GP460" i="2"/>
  <c r="GQ460" i="2" s="1"/>
  <c r="Q485" i="2"/>
  <c r="GT485" i="2" s="1"/>
  <c r="AM499" i="2"/>
  <c r="GQ630" i="2"/>
  <c r="GQ572" i="2"/>
  <c r="CJ208" i="2"/>
  <c r="CC208" i="2"/>
  <c r="AT210" i="2"/>
  <c r="AM210" i="2"/>
  <c r="GP39" i="2"/>
  <c r="GQ39" i="2" s="1"/>
  <c r="GP373" i="2"/>
  <c r="GQ373" i="2" s="1"/>
  <c r="GO375" i="2"/>
  <c r="GP375" i="2" s="1"/>
  <c r="AF375" i="2"/>
  <c r="AO375" i="2"/>
  <c r="AN375" i="2"/>
  <c r="Q543" i="2"/>
  <c r="GT543" i="2" s="1"/>
  <c r="J543" i="2"/>
  <c r="DM543" i="2"/>
  <c r="GP368" i="2"/>
  <c r="GQ368" i="2" s="1"/>
  <c r="GY358" i="2"/>
  <c r="AE361" i="2"/>
  <c r="DP361" i="2" s="1"/>
  <c r="EI361" i="2" s="1"/>
  <c r="GQ475" i="2"/>
  <c r="GP493" i="2"/>
  <c r="GQ493" i="2" s="1"/>
  <c r="GX485" i="2"/>
  <c r="GY485" i="2" s="1"/>
  <c r="AN499" i="2"/>
  <c r="GP535" i="2"/>
  <c r="GQ535" i="2" s="1"/>
  <c r="GQ539" i="2"/>
  <c r="GQ586" i="2"/>
  <c r="CB208" i="2"/>
  <c r="HB208" i="2" s="1"/>
  <c r="AL210" i="2"/>
  <c r="GU210" i="2" s="1"/>
  <c r="GO210" i="2"/>
  <c r="GP42" i="2"/>
  <c r="GP43" i="2"/>
  <c r="GQ43" i="2" s="1"/>
  <c r="AE375" i="2"/>
  <c r="GO244" i="2"/>
  <c r="DM244" i="2"/>
  <c r="DL244" i="2"/>
  <c r="DM212" i="2"/>
  <c r="GP19" i="2"/>
  <c r="GQ19" i="2" s="1"/>
  <c r="AF361" i="2"/>
  <c r="DQ361" i="2" s="1"/>
  <c r="EJ361" i="2" s="1"/>
  <c r="AO499" i="2"/>
  <c r="DZ499" i="2" s="1"/>
  <c r="ES499" i="2" s="1"/>
  <c r="GP531" i="2"/>
  <c r="GQ531" i="2" s="1"/>
  <c r="GP537" i="2"/>
  <c r="GQ537" i="2" s="1"/>
  <c r="Y208" i="2"/>
  <c r="EE208" i="2" s="1"/>
  <c r="EX208" i="2" s="1"/>
  <c r="R208" i="2"/>
  <c r="GQ37" i="2"/>
  <c r="GQ342" i="2"/>
  <c r="GQ88" i="2"/>
  <c r="GP264" i="2"/>
  <c r="GQ264" i="2" s="1"/>
  <c r="T371" i="2"/>
  <c r="DZ371" i="2" s="1"/>
  <c r="ES371" i="2" s="1"/>
  <c r="AM514" i="2"/>
  <c r="CP543" i="2"/>
  <c r="FB543" i="2" s="1"/>
  <c r="FU543" i="2" s="1"/>
  <c r="AL116" i="2"/>
  <c r="GU116" i="2" s="1"/>
  <c r="CJ116" i="2"/>
  <c r="GW116" i="2"/>
  <c r="CW117" i="2"/>
  <c r="HC117" i="2" s="1"/>
  <c r="GQ119" i="2"/>
  <c r="AL229" i="2"/>
  <c r="GU229" i="2" s="1"/>
  <c r="CJ229" i="2"/>
  <c r="GW229" i="2"/>
  <c r="GQ213" i="2"/>
  <c r="BO235" i="2"/>
  <c r="GQ17" i="2"/>
  <c r="GQ85" i="2"/>
  <c r="GQ266" i="2"/>
  <c r="GQ603" i="2"/>
  <c r="DE108" i="2"/>
  <c r="FQ108" i="2" s="1"/>
  <c r="GJ108" i="2" s="1"/>
  <c r="GW108" i="2"/>
  <c r="GQ257" i="2"/>
  <c r="GQ170" i="2"/>
  <c r="DL277" i="2"/>
  <c r="GO278" i="2"/>
  <c r="GO145" i="2"/>
  <c r="GP478" i="2"/>
  <c r="GQ478" i="2" s="1"/>
  <c r="GP501" i="2"/>
  <c r="GQ557" i="2"/>
  <c r="GP137" i="2"/>
  <c r="GQ137" i="2" s="1"/>
  <c r="GO235" i="2"/>
  <c r="GQ107" i="2"/>
  <c r="GQ224" i="2"/>
  <c r="GQ348" i="2"/>
  <c r="GQ356" i="2"/>
  <c r="GQ462" i="2"/>
  <c r="GP477" i="2"/>
  <c r="GQ477" i="2" s="1"/>
  <c r="GQ465" i="2"/>
  <c r="GX378" i="2"/>
  <c r="GY378" i="2" s="1"/>
  <c r="GQ555" i="2"/>
  <c r="GO471" i="2"/>
  <c r="GP471" i="2" s="1"/>
  <c r="DL471" i="2"/>
  <c r="GX506" i="2"/>
  <c r="GY506" i="2" s="1"/>
  <c r="GQ246" i="2"/>
  <c r="DM108" i="2"/>
  <c r="GO112" i="2"/>
  <c r="AT112" i="2"/>
  <c r="EE112" i="2" s="1"/>
  <c r="EX112" i="2" s="1"/>
  <c r="DM112" i="2"/>
  <c r="DM169" i="2"/>
  <c r="AL169" i="2"/>
  <c r="GU169" i="2" s="1"/>
  <c r="GQ46" i="2"/>
  <c r="GO384" i="2"/>
  <c r="GP384" i="2" s="1"/>
  <c r="DM384" i="2"/>
  <c r="DL384" i="2"/>
  <c r="GQ94" i="2"/>
  <c r="GQ604" i="2"/>
  <c r="GQ418" i="2"/>
  <c r="GP20" i="2"/>
  <c r="BG116" i="2"/>
  <c r="GV116" i="2" s="1"/>
  <c r="BG229" i="2"/>
  <c r="GV229" i="2" s="1"/>
  <c r="DM216" i="2"/>
  <c r="BG216" i="2"/>
  <c r="GV216" i="2" s="1"/>
  <c r="GQ148" i="2"/>
  <c r="BG514" i="2"/>
  <c r="GV514" i="2" s="1"/>
  <c r="BH116" i="2"/>
  <c r="Y117" i="2"/>
  <c r="GO117" i="2"/>
  <c r="GX118" i="2"/>
  <c r="GY118" i="2" s="1"/>
  <c r="BH229" i="2"/>
  <c r="GP282" i="2"/>
  <c r="GQ282" i="2" s="1"/>
  <c r="CW230" i="2"/>
  <c r="HC230" i="2" s="1"/>
  <c r="DM231" i="2"/>
  <c r="Y235" i="2"/>
  <c r="DL15" i="2"/>
  <c r="GP256" i="2"/>
  <c r="GQ256" i="2" s="1"/>
  <c r="DM256" i="2"/>
  <c r="GQ550" i="2"/>
  <c r="GP551" i="2"/>
  <c r="GQ551" i="2" s="1"/>
  <c r="GP201" i="2"/>
  <c r="GQ201" i="2" s="1"/>
  <c r="GX418" i="2"/>
  <c r="GY418" i="2" s="1"/>
  <c r="GQ614" i="2"/>
  <c r="BH514" i="2"/>
  <c r="GW543" i="2"/>
  <c r="GX543" i="2" s="1"/>
  <c r="BO116" i="2"/>
  <c r="Z117" i="2"/>
  <c r="BO229" i="2"/>
  <c r="DE230" i="2"/>
  <c r="GO231" i="2"/>
  <c r="GP231" i="2" s="1"/>
  <c r="Q234" i="2"/>
  <c r="GT234" i="2" s="1"/>
  <c r="DM234" i="2"/>
  <c r="GX215" i="2"/>
  <c r="GY215" i="2" s="1"/>
  <c r="GO216" i="2"/>
  <c r="BO218" i="2"/>
  <c r="BG218" i="2"/>
  <c r="GV218" i="2" s="1"/>
  <c r="GP277" i="2"/>
  <c r="GQ277" i="2" s="1"/>
  <c r="GQ421" i="2"/>
  <c r="GO565" i="2"/>
  <c r="DM565" i="2"/>
  <c r="AZ565" i="2"/>
  <c r="DP565" i="2" s="1"/>
  <c r="EI565" i="2" s="1"/>
  <c r="J371" i="2"/>
  <c r="BP116" i="2"/>
  <c r="BP229" i="2"/>
  <c r="DF230" i="2"/>
  <c r="AL235" i="2"/>
  <c r="DL86" i="2"/>
  <c r="GQ219" i="2"/>
  <c r="GP236" i="2"/>
  <c r="GQ236" i="2" s="1"/>
  <c r="GQ146" i="2"/>
  <c r="GQ352" i="2"/>
  <c r="GP387" i="2"/>
  <c r="GQ387" i="2" s="1"/>
  <c r="GQ483" i="2"/>
  <c r="GY513" i="2"/>
  <c r="GQ401" i="2"/>
  <c r="GQ495" i="2"/>
  <c r="BG565" i="2"/>
  <c r="GV565" i="2" s="1"/>
  <c r="GP566" i="2"/>
  <c r="GQ566" i="2" s="1"/>
  <c r="DL566" i="2"/>
  <c r="GY446" i="2"/>
  <c r="GW218" i="2"/>
  <c r="GX218" i="2" s="1"/>
  <c r="GP480" i="2"/>
  <c r="GQ480" i="2" s="1"/>
  <c r="GQ29" i="2"/>
  <c r="R230" i="2"/>
  <c r="GO230" i="2"/>
  <c r="BH235" i="2"/>
  <c r="GQ191" i="2"/>
  <c r="DE218" i="2"/>
  <c r="FQ218" i="2" s="1"/>
  <c r="GJ218" i="2" s="1"/>
  <c r="DL274" i="2"/>
  <c r="GQ350" i="2"/>
  <c r="GY390" i="2"/>
  <c r="GY425" i="2"/>
  <c r="GQ135" i="2"/>
  <c r="DM344" i="2"/>
  <c r="BH171" i="2"/>
  <c r="DM171" i="2" s="1"/>
  <c r="DL135" i="2"/>
  <c r="CP560" i="2"/>
  <c r="FB560" i="2" s="1"/>
  <c r="FU560" i="2" s="1"/>
  <c r="GP618" i="2"/>
  <c r="GQ618" i="2" s="1"/>
  <c r="GO567" i="2"/>
  <c r="GO568" i="2"/>
  <c r="DM564" i="2"/>
  <c r="AT218" i="2"/>
  <c r="CW560" i="2"/>
  <c r="AL26" i="2"/>
  <c r="GX464" i="2"/>
  <c r="GY464" i="2" s="1"/>
  <c r="GX465" i="2"/>
  <c r="GY465" i="2" s="1"/>
  <c r="GX483" i="2"/>
  <c r="GY483" i="2" s="1"/>
  <c r="GP389" i="2"/>
  <c r="GQ389" i="2" s="1"/>
  <c r="GP398" i="2"/>
  <c r="GP409" i="2"/>
  <c r="GQ409" i="2" s="1"/>
  <c r="GP450" i="2"/>
  <c r="GQ450" i="2" s="1"/>
  <c r="GP415" i="2"/>
  <c r="GQ415" i="2" s="1"/>
  <c r="GP420" i="2"/>
  <c r="GQ420" i="2" s="1"/>
  <c r="GP436" i="2"/>
  <c r="GQ436" i="2" s="1"/>
  <c r="GP440" i="2"/>
  <c r="GQ440" i="2" s="1"/>
  <c r="GP441" i="2"/>
  <c r="GQ441" i="2" s="1"/>
  <c r="GP467" i="2"/>
  <c r="GQ467" i="2" s="1"/>
  <c r="GO171" i="2"/>
  <c r="GP121" i="2"/>
  <c r="GQ121" i="2" s="1"/>
  <c r="GP114" i="2"/>
  <c r="GQ114" i="2" s="1"/>
  <c r="GP168" i="2"/>
  <c r="GQ168" i="2" s="1"/>
  <c r="GO217" i="2"/>
  <c r="GP283" i="2"/>
  <c r="GQ283" i="2" s="1"/>
  <c r="GP223" i="2"/>
  <c r="GQ223" i="2" s="1"/>
  <c r="DL273" i="2"/>
  <c r="GP147" i="2"/>
  <c r="GQ147" i="2" s="1"/>
  <c r="GP468" i="2"/>
  <c r="GQ468" i="2" s="1"/>
  <c r="GP349" i="2"/>
  <c r="GQ349" i="2" s="1"/>
  <c r="GP351" i="2"/>
  <c r="GQ351" i="2" s="1"/>
  <c r="GP353" i="2"/>
  <c r="GQ353" i="2" s="1"/>
  <c r="GP355" i="2"/>
  <c r="GQ355" i="2" s="1"/>
  <c r="GP606" i="2"/>
  <c r="GQ606" i="2" s="1"/>
  <c r="GP510" i="2"/>
  <c r="GQ510" i="2" s="1"/>
  <c r="GP552" i="2"/>
  <c r="GQ552" i="2" s="1"/>
  <c r="GP608" i="2"/>
  <c r="GQ608" i="2" s="1"/>
  <c r="GP609" i="2"/>
  <c r="GQ609" i="2" s="1"/>
  <c r="GP611" i="2"/>
  <c r="GQ611" i="2" s="1"/>
  <c r="GP613" i="2"/>
  <c r="GQ613" i="2" s="1"/>
  <c r="GP87" i="2"/>
  <c r="GQ87" i="2" s="1"/>
  <c r="GP127" i="2"/>
  <c r="GQ127" i="2" s="1"/>
  <c r="GP280" i="2"/>
  <c r="GQ280" i="2" s="1"/>
  <c r="GX376" i="2"/>
  <c r="GY376" i="2" s="1"/>
  <c r="GX396" i="2"/>
  <c r="GY396" i="2" s="1"/>
  <c r="GX407" i="2"/>
  <c r="GY407" i="2" s="1"/>
  <c r="GX413" i="2"/>
  <c r="GY413" i="2" s="1"/>
  <c r="GX424" i="2"/>
  <c r="GY424" i="2" s="1"/>
  <c r="GX427" i="2"/>
  <c r="GY427" i="2" s="1"/>
  <c r="GX434" i="2"/>
  <c r="GY434" i="2" s="1"/>
  <c r="GX380" i="2"/>
  <c r="GY380" i="2" s="1"/>
  <c r="GP28" i="2"/>
  <c r="GQ28" i="2" s="1"/>
  <c r="AL171" i="2"/>
  <c r="GU171" i="2" s="1"/>
  <c r="GP558" i="2"/>
  <c r="GQ558" i="2" s="1"/>
  <c r="GP134" i="2"/>
  <c r="GQ134" i="2" s="1"/>
  <c r="GP250" i="2"/>
  <c r="GQ250" i="2" s="1"/>
  <c r="AM560" i="2"/>
  <c r="GP504" i="2"/>
  <c r="GQ504" i="2" s="1"/>
  <c r="GP508" i="2"/>
  <c r="GQ508" i="2" s="1"/>
  <c r="DL562" i="2"/>
  <c r="DL575" i="2"/>
  <c r="GX445" i="2"/>
  <c r="GY445" i="2" s="1"/>
  <c r="DL442" i="2"/>
  <c r="DL443" i="2"/>
  <c r="DM554" i="2"/>
  <c r="GP395" i="2"/>
  <c r="GQ395" i="2" s="1"/>
  <c r="GP406" i="2"/>
  <c r="GQ406" i="2" s="1"/>
  <c r="GP419" i="2"/>
  <c r="GQ419" i="2" s="1"/>
  <c r="GP423" i="2"/>
  <c r="GQ423" i="2" s="1"/>
  <c r="GW560" i="2"/>
  <c r="GP507" i="2"/>
  <c r="GQ507" i="2" s="1"/>
  <c r="DL618" i="2"/>
  <c r="GP449" i="2"/>
  <c r="GQ449" i="2" s="1"/>
  <c r="BA351" i="1"/>
  <c r="BJ351" i="1" s="1"/>
  <c r="AF351" i="1"/>
  <c r="AO351" i="1" s="1"/>
  <c r="K351" i="1"/>
  <c r="S351" i="1" s="1"/>
  <c r="GR569" i="2" l="1"/>
  <c r="GS569" i="2" s="1"/>
  <c r="GR459" i="2"/>
  <c r="GS459" i="2" s="1"/>
  <c r="HN32" i="2"/>
  <c r="GP160" i="2"/>
  <c r="GQ160" i="2" s="1"/>
  <c r="GR51" i="2"/>
  <c r="GS51" i="2" s="1"/>
  <c r="GR335" i="2"/>
  <c r="GS335" i="2" s="1"/>
  <c r="GR185" i="2"/>
  <c r="GS185" i="2" s="1"/>
  <c r="HQ11" i="2"/>
  <c r="HQ44" i="2" s="1"/>
  <c r="GP576" i="2"/>
  <c r="GQ42" i="2"/>
  <c r="HT15" i="2"/>
  <c r="HS15" i="2"/>
  <c r="GQ369" i="2"/>
  <c r="HW27" i="2" s="1"/>
  <c r="HT27" i="2"/>
  <c r="HS27" i="2"/>
  <c r="HT29" i="2"/>
  <c r="GQ47" i="2"/>
  <c r="HT17" i="2"/>
  <c r="HS17" i="2"/>
  <c r="GQ48" i="2"/>
  <c r="HT16" i="2"/>
  <c r="HS16" i="2"/>
  <c r="GQ5" i="2"/>
  <c r="HU5" i="2" s="1"/>
  <c r="HT5" i="2"/>
  <c r="HS5" i="2"/>
  <c r="GQ501" i="2"/>
  <c r="HT31" i="2"/>
  <c r="HS31" i="2"/>
  <c r="GQ149" i="2"/>
  <c r="HS25" i="2"/>
  <c r="HT9" i="2"/>
  <c r="GQ23" i="2"/>
  <c r="HT25" i="2"/>
  <c r="HS9" i="2"/>
  <c r="GQ81" i="2"/>
  <c r="HS19" i="2"/>
  <c r="HT19" i="2"/>
  <c r="GQ30" i="2"/>
  <c r="HS6" i="2"/>
  <c r="HT6" i="2"/>
  <c r="GQ20" i="2"/>
  <c r="GQ52" i="2"/>
  <c r="HS29" i="2"/>
  <c r="GQ398" i="2"/>
  <c r="GR581" i="2"/>
  <c r="GS581" i="2" s="1"/>
  <c r="HP23" i="2"/>
  <c r="GP112" i="2"/>
  <c r="GR214" i="2"/>
  <c r="GS214" i="2" s="1"/>
  <c r="GZ190" i="2"/>
  <c r="HA190" i="2" s="1"/>
  <c r="HN44" i="2"/>
  <c r="HP32" i="2"/>
  <c r="HP44" i="2"/>
  <c r="GR346" i="2"/>
  <c r="HX42" i="2"/>
  <c r="GR91" i="2"/>
  <c r="GS91" i="2" s="1"/>
  <c r="HX43" i="2"/>
  <c r="GR584" i="2"/>
  <c r="GS584" i="2" s="1"/>
  <c r="GR123" i="2"/>
  <c r="GR588" i="2"/>
  <c r="GS588" i="2" s="1"/>
  <c r="GR23" i="2"/>
  <c r="GR98" i="2"/>
  <c r="GS98" i="2" s="1"/>
  <c r="GR489" i="2"/>
  <c r="GS489" i="2" s="1"/>
  <c r="GR200" i="2"/>
  <c r="GS200" i="2" s="1"/>
  <c r="GR195" i="2"/>
  <c r="GS195" i="2" s="1"/>
  <c r="GR178" i="2"/>
  <c r="GS178" i="2" s="1"/>
  <c r="GR149" i="2"/>
  <c r="GZ153" i="2"/>
  <c r="GR122" i="2"/>
  <c r="GS122" i="2" s="1"/>
  <c r="GR57" i="2"/>
  <c r="GS57" i="2" s="1"/>
  <c r="GR155" i="2"/>
  <c r="GS155" i="2" s="1"/>
  <c r="GR182" i="2"/>
  <c r="GS182" i="2" s="1"/>
  <c r="GR198" i="2"/>
  <c r="GS198" i="2" s="1"/>
  <c r="GR167" i="2"/>
  <c r="GS167" i="2" s="1"/>
  <c r="GR164" i="2"/>
  <c r="GS164" i="2" s="1"/>
  <c r="GR54" i="2"/>
  <c r="GS54" i="2" s="1"/>
  <c r="GR539" i="2"/>
  <c r="GS539" i="2" s="1"/>
  <c r="HY42" i="2"/>
  <c r="HN43" i="2"/>
  <c r="FJ208" i="2"/>
  <c r="GC208" i="2" s="1"/>
  <c r="HZ43" i="2"/>
  <c r="GR49" i="2"/>
  <c r="GS49" i="2" s="1"/>
  <c r="GR631" i="2"/>
  <c r="GR384" i="2"/>
  <c r="GR67" i="2"/>
  <c r="GS67" i="2" s="1"/>
  <c r="HO44" i="2"/>
  <c r="DZ375" i="2"/>
  <c r="ES375" i="2" s="1"/>
  <c r="HN40" i="2"/>
  <c r="HO42" i="2"/>
  <c r="HO40" i="2"/>
  <c r="EE210" i="2"/>
  <c r="EX210" i="2" s="1"/>
  <c r="DQ499" i="2"/>
  <c r="EJ499" i="2" s="1"/>
  <c r="HN42" i="2"/>
  <c r="HO32" i="2"/>
  <c r="FI217" i="2"/>
  <c r="GB217" i="2" s="1"/>
  <c r="GZ217" i="2" s="1"/>
  <c r="HA217" i="2" s="1"/>
  <c r="HC217" i="2"/>
  <c r="FI560" i="2"/>
  <c r="GB560" i="2" s="1"/>
  <c r="HC560" i="2"/>
  <c r="FI210" i="2"/>
  <c r="GB210" i="2" s="1"/>
  <c r="HB210" i="2"/>
  <c r="HX22" i="2" s="1"/>
  <c r="HP30" i="2"/>
  <c r="FI116" i="2"/>
  <c r="GB116" i="2" s="1"/>
  <c r="HB116" i="2"/>
  <c r="HX20" i="2" s="1"/>
  <c r="FI359" i="2"/>
  <c r="GB359" i="2" s="1"/>
  <c r="HB359" i="2"/>
  <c r="HX26" i="2" s="1"/>
  <c r="FI48" i="2"/>
  <c r="GB48" i="2" s="1"/>
  <c r="HC48" i="2"/>
  <c r="IX33" i="2"/>
  <c r="HO30" i="2"/>
  <c r="FI298" i="2"/>
  <c r="GB298" i="2" s="1"/>
  <c r="GZ298" i="2" s="1"/>
  <c r="HA298" i="2" s="1"/>
  <c r="HC298" i="2"/>
  <c r="HY24" i="2" s="1"/>
  <c r="FI453" i="2"/>
  <c r="GB453" i="2" s="1"/>
  <c r="JE28" i="2" s="1"/>
  <c r="HC453" i="2"/>
  <c r="HY28" i="2" s="1"/>
  <c r="FI554" i="2"/>
  <c r="GB554" i="2" s="1"/>
  <c r="HB554" i="2"/>
  <c r="HX32" i="2" s="1"/>
  <c r="FI169" i="2"/>
  <c r="GB169" i="2" s="1"/>
  <c r="GZ169" i="2" s="1"/>
  <c r="HA169" i="2" s="1"/>
  <c r="HC169" i="2"/>
  <c r="IJ34" i="2"/>
  <c r="GR44" i="2"/>
  <c r="GS44" i="2" s="1"/>
  <c r="GR594" i="2"/>
  <c r="GS594" i="2" s="1"/>
  <c r="GR574" i="2"/>
  <c r="GS574" i="2" s="1"/>
  <c r="GR24" i="2"/>
  <c r="GS24" i="2" s="1"/>
  <c r="GR10" i="2"/>
  <c r="GS10" i="2" s="1"/>
  <c r="GR35" i="2"/>
  <c r="GS35" i="2" s="1"/>
  <c r="FQ208" i="2"/>
  <c r="GJ208" i="2" s="1"/>
  <c r="HO28" i="2"/>
  <c r="HO26" i="2"/>
  <c r="GR13" i="2"/>
  <c r="GS13" i="2" s="1"/>
  <c r="GR14" i="2"/>
  <c r="GS14" i="2" s="1"/>
  <c r="GR535" i="2"/>
  <c r="GS535" i="2" s="1"/>
  <c r="GR534" i="2"/>
  <c r="GS534" i="2" s="1"/>
  <c r="GR587" i="2"/>
  <c r="GS587" i="2" s="1"/>
  <c r="GR529" i="2"/>
  <c r="GS529" i="2" s="1"/>
  <c r="GR476" i="2"/>
  <c r="GS476" i="2" s="1"/>
  <c r="GR531" i="2"/>
  <c r="GS531" i="2" s="1"/>
  <c r="GZ498" i="2"/>
  <c r="HA498" i="2" s="1"/>
  <c r="GR580" i="2"/>
  <c r="GS580" i="2" s="1"/>
  <c r="GR475" i="2"/>
  <c r="GS475" i="2" s="1"/>
  <c r="GR583" i="2"/>
  <c r="GS583" i="2" s="1"/>
  <c r="GR579" i="2"/>
  <c r="GS579" i="2" s="1"/>
  <c r="GZ530" i="2"/>
  <c r="HA530" i="2" s="1"/>
  <c r="GR334" i="2"/>
  <c r="GS334" i="2" s="1"/>
  <c r="GR227" i="2"/>
  <c r="GS227" i="2" s="1"/>
  <c r="GZ541" i="2"/>
  <c r="HA541" i="2" s="1"/>
  <c r="GR140" i="2"/>
  <c r="GS140" i="2" s="1"/>
  <c r="GR528" i="2"/>
  <c r="GS528" i="2" s="1"/>
  <c r="GR386" i="2"/>
  <c r="GS386" i="2" s="1"/>
  <c r="GR324" i="2"/>
  <c r="GS324" i="2" s="1"/>
  <c r="GR307" i="2"/>
  <c r="GS307" i="2" s="1"/>
  <c r="GZ300" i="2"/>
  <c r="HA300" i="2" s="1"/>
  <c r="GR292" i="2"/>
  <c r="GS292" i="2" s="1"/>
  <c r="GR328" i="2"/>
  <c r="GS328" i="2" s="1"/>
  <c r="GR291" i="2"/>
  <c r="GS291" i="2" s="1"/>
  <c r="GR522" i="2"/>
  <c r="GS522" i="2" s="1"/>
  <c r="GR455" i="2"/>
  <c r="GS455" i="2" s="1"/>
  <c r="GR239" i="2"/>
  <c r="GS239" i="2" s="1"/>
  <c r="GR79" i="2"/>
  <c r="GS79" i="2" s="1"/>
  <c r="GR73" i="2"/>
  <c r="GS73" i="2" s="1"/>
  <c r="GR61" i="2"/>
  <c r="GS61" i="2" s="1"/>
  <c r="GR81" i="2"/>
  <c r="GR30" i="2"/>
  <c r="GR183" i="2"/>
  <c r="GS183" i="2" s="1"/>
  <c r="GR179" i="2"/>
  <c r="GS179" i="2" s="1"/>
  <c r="GR174" i="2"/>
  <c r="GS174" i="2" s="1"/>
  <c r="GR74" i="2"/>
  <c r="GS74" i="2" s="1"/>
  <c r="GR62" i="2"/>
  <c r="GS62" i="2" s="1"/>
  <c r="GR72" i="2"/>
  <c r="GS72" i="2" s="1"/>
  <c r="GR196" i="2"/>
  <c r="GS196" i="2" s="1"/>
  <c r="GR156" i="2"/>
  <c r="GS156" i="2" s="1"/>
  <c r="GR152" i="2"/>
  <c r="GS152" i="2" s="1"/>
  <c r="GR55" i="2"/>
  <c r="GS55" i="2" s="1"/>
  <c r="GZ156" i="2"/>
  <c r="HA156" i="2" s="1"/>
  <c r="GR154" i="2"/>
  <c r="GS154" i="2" s="1"/>
  <c r="GR66" i="2"/>
  <c r="GS66" i="2" s="1"/>
  <c r="GR60" i="2"/>
  <c r="GS60" i="2" s="1"/>
  <c r="GR181" i="2"/>
  <c r="GS181" i="2" s="1"/>
  <c r="GR52" i="2"/>
  <c r="GS52" i="2" s="1"/>
  <c r="GR59" i="2"/>
  <c r="GS59" i="2" s="1"/>
  <c r="GR172" i="2"/>
  <c r="GS172" i="2" s="1"/>
  <c r="GR77" i="2"/>
  <c r="GS77" i="2" s="1"/>
  <c r="GR151" i="2"/>
  <c r="GS151" i="2" s="1"/>
  <c r="GR78" i="2"/>
  <c r="GS78" i="2" s="1"/>
  <c r="GR65" i="2"/>
  <c r="GS65" i="2" s="1"/>
  <c r="GR50" i="2"/>
  <c r="GS50" i="2" s="1"/>
  <c r="GR8" i="2"/>
  <c r="GS8" i="2" s="1"/>
  <c r="GR274" i="2"/>
  <c r="GS274" i="2" s="1"/>
  <c r="GR444" i="2"/>
  <c r="GR619" i="2"/>
  <c r="GS619" i="2" s="1"/>
  <c r="GR618" i="2"/>
  <c r="GS618" i="2" s="1"/>
  <c r="FI108" i="2"/>
  <c r="GB108" i="2" s="1"/>
  <c r="GZ108" i="2" s="1"/>
  <c r="HA108" i="2" s="1"/>
  <c r="HC108" i="2"/>
  <c r="HY20" i="2" s="1"/>
  <c r="GR564" i="2"/>
  <c r="GS564" i="2" s="1"/>
  <c r="GZ444" i="2"/>
  <c r="GR20" i="2"/>
  <c r="GS20" i="2" s="1"/>
  <c r="GR135" i="2"/>
  <c r="GS135" i="2" s="1"/>
  <c r="GR519" i="2"/>
  <c r="GS519" i="2" s="1"/>
  <c r="GR566" i="2"/>
  <c r="GS566" i="2" s="1"/>
  <c r="GR86" i="2"/>
  <c r="GS86" i="2" s="1"/>
  <c r="GR260" i="2"/>
  <c r="GS260" i="2" s="1"/>
  <c r="GR92" i="2"/>
  <c r="GS92" i="2" s="1"/>
  <c r="GR567" i="2"/>
  <c r="GR136" i="2"/>
  <c r="GR369" i="2"/>
  <c r="GS369" i="2" s="1"/>
  <c r="GR470" i="2"/>
  <c r="GS470" i="2" s="1"/>
  <c r="GR471" i="2"/>
  <c r="GR244" i="2"/>
  <c r="GS244" i="2" s="1"/>
  <c r="GZ56" i="2"/>
  <c r="HA56" i="2" s="1"/>
  <c r="GR625" i="2"/>
  <c r="GS625" i="2" s="1"/>
  <c r="GR256" i="2"/>
  <c r="GS256" i="2" s="1"/>
  <c r="GR16" i="2"/>
  <c r="GZ485" i="2"/>
  <c r="HA485" i="2" s="1"/>
  <c r="GR90" i="2"/>
  <c r="GS90" i="2" s="1"/>
  <c r="IR34" i="2"/>
  <c r="FI71" i="2"/>
  <c r="GB71" i="2" s="1"/>
  <c r="GZ71" i="2" s="1"/>
  <c r="HA71" i="2" s="1"/>
  <c r="HB71" i="2"/>
  <c r="FI543" i="2"/>
  <c r="GB543" i="2" s="1"/>
  <c r="GZ543" i="2" s="1"/>
  <c r="HA543" i="2" s="1"/>
  <c r="HC543" i="2"/>
  <c r="HR34" i="2"/>
  <c r="GZ341" i="2"/>
  <c r="HA341" i="2" s="1"/>
  <c r="GR474" i="2"/>
  <c r="GS474" i="2" s="1"/>
  <c r="HX24" i="2"/>
  <c r="FI218" i="2"/>
  <c r="GB218" i="2" s="1"/>
  <c r="GZ218" i="2" s="1"/>
  <c r="HA218" i="2" s="1"/>
  <c r="HC218" i="2"/>
  <c r="DL298" i="2"/>
  <c r="GU298" i="2"/>
  <c r="GX108" i="2"/>
  <c r="GY108" i="2" s="1"/>
  <c r="DW153" i="2"/>
  <c r="EP153" i="2" s="1"/>
  <c r="GR153" i="2" s="1"/>
  <c r="GS153" i="2" s="1"/>
  <c r="GT153" i="2"/>
  <c r="HN22" i="2" s="1"/>
  <c r="DW108" i="2"/>
  <c r="EP108" i="2" s="1"/>
  <c r="GU108" i="2"/>
  <c r="GP312" i="2"/>
  <c r="GQ312" i="2" s="1"/>
  <c r="GP287" i="2"/>
  <c r="GQ287" i="2" s="1"/>
  <c r="GT287" i="2"/>
  <c r="HN24" i="2" s="1"/>
  <c r="JE33" i="2"/>
  <c r="IK34" i="2"/>
  <c r="IO34" i="2"/>
  <c r="IW30" i="2"/>
  <c r="GP624" i="2"/>
  <c r="HQ35" i="2"/>
  <c r="DW93" i="2"/>
  <c r="EP93" i="2" s="1"/>
  <c r="GR93" i="2" s="1"/>
  <c r="GS93" i="2" s="1"/>
  <c r="GT93" i="2"/>
  <c r="HN20" i="2" s="1"/>
  <c r="JF33" i="2"/>
  <c r="IM29" i="2"/>
  <c r="IX30" i="2"/>
  <c r="HO36" i="2"/>
  <c r="HO45" i="2" s="1"/>
  <c r="DL312" i="2"/>
  <c r="GV312" i="2"/>
  <c r="HQ30" i="2"/>
  <c r="DW144" i="2"/>
  <c r="EP144" i="2" s="1"/>
  <c r="GR144" i="2" s="1"/>
  <c r="GS144" i="2" s="1"/>
  <c r="GV144" i="2"/>
  <c r="HP21" i="2" s="1"/>
  <c r="DW297" i="2"/>
  <c r="EP297" i="2" s="1"/>
  <c r="GR297" i="2" s="1"/>
  <c r="GV297" i="2"/>
  <c r="DW486" i="2"/>
  <c r="EP486" i="2" s="1"/>
  <c r="GT486" i="2"/>
  <c r="IF34" i="2"/>
  <c r="IQ34" i="2"/>
  <c r="JF30" i="2"/>
  <c r="DP458" i="2"/>
  <c r="EI458" i="2" s="1"/>
  <c r="HQ26" i="2"/>
  <c r="DW112" i="2"/>
  <c r="EP112" i="2" s="1"/>
  <c r="GR112" i="2" s="1"/>
  <c r="GS112" i="2" s="1"/>
  <c r="GV112" i="2"/>
  <c r="HP20" i="2" s="1"/>
  <c r="DL31" i="2"/>
  <c r="GU31" i="2"/>
  <c r="II34" i="2"/>
  <c r="FJ116" i="2"/>
  <c r="GC116" i="2" s="1"/>
  <c r="GR231" i="2"/>
  <c r="GS231" i="2" s="1"/>
  <c r="JF28" i="2"/>
  <c r="IP29" i="2"/>
  <c r="IP34" i="2"/>
  <c r="DL295" i="2"/>
  <c r="GV295" i="2"/>
  <c r="DQ560" i="2"/>
  <c r="EJ560" i="2" s="1"/>
  <c r="DL27" i="2"/>
  <c r="GV27" i="2"/>
  <c r="HP12" i="2" s="1"/>
  <c r="HP43" i="2" s="1"/>
  <c r="JA33" i="2"/>
  <c r="IQ29" i="2"/>
  <c r="DW303" i="2"/>
  <c r="EP303" i="2" s="1"/>
  <c r="GR303" i="2" s="1"/>
  <c r="GU303" i="2"/>
  <c r="GR630" i="2"/>
  <c r="GR473" i="2"/>
  <c r="GS473" i="2" s="1"/>
  <c r="IG34" i="2"/>
  <c r="HQ32" i="2"/>
  <c r="DL576" i="2"/>
  <c r="GV576" i="2"/>
  <c r="HP33" i="2" s="1"/>
  <c r="HP42" i="2" s="1"/>
  <c r="DW317" i="2"/>
  <c r="EP317" i="2" s="1"/>
  <c r="GR317" i="2" s="1"/>
  <c r="GS317" i="2" s="1"/>
  <c r="GU317" i="2"/>
  <c r="DL235" i="2"/>
  <c r="GU235" i="2"/>
  <c r="DW451" i="2"/>
  <c r="EP451" i="2" s="1"/>
  <c r="GV451" i="2"/>
  <c r="HP28" i="2" s="1"/>
  <c r="DW326" i="2"/>
  <c r="EP326" i="2" s="1"/>
  <c r="GR326" i="2" s="1"/>
  <c r="GS326" i="2" s="1"/>
  <c r="GV326" i="2"/>
  <c r="DL71" i="2"/>
  <c r="GT71" i="2"/>
  <c r="DW312" i="2"/>
  <c r="EP312" i="2" s="1"/>
  <c r="GR312" i="2" s="1"/>
  <c r="GS312" i="2" s="1"/>
  <c r="IH34" i="2"/>
  <c r="DL160" i="2"/>
  <c r="GU160" i="2"/>
  <c r="DL215" i="2"/>
  <c r="GU215" i="2"/>
  <c r="DW497" i="2"/>
  <c r="EP497" i="2" s="1"/>
  <c r="GT497" i="2"/>
  <c r="DW25" i="2"/>
  <c r="EP25" i="2" s="1"/>
  <c r="GU25" i="2"/>
  <c r="GP631" i="2"/>
  <c r="IL34" i="2"/>
  <c r="DW454" i="2"/>
  <c r="EP454" i="2" s="1"/>
  <c r="GT454" i="2"/>
  <c r="HN28" i="2" s="1"/>
  <c r="IJ29" i="2"/>
  <c r="JD30" i="2"/>
  <c r="II29" i="2"/>
  <c r="DW26" i="2"/>
  <c r="EP26" i="2" s="1"/>
  <c r="GU26" i="2"/>
  <c r="DL190" i="2"/>
  <c r="GV190" i="2"/>
  <c r="HP22" i="2" s="1"/>
  <c r="DW76" i="2"/>
  <c r="EP76" i="2" s="1"/>
  <c r="GV76" i="2"/>
  <c r="HP18" i="2" s="1"/>
  <c r="JD33" i="2"/>
  <c r="IJ31" i="2"/>
  <c r="IN34" i="2"/>
  <c r="DW206" i="2"/>
  <c r="EP206" i="2" s="1"/>
  <c r="GR206" i="2" s="1"/>
  <c r="GS206" i="2" s="1"/>
  <c r="GU206" i="2"/>
  <c r="IR29" i="2"/>
  <c r="DL96" i="2"/>
  <c r="GU96" i="2"/>
  <c r="DW306" i="2"/>
  <c r="EP306" i="2" s="1"/>
  <c r="GR306" i="2" s="1"/>
  <c r="GS306" i="2" s="1"/>
  <c r="GU306" i="2"/>
  <c r="GZ554" i="2"/>
  <c r="IW33" i="2"/>
  <c r="IS34" i="2"/>
  <c r="JE30" i="2"/>
  <c r="IM34" i="2"/>
  <c r="IT33" i="2"/>
  <c r="JB33" i="2"/>
  <c r="IH31" i="2"/>
  <c r="JC30" i="2"/>
  <c r="IO31" i="2"/>
  <c r="IU28" i="2"/>
  <c r="GR33" i="2"/>
  <c r="GS33" i="2" s="1"/>
  <c r="GR340" i="2"/>
  <c r="GS340" i="2" s="1"/>
  <c r="GR6" i="2"/>
  <c r="IR27" i="2"/>
  <c r="IM31" i="2"/>
  <c r="IZ28" i="2"/>
  <c r="IP23" i="2"/>
  <c r="IF27" i="2"/>
  <c r="IH27" i="2"/>
  <c r="HQ22" i="2"/>
  <c r="HZ28" i="2"/>
  <c r="HQ20" i="2"/>
  <c r="JB28" i="2"/>
  <c r="GR628" i="2"/>
  <c r="GS628" i="2" s="1"/>
  <c r="II23" i="2"/>
  <c r="IG27" i="2"/>
  <c r="IP27" i="2"/>
  <c r="HZ33" i="2"/>
  <c r="HZ42" i="2" s="1"/>
  <c r="IU33" i="2"/>
  <c r="JG28" i="2"/>
  <c r="GR620" i="2"/>
  <c r="GR83" i="2"/>
  <c r="GS83" i="2" s="1"/>
  <c r="GR226" i="2"/>
  <c r="GS226" i="2" s="1"/>
  <c r="GR115" i="2"/>
  <c r="GS115" i="2" s="1"/>
  <c r="GR69" i="2"/>
  <c r="GS69" i="2" s="1"/>
  <c r="GR251" i="2"/>
  <c r="GS251" i="2" s="1"/>
  <c r="GR142" i="2"/>
  <c r="GS142" i="2" s="1"/>
  <c r="GZ96" i="2"/>
  <c r="HA96" i="2" s="1"/>
  <c r="IO29" i="2"/>
  <c r="IH29" i="2"/>
  <c r="IM23" i="2"/>
  <c r="IQ23" i="2"/>
  <c r="IJ27" i="2"/>
  <c r="II27" i="2"/>
  <c r="HZ22" i="2"/>
  <c r="IY28" i="2"/>
  <c r="HQ23" i="2"/>
  <c r="JB30" i="2"/>
  <c r="IM27" i="2"/>
  <c r="IQ27" i="2"/>
  <c r="HZ32" i="2"/>
  <c r="IQ31" i="2"/>
  <c r="HU31" i="2"/>
  <c r="HR31" i="2" s="1"/>
  <c r="HW31" i="2"/>
  <c r="HQ28" i="2"/>
  <c r="IU30" i="2"/>
  <c r="IY30" i="2"/>
  <c r="JC28" i="2"/>
  <c r="GR472" i="2"/>
  <c r="GS472" i="2" s="1"/>
  <c r="GR627" i="2"/>
  <c r="GS627" i="2" s="1"/>
  <c r="GR358" i="2"/>
  <c r="GS358" i="2" s="1"/>
  <c r="GR337" i="2"/>
  <c r="GS337" i="2" s="1"/>
  <c r="GR332" i="2"/>
  <c r="GS332" i="2" s="1"/>
  <c r="IL29" i="2"/>
  <c r="II31" i="2"/>
  <c r="IZ33" i="2"/>
  <c r="IT30" i="2"/>
  <c r="IG31" i="2"/>
  <c r="GR100" i="2"/>
  <c r="GS100" i="2" s="1"/>
  <c r="IK27" i="2"/>
  <c r="GR248" i="2"/>
  <c r="GS248" i="2" s="1"/>
  <c r="GR284" i="2"/>
  <c r="GS284" i="2" s="1"/>
  <c r="GR114" i="2"/>
  <c r="GS114" i="2" s="1"/>
  <c r="GR342" i="2"/>
  <c r="GS342" i="2" s="1"/>
  <c r="GR11" i="2"/>
  <c r="GS11" i="2" s="1"/>
  <c r="GR36" i="2"/>
  <c r="GS36" i="2" s="1"/>
  <c r="GZ102" i="2"/>
  <c r="HA102" i="2" s="1"/>
  <c r="GR131" i="2"/>
  <c r="GS131" i="2" s="1"/>
  <c r="GR45" i="2"/>
  <c r="GS45" i="2" s="1"/>
  <c r="GR255" i="2"/>
  <c r="GS255" i="2" s="1"/>
  <c r="GR364" i="2"/>
  <c r="GS364" i="2" s="1"/>
  <c r="GR357" i="2"/>
  <c r="GS357" i="2" s="1"/>
  <c r="GR294" i="2"/>
  <c r="GS294" i="2" s="1"/>
  <c r="IG29" i="2"/>
  <c r="GZ288" i="2"/>
  <c r="HA288" i="2" s="1"/>
  <c r="GR622" i="2"/>
  <c r="GS622" i="2" s="1"/>
  <c r="GZ306" i="2"/>
  <c r="HA306" i="2" s="1"/>
  <c r="GZ289" i="2"/>
  <c r="HA289" i="2" s="1"/>
  <c r="GR311" i="2"/>
  <c r="GS311" i="2" s="1"/>
  <c r="GR289" i="2"/>
  <c r="GS289" i="2" s="1"/>
  <c r="GR161" i="2"/>
  <c r="GS161" i="2" s="1"/>
  <c r="GR197" i="2"/>
  <c r="GS197" i="2" s="1"/>
  <c r="GR166" i="2"/>
  <c r="GS166" i="2" s="1"/>
  <c r="GR157" i="2"/>
  <c r="GS157" i="2" s="1"/>
  <c r="GZ154" i="2"/>
  <c r="HA154" i="2" s="1"/>
  <c r="GR254" i="2"/>
  <c r="GS254" i="2" s="1"/>
  <c r="GR56" i="2"/>
  <c r="GS56" i="2" s="1"/>
  <c r="GR199" i="2"/>
  <c r="GS199" i="2" s="1"/>
  <c r="GR194" i="2"/>
  <c r="GS194" i="2" s="1"/>
  <c r="GR176" i="2"/>
  <c r="GS176" i="2" s="1"/>
  <c r="GR89" i="2"/>
  <c r="GS89" i="2" s="1"/>
  <c r="GR70" i="2"/>
  <c r="GS70" i="2" s="1"/>
  <c r="GR64" i="2"/>
  <c r="GS64" i="2" s="1"/>
  <c r="GR58" i="2"/>
  <c r="GS58" i="2" s="1"/>
  <c r="GR163" i="2"/>
  <c r="GS163" i="2" s="1"/>
  <c r="GR150" i="2"/>
  <c r="GS150" i="2" s="1"/>
  <c r="GR53" i="2"/>
  <c r="GS53" i="2" s="1"/>
  <c r="GR162" i="2"/>
  <c r="GS162" i="2" s="1"/>
  <c r="GR240" i="2"/>
  <c r="GS240" i="2" s="1"/>
  <c r="GR80" i="2"/>
  <c r="GS80" i="2" s="1"/>
  <c r="GR68" i="2"/>
  <c r="GS68" i="2" s="1"/>
  <c r="GZ164" i="2"/>
  <c r="HA164" i="2" s="1"/>
  <c r="GR75" i="2"/>
  <c r="GS75" i="2" s="1"/>
  <c r="GZ57" i="2"/>
  <c r="HA57" i="2" s="1"/>
  <c r="GR180" i="2"/>
  <c r="GS180" i="2" s="1"/>
  <c r="GR165" i="2"/>
  <c r="GS165" i="2" s="1"/>
  <c r="IS27" i="2"/>
  <c r="IR31" i="2"/>
  <c r="JG30" i="2"/>
  <c r="GR309" i="2"/>
  <c r="GS309" i="2" s="1"/>
  <c r="GR305" i="2"/>
  <c r="GS305" i="2" s="1"/>
  <c r="GZ204" i="2"/>
  <c r="HA204" i="2" s="1"/>
  <c r="GR323" i="2"/>
  <c r="GS323" i="2" s="1"/>
  <c r="GZ297" i="2"/>
  <c r="HA297" i="2" s="1"/>
  <c r="GZ319" i="2"/>
  <c r="HA319" i="2" s="1"/>
  <c r="GR293" i="2"/>
  <c r="GS293" i="2" s="1"/>
  <c r="GZ303" i="2"/>
  <c r="HA303" i="2" s="1"/>
  <c r="IL27" i="2"/>
  <c r="IN29" i="2"/>
  <c r="IZ30" i="2"/>
  <c r="IN31" i="2"/>
  <c r="IN27" i="2"/>
  <c r="ID33" i="2"/>
  <c r="ID42" i="2" s="1"/>
  <c r="IB33" i="2"/>
  <c r="IB42" i="2" s="1"/>
  <c r="JG33" i="2"/>
  <c r="JC33" i="2"/>
  <c r="IV30" i="2"/>
  <c r="IS31" i="2"/>
  <c r="IF31" i="2"/>
  <c r="IT28" i="2"/>
  <c r="IV28" i="2"/>
  <c r="GR490" i="2"/>
  <c r="GS490" i="2" s="1"/>
  <c r="IS29" i="2"/>
  <c r="IJ23" i="2"/>
  <c r="IO27" i="2"/>
  <c r="IP31" i="2"/>
  <c r="JA30" i="2"/>
  <c r="ID30" i="2"/>
  <c r="IB30" i="2"/>
  <c r="IA30" i="2" s="1"/>
  <c r="HQ33" i="2"/>
  <c r="IY33" i="2"/>
  <c r="IV33" i="2"/>
  <c r="IL31" i="2"/>
  <c r="IK31" i="2"/>
  <c r="IR25" i="2"/>
  <c r="GZ334" i="2"/>
  <c r="HA334" i="2" s="1"/>
  <c r="IK29" i="2"/>
  <c r="IF29" i="2"/>
  <c r="IR23" i="2"/>
  <c r="HQ29" i="2"/>
  <c r="HU36" i="2"/>
  <c r="GR598" i="2"/>
  <c r="GS598" i="2" s="1"/>
  <c r="GR549" i="2"/>
  <c r="GS549" i="2" s="1"/>
  <c r="GR570" i="2"/>
  <c r="GS570" i="2" s="1"/>
  <c r="GR589" i="2"/>
  <c r="GS589" i="2" s="1"/>
  <c r="GR536" i="2"/>
  <c r="GS536" i="2" s="1"/>
  <c r="GR538" i="2"/>
  <c r="GS538" i="2" s="1"/>
  <c r="GR533" i="2"/>
  <c r="GS533" i="2" s="1"/>
  <c r="GR571" i="2"/>
  <c r="GS571" i="2" s="1"/>
  <c r="GR523" i="2"/>
  <c r="GS523" i="2" s="1"/>
  <c r="GR577" i="2"/>
  <c r="GS577" i="2" s="1"/>
  <c r="GR582" i="2"/>
  <c r="GS582" i="2" s="1"/>
  <c r="GR578" i="2"/>
  <c r="GS578" i="2" s="1"/>
  <c r="GR520" i="2"/>
  <c r="GS520" i="2" s="1"/>
  <c r="GZ540" i="2"/>
  <c r="HA540" i="2" s="1"/>
  <c r="GR527" i="2"/>
  <c r="GS527" i="2" s="1"/>
  <c r="GR498" i="2"/>
  <c r="GS498" i="2" s="1"/>
  <c r="GR493" i="2"/>
  <c r="GS493" i="2" s="1"/>
  <c r="GR492" i="2"/>
  <c r="GS492" i="2" s="1"/>
  <c r="GR487" i="2"/>
  <c r="GS487" i="2" s="1"/>
  <c r="GZ486" i="2"/>
  <c r="HA486" i="2" s="1"/>
  <c r="GR488" i="2"/>
  <c r="GS488" i="2" s="1"/>
  <c r="GR460" i="2"/>
  <c r="GS460" i="2" s="1"/>
  <c r="GR456" i="2"/>
  <c r="GS456" i="2" s="1"/>
  <c r="GR457" i="2"/>
  <c r="GS457" i="2" s="1"/>
  <c r="GR466" i="2"/>
  <c r="IF25" i="2"/>
  <c r="IO25" i="2"/>
  <c r="IS23" i="2"/>
  <c r="IO23" i="2"/>
  <c r="IK23" i="2"/>
  <c r="HZ24" i="2"/>
  <c r="IL25" i="2"/>
  <c r="JE18" i="2"/>
  <c r="IJ25" i="2"/>
  <c r="IG25" i="2"/>
  <c r="IF23" i="2"/>
  <c r="GP308" i="2"/>
  <c r="IH25" i="2"/>
  <c r="IH23" i="2"/>
  <c r="IN25" i="2"/>
  <c r="IN21" i="2"/>
  <c r="IM25" i="2"/>
  <c r="IQ25" i="2"/>
  <c r="GR238" i="2"/>
  <c r="IS25" i="2"/>
  <c r="IW18" i="2"/>
  <c r="II25" i="2"/>
  <c r="IX18" i="2"/>
  <c r="IL23" i="2"/>
  <c r="IG23" i="2"/>
  <c r="IK25" i="2"/>
  <c r="IP25" i="2"/>
  <c r="HU25" i="2"/>
  <c r="HW25" i="2"/>
  <c r="JD18" i="2"/>
  <c r="JA18" i="2"/>
  <c r="HQ24" i="2"/>
  <c r="GR608" i="2"/>
  <c r="GS608" i="2" s="1"/>
  <c r="GZ483" i="2"/>
  <c r="IN23" i="2"/>
  <c r="JF18" i="2"/>
  <c r="HZ20" i="2"/>
  <c r="JG18" i="2"/>
  <c r="IY18" i="2"/>
  <c r="IV18" i="2"/>
  <c r="GR262" i="2"/>
  <c r="GS262" i="2" s="1"/>
  <c r="GR592" i="2"/>
  <c r="GS592" i="2" s="1"/>
  <c r="GR590" i="2"/>
  <c r="GS590" i="2" s="1"/>
  <c r="GS81" i="2"/>
  <c r="HQ21" i="2"/>
  <c r="HQ40" i="2" s="1"/>
  <c r="IU18" i="2"/>
  <c r="JB18" i="2"/>
  <c r="DW207" i="2"/>
  <c r="EP207" i="2" s="1"/>
  <c r="GX169" i="2"/>
  <c r="GY169" i="2" s="1"/>
  <c r="IZ18" i="2"/>
  <c r="JC18" i="2"/>
  <c r="HW19" i="2"/>
  <c r="HU19" i="2"/>
  <c r="DW453" i="2"/>
  <c r="EP453" i="2" s="1"/>
  <c r="IT18" i="2"/>
  <c r="HZ18" i="2"/>
  <c r="GR102" i="2"/>
  <c r="GS102" i="2" s="1"/>
  <c r="GR87" i="2"/>
  <c r="GS87" i="2" s="1"/>
  <c r="GZ220" i="2"/>
  <c r="HA220" i="2" s="1"/>
  <c r="GR105" i="2"/>
  <c r="GS105" i="2" s="1"/>
  <c r="GR94" i="2"/>
  <c r="GS94" i="2" s="1"/>
  <c r="GR282" i="2"/>
  <c r="GS282" i="2" s="1"/>
  <c r="GR17" i="2"/>
  <c r="GS17" i="2" s="1"/>
  <c r="GR125" i="2"/>
  <c r="GS125" i="2" s="1"/>
  <c r="GZ34" i="2"/>
  <c r="IC14" i="2" s="1"/>
  <c r="GR542" i="2"/>
  <c r="GS542" i="2" s="1"/>
  <c r="GR42" i="2"/>
  <c r="GS42" i="2" s="1"/>
  <c r="GR513" i="2"/>
  <c r="GS513" i="2" s="1"/>
  <c r="GR501" i="2"/>
  <c r="GR352" i="2"/>
  <c r="GS352" i="2" s="1"/>
  <c r="IK16" i="2"/>
  <c r="GR126" i="2"/>
  <c r="GS126" i="2" s="1"/>
  <c r="GR121" i="2"/>
  <c r="GS121" i="2" s="1"/>
  <c r="GR213" i="2"/>
  <c r="GS213" i="2" s="1"/>
  <c r="GR245" i="2"/>
  <c r="GS245" i="2" s="1"/>
  <c r="GR39" i="2"/>
  <c r="GS39" i="2" s="1"/>
  <c r="GR599" i="2"/>
  <c r="GS599" i="2" s="1"/>
  <c r="GR267" i="2"/>
  <c r="GS267" i="2" s="1"/>
  <c r="GR88" i="2"/>
  <c r="GS88" i="2" s="1"/>
  <c r="GR212" i="2"/>
  <c r="GS212" i="2" s="1"/>
  <c r="GR40" i="2"/>
  <c r="GS40" i="2" s="1"/>
  <c r="IP17" i="2"/>
  <c r="HQ10" i="2"/>
  <c r="IP16" i="2"/>
  <c r="IK17" i="2"/>
  <c r="DP22" i="2"/>
  <c r="EI22" i="2" s="1"/>
  <c r="IO16" i="2"/>
  <c r="IS16" i="2"/>
  <c r="IK8" i="2"/>
  <c r="JF16" i="2"/>
  <c r="GZ48" i="2"/>
  <c r="IC16" i="2" s="1"/>
  <c r="JA16" i="2"/>
  <c r="IU14" i="2"/>
  <c r="IT14" i="2"/>
  <c r="JB14" i="2"/>
  <c r="IZ14" i="2"/>
  <c r="IV14" i="2"/>
  <c r="JG16" i="2"/>
  <c r="IR16" i="2"/>
  <c r="IV16" i="2"/>
  <c r="IJ16" i="2"/>
  <c r="JC14" i="2"/>
  <c r="JE16" i="2"/>
  <c r="IQ16" i="2"/>
  <c r="DL218" i="2"/>
  <c r="IG16" i="2"/>
  <c r="IL17" i="2"/>
  <c r="IF17" i="2"/>
  <c r="IO17" i="2"/>
  <c r="IZ16" i="2"/>
  <c r="II16" i="2"/>
  <c r="DL112" i="2"/>
  <c r="HW15" i="2"/>
  <c r="HU15" i="2"/>
  <c r="HR15" i="2" s="1"/>
  <c r="IW16" i="2"/>
  <c r="JB16" i="2"/>
  <c r="HW16" i="2"/>
  <c r="HU16" i="2"/>
  <c r="HR16" i="2" s="1"/>
  <c r="HW17" i="2"/>
  <c r="HU17" i="2"/>
  <c r="HR17" i="2" s="1"/>
  <c r="IS17" i="2"/>
  <c r="IX16" i="2"/>
  <c r="IL16" i="2"/>
  <c r="JE14" i="2"/>
  <c r="JA14" i="2"/>
  <c r="IN16" i="2"/>
  <c r="IH17" i="2"/>
  <c r="JG14" i="2"/>
  <c r="IY16" i="2"/>
  <c r="IU16" i="2"/>
  <c r="IW14" i="2"/>
  <c r="IM17" i="2"/>
  <c r="IF16" i="2"/>
  <c r="IY14" i="2"/>
  <c r="JC16" i="2"/>
  <c r="JD16" i="2"/>
  <c r="IQ17" i="2"/>
  <c r="JF14" i="2"/>
  <c r="IG17" i="2"/>
  <c r="IN17" i="2"/>
  <c r="IT16" i="2"/>
  <c r="II17" i="2"/>
  <c r="IJ17" i="2"/>
  <c r="ID14" i="2"/>
  <c r="IB14" i="2"/>
  <c r="IM16" i="2"/>
  <c r="IX14" i="2"/>
  <c r="IH16" i="2"/>
  <c r="JD10" i="2"/>
  <c r="JD14" i="2"/>
  <c r="IR17" i="2"/>
  <c r="IX10" i="2"/>
  <c r="JE10" i="2"/>
  <c r="IW10" i="2"/>
  <c r="IU10" i="2"/>
  <c r="IK5" i="2"/>
  <c r="IP6" i="2"/>
  <c r="IT10" i="2"/>
  <c r="GX554" i="2"/>
  <c r="GY554" i="2" s="1"/>
  <c r="JG10" i="2"/>
  <c r="IY10" i="2"/>
  <c r="GS23" i="2"/>
  <c r="IV10" i="2"/>
  <c r="IM9" i="2"/>
  <c r="JC10" i="2"/>
  <c r="JB10" i="2"/>
  <c r="IZ10" i="2"/>
  <c r="JF10" i="2"/>
  <c r="JA10" i="2"/>
  <c r="IH7" i="2"/>
  <c r="IF7" i="2"/>
  <c r="IP8" i="2"/>
  <c r="IJ7" i="2"/>
  <c r="HW6" i="2"/>
  <c r="HU6" i="2"/>
  <c r="HR6" i="2" s="1"/>
  <c r="IO9" i="2"/>
  <c r="IN7" i="2"/>
  <c r="IL8" i="2"/>
  <c r="IJ8" i="2"/>
  <c r="IS9" i="2"/>
  <c r="IO8" i="2"/>
  <c r="IR8" i="2"/>
  <c r="IR6" i="2"/>
  <c r="IF9" i="2"/>
  <c r="IK9" i="2"/>
  <c r="IK6" i="2"/>
  <c r="IM8" i="2"/>
  <c r="IJ6" i="2"/>
  <c r="IG7" i="2"/>
  <c r="IQ8" i="2"/>
  <c r="IN8" i="2"/>
  <c r="IQ7" i="2"/>
  <c r="HV7" i="2"/>
  <c r="IL9" i="2"/>
  <c r="IL6" i="2"/>
  <c r="IG6" i="2"/>
  <c r="IP5" i="2"/>
  <c r="IS8" i="2"/>
  <c r="II7" i="2"/>
  <c r="IN6" i="2"/>
  <c r="IH6" i="2"/>
  <c r="IQ9" i="2"/>
  <c r="IQ6" i="2"/>
  <c r="HW9" i="2"/>
  <c r="HU9" i="2"/>
  <c r="HR9" i="2" s="1"/>
  <c r="IS6" i="2"/>
  <c r="IF8" i="2"/>
  <c r="II9" i="2"/>
  <c r="II6" i="2"/>
  <c r="IH9" i="2"/>
  <c r="IN9" i="2"/>
  <c r="GP22" i="2"/>
  <c r="GQ22" i="2" s="1"/>
  <c r="HW11" i="2" s="1"/>
  <c r="DX22" i="2"/>
  <c r="EQ22" i="2" s="1"/>
  <c r="IP9" i="2"/>
  <c r="IP7" i="2"/>
  <c r="HU7" i="2"/>
  <c r="HW7" i="2"/>
  <c r="IG9" i="2"/>
  <c r="IO6" i="2"/>
  <c r="IG8" i="2"/>
  <c r="IL7" i="2"/>
  <c r="IM7" i="2"/>
  <c r="HQ8" i="2"/>
  <c r="GP553" i="2"/>
  <c r="GQ553" i="2" s="1"/>
  <c r="IF6" i="2"/>
  <c r="IS7" i="2"/>
  <c r="IO7" i="2"/>
  <c r="IM6" i="2"/>
  <c r="IR9" i="2"/>
  <c r="IK7" i="2"/>
  <c r="II8" i="2"/>
  <c r="IH8" i="2"/>
  <c r="IR7" i="2"/>
  <c r="IJ9" i="2"/>
  <c r="DW22" i="2"/>
  <c r="EP22" i="2" s="1"/>
  <c r="DL22" i="2"/>
  <c r="GS620" i="2"/>
  <c r="GR563" i="2"/>
  <c r="GS563" i="2" s="1"/>
  <c r="GR430" i="2"/>
  <c r="GS430" i="2" s="1"/>
  <c r="GR377" i="2"/>
  <c r="GS377" i="2" s="1"/>
  <c r="GR390" i="2"/>
  <c r="GS390" i="2" s="1"/>
  <c r="GR550" i="2"/>
  <c r="GS550" i="2" s="1"/>
  <c r="IL5" i="2"/>
  <c r="IG5" i="2"/>
  <c r="IR5" i="2"/>
  <c r="II5" i="2"/>
  <c r="IS5" i="2"/>
  <c r="IJ5" i="2"/>
  <c r="GS630" i="2"/>
  <c r="HA153" i="2"/>
  <c r="IA10" i="2"/>
  <c r="GP15" i="2"/>
  <c r="GS123" i="2"/>
  <c r="GP562" i="2"/>
  <c r="IN5" i="2"/>
  <c r="GS149" i="2"/>
  <c r="GR237" i="2"/>
  <c r="GS237" i="2" s="1"/>
  <c r="FI229" i="2"/>
  <c r="GB229" i="2" s="1"/>
  <c r="GS346" i="2"/>
  <c r="GS30" i="2"/>
  <c r="IH5" i="2"/>
  <c r="IO5" i="2"/>
  <c r="HW5" i="2"/>
  <c r="BF1" i="2"/>
  <c r="GS6" i="2"/>
  <c r="IF5" i="2"/>
  <c r="IM5" i="2"/>
  <c r="IQ5" i="2"/>
  <c r="GZ464" i="2"/>
  <c r="HA464" i="2" s="1"/>
  <c r="GR95" i="2"/>
  <c r="GS95" i="2" s="1"/>
  <c r="GR551" i="2"/>
  <c r="GS551" i="2" s="1"/>
  <c r="GR603" i="2"/>
  <c r="GS603" i="2" s="1"/>
  <c r="GZ215" i="2"/>
  <c r="HA215" i="2" s="1"/>
  <c r="GR132" i="2"/>
  <c r="GS132" i="2" s="1"/>
  <c r="DM215" i="2"/>
  <c r="GR29" i="2"/>
  <c r="GS29" i="2" s="1"/>
  <c r="GR419" i="2"/>
  <c r="GS419" i="2" s="1"/>
  <c r="GZ404" i="2"/>
  <c r="HA404" i="2" s="1"/>
  <c r="GR280" i="2"/>
  <c r="GS280" i="2" s="1"/>
  <c r="GR403" i="2"/>
  <c r="GS403" i="2" s="1"/>
  <c r="GR349" i="2"/>
  <c r="GS349" i="2" s="1"/>
  <c r="GR351" i="2"/>
  <c r="GS351" i="2" s="1"/>
  <c r="GR269" i="2"/>
  <c r="GS269" i="2" s="1"/>
  <c r="GR173" i="2"/>
  <c r="GS173" i="2" s="1"/>
  <c r="GR283" i="2"/>
  <c r="GS283" i="2" s="1"/>
  <c r="GR111" i="2"/>
  <c r="GS111" i="2" s="1"/>
  <c r="GR191" i="2"/>
  <c r="GS191" i="2" s="1"/>
  <c r="GR223" i="2"/>
  <c r="GS223" i="2" s="1"/>
  <c r="GR247" i="2"/>
  <c r="GS247" i="2" s="1"/>
  <c r="GR109" i="2"/>
  <c r="GS109" i="2" s="1"/>
  <c r="GR604" i="2"/>
  <c r="GS604" i="2" s="1"/>
  <c r="GR221" i="2"/>
  <c r="GS221" i="2" s="1"/>
  <c r="GR168" i="2"/>
  <c r="GS168" i="2" s="1"/>
  <c r="GR605" i="2"/>
  <c r="GS605" i="2" s="1"/>
  <c r="GR399" i="2"/>
  <c r="GS399" i="2" s="1"/>
  <c r="GR606" i="2"/>
  <c r="GS606" i="2" s="1"/>
  <c r="GR387" i="2"/>
  <c r="GS387" i="2" s="1"/>
  <c r="GR609" i="2"/>
  <c r="GS609" i="2" s="1"/>
  <c r="GR465" i="2"/>
  <c r="GS465" i="2" s="1"/>
  <c r="GR607" i="2"/>
  <c r="GS607" i="2" s="1"/>
  <c r="GR222" i="2"/>
  <c r="GS222" i="2" s="1"/>
  <c r="GR219" i="2"/>
  <c r="GS219" i="2" s="1"/>
  <c r="GR268" i="2"/>
  <c r="GS268" i="2" s="1"/>
  <c r="GR243" i="2"/>
  <c r="GS243" i="2" s="1"/>
  <c r="GR104" i="2"/>
  <c r="GS104" i="2" s="1"/>
  <c r="GR232" i="2"/>
  <c r="GS232" i="2" s="1"/>
  <c r="GR19" i="2"/>
  <c r="GS19" i="2" s="1"/>
  <c r="GR233" i="2"/>
  <c r="GS233" i="2" s="1"/>
  <c r="GR548" i="2"/>
  <c r="GS548" i="2" s="1"/>
  <c r="GR263" i="2"/>
  <c r="GS263" i="2" s="1"/>
  <c r="GZ232" i="2"/>
  <c r="HA232" i="2" s="1"/>
  <c r="GR600" i="2"/>
  <c r="GS600" i="2" s="1"/>
  <c r="GR547" i="2"/>
  <c r="GS547" i="2" s="1"/>
  <c r="GR37" i="2"/>
  <c r="GS37" i="2" s="1"/>
  <c r="GR118" i="2"/>
  <c r="GS118" i="2" s="1"/>
  <c r="GR281" i="2"/>
  <c r="GS281" i="2" s="1"/>
  <c r="GZ233" i="2"/>
  <c r="HA233" i="2" s="1"/>
  <c r="GR84" i="2"/>
  <c r="GS84" i="2" s="1"/>
  <c r="GR602" i="2"/>
  <c r="GS602" i="2" s="1"/>
  <c r="GR107" i="2"/>
  <c r="GS107" i="2" s="1"/>
  <c r="GR85" i="2"/>
  <c r="GS85" i="2" s="1"/>
  <c r="GR264" i="2"/>
  <c r="GS264" i="2" s="1"/>
  <c r="GR106" i="2"/>
  <c r="GS106" i="2" s="1"/>
  <c r="GZ105" i="2"/>
  <c r="HA105" i="2" s="1"/>
  <c r="GR266" i="2"/>
  <c r="GS266" i="2" s="1"/>
  <c r="GR119" i="2"/>
  <c r="GS119" i="2" s="1"/>
  <c r="GZ119" i="2"/>
  <c r="HA119" i="2" s="1"/>
  <c r="GR261" i="2"/>
  <c r="GS261" i="2" s="1"/>
  <c r="GR591" i="2"/>
  <c r="GS591" i="2" s="1"/>
  <c r="GR593" i="2"/>
  <c r="GS593" i="2" s="1"/>
  <c r="GR596" i="2"/>
  <c r="GS596" i="2" s="1"/>
  <c r="GR374" i="2"/>
  <c r="GS374" i="2" s="1"/>
  <c r="GR43" i="2"/>
  <c r="GS43" i="2" s="1"/>
  <c r="GR595" i="2"/>
  <c r="GS595" i="2" s="1"/>
  <c r="GR228" i="2"/>
  <c r="GS228" i="2" s="1"/>
  <c r="GR544" i="2"/>
  <c r="GS544" i="2" s="1"/>
  <c r="GR252" i="2"/>
  <c r="GS252" i="2" s="1"/>
  <c r="GR343" i="2"/>
  <c r="GS343" i="2" s="1"/>
  <c r="GR597" i="2"/>
  <c r="GS597" i="2" s="1"/>
  <c r="GR373" i="2"/>
  <c r="GS373" i="2" s="1"/>
  <c r="GR47" i="2"/>
  <c r="HV17" i="2" s="1"/>
  <c r="GR38" i="2"/>
  <c r="GS38" i="2" s="1"/>
  <c r="GR546" i="2"/>
  <c r="GS546" i="2" s="1"/>
  <c r="GR9" i="2"/>
  <c r="GS9" i="2" s="1"/>
  <c r="GR41" i="2"/>
  <c r="GS41" i="2" s="1"/>
  <c r="GR103" i="2"/>
  <c r="GS103" i="2" s="1"/>
  <c r="GR545" i="2"/>
  <c r="GS545" i="2" s="1"/>
  <c r="GR129" i="2"/>
  <c r="GS129" i="2" s="1"/>
  <c r="GR242" i="2"/>
  <c r="GS242" i="2" s="1"/>
  <c r="GR12" i="2"/>
  <c r="GS12" i="2" s="1"/>
  <c r="GR515" i="2"/>
  <c r="GS515" i="2" s="1"/>
  <c r="GR367" i="2"/>
  <c r="GS367" i="2" s="1"/>
  <c r="GR537" i="2"/>
  <c r="GS537" i="2" s="1"/>
  <c r="GR573" i="2"/>
  <c r="GS573" i="2" s="1"/>
  <c r="GZ371" i="2"/>
  <c r="GR362" i="2"/>
  <c r="GS362" i="2" s="1"/>
  <c r="GR586" i="2"/>
  <c r="GS586" i="2" s="1"/>
  <c r="GZ518" i="2"/>
  <c r="HA518" i="2" s="1"/>
  <c r="GR500" i="2"/>
  <c r="GS500" i="2" s="1"/>
  <c r="GR365" i="2"/>
  <c r="GS365" i="2" s="1"/>
  <c r="GR259" i="2"/>
  <c r="GS259" i="2" s="1"/>
  <c r="GZ514" i="2"/>
  <c r="HA514" i="2" s="1"/>
  <c r="GR494" i="2"/>
  <c r="GS494" i="2" s="1"/>
  <c r="GR461" i="2"/>
  <c r="GS461" i="2" s="1"/>
  <c r="GR530" i="2"/>
  <c r="GS530" i="2" s="1"/>
  <c r="GZ497" i="2"/>
  <c r="HA497" i="2" s="1"/>
  <c r="GR363" i="2"/>
  <c r="GS363" i="2" s="1"/>
  <c r="GR370" i="2"/>
  <c r="GS370" i="2" s="1"/>
  <c r="GR7" i="2"/>
  <c r="GS7" i="2" s="1"/>
  <c r="GR516" i="2"/>
  <c r="GS516" i="2" s="1"/>
  <c r="GR366" i="2"/>
  <c r="GS366" i="2" s="1"/>
  <c r="GR360" i="2"/>
  <c r="GS360" i="2" s="1"/>
  <c r="GR572" i="2"/>
  <c r="GS572" i="2" s="1"/>
  <c r="GR518" i="2"/>
  <c r="GS518" i="2" s="1"/>
  <c r="GZ358" i="2"/>
  <c r="HA358" i="2" s="1"/>
  <c r="GR341" i="2"/>
  <c r="GS341" i="2" s="1"/>
  <c r="GR585" i="2"/>
  <c r="GS585" i="2" s="1"/>
  <c r="GR368" i="2"/>
  <c r="GS368" i="2" s="1"/>
  <c r="GR336" i="2"/>
  <c r="GS336" i="2" s="1"/>
  <c r="GR101" i="2"/>
  <c r="GS101" i="2" s="1"/>
  <c r="GR124" i="2"/>
  <c r="GS124" i="2" s="1"/>
  <c r="GR521" i="2"/>
  <c r="GS521" i="2" s="1"/>
  <c r="GR532" i="2"/>
  <c r="GS532" i="2" s="1"/>
  <c r="GR339" i="2"/>
  <c r="GS339" i="2" s="1"/>
  <c r="GR5" i="2"/>
  <c r="GR524" i="2"/>
  <c r="GS524" i="2" s="1"/>
  <c r="GR347" i="2"/>
  <c r="GS347" i="2" s="1"/>
  <c r="GR372" i="2"/>
  <c r="GS372" i="2" s="1"/>
  <c r="GR338" i="2"/>
  <c r="GS338" i="2" s="1"/>
  <c r="GR385" i="2"/>
  <c r="GS385" i="2" s="1"/>
  <c r="GR143" i="2"/>
  <c r="GS143" i="2" s="1"/>
  <c r="GZ93" i="2"/>
  <c r="GR525" i="2"/>
  <c r="GS525" i="2" s="1"/>
  <c r="GZ357" i="2"/>
  <c r="GZ99" i="2"/>
  <c r="HA99" i="2" s="1"/>
  <c r="GR526" i="2"/>
  <c r="GS526" i="2" s="1"/>
  <c r="GR629" i="2"/>
  <c r="GS629" i="2" s="1"/>
  <c r="GR322" i="2"/>
  <c r="GS322" i="2" s="1"/>
  <c r="GR623" i="2"/>
  <c r="GS623" i="2" s="1"/>
  <c r="GR327" i="2"/>
  <c r="GS327" i="2" s="1"/>
  <c r="DL117" i="2"/>
  <c r="GZ453" i="2"/>
  <c r="HA453" i="2" s="1"/>
  <c r="GR503" i="2"/>
  <c r="GR435" i="2"/>
  <c r="GS435" i="2" s="1"/>
  <c r="GR424" i="2"/>
  <c r="GS424" i="2" s="1"/>
  <c r="GR413" i="2"/>
  <c r="GS413" i="2" s="1"/>
  <c r="GZ379" i="2"/>
  <c r="HA379" i="2" s="1"/>
  <c r="GZ426" i="2"/>
  <c r="HA426" i="2" s="1"/>
  <c r="GR409" i="2"/>
  <c r="GS409" i="2" s="1"/>
  <c r="GR414" i="2"/>
  <c r="GS414" i="2" s="1"/>
  <c r="GR28" i="2"/>
  <c r="GS28" i="2" s="1"/>
  <c r="GR388" i="2"/>
  <c r="GS388" i="2" s="1"/>
  <c r="GR407" i="2"/>
  <c r="GS407" i="2" s="1"/>
  <c r="GR396" i="2"/>
  <c r="GS396" i="2" s="1"/>
  <c r="GR391" i="2"/>
  <c r="GS391" i="2" s="1"/>
  <c r="GR408" i="2"/>
  <c r="GS408" i="2" s="1"/>
  <c r="GR378" i="2"/>
  <c r="GS378" i="2" s="1"/>
  <c r="GR376" i="2"/>
  <c r="GS376" i="2" s="1"/>
  <c r="GR402" i="2"/>
  <c r="GS402" i="2" s="1"/>
  <c r="GR611" i="2"/>
  <c r="GS611" i="2" s="1"/>
  <c r="GR484" i="2"/>
  <c r="GS484" i="2" s="1"/>
  <c r="GR612" i="2"/>
  <c r="GS612" i="2" s="1"/>
  <c r="GZ398" i="2"/>
  <c r="HA398" i="2" s="1"/>
  <c r="GR464" i="2"/>
  <c r="GS464" i="2" s="1"/>
  <c r="GR478" i="2"/>
  <c r="GS478" i="2" s="1"/>
  <c r="GR610" i="2"/>
  <c r="GS610" i="2" s="1"/>
  <c r="GR510" i="2"/>
  <c r="GS510" i="2" s="1"/>
  <c r="GZ392" i="2"/>
  <c r="HA392" i="2" s="1"/>
  <c r="GZ513" i="2"/>
  <c r="HA513" i="2" s="1"/>
  <c r="GR552" i="2"/>
  <c r="GS552" i="2" s="1"/>
  <c r="GR392" i="2"/>
  <c r="GS392" i="2" s="1"/>
  <c r="GR82" i="2"/>
  <c r="GS82" i="2" s="1"/>
  <c r="GR463" i="2"/>
  <c r="GS463" i="2" s="1"/>
  <c r="GR511" i="2"/>
  <c r="GS511" i="2" s="1"/>
  <c r="GR477" i="2"/>
  <c r="GS477" i="2" s="1"/>
  <c r="GR354" i="2"/>
  <c r="GS354" i="2" s="1"/>
  <c r="GR353" i="2"/>
  <c r="GS353" i="2" s="1"/>
  <c r="GR48" i="2"/>
  <c r="GR236" i="2"/>
  <c r="GS236" i="2" s="1"/>
  <c r="GR621" i="2"/>
  <c r="GS621" i="2" s="1"/>
  <c r="GR468" i="2"/>
  <c r="GS468" i="2" s="1"/>
  <c r="GR462" i="2"/>
  <c r="GS462" i="2" s="1"/>
  <c r="GZ168" i="2"/>
  <c r="HA168" i="2" s="1"/>
  <c r="GR479" i="2"/>
  <c r="GS479" i="2" s="1"/>
  <c r="GR275" i="2"/>
  <c r="GS275" i="2" s="1"/>
  <c r="GR270" i="2"/>
  <c r="GS270" i="2" s="1"/>
  <c r="GR246" i="2"/>
  <c r="GS246" i="2" s="1"/>
  <c r="GR18" i="2"/>
  <c r="GS18" i="2" s="1"/>
  <c r="DL108" i="2"/>
  <c r="FI208" i="2"/>
  <c r="GB208" i="2" s="1"/>
  <c r="DP543" i="2"/>
  <c r="EI543" i="2" s="1"/>
  <c r="GX217" i="2"/>
  <c r="GY217" i="2" s="1"/>
  <c r="GR508" i="2"/>
  <c r="GS508" i="2" s="1"/>
  <c r="GR345" i="2"/>
  <c r="GS345" i="2" s="1"/>
  <c r="GR382" i="2"/>
  <c r="GS382" i="2" s="1"/>
  <c r="GR502" i="2"/>
  <c r="GS502" i="2" s="1"/>
  <c r="GZ413" i="2"/>
  <c r="HA413" i="2" s="1"/>
  <c r="GR438" i="2"/>
  <c r="GS438" i="2" s="1"/>
  <c r="GR427" i="2"/>
  <c r="GS427" i="2" s="1"/>
  <c r="GR127" i="2"/>
  <c r="GS127" i="2" s="1"/>
  <c r="GR400" i="2"/>
  <c r="GS400" i="2" s="1"/>
  <c r="GR395" i="2"/>
  <c r="GS395" i="2" s="1"/>
  <c r="GR411" i="2"/>
  <c r="GS411" i="2" s="1"/>
  <c r="GR389" i="2"/>
  <c r="GS389" i="2" s="1"/>
  <c r="GR394" i="2"/>
  <c r="GS394" i="2" s="1"/>
  <c r="GR397" i="2"/>
  <c r="GS397" i="2" s="1"/>
  <c r="GR393" i="2"/>
  <c r="GS393" i="2" s="1"/>
  <c r="GR405" i="2"/>
  <c r="GS405" i="2" s="1"/>
  <c r="GZ396" i="2"/>
  <c r="HA396" i="2" s="1"/>
  <c r="GR613" i="2"/>
  <c r="GS613" i="2" s="1"/>
  <c r="GR509" i="2"/>
  <c r="GS509" i="2" s="1"/>
  <c r="GZ376" i="2"/>
  <c r="HA376" i="2" s="1"/>
  <c r="GR481" i="2"/>
  <c r="GS481" i="2" s="1"/>
  <c r="GR480" i="2"/>
  <c r="GS480" i="2" s="1"/>
  <c r="GZ391" i="2"/>
  <c r="HA391" i="2" s="1"/>
  <c r="GZ390" i="2"/>
  <c r="HA390" i="2" s="1"/>
  <c r="GR46" i="2"/>
  <c r="GS46" i="2" s="1"/>
  <c r="GR279" i="2"/>
  <c r="GS279" i="2" s="1"/>
  <c r="GR512" i="2"/>
  <c r="GS512" i="2" s="1"/>
  <c r="GR469" i="2"/>
  <c r="GS469" i="2" s="1"/>
  <c r="GR356" i="2"/>
  <c r="GS356" i="2" s="1"/>
  <c r="GR483" i="2"/>
  <c r="GR147" i="2"/>
  <c r="GS147" i="2" s="1"/>
  <c r="GZ465" i="2"/>
  <c r="HA465" i="2" s="1"/>
  <c r="GR355" i="2"/>
  <c r="GS355" i="2" s="1"/>
  <c r="GR146" i="2"/>
  <c r="GS146" i="2" s="1"/>
  <c r="GR175" i="2"/>
  <c r="GS175" i="2" s="1"/>
  <c r="GR482" i="2"/>
  <c r="GS482" i="2" s="1"/>
  <c r="GZ223" i="2"/>
  <c r="HA223" i="2" s="1"/>
  <c r="GR276" i="2"/>
  <c r="GS276" i="2" s="1"/>
  <c r="GR271" i="2"/>
  <c r="GS271" i="2" s="1"/>
  <c r="GR257" i="2"/>
  <c r="GS257" i="2" s="1"/>
  <c r="GR350" i="2"/>
  <c r="GS350" i="2" s="1"/>
  <c r="GR128" i="2"/>
  <c r="GS128" i="2" s="1"/>
  <c r="GR224" i="2"/>
  <c r="GS224" i="2" s="1"/>
  <c r="GR220" i="2"/>
  <c r="GS220" i="2" s="1"/>
  <c r="GR272" i="2"/>
  <c r="GS272" i="2" s="1"/>
  <c r="GR113" i="2"/>
  <c r="GS113" i="2" s="1"/>
  <c r="GR133" i="2"/>
  <c r="GS133" i="2" s="1"/>
  <c r="GR265" i="2"/>
  <c r="GS265" i="2" s="1"/>
  <c r="GZ104" i="2"/>
  <c r="HA104" i="2" s="1"/>
  <c r="DM210" i="2"/>
  <c r="GZ446" i="2"/>
  <c r="HA446" i="2" s="1"/>
  <c r="FQ116" i="2"/>
  <c r="GJ116" i="2" s="1"/>
  <c r="GZ116" i="2" s="1"/>
  <c r="HA116" i="2" s="1"/>
  <c r="EE230" i="2"/>
  <c r="EX230" i="2" s="1"/>
  <c r="DM517" i="2"/>
  <c r="GR505" i="2"/>
  <c r="GS505" i="2" s="1"/>
  <c r="GR495" i="2"/>
  <c r="GS495" i="2" s="1"/>
  <c r="GR442" i="2"/>
  <c r="GS442" i="2" s="1"/>
  <c r="GR423" i="2"/>
  <c r="GS423" i="2" s="1"/>
  <c r="GR381" i="2"/>
  <c r="GS381" i="2" s="1"/>
  <c r="GR415" i="2"/>
  <c r="GS415" i="2" s="1"/>
  <c r="GR379" i="2"/>
  <c r="GS379" i="2" s="1"/>
  <c r="DX205" i="2"/>
  <c r="EQ205" i="2" s="1"/>
  <c r="DW295" i="2"/>
  <c r="EP295" i="2" s="1"/>
  <c r="GR295" i="2" s="1"/>
  <c r="GS295" i="2" s="1"/>
  <c r="GR447" i="2"/>
  <c r="GS447" i="2" s="1"/>
  <c r="GZ25" i="2"/>
  <c r="IC10" i="2" s="1"/>
  <c r="GR504" i="2"/>
  <c r="GS504" i="2" s="1"/>
  <c r="GR561" i="2"/>
  <c r="GS561" i="2" s="1"/>
  <c r="GZ345" i="2"/>
  <c r="HA345" i="2" s="1"/>
  <c r="GR445" i="2"/>
  <c r="GS445" i="2" s="1"/>
  <c r="GR137" i="2"/>
  <c r="GS137" i="2" s="1"/>
  <c r="GR134" i="2"/>
  <c r="GS134" i="2" s="1"/>
  <c r="GR617" i="2"/>
  <c r="GS617" i="2" s="1"/>
  <c r="GR506" i="2"/>
  <c r="GS506" i="2" s="1"/>
  <c r="GR558" i="2"/>
  <c r="GS558" i="2" s="1"/>
  <c r="GR555" i="2"/>
  <c r="GS555" i="2" s="1"/>
  <c r="GR446" i="2"/>
  <c r="GS446" i="2" s="1"/>
  <c r="GR21" i="2"/>
  <c r="GS21" i="2" s="1"/>
  <c r="GR253" i="2"/>
  <c r="GS253" i="2" s="1"/>
  <c r="GR615" i="2"/>
  <c r="GS615" i="2" s="1"/>
  <c r="GZ438" i="2"/>
  <c r="HA438" i="2" s="1"/>
  <c r="GR425" i="2"/>
  <c r="GS425" i="2" s="1"/>
  <c r="GR614" i="2"/>
  <c r="GS614" i="2" s="1"/>
  <c r="GR434" i="2"/>
  <c r="GS434" i="2" s="1"/>
  <c r="GZ436" i="2"/>
  <c r="HA436" i="2" s="1"/>
  <c r="GR616" i="2"/>
  <c r="GS616" i="2" s="1"/>
  <c r="GZ443" i="2"/>
  <c r="HA443" i="2" s="1"/>
  <c r="GZ428" i="2"/>
  <c r="HA428" i="2" s="1"/>
  <c r="GR418" i="2"/>
  <c r="GS418" i="2" s="1"/>
  <c r="GR421" i="2"/>
  <c r="GS421" i="2" s="1"/>
  <c r="GR441" i="2"/>
  <c r="GS441" i="2" s="1"/>
  <c r="GR416" i="2"/>
  <c r="GS416" i="2" s="1"/>
  <c r="GR410" i="2"/>
  <c r="GS410" i="2" s="1"/>
  <c r="GR439" i="2"/>
  <c r="GS439" i="2" s="1"/>
  <c r="GZ433" i="2"/>
  <c r="HA433" i="2" s="1"/>
  <c r="GR401" i="2"/>
  <c r="GS401" i="2" s="1"/>
  <c r="GZ420" i="2"/>
  <c r="HA420" i="2" s="1"/>
  <c r="GR404" i="2"/>
  <c r="GS404" i="2" s="1"/>
  <c r="GR417" i="2"/>
  <c r="GS417" i="2" s="1"/>
  <c r="GZ378" i="2"/>
  <c r="HA378" i="2" s="1"/>
  <c r="GZ58" i="2"/>
  <c r="HA58" i="2" s="1"/>
  <c r="BD1" i="2"/>
  <c r="DW491" i="2"/>
  <c r="EP491" i="2" s="1"/>
  <c r="DM27" i="2"/>
  <c r="GR575" i="2"/>
  <c r="GS575" i="2" s="1"/>
  <c r="GR626" i="2"/>
  <c r="GS626" i="2" s="1"/>
  <c r="DP454" i="2"/>
  <c r="EI454" i="2" s="1"/>
  <c r="GS297" i="2"/>
  <c r="DM207" i="2"/>
  <c r="GR278" i="2"/>
  <c r="GS278" i="2" s="1"/>
  <c r="GR344" i="2"/>
  <c r="GS344" i="2" s="1"/>
  <c r="DY499" i="2"/>
  <c r="ER499" i="2" s="1"/>
  <c r="DW320" i="2"/>
  <c r="EP320" i="2" s="1"/>
  <c r="GR320" i="2" s="1"/>
  <c r="GS320" i="2" s="1"/>
  <c r="GX298" i="2"/>
  <c r="GY298" i="2" s="1"/>
  <c r="DP31" i="2"/>
  <c r="EI31" i="2" s="1"/>
  <c r="GR202" i="2"/>
  <c r="GS202" i="2" s="1"/>
  <c r="GR277" i="2"/>
  <c r="GS277" i="2" s="1"/>
  <c r="GP331" i="2"/>
  <c r="GQ331" i="2" s="1"/>
  <c r="EE333" i="2"/>
  <c r="EX333" i="2" s="1"/>
  <c r="DZ514" i="2"/>
  <c r="ES514" i="2" s="1"/>
  <c r="GR449" i="2"/>
  <c r="GS449" i="2" s="1"/>
  <c r="GZ445" i="2"/>
  <c r="HA445" i="2" s="1"/>
  <c r="GZ447" i="2"/>
  <c r="HA447" i="2" s="1"/>
  <c r="GR138" i="2"/>
  <c r="GS138" i="2" s="1"/>
  <c r="GR448" i="2"/>
  <c r="GS448" i="2" s="1"/>
  <c r="GR249" i="2"/>
  <c r="GS249" i="2" s="1"/>
  <c r="GR496" i="2"/>
  <c r="GS496" i="2" s="1"/>
  <c r="GR250" i="2"/>
  <c r="GS250" i="2" s="1"/>
  <c r="GR437" i="2"/>
  <c r="GS437" i="2" s="1"/>
  <c r="GR557" i="2"/>
  <c r="GS557" i="2" s="1"/>
  <c r="GR556" i="2"/>
  <c r="GS556" i="2" s="1"/>
  <c r="GR432" i="2"/>
  <c r="GS432" i="2" s="1"/>
  <c r="GZ424" i="2"/>
  <c r="HA424" i="2" s="1"/>
  <c r="GR383" i="2"/>
  <c r="GS383" i="2" s="1"/>
  <c r="GR440" i="2"/>
  <c r="GS440" i="2" s="1"/>
  <c r="GZ425" i="2"/>
  <c r="HA425" i="2" s="1"/>
  <c r="GZ434" i="2"/>
  <c r="HA434" i="2" s="1"/>
  <c r="GR450" i="2"/>
  <c r="GS450" i="2" s="1"/>
  <c r="GR431" i="2"/>
  <c r="GS431" i="2" s="1"/>
  <c r="GR426" i="2"/>
  <c r="GS426" i="2" s="1"/>
  <c r="GR420" i="2"/>
  <c r="GS420" i="2" s="1"/>
  <c r="GZ412" i="2"/>
  <c r="HA412" i="2" s="1"/>
  <c r="GR436" i="2"/>
  <c r="GS436" i="2" s="1"/>
  <c r="GZ427" i="2"/>
  <c r="HA427" i="2" s="1"/>
  <c r="GZ418" i="2"/>
  <c r="HA418" i="2" s="1"/>
  <c r="GR412" i="2"/>
  <c r="GS412" i="2" s="1"/>
  <c r="GZ407" i="2"/>
  <c r="HA407" i="2" s="1"/>
  <c r="GR433" i="2"/>
  <c r="GS433" i="2" s="1"/>
  <c r="GZ419" i="2"/>
  <c r="HA419" i="2" s="1"/>
  <c r="GR467" i="2"/>
  <c r="GS467" i="2" s="1"/>
  <c r="GZ380" i="2"/>
  <c r="HA380" i="2" s="1"/>
  <c r="GZ411" i="2"/>
  <c r="HA411" i="2" s="1"/>
  <c r="GR429" i="2"/>
  <c r="GS429" i="2" s="1"/>
  <c r="GR225" i="2"/>
  <c r="GS225" i="2" s="1"/>
  <c r="GZ415" i="2"/>
  <c r="HA415" i="2" s="1"/>
  <c r="GR380" i="2"/>
  <c r="GS380" i="2" s="1"/>
  <c r="GR398" i="2"/>
  <c r="GS398" i="2" s="1"/>
  <c r="GR406" i="2"/>
  <c r="GS406" i="2" s="1"/>
  <c r="GR15" i="2"/>
  <c r="HV8" i="2" s="1"/>
  <c r="GR507" i="2"/>
  <c r="GS507" i="2" s="1"/>
  <c r="EE205" i="2"/>
  <c r="EX205" i="2" s="1"/>
  <c r="GR443" i="2"/>
  <c r="GS443" i="2" s="1"/>
  <c r="DW458" i="2"/>
  <c r="EP458" i="2" s="1"/>
  <c r="DZ454" i="2"/>
  <c r="ES454" i="2" s="1"/>
  <c r="DY371" i="2"/>
  <c r="ER371" i="2" s="1"/>
  <c r="HA48" i="2"/>
  <c r="DP514" i="2"/>
  <c r="EI514" i="2" s="1"/>
  <c r="GR96" i="2"/>
  <c r="GS96" i="2" s="1"/>
  <c r="GR562" i="2"/>
  <c r="GR145" i="2"/>
  <c r="GS145" i="2" s="1"/>
  <c r="GR497" i="2"/>
  <c r="GS497" i="2" s="1"/>
  <c r="DZ333" i="2"/>
  <c r="ES333" i="2" s="1"/>
  <c r="GR241" i="2"/>
  <c r="GS241" i="2" s="1"/>
  <c r="EE117" i="2"/>
  <c r="EX117" i="2" s="1"/>
  <c r="DL25" i="2"/>
  <c r="GP554" i="2"/>
  <c r="GQ554" i="2" s="1"/>
  <c r="DX235" i="2"/>
  <c r="EQ235" i="2" s="1"/>
  <c r="GO1" i="2"/>
  <c r="DP375" i="2"/>
  <c r="EI375" i="2" s="1"/>
  <c r="GR148" i="2"/>
  <c r="GS148" i="2" s="1"/>
  <c r="GR285" i="2"/>
  <c r="GS285" i="2" s="1"/>
  <c r="GR316" i="2"/>
  <c r="GS316" i="2" s="1"/>
  <c r="GP25" i="2"/>
  <c r="GQ25" i="2" s="1"/>
  <c r="DX333" i="2"/>
  <c r="EQ333" i="2" s="1"/>
  <c r="DW117" i="2"/>
  <c r="EP117" i="2" s="1"/>
  <c r="GR348" i="2"/>
  <c r="GS348" i="2" s="1"/>
  <c r="GZ103" i="2"/>
  <c r="HA103" i="2" s="1"/>
  <c r="GZ118" i="2"/>
  <c r="HA118" i="2" s="1"/>
  <c r="GR130" i="2"/>
  <c r="GS130" i="2" s="1"/>
  <c r="GR201" i="2"/>
  <c r="GS201" i="2" s="1"/>
  <c r="GZ340" i="2"/>
  <c r="HA340" i="2" s="1"/>
  <c r="GR302" i="2"/>
  <c r="GS302" i="2" s="1"/>
  <c r="GR321" i="2"/>
  <c r="GS321" i="2" s="1"/>
  <c r="GR187" i="2"/>
  <c r="GS187" i="2" s="1"/>
  <c r="DP560" i="2"/>
  <c r="EI560" i="2" s="1"/>
  <c r="FI230" i="2"/>
  <c r="GB230" i="2" s="1"/>
  <c r="GX210" i="2"/>
  <c r="GY210" i="2" s="1"/>
  <c r="FI117" i="2"/>
  <c r="GB117" i="2" s="1"/>
  <c r="GX48" i="2"/>
  <c r="GY48" i="2" s="1"/>
  <c r="DX229" i="2"/>
  <c r="EQ229" i="2" s="1"/>
  <c r="GR120" i="2"/>
  <c r="GS120" i="2" s="1"/>
  <c r="DW215" i="2"/>
  <c r="EP215" i="2" s="1"/>
  <c r="GR110" i="2"/>
  <c r="GS110" i="2" s="1"/>
  <c r="GR329" i="2"/>
  <c r="GS329" i="2" s="1"/>
  <c r="GR315" i="2"/>
  <c r="GS315" i="2" s="1"/>
  <c r="HA554" i="2"/>
  <c r="GR193" i="2"/>
  <c r="GS193" i="2" s="1"/>
  <c r="GR25" i="2"/>
  <c r="GS25" i="2" s="1"/>
  <c r="DW169" i="2"/>
  <c r="EP169" i="2" s="1"/>
  <c r="GR169" i="2" s="1"/>
  <c r="GS169" i="2" s="1"/>
  <c r="GP371" i="2"/>
  <c r="GQ371" i="2" s="1"/>
  <c r="GR108" i="2"/>
  <c r="GS108" i="2" s="1"/>
  <c r="EE235" i="2"/>
  <c r="EX235" i="2" s="1"/>
  <c r="DX514" i="2"/>
  <c r="EQ514" i="2" s="1"/>
  <c r="DP34" i="2"/>
  <c r="EI34" i="2" s="1"/>
  <c r="EE171" i="2"/>
  <c r="EX171" i="2" s="1"/>
  <c r="GR428" i="2"/>
  <c r="GS428" i="2" s="1"/>
  <c r="GR541" i="2"/>
  <c r="GS541" i="2" s="1"/>
  <c r="GR97" i="2"/>
  <c r="GS97" i="2" s="1"/>
  <c r="GR314" i="2"/>
  <c r="GS314" i="2" s="1"/>
  <c r="GR296" i="2"/>
  <c r="GS296" i="2" s="1"/>
  <c r="GR188" i="2"/>
  <c r="GS188" i="2" s="1"/>
  <c r="GS303" i="2"/>
  <c r="GR258" i="2"/>
  <c r="GS258" i="2" s="1"/>
  <c r="GR141" i="2"/>
  <c r="GS141" i="2" s="1"/>
  <c r="GR204" i="2"/>
  <c r="GS204" i="2" s="1"/>
  <c r="GR192" i="2"/>
  <c r="GS192" i="2" s="1"/>
  <c r="GR299" i="2"/>
  <c r="GS299" i="2" s="1"/>
  <c r="GR559" i="2"/>
  <c r="GS559" i="2" s="1"/>
  <c r="GR170" i="2"/>
  <c r="GS170" i="2" s="1"/>
  <c r="GZ375" i="2"/>
  <c r="HA375" i="2" s="1"/>
  <c r="GR99" i="2"/>
  <c r="GS99" i="2" s="1"/>
  <c r="GR318" i="2"/>
  <c r="GS318" i="2" s="1"/>
  <c r="FJ117" i="2"/>
  <c r="GC117" i="2" s="1"/>
  <c r="GR422" i="2"/>
  <c r="GS422" i="2" s="1"/>
  <c r="GR540" i="2"/>
  <c r="GS540" i="2" s="1"/>
  <c r="GR313" i="2"/>
  <c r="GS313" i="2" s="1"/>
  <c r="GR186" i="2"/>
  <c r="GS186" i="2" s="1"/>
  <c r="GR184" i="2"/>
  <c r="GS184" i="2" s="1"/>
  <c r="GR568" i="2"/>
  <c r="GS568" i="2" s="1"/>
  <c r="DX453" i="2"/>
  <c r="EQ453" i="2" s="1"/>
  <c r="DP453" i="2"/>
  <c r="EI453" i="2" s="1"/>
  <c r="FJ210" i="2"/>
  <c r="GC210" i="2" s="1"/>
  <c r="GZ210" i="2" s="1"/>
  <c r="HA210" i="2" s="1"/>
  <c r="DX190" i="2"/>
  <c r="EQ190" i="2" s="1"/>
  <c r="DX117" i="2"/>
  <c r="EQ117" i="2" s="1"/>
  <c r="GZ506" i="2"/>
  <c r="GR203" i="2"/>
  <c r="GS203" i="2" s="1"/>
  <c r="GR189" i="2"/>
  <c r="GS189" i="2" s="1"/>
  <c r="GR325" i="2"/>
  <c r="GS325" i="2" s="1"/>
  <c r="GZ53" i="2"/>
  <c r="GR139" i="2"/>
  <c r="GS139" i="2" s="1"/>
  <c r="DM160" i="2"/>
  <c r="DX160" i="2"/>
  <c r="EQ160" i="2" s="1"/>
  <c r="GR160" i="2" s="1"/>
  <c r="GS160" i="2" s="1"/>
  <c r="DM159" i="2"/>
  <c r="DX159" i="2"/>
  <c r="EQ159" i="2" s="1"/>
  <c r="GX230" i="2"/>
  <c r="GY230" i="2" s="1"/>
  <c r="DX499" i="2"/>
  <c r="EQ499" i="2" s="1"/>
  <c r="DL301" i="2"/>
  <c r="DW301" i="2"/>
  <c r="EP301" i="2" s="1"/>
  <c r="GR301" i="2" s="1"/>
  <c r="GS301" i="2" s="1"/>
  <c r="GX287" i="2"/>
  <c r="GY287" i="2" s="1"/>
  <c r="FI287" i="2"/>
  <c r="GB287" i="2" s="1"/>
  <c r="GZ287" i="2" s="1"/>
  <c r="HA287" i="2" s="1"/>
  <c r="GX286" i="2"/>
  <c r="GY286" i="2" s="1"/>
  <c r="DW230" i="2"/>
  <c r="EP230" i="2" s="1"/>
  <c r="DL308" i="2"/>
  <c r="DW308" i="2"/>
  <c r="EP308" i="2" s="1"/>
  <c r="GR308" i="2" s="1"/>
  <c r="GS308" i="2" s="1"/>
  <c r="CQ1" i="2"/>
  <c r="FC560" i="2"/>
  <c r="FV560" i="2" s="1"/>
  <c r="DL553" i="2"/>
  <c r="DW553" i="2"/>
  <c r="EP553" i="2" s="1"/>
  <c r="GR553" i="2" s="1"/>
  <c r="GS553" i="2" s="1"/>
  <c r="DQ517" i="2"/>
  <c r="EJ517" i="2" s="1"/>
  <c r="AI1" i="2"/>
  <c r="DT31" i="2"/>
  <c r="EM31" i="2" s="1"/>
  <c r="GS567" i="2"/>
  <c r="DM560" i="2"/>
  <c r="DX560" i="2"/>
  <c r="EQ560" i="2" s="1"/>
  <c r="DL565" i="2"/>
  <c r="DW565" i="2"/>
  <c r="EP565" i="2" s="1"/>
  <c r="GR565" i="2" s="1"/>
  <c r="GS565" i="2" s="1"/>
  <c r="DL485" i="2"/>
  <c r="DW485" i="2"/>
  <c r="EP485" i="2" s="1"/>
  <c r="GR624" i="2"/>
  <c r="DW116" i="2"/>
  <c r="EP116" i="2" s="1"/>
  <c r="DW371" i="2"/>
  <c r="EP371" i="2" s="1"/>
  <c r="DW218" i="2"/>
  <c r="EP218" i="2" s="1"/>
  <c r="DX171" i="2"/>
  <c r="EQ171" i="2" s="1"/>
  <c r="GP286" i="2"/>
  <c r="DL159" i="2"/>
  <c r="DW159" i="2"/>
  <c r="EP159" i="2" s="1"/>
  <c r="DS31" i="2"/>
  <c r="EL31" i="2" s="1"/>
  <c r="DL319" i="2"/>
  <c r="DW319" i="2"/>
  <c r="EP319" i="2" s="1"/>
  <c r="GR319" i="2" s="1"/>
  <c r="GS319" i="2" s="1"/>
  <c r="GR576" i="2"/>
  <c r="GS576" i="2" s="1"/>
  <c r="DQ454" i="2"/>
  <c r="EJ454" i="2" s="1"/>
  <c r="DX207" i="2"/>
  <c r="EQ207" i="2" s="1"/>
  <c r="DW298" i="2"/>
  <c r="EP298" i="2" s="1"/>
  <c r="GR298" i="2" s="1"/>
  <c r="GS298" i="2" s="1"/>
  <c r="FQ229" i="2"/>
  <c r="GJ229" i="2" s="1"/>
  <c r="BU1" i="2"/>
  <c r="FB359" i="2"/>
  <c r="FU359" i="2" s="1"/>
  <c r="GZ359" i="2" s="1"/>
  <c r="HA359" i="2" s="1"/>
  <c r="DP331" i="2"/>
  <c r="EI331" i="2" s="1"/>
  <c r="DM491" i="2"/>
  <c r="DX491" i="2"/>
  <c r="EQ491" i="2" s="1"/>
  <c r="DL177" i="2"/>
  <c r="DW177" i="2"/>
  <c r="EP177" i="2" s="1"/>
  <c r="GR177" i="2" s="1"/>
  <c r="GS177" i="2" s="1"/>
  <c r="DX517" i="2"/>
  <c r="EQ517" i="2" s="1"/>
  <c r="DM26" i="2"/>
  <c r="DX26" i="2"/>
  <c r="EQ26" i="2" s="1"/>
  <c r="GR26" i="2" s="1"/>
  <c r="GS26" i="2" s="1"/>
  <c r="DY454" i="2"/>
  <c r="ER454" i="2" s="1"/>
  <c r="DL543" i="2"/>
  <c r="DW543" i="2"/>
  <c r="EP543" i="2" s="1"/>
  <c r="DM229" i="2"/>
  <c r="DM230" i="2"/>
  <c r="DX230" i="2"/>
  <c r="EQ230" i="2" s="1"/>
  <c r="DP371" i="2"/>
  <c r="EI371" i="2" s="1"/>
  <c r="DL361" i="2"/>
  <c r="DW361" i="2"/>
  <c r="EP361" i="2" s="1"/>
  <c r="GR361" i="2" s="1"/>
  <c r="GS361" i="2" s="1"/>
  <c r="DW333" i="2"/>
  <c r="EP333" i="2" s="1"/>
  <c r="DW514" i="2"/>
  <c r="EP514" i="2" s="1"/>
  <c r="DL359" i="2"/>
  <c r="DW359" i="2"/>
  <c r="EP359" i="2" s="1"/>
  <c r="DL287" i="2"/>
  <c r="DW287" i="2"/>
  <c r="EP287" i="2" s="1"/>
  <c r="GR287" i="2" s="1"/>
  <c r="GS287" i="2" s="1"/>
  <c r="DX210" i="2"/>
  <c r="EQ210" i="2" s="1"/>
  <c r="EE209" i="2"/>
  <c r="EX209" i="2" s="1"/>
  <c r="GS16" i="2"/>
  <c r="GS136" i="2"/>
  <c r="HA444" i="2"/>
  <c r="DM31" i="2"/>
  <c r="DX31" i="2"/>
  <c r="EQ31" i="2" s="1"/>
  <c r="DL171" i="2"/>
  <c r="DW171" i="2"/>
  <c r="EP171" i="2" s="1"/>
  <c r="DL234" i="2"/>
  <c r="DW234" i="2"/>
  <c r="EP234" i="2" s="1"/>
  <c r="GR234" i="2" s="1"/>
  <c r="GS234" i="2" s="1"/>
  <c r="DM208" i="2"/>
  <c r="DX208" i="2"/>
  <c r="EQ208" i="2" s="1"/>
  <c r="DL310" i="2"/>
  <c r="DW310" i="2"/>
  <c r="EP310" i="2" s="1"/>
  <c r="GR310" i="2" s="1"/>
  <c r="GS310" i="2" s="1"/>
  <c r="DY333" i="2"/>
  <c r="ER333" i="2" s="1"/>
  <c r="DM486" i="2"/>
  <c r="DX486" i="2"/>
  <c r="EQ486" i="2" s="1"/>
  <c r="GR486" i="2" s="1"/>
  <c r="GS486" i="2" s="1"/>
  <c r="DW499" i="2"/>
  <c r="EP499" i="2" s="1"/>
  <c r="DW34" i="2"/>
  <c r="EP34" i="2" s="1"/>
  <c r="DW331" i="2"/>
  <c r="EP331" i="2" s="1"/>
  <c r="DP517" i="2"/>
  <c r="EI517" i="2" s="1"/>
  <c r="GS384" i="2"/>
  <c r="GZ601" i="2"/>
  <c r="DM452" i="2"/>
  <c r="DX452" i="2"/>
  <c r="EQ452" i="2" s="1"/>
  <c r="DW229" i="2"/>
  <c r="EP229" i="2" s="1"/>
  <c r="DW190" i="2"/>
  <c r="EP190" i="2" s="1"/>
  <c r="DW286" i="2"/>
  <c r="EP286" i="2" s="1"/>
  <c r="DW208" i="2"/>
  <c r="EP208" i="2" s="1"/>
  <c r="DW211" i="2"/>
  <c r="EP211" i="2" s="1"/>
  <c r="GX301" i="2"/>
  <c r="GY301" i="2" s="1"/>
  <c r="FI301" i="2"/>
  <c r="GB301" i="2" s="1"/>
  <c r="GZ301" i="2" s="1"/>
  <c r="HA301" i="2" s="1"/>
  <c r="DL560" i="2"/>
  <c r="DW560" i="2"/>
  <c r="EP560" i="2" s="1"/>
  <c r="DX215" i="2"/>
  <c r="EQ215" i="2" s="1"/>
  <c r="FQ230" i="2"/>
  <c r="GJ230" i="2" s="1"/>
  <c r="DX116" i="2"/>
  <c r="EQ116" i="2" s="1"/>
  <c r="DM76" i="2"/>
  <c r="DX76" i="2"/>
  <c r="EQ76" i="2" s="1"/>
  <c r="GP27" i="2"/>
  <c r="DW27" i="2"/>
  <c r="EP27" i="2" s="1"/>
  <c r="IQ12" i="2" s="1"/>
  <c r="DY375" i="2"/>
  <c r="ER375" i="2" s="1"/>
  <c r="FJ209" i="2"/>
  <c r="GC209" i="2" s="1"/>
  <c r="DW210" i="2"/>
  <c r="EP210" i="2" s="1"/>
  <c r="GS471" i="2"/>
  <c r="GR601" i="2"/>
  <c r="GS601" i="2" s="1"/>
  <c r="DX209" i="2"/>
  <c r="EQ209" i="2" s="1"/>
  <c r="GR273" i="2"/>
  <c r="GS273" i="2" s="1"/>
  <c r="DW235" i="2"/>
  <c r="EP235" i="2" s="1"/>
  <c r="EE218" i="2"/>
  <c r="EX218" i="2" s="1"/>
  <c r="EE229" i="2"/>
  <c r="EX229" i="2" s="1"/>
  <c r="GS631" i="2"/>
  <c r="AV1" i="2"/>
  <c r="EG205" i="2"/>
  <c r="EZ205" i="2" s="1"/>
  <c r="DL452" i="2"/>
  <c r="DW452" i="2"/>
  <c r="EP452" i="2" s="1"/>
  <c r="DW517" i="2"/>
  <c r="EP517" i="2" s="1"/>
  <c r="EE116" i="2"/>
  <c r="EX116" i="2" s="1"/>
  <c r="DL290" i="2"/>
  <c r="DW290" i="2"/>
  <c r="EP290" i="2" s="1"/>
  <c r="GR290" i="2" s="1"/>
  <c r="GS290" i="2" s="1"/>
  <c r="GP71" i="2"/>
  <c r="GQ71" i="2" s="1"/>
  <c r="DW71" i="2"/>
  <c r="EP71" i="2" s="1"/>
  <c r="DQ375" i="2"/>
  <c r="EJ375" i="2" s="1"/>
  <c r="DW209" i="2"/>
  <c r="EP209" i="2" s="1"/>
  <c r="DM211" i="2"/>
  <c r="DX211" i="2"/>
  <c r="EQ211" i="2" s="1"/>
  <c r="DL288" i="2"/>
  <c r="DW288" i="2"/>
  <c r="EP288" i="2" s="1"/>
  <c r="GR288" i="2" s="1"/>
  <c r="GS288" i="2" s="1"/>
  <c r="DL304" i="2"/>
  <c r="DW304" i="2"/>
  <c r="EP304" i="2" s="1"/>
  <c r="GR304" i="2" s="1"/>
  <c r="GS304" i="2" s="1"/>
  <c r="DL554" i="2"/>
  <c r="DW554" i="2"/>
  <c r="EP554" i="2" s="1"/>
  <c r="GR554" i="2" s="1"/>
  <c r="GS554" i="2" s="1"/>
  <c r="DL217" i="2"/>
  <c r="DW217" i="2"/>
  <c r="EP217" i="2" s="1"/>
  <c r="GR217" i="2" s="1"/>
  <c r="GS217" i="2" s="1"/>
  <c r="DL300" i="2"/>
  <c r="DW300" i="2"/>
  <c r="EP300" i="2" s="1"/>
  <c r="GR300" i="2" s="1"/>
  <c r="GS300" i="2" s="1"/>
  <c r="DL216" i="2"/>
  <c r="DW216" i="2"/>
  <c r="EP216" i="2" s="1"/>
  <c r="GR216" i="2" s="1"/>
  <c r="GS216" i="2" s="1"/>
  <c r="DP499" i="2"/>
  <c r="EI499" i="2" s="1"/>
  <c r="DL205" i="2"/>
  <c r="DW205" i="2"/>
  <c r="EP205" i="2" s="1"/>
  <c r="GR451" i="2"/>
  <c r="GS451" i="2" s="1"/>
  <c r="DQ514" i="2"/>
  <c r="EJ514" i="2" s="1"/>
  <c r="K1" i="2"/>
  <c r="DQ34" i="2"/>
  <c r="EJ34" i="2" s="1"/>
  <c r="GX112" i="2"/>
  <c r="GY112" i="2" s="1"/>
  <c r="FI112" i="2"/>
  <c r="GB112" i="2" s="1"/>
  <c r="GZ112" i="2" s="1"/>
  <c r="HA112" i="2" s="1"/>
  <c r="AG1" i="2"/>
  <c r="DR517" i="2"/>
  <c r="EK517" i="2" s="1"/>
  <c r="FI209" i="2"/>
  <c r="GB209" i="2" s="1"/>
  <c r="GS444" i="2"/>
  <c r="FI286" i="2"/>
  <c r="GB286" i="2" s="1"/>
  <c r="GQ576" i="2"/>
  <c r="GX117" i="2"/>
  <c r="GY117" i="2" s="1"/>
  <c r="DM190" i="2"/>
  <c r="DL453" i="2"/>
  <c r="DL169" i="2"/>
  <c r="DL371" i="2"/>
  <c r="GX209" i="2"/>
  <c r="GY209" i="2" s="1"/>
  <c r="GP34" i="2"/>
  <c r="GP485" i="2"/>
  <c r="AN1" i="2"/>
  <c r="GP359" i="2"/>
  <c r="DM116" i="2"/>
  <c r="GP209" i="2"/>
  <c r="GQ209" i="2" s="1"/>
  <c r="GQ308" i="2"/>
  <c r="GP230" i="2"/>
  <c r="GQ230" i="2" s="1"/>
  <c r="GP290" i="2"/>
  <c r="GQ290" i="2" s="1"/>
  <c r="DL209" i="2"/>
  <c r="DL211" i="2"/>
  <c r="GP295" i="2"/>
  <c r="GQ295" i="2" s="1"/>
  <c r="DL286" i="2"/>
  <c r="GP210" i="2"/>
  <c r="GQ210" i="2" s="1"/>
  <c r="CX1" i="2"/>
  <c r="GP218" i="2"/>
  <c r="GQ218" i="2" s="1"/>
  <c r="GX359" i="2"/>
  <c r="GY359" i="2" s="1"/>
  <c r="ID26" i="2" s="1"/>
  <c r="DL320" i="2"/>
  <c r="GP108" i="2"/>
  <c r="GQ108" i="2" s="1"/>
  <c r="GX208" i="2"/>
  <c r="GY208" i="2" s="1"/>
  <c r="CC1" i="2"/>
  <c r="DM117" i="2"/>
  <c r="GP216" i="2"/>
  <c r="GQ216" i="2" s="1"/>
  <c r="GP171" i="2"/>
  <c r="GQ171" i="2" s="1"/>
  <c r="CK1" i="2"/>
  <c r="DM453" i="2"/>
  <c r="AK1" i="2"/>
  <c r="GP177" i="2"/>
  <c r="GQ177" i="2" s="1"/>
  <c r="GP159" i="2"/>
  <c r="GQ159" i="2" s="1"/>
  <c r="GP234" i="2"/>
  <c r="GQ234" i="2" s="1"/>
  <c r="DL34" i="2"/>
  <c r="DL229" i="2"/>
  <c r="S1" i="2"/>
  <c r="GP453" i="2"/>
  <c r="GQ453" i="2" s="1"/>
  <c r="GX560" i="2"/>
  <c r="GY560" i="2" s="1"/>
  <c r="DM235" i="2"/>
  <c r="GP211" i="2"/>
  <c r="GQ211" i="2" s="1"/>
  <c r="GP499" i="2"/>
  <c r="GQ499" i="2" s="1"/>
  <c r="BI1" i="2"/>
  <c r="GP300" i="2"/>
  <c r="GQ300" i="2" s="1"/>
  <c r="AU1" i="2"/>
  <c r="GP206" i="2"/>
  <c r="GQ206" i="2" s="1"/>
  <c r="GP215" i="2"/>
  <c r="GQ215" i="2" s="1"/>
  <c r="GP333" i="2"/>
  <c r="GQ333" i="2" s="1"/>
  <c r="DM205" i="2"/>
  <c r="AZ1" i="2"/>
  <c r="GP273" i="2"/>
  <c r="GQ273" i="2" s="1"/>
  <c r="Z1" i="2"/>
  <c r="GP235" i="2"/>
  <c r="GQ235" i="2" s="1"/>
  <c r="DM499" i="2"/>
  <c r="GP117" i="2"/>
  <c r="GQ117" i="2" s="1"/>
  <c r="DF1" i="2"/>
  <c r="DL208" i="2"/>
  <c r="DL230" i="2"/>
  <c r="GP560" i="2"/>
  <c r="GQ560" i="2" s="1"/>
  <c r="AH1" i="2"/>
  <c r="CP1" i="2"/>
  <c r="GP319" i="2"/>
  <c r="GQ319" i="2" s="1"/>
  <c r="GP297" i="2"/>
  <c r="GQ297" i="2" s="1"/>
  <c r="DL297" i="2"/>
  <c r="GP320" i="2"/>
  <c r="GQ320" i="2" s="1"/>
  <c r="GP565" i="2"/>
  <c r="GQ565" i="2" s="1"/>
  <c r="GP116" i="2"/>
  <c r="GQ116" i="2" s="1"/>
  <c r="GP208" i="2"/>
  <c r="GQ208" i="2" s="1"/>
  <c r="BJ1" i="2"/>
  <c r="T1" i="2"/>
  <c r="GP205" i="2"/>
  <c r="GQ205" i="2" s="1"/>
  <c r="GP298" i="2"/>
  <c r="GQ298" i="2" s="1"/>
  <c r="GP567" i="2"/>
  <c r="GQ567" i="2" s="1"/>
  <c r="GP517" i="2"/>
  <c r="GQ517" i="2" s="1"/>
  <c r="DL517" i="2"/>
  <c r="AF1" i="2"/>
  <c r="BO1" i="2"/>
  <c r="Y1" i="2"/>
  <c r="CW1" i="2"/>
  <c r="GP190" i="2"/>
  <c r="GQ190" i="2" s="1"/>
  <c r="GP217" i="2"/>
  <c r="GQ217" i="2" s="1"/>
  <c r="GP145" i="2"/>
  <c r="GQ145" i="2" s="1"/>
  <c r="GP31" i="2"/>
  <c r="GQ31" i="2" s="1"/>
  <c r="HU13" i="2" s="1"/>
  <c r="HR13" i="2" s="1"/>
  <c r="GP93" i="2"/>
  <c r="DL93" i="2"/>
  <c r="GP306" i="2"/>
  <c r="GQ306" i="2" s="1"/>
  <c r="DL306" i="2"/>
  <c r="CB1" i="2"/>
  <c r="Q1" i="2"/>
  <c r="DL153" i="2"/>
  <c r="GP153" i="2"/>
  <c r="GQ153" i="2" s="1"/>
  <c r="AM1" i="2"/>
  <c r="GP139" i="2"/>
  <c r="GQ139" i="2" s="1"/>
  <c r="DL458" i="2"/>
  <c r="GP458" i="2"/>
  <c r="GQ458" i="2" s="1"/>
  <c r="GP278" i="2"/>
  <c r="GQ278" i="2" s="1"/>
  <c r="DM514" i="2"/>
  <c r="DL210" i="2"/>
  <c r="GP454" i="2"/>
  <c r="GQ454" i="2" s="1"/>
  <c r="DL491" i="2"/>
  <c r="GP491" i="2"/>
  <c r="GQ491" i="2" s="1"/>
  <c r="DM333" i="2"/>
  <c r="BA1" i="2"/>
  <c r="AE1" i="2"/>
  <c r="GP304" i="2"/>
  <c r="GQ304" i="2" s="1"/>
  <c r="DL331" i="2"/>
  <c r="GQ16" i="2"/>
  <c r="GP26" i="2"/>
  <c r="GQ26" i="2" s="1"/>
  <c r="DL26" i="2"/>
  <c r="GY218" i="2"/>
  <c r="GP361" i="2"/>
  <c r="GQ361" i="2" s="1"/>
  <c r="GX453" i="2"/>
  <c r="GY453" i="2" s="1"/>
  <c r="IB28" i="2" s="1"/>
  <c r="GP486" i="2"/>
  <c r="GQ486" i="2" s="1"/>
  <c r="DL486" i="2"/>
  <c r="GP288" i="2"/>
  <c r="GQ288" i="2" s="1"/>
  <c r="GP514" i="2"/>
  <c r="GQ514" i="2" s="1"/>
  <c r="DL514" i="2"/>
  <c r="GX229" i="2"/>
  <c r="GY229" i="2" s="1"/>
  <c r="GP244" i="2"/>
  <c r="GQ244" i="2" s="1"/>
  <c r="CJ1" i="2"/>
  <c r="GP301" i="2"/>
  <c r="GQ301" i="2" s="1"/>
  <c r="GQ303" i="2"/>
  <c r="DM153" i="2"/>
  <c r="R1" i="2"/>
  <c r="GP543" i="2"/>
  <c r="GQ543" i="2" s="1"/>
  <c r="BH1" i="2"/>
  <c r="GQ231" i="2"/>
  <c r="BP1" i="2"/>
  <c r="DL451" i="2"/>
  <c r="GP451" i="2"/>
  <c r="GQ451" i="2" s="1"/>
  <c r="GP144" i="2"/>
  <c r="GQ144" i="2" s="1"/>
  <c r="DL144" i="2"/>
  <c r="GP568" i="2"/>
  <c r="GQ568" i="2" s="1"/>
  <c r="GP169" i="2"/>
  <c r="GQ169" i="2" s="1"/>
  <c r="GP229" i="2"/>
  <c r="GQ229" i="2" s="1"/>
  <c r="DL116" i="2"/>
  <c r="DL499" i="2"/>
  <c r="DL497" i="2"/>
  <c r="GP497" i="2"/>
  <c r="GQ497" i="2" s="1"/>
  <c r="J1" i="2"/>
  <c r="GP310" i="2"/>
  <c r="GQ310" i="2" s="1"/>
  <c r="BG1" i="2"/>
  <c r="GP76" i="2"/>
  <c r="GQ76" i="2" s="1"/>
  <c r="DL76" i="2"/>
  <c r="DE1" i="2"/>
  <c r="AO1" i="2"/>
  <c r="GP326" i="2"/>
  <c r="GQ326" i="2" s="1"/>
  <c r="DL326" i="2"/>
  <c r="GQ317" i="2"/>
  <c r="AL1" i="2"/>
  <c r="BC1" i="2"/>
  <c r="AT1" i="2"/>
  <c r="GP207" i="2"/>
  <c r="GQ207" i="2" s="1"/>
  <c r="DL207" i="2"/>
  <c r="GY543" i="2"/>
  <c r="GQ384" i="2"/>
  <c r="GQ112" i="2"/>
  <c r="GQ471" i="2"/>
  <c r="HU29" i="2" s="1"/>
  <c r="HR29" i="2" s="1"/>
  <c r="GX116" i="2"/>
  <c r="GY116" i="2" s="1"/>
  <c r="GQ375" i="2"/>
  <c r="GY71" i="2"/>
  <c r="ID18" i="2" s="1"/>
  <c r="DL333" i="2"/>
  <c r="GP452" i="2"/>
  <c r="GQ452" i="2" s="1"/>
  <c r="T351" i="1"/>
  <c r="BI351" i="1"/>
  <c r="AN351" i="1"/>
  <c r="HP40" i="2" l="1"/>
  <c r="HU27" i="2"/>
  <c r="HR27" i="2" s="1"/>
  <c r="GQ286" i="2"/>
  <c r="HT24" i="2"/>
  <c r="HS24" i="2"/>
  <c r="GQ15" i="2"/>
  <c r="HS8" i="2"/>
  <c r="HT8" i="2"/>
  <c r="HT18" i="2"/>
  <c r="GQ93" i="2"/>
  <c r="HS20" i="2"/>
  <c r="HT20" i="2"/>
  <c r="HT11" i="2"/>
  <c r="HR36" i="2"/>
  <c r="HU45" i="2"/>
  <c r="HS11" i="2"/>
  <c r="GQ359" i="2"/>
  <c r="HS26" i="2"/>
  <c r="HT26" i="2"/>
  <c r="HS32" i="2"/>
  <c r="GQ624" i="2"/>
  <c r="HW35" i="2" s="1"/>
  <c r="HT35" i="2"/>
  <c r="HS35" i="2"/>
  <c r="HS21" i="2"/>
  <c r="HT10" i="2"/>
  <c r="HS23" i="2"/>
  <c r="GQ485" i="2"/>
  <c r="HT30" i="2"/>
  <c r="HS30" i="2"/>
  <c r="HT21" i="2"/>
  <c r="HS10" i="2"/>
  <c r="HT32" i="2"/>
  <c r="GQ34" i="2"/>
  <c r="HS14" i="2"/>
  <c r="HT14" i="2"/>
  <c r="HS28" i="2"/>
  <c r="HT23" i="2"/>
  <c r="GQ27" i="2"/>
  <c r="HS12" i="2"/>
  <c r="HT12" i="2"/>
  <c r="HT28" i="2"/>
  <c r="GQ562" i="2"/>
  <c r="HW33" i="2" s="1"/>
  <c r="HS33" i="2"/>
  <c r="HT33" i="2"/>
  <c r="GQ631" i="2"/>
  <c r="HU37" i="2" s="1"/>
  <c r="HU46" i="2" s="1"/>
  <c r="HS37" i="2"/>
  <c r="HT37" i="2"/>
  <c r="HT13" i="2"/>
  <c r="HQ39" i="2"/>
  <c r="HS13" i="2"/>
  <c r="HT22" i="2"/>
  <c r="HS18" i="2"/>
  <c r="HS22" i="2"/>
  <c r="HQ41" i="2"/>
  <c r="IW28" i="2"/>
  <c r="HN30" i="2"/>
  <c r="HN41" i="2" s="1"/>
  <c r="HZ41" i="2"/>
  <c r="JA28" i="2"/>
  <c r="IA28" i="2"/>
  <c r="GZ560" i="2"/>
  <c r="HA560" i="2" s="1"/>
  <c r="IR36" i="2"/>
  <c r="HP49" i="2"/>
  <c r="IJ21" i="2"/>
  <c r="IS21" i="2"/>
  <c r="IL21" i="2"/>
  <c r="IF21" i="2"/>
  <c r="IO21" i="2"/>
  <c r="IG21" i="2"/>
  <c r="IR21" i="2"/>
  <c r="IK21" i="2"/>
  <c r="IQ21" i="2"/>
  <c r="IH21" i="2"/>
  <c r="IP21" i="2"/>
  <c r="GR207" i="2"/>
  <c r="GS207" i="2" s="1"/>
  <c r="HO13" i="2"/>
  <c r="IA42" i="2"/>
  <c r="HV37" i="2"/>
  <c r="IC43" i="2"/>
  <c r="II21" i="2"/>
  <c r="HO20" i="2"/>
  <c r="HN49" i="2"/>
  <c r="HO22" i="2"/>
  <c r="HX41" i="2"/>
  <c r="IX28" i="2"/>
  <c r="HQ42" i="2"/>
  <c r="HQ49" i="2" s="1"/>
  <c r="HO49" i="2"/>
  <c r="HZ1" i="2"/>
  <c r="HZ39" i="2"/>
  <c r="HR19" i="2"/>
  <c r="HO24" i="2"/>
  <c r="HO41" i="2" s="1"/>
  <c r="GR458" i="2"/>
  <c r="GS458" i="2" s="1"/>
  <c r="HR25" i="2"/>
  <c r="ID32" i="2"/>
  <c r="HW44" i="2"/>
  <c r="HR7" i="2"/>
  <c r="HP39" i="2"/>
  <c r="IF26" i="2"/>
  <c r="HQ1" i="2"/>
  <c r="HY32" i="2"/>
  <c r="HY41" i="2" s="1"/>
  <c r="HQ43" i="2"/>
  <c r="IA14" i="2"/>
  <c r="JD28" i="2"/>
  <c r="GT1" i="2"/>
  <c r="HN18" i="2"/>
  <c r="HN39" i="2" s="1"/>
  <c r="GV1" i="2"/>
  <c r="GU1" i="2"/>
  <c r="HO10" i="2"/>
  <c r="HY22" i="2"/>
  <c r="HY39" i="2" s="1"/>
  <c r="IN36" i="2"/>
  <c r="IK33" i="2"/>
  <c r="HW36" i="2"/>
  <c r="HW45" i="2" s="1"/>
  <c r="JA24" i="2"/>
  <c r="HY16" i="2"/>
  <c r="HY43" i="2" s="1"/>
  <c r="HC1" i="2"/>
  <c r="HU26" i="2"/>
  <c r="HR26" i="2" s="1"/>
  <c r="GZ229" i="2"/>
  <c r="HA229" i="2" s="1"/>
  <c r="HX18" i="2"/>
  <c r="HX39" i="2" s="1"/>
  <c r="HX50" i="2" s="1"/>
  <c r="HX51" i="2" s="1"/>
  <c r="HB1" i="2"/>
  <c r="IF30" i="2"/>
  <c r="IF36" i="2"/>
  <c r="HP24" i="2"/>
  <c r="HP41" i="2" s="1"/>
  <c r="IH32" i="2"/>
  <c r="IO30" i="2"/>
  <c r="IS36" i="2"/>
  <c r="IM20" i="2"/>
  <c r="HV33" i="2"/>
  <c r="HW30" i="2"/>
  <c r="IS24" i="2"/>
  <c r="IN32" i="2"/>
  <c r="IJ36" i="2"/>
  <c r="GR76" i="2"/>
  <c r="GS76" i="2" s="1"/>
  <c r="IJ30" i="2"/>
  <c r="IO32" i="2"/>
  <c r="HA34" i="2"/>
  <c r="IM36" i="2"/>
  <c r="IO36" i="2"/>
  <c r="IL36" i="2"/>
  <c r="IP36" i="2"/>
  <c r="IG28" i="2"/>
  <c r="IK28" i="2"/>
  <c r="IP32" i="2"/>
  <c r="IN28" i="2"/>
  <c r="IM21" i="2"/>
  <c r="HV34" i="2"/>
  <c r="IG36" i="2"/>
  <c r="IQ36" i="2"/>
  <c r="IK36" i="2"/>
  <c r="GS624" i="2"/>
  <c r="HV35" i="2"/>
  <c r="IG32" i="2"/>
  <c r="HW21" i="2"/>
  <c r="HW32" i="2"/>
  <c r="IH36" i="2"/>
  <c r="II36" i="2"/>
  <c r="ID20" i="2"/>
  <c r="IF24" i="2"/>
  <c r="IQ33" i="2"/>
  <c r="IL32" i="2"/>
  <c r="IV26" i="2"/>
  <c r="IP33" i="2"/>
  <c r="JG24" i="2"/>
  <c r="HU30" i="2"/>
  <c r="HR30" i="2" s="1"/>
  <c r="JB26" i="2"/>
  <c r="JC26" i="2"/>
  <c r="IL33" i="2"/>
  <c r="IZ32" i="2"/>
  <c r="II30" i="2"/>
  <c r="II26" i="2"/>
  <c r="IF22" i="2"/>
  <c r="II20" i="2"/>
  <c r="IC26" i="2"/>
  <c r="IS33" i="2"/>
  <c r="IS26" i="2"/>
  <c r="IM33" i="2"/>
  <c r="IS30" i="2"/>
  <c r="IG33" i="2"/>
  <c r="JF24" i="2"/>
  <c r="IB26" i="2"/>
  <c r="IA26" i="2" s="1"/>
  <c r="IP28" i="2"/>
  <c r="IW32" i="2"/>
  <c r="IR32" i="2"/>
  <c r="IQ20" i="2"/>
  <c r="IN24" i="2"/>
  <c r="GS501" i="2"/>
  <c r="HV31" i="2"/>
  <c r="IU24" i="2"/>
  <c r="IG30" i="2"/>
  <c r="IK30" i="2"/>
  <c r="IL28" i="2"/>
  <c r="IK32" i="2"/>
  <c r="IF33" i="2"/>
  <c r="JB24" i="2"/>
  <c r="IQ28" i="2"/>
  <c r="JA26" i="2"/>
  <c r="JE26" i="2"/>
  <c r="IH22" i="2"/>
  <c r="HU22" i="2"/>
  <c r="HR22" i="2" s="1"/>
  <c r="GR359" i="2"/>
  <c r="GS359" i="2" s="1"/>
  <c r="IM26" i="2"/>
  <c r="HA483" i="2"/>
  <c r="IC30" i="2"/>
  <c r="IJ33" i="2"/>
  <c r="IL30" i="2"/>
  <c r="JG32" i="2"/>
  <c r="IJ28" i="2"/>
  <c r="IX24" i="2"/>
  <c r="HU32" i="2"/>
  <c r="HR32" i="2" s="1"/>
  <c r="JD32" i="2"/>
  <c r="IQ30" i="2"/>
  <c r="JC22" i="2"/>
  <c r="GS503" i="2"/>
  <c r="IC28" i="2"/>
  <c r="IA33" i="2"/>
  <c r="IH26" i="2"/>
  <c r="JC24" i="2"/>
  <c r="IW24" i="2"/>
  <c r="ID28" i="2"/>
  <c r="HW26" i="2"/>
  <c r="JE32" i="2"/>
  <c r="HA601" i="2"/>
  <c r="IC33" i="2"/>
  <c r="IC42" i="2" s="1"/>
  <c r="JB22" i="2"/>
  <c r="IM32" i="2"/>
  <c r="IO26" i="2"/>
  <c r="II28" i="2"/>
  <c r="IS28" i="2"/>
  <c r="IO33" i="2"/>
  <c r="IZ26" i="2"/>
  <c r="IY26" i="2"/>
  <c r="IJ32" i="2"/>
  <c r="IR26" i="2"/>
  <c r="IR22" i="2"/>
  <c r="IM28" i="2"/>
  <c r="IQ22" i="2"/>
  <c r="HV27" i="2"/>
  <c r="IV32" i="2"/>
  <c r="IY24" i="2"/>
  <c r="IU26" i="2"/>
  <c r="IH30" i="2"/>
  <c r="JA32" i="2"/>
  <c r="IQ26" i="2"/>
  <c r="IY32" i="2"/>
  <c r="IN26" i="2"/>
  <c r="IB32" i="2"/>
  <c r="IA32" i="2" s="1"/>
  <c r="JE24" i="2"/>
  <c r="IX32" i="2"/>
  <c r="IP26" i="2"/>
  <c r="IQ32" i="2"/>
  <c r="IR24" i="2"/>
  <c r="IT26" i="2"/>
  <c r="IK26" i="2"/>
  <c r="IT32" i="2"/>
  <c r="IS32" i="2"/>
  <c r="JB32" i="2"/>
  <c r="IH33" i="2"/>
  <c r="IN33" i="2"/>
  <c r="JD26" i="2"/>
  <c r="II32" i="2"/>
  <c r="IO24" i="2"/>
  <c r="IF28" i="2"/>
  <c r="IM30" i="2"/>
  <c r="GS466" i="2"/>
  <c r="HV29" i="2"/>
  <c r="JG26" i="2"/>
  <c r="IT24" i="2"/>
  <c r="IF32" i="2"/>
  <c r="IU32" i="2"/>
  <c r="IH28" i="2"/>
  <c r="JD24" i="2"/>
  <c r="JF32" i="2"/>
  <c r="JF26" i="2"/>
  <c r="IH18" i="2"/>
  <c r="JB20" i="2"/>
  <c r="ID22" i="2"/>
  <c r="II33" i="2"/>
  <c r="HW29" i="2"/>
  <c r="IR28" i="2"/>
  <c r="IN30" i="2"/>
  <c r="IJ26" i="2"/>
  <c r="IP30" i="2"/>
  <c r="IN22" i="2"/>
  <c r="HU23" i="2"/>
  <c r="HR23" i="2" s="1"/>
  <c r="IN20" i="2"/>
  <c r="HU28" i="2"/>
  <c r="HR28" i="2" s="1"/>
  <c r="HW28" i="2"/>
  <c r="IO28" i="2"/>
  <c r="IQ24" i="2"/>
  <c r="IL26" i="2"/>
  <c r="IZ24" i="2"/>
  <c r="IG26" i="2"/>
  <c r="IV24" i="2"/>
  <c r="IR33" i="2"/>
  <c r="JC32" i="2"/>
  <c r="IX26" i="2"/>
  <c r="IW26" i="2"/>
  <c r="IR30" i="2"/>
  <c r="IY22" i="2"/>
  <c r="JC20" i="2"/>
  <c r="HW23" i="2"/>
  <c r="IU20" i="2"/>
  <c r="JG22" i="2"/>
  <c r="IJ24" i="2"/>
  <c r="IT20" i="2"/>
  <c r="IP24" i="2"/>
  <c r="IG22" i="2"/>
  <c r="IX22" i="2"/>
  <c r="ID24" i="2"/>
  <c r="IB24" i="2"/>
  <c r="HW22" i="2"/>
  <c r="JG20" i="2"/>
  <c r="II24" i="2"/>
  <c r="IS22" i="2"/>
  <c r="JF20" i="2"/>
  <c r="IB20" i="2"/>
  <c r="IA20" i="2" s="1"/>
  <c r="IH24" i="2"/>
  <c r="IU22" i="2"/>
  <c r="JD22" i="2"/>
  <c r="IL22" i="2"/>
  <c r="IZ20" i="2"/>
  <c r="IG20" i="2"/>
  <c r="JA22" i="2"/>
  <c r="IW22" i="2"/>
  <c r="IR20" i="2"/>
  <c r="IK22" i="2"/>
  <c r="HV21" i="2"/>
  <c r="IW20" i="2"/>
  <c r="IO20" i="2"/>
  <c r="IM24" i="2"/>
  <c r="IL24" i="2"/>
  <c r="IK24" i="2"/>
  <c r="IY20" i="2"/>
  <c r="IF20" i="2"/>
  <c r="IO22" i="2"/>
  <c r="JE20" i="2"/>
  <c r="IJ22" i="2"/>
  <c r="IM22" i="2"/>
  <c r="IL20" i="2"/>
  <c r="IH20" i="2"/>
  <c r="GS238" i="2"/>
  <c r="HV23" i="2"/>
  <c r="IV22" i="2"/>
  <c r="IZ22" i="2"/>
  <c r="IV20" i="2"/>
  <c r="IG24" i="2"/>
  <c r="IX20" i="2"/>
  <c r="JF22" i="2"/>
  <c r="IS20" i="2"/>
  <c r="IP20" i="2"/>
  <c r="IB22" i="2"/>
  <c r="IA22" i="2" s="1"/>
  <c r="II22" i="2"/>
  <c r="IP22" i="2"/>
  <c r="HU20" i="2"/>
  <c r="HR20" i="2" s="1"/>
  <c r="HW20" i="2"/>
  <c r="HW18" i="2"/>
  <c r="IJ20" i="2"/>
  <c r="IA24" i="2"/>
  <c r="JE22" i="2"/>
  <c r="JA20" i="2"/>
  <c r="HW24" i="2"/>
  <c r="HU24" i="2"/>
  <c r="HU21" i="2"/>
  <c r="HR21" i="2" s="1"/>
  <c r="IK20" i="2"/>
  <c r="IT22" i="2"/>
  <c r="HV25" i="2"/>
  <c r="JD20" i="2"/>
  <c r="IL18" i="2"/>
  <c r="IF14" i="2"/>
  <c r="GR71" i="2"/>
  <c r="IM18" i="2"/>
  <c r="IF18" i="2"/>
  <c r="HV19" i="2"/>
  <c r="IO18" i="2"/>
  <c r="IB18" i="2"/>
  <c r="IK18" i="2"/>
  <c r="IN18" i="2"/>
  <c r="IR18" i="2"/>
  <c r="IC18" i="2"/>
  <c r="HU18" i="2"/>
  <c r="IP18" i="2"/>
  <c r="IJ18" i="2"/>
  <c r="II18" i="2"/>
  <c r="IG18" i="2"/>
  <c r="IS18" i="2"/>
  <c r="IQ18" i="2"/>
  <c r="GR215" i="2"/>
  <c r="GS215" i="2" s="1"/>
  <c r="GR22" i="2"/>
  <c r="GS22" i="2" s="1"/>
  <c r="IR14" i="2"/>
  <c r="HW14" i="2"/>
  <c r="HU14" i="2"/>
  <c r="HR14" i="2" s="1"/>
  <c r="IM14" i="2"/>
  <c r="HU10" i="2"/>
  <c r="HR10" i="2" s="1"/>
  <c r="IK14" i="2"/>
  <c r="IP14" i="2"/>
  <c r="IS14" i="2"/>
  <c r="GS48" i="2"/>
  <c r="HV16" i="2"/>
  <c r="IG14" i="2"/>
  <c r="IN11" i="2"/>
  <c r="IN14" i="2"/>
  <c r="IO14" i="2"/>
  <c r="IJ14" i="2"/>
  <c r="IL13" i="2"/>
  <c r="ID16" i="2"/>
  <c r="IB16" i="2"/>
  <c r="IA16" i="2" s="1"/>
  <c r="IQ14" i="2"/>
  <c r="IL14" i="2"/>
  <c r="GR543" i="2"/>
  <c r="GS543" i="2" s="1"/>
  <c r="IH14" i="2"/>
  <c r="II14" i="2"/>
  <c r="HV15" i="2"/>
  <c r="IJ11" i="2"/>
  <c r="IG11" i="2"/>
  <c r="IF11" i="2"/>
  <c r="IN10" i="2"/>
  <c r="IO10" i="2"/>
  <c r="IP11" i="2"/>
  <c r="IK11" i="2"/>
  <c r="GR491" i="2"/>
  <c r="GS491" i="2" s="1"/>
  <c r="IM11" i="2"/>
  <c r="IG10" i="2"/>
  <c r="IH10" i="2"/>
  <c r="HW10" i="2"/>
  <c r="IS10" i="2"/>
  <c r="GZ230" i="2"/>
  <c r="HA230" i="2" s="1"/>
  <c r="HU11" i="2"/>
  <c r="HR11" i="2" s="1"/>
  <c r="II10" i="2"/>
  <c r="IQ11" i="2"/>
  <c r="IH11" i="2"/>
  <c r="IL11" i="2"/>
  <c r="IQ10" i="2"/>
  <c r="IJ10" i="2"/>
  <c r="IR11" i="2"/>
  <c r="IF10" i="2"/>
  <c r="IS11" i="2"/>
  <c r="IM10" i="2"/>
  <c r="IO11" i="2"/>
  <c r="II11" i="2"/>
  <c r="IP10" i="2"/>
  <c r="IL10" i="2"/>
  <c r="HV10" i="2"/>
  <c r="IK10" i="2"/>
  <c r="IR10" i="2"/>
  <c r="IN13" i="2"/>
  <c r="IP13" i="2"/>
  <c r="HV6" i="2"/>
  <c r="HW8" i="2"/>
  <c r="HU8" i="2"/>
  <c r="HR8" i="2" s="1"/>
  <c r="HV9" i="2"/>
  <c r="GS5" i="2"/>
  <c r="HV5" i="2" s="1"/>
  <c r="IL12" i="2"/>
  <c r="IS13" i="2"/>
  <c r="HW13" i="2"/>
  <c r="IG12" i="2"/>
  <c r="IS12" i="2"/>
  <c r="IR12" i="2"/>
  <c r="HA53" i="2"/>
  <c r="IJ12" i="2"/>
  <c r="IO12" i="2"/>
  <c r="IM13" i="2"/>
  <c r="IJ13" i="2"/>
  <c r="HA357" i="2"/>
  <c r="GR27" i="2"/>
  <c r="IM12" i="2"/>
  <c r="IK12" i="2"/>
  <c r="HW12" i="2"/>
  <c r="HU12" i="2"/>
  <c r="HR12" i="2" s="1"/>
  <c r="GR286" i="2"/>
  <c r="HA506" i="2"/>
  <c r="HA93" i="2"/>
  <c r="IH12" i="2"/>
  <c r="GS15" i="2"/>
  <c r="HA371" i="2"/>
  <c r="II12" i="2"/>
  <c r="GR485" i="2"/>
  <c r="GS485" i="2" s="1"/>
  <c r="GZ208" i="2"/>
  <c r="HA208" i="2" s="1"/>
  <c r="IN12" i="2"/>
  <c r="GS562" i="2"/>
  <c r="HA25" i="2"/>
  <c r="GS47" i="2"/>
  <c r="HR5" i="2"/>
  <c r="IF13" i="2"/>
  <c r="IO13" i="2"/>
  <c r="IQ13" i="2"/>
  <c r="IF12" i="2"/>
  <c r="IG13" i="2"/>
  <c r="II13" i="2"/>
  <c r="GZ286" i="2"/>
  <c r="IC24" i="2" s="1"/>
  <c r="GS483" i="2"/>
  <c r="IH13" i="2"/>
  <c r="IR13" i="2"/>
  <c r="IK13" i="2"/>
  <c r="IP12" i="2"/>
  <c r="GR208" i="2"/>
  <c r="GS208" i="2" s="1"/>
  <c r="GR514" i="2"/>
  <c r="GS514" i="2" s="1"/>
  <c r="GR560" i="2"/>
  <c r="GS560" i="2" s="1"/>
  <c r="GR190" i="2"/>
  <c r="GS190" i="2" s="1"/>
  <c r="GR34" i="2"/>
  <c r="HV14" i="2" s="1"/>
  <c r="GR235" i="2"/>
  <c r="GS235" i="2" s="1"/>
  <c r="GR453" i="2"/>
  <c r="GS453" i="2" s="1"/>
  <c r="GR117" i="2"/>
  <c r="GS117" i="2" s="1"/>
  <c r="GR375" i="2"/>
  <c r="GS375" i="2" s="1"/>
  <c r="GR159" i="2"/>
  <c r="GZ117" i="2"/>
  <c r="HA117" i="2" s="1"/>
  <c r="GR211" i="2"/>
  <c r="GS211" i="2" s="1"/>
  <c r="GR31" i="2"/>
  <c r="GR205" i="2"/>
  <c r="GS205" i="2" s="1"/>
  <c r="GR230" i="2"/>
  <c r="GS230" i="2" s="1"/>
  <c r="GR218" i="2"/>
  <c r="GS218" i="2" s="1"/>
  <c r="GZ209" i="2"/>
  <c r="HA209" i="2" s="1"/>
  <c r="GR452" i="2"/>
  <c r="GS452" i="2" s="1"/>
  <c r="GR454" i="2"/>
  <c r="GS454" i="2" s="1"/>
  <c r="GR499" i="2"/>
  <c r="GS499" i="2" s="1"/>
  <c r="GR209" i="2"/>
  <c r="GS209" i="2" s="1"/>
  <c r="GR517" i="2"/>
  <c r="GS517" i="2" s="1"/>
  <c r="GR171" i="2"/>
  <c r="GS171" i="2" s="1"/>
  <c r="GR331" i="2"/>
  <c r="GS331" i="2" s="1"/>
  <c r="GR116" i="2"/>
  <c r="GS116" i="2" s="1"/>
  <c r="GR229" i="2"/>
  <c r="GS229" i="2" s="1"/>
  <c r="GR333" i="2"/>
  <c r="GS333" i="2" s="1"/>
  <c r="GR210" i="2"/>
  <c r="GS210" i="2" s="1"/>
  <c r="GR371" i="2"/>
  <c r="GQ1" i="2"/>
  <c r="GY1" i="2"/>
  <c r="DV383" i="1"/>
  <c r="DR383" i="1"/>
  <c r="DS383" i="1" s="1"/>
  <c r="DT383" i="1" s="1"/>
  <c r="DO383" i="1"/>
  <c r="DN383" i="1"/>
  <c r="DV382" i="1"/>
  <c r="DR382" i="1"/>
  <c r="BT382" i="1"/>
  <c r="BJ382" i="1"/>
  <c r="DO382" i="1" s="1"/>
  <c r="BI382" i="1"/>
  <c r="DN382" i="1" s="1"/>
  <c r="BB382" i="1"/>
  <c r="DV381" i="1"/>
  <c r="DR381" i="1"/>
  <c r="DS381" i="1" s="1"/>
  <c r="DO381" i="1"/>
  <c r="DN381" i="1"/>
  <c r="DV380" i="1"/>
  <c r="BA380" i="1"/>
  <c r="AF380" i="1"/>
  <c r="K380" i="1"/>
  <c r="DV379" i="1"/>
  <c r="BA379" i="1"/>
  <c r="AF379" i="1"/>
  <c r="K379" i="1"/>
  <c r="DV504" i="1"/>
  <c r="BA504" i="1"/>
  <c r="DO504" i="1" s="1"/>
  <c r="DV572" i="1"/>
  <c r="BA572" i="1"/>
  <c r="DO572" i="1" s="1"/>
  <c r="DV571" i="1"/>
  <c r="BA571" i="1"/>
  <c r="AF571" i="1"/>
  <c r="K571" i="1"/>
  <c r="DV570" i="1"/>
  <c r="DC570" i="1"/>
  <c r="CS570" i="1"/>
  <c r="CK570" i="1"/>
  <c r="CH570" i="1"/>
  <c r="BX570" i="1"/>
  <c r="BP570" i="1"/>
  <c r="BM570" i="1"/>
  <c r="BJ570" i="1"/>
  <c r="BI570" i="1"/>
  <c r="BC570" i="1"/>
  <c r="BB570" i="1"/>
  <c r="BA570" i="1"/>
  <c r="AU570" i="1"/>
  <c r="AR570" i="1"/>
  <c r="AH570" i="1"/>
  <c r="Z570" i="1"/>
  <c r="W570" i="1"/>
  <c r="M570" i="1"/>
  <c r="DV569" i="1"/>
  <c r="DR569" i="1"/>
  <c r="DO569" i="1"/>
  <c r="BL569" i="1"/>
  <c r="BK569" i="1"/>
  <c r="BI569" i="1"/>
  <c r="BC569" i="1"/>
  <c r="BB569" i="1"/>
  <c r="DV568" i="1"/>
  <c r="DR568" i="1"/>
  <c r="DS568" i="1" s="1"/>
  <c r="DO568" i="1"/>
  <c r="DN568" i="1"/>
  <c r="DV567" i="1"/>
  <c r="DR567" i="1"/>
  <c r="DO567" i="1"/>
  <c r="DN567" i="1"/>
  <c r="DV566" i="1"/>
  <c r="DR566" i="1"/>
  <c r="DS566" i="1" s="1"/>
  <c r="DO566" i="1"/>
  <c r="DN566" i="1"/>
  <c r="DV565" i="1"/>
  <c r="DR565" i="1"/>
  <c r="DO565" i="1"/>
  <c r="DN565" i="1"/>
  <c r="DV564" i="1"/>
  <c r="DR564" i="1"/>
  <c r="DS564" i="1" s="1"/>
  <c r="DO564" i="1"/>
  <c r="DN564" i="1"/>
  <c r="DV563" i="1"/>
  <c r="DR563" i="1"/>
  <c r="DO563" i="1"/>
  <c r="DN563" i="1"/>
  <c r="DV562" i="1"/>
  <c r="DR562" i="1"/>
  <c r="DS562" i="1" s="1"/>
  <c r="DO562" i="1"/>
  <c r="DN562" i="1"/>
  <c r="DV561" i="1"/>
  <c r="DW561" i="1" s="1"/>
  <c r="DX561" i="1" s="1"/>
  <c r="DR561" i="1"/>
  <c r="DS561" i="1" s="1"/>
  <c r="DT561" i="1" s="1"/>
  <c r="DO561" i="1"/>
  <c r="DN561" i="1"/>
  <c r="DV560" i="1"/>
  <c r="DW560" i="1" s="1"/>
  <c r="DR560" i="1"/>
  <c r="DS560" i="1" s="1"/>
  <c r="DT560" i="1" s="1"/>
  <c r="DO560" i="1"/>
  <c r="DN560" i="1"/>
  <c r="DV550" i="1"/>
  <c r="DR550" i="1"/>
  <c r="DS550" i="1" s="1"/>
  <c r="DO550" i="1"/>
  <c r="DN550" i="1"/>
  <c r="DV549" i="1"/>
  <c r="DR549" i="1"/>
  <c r="DS549" i="1" s="1"/>
  <c r="DO549" i="1"/>
  <c r="DN549" i="1"/>
  <c r="DV542" i="1"/>
  <c r="DR542" i="1"/>
  <c r="DS542" i="1" s="1"/>
  <c r="DT542" i="1" s="1"/>
  <c r="DO542" i="1"/>
  <c r="DN542" i="1"/>
  <c r="DV540" i="1"/>
  <c r="DW540" i="1" s="1"/>
  <c r="DX540" i="1" s="1"/>
  <c r="DR540" i="1"/>
  <c r="DO540" i="1"/>
  <c r="DN540" i="1"/>
  <c r="DV538" i="1"/>
  <c r="DR538" i="1"/>
  <c r="DS538" i="1" s="1"/>
  <c r="DO538" i="1"/>
  <c r="DN538" i="1"/>
  <c r="DV535" i="1"/>
  <c r="DR535" i="1"/>
  <c r="DS535" i="1" s="1"/>
  <c r="DT535" i="1" s="1"/>
  <c r="DO535" i="1"/>
  <c r="DN535" i="1"/>
  <c r="DV533" i="1"/>
  <c r="DW533" i="1" s="1"/>
  <c r="DR533" i="1"/>
  <c r="DS533" i="1" s="1"/>
  <c r="DT533" i="1" s="1"/>
  <c r="DO533" i="1"/>
  <c r="DN533" i="1"/>
  <c r="DV527" i="1"/>
  <c r="DW527" i="1" s="1"/>
  <c r="DX527" i="1" s="1"/>
  <c r="DR527" i="1"/>
  <c r="DS527" i="1" s="1"/>
  <c r="DO527" i="1"/>
  <c r="DN527" i="1"/>
  <c r="DV526" i="1"/>
  <c r="DR526" i="1"/>
  <c r="DS526" i="1" s="1"/>
  <c r="DO526" i="1"/>
  <c r="DN526" i="1"/>
  <c r="DV520" i="1"/>
  <c r="DR520" i="1"/>
  <c r="DO520" i="1"/>
  <c r="DN520" i="1"/>
  <c r="DV519" i="1"/>
  <c r="DR519" i="1"/>
  <c r="DS519" i="1" s="1"/>
  <c r="DT519" i="1" s="1"/>
  <c r="DO519" i="1"/>
  <c r="DN519" i="1"/>
  <c r="DV518" i="1"/>
  <c r="DR518" i="1"/>
  <c r="DS518" i="1" s="1"/>
  <c r="DT518" i="1" s="1"/>
  <c r="DO518" i="1"/>
  <c r="DN518" i="1"/>
  <c r="BP518" i="1"/>
  <c r="Z518" i="1"/>
  <c r="DV516" i="1"/>
  <c r="DW516" i="1" s="1"/>
  <c r="DX516" i="1" s="1"/>
  <c r="DR516" i="1"/>
  <c r="DO516" i="1"/>
  <c r="DN516" i="1"/>
  <c r="DV512" i="1"/>
  <c r="DR512" i="1"/>
  <c r="DO512" i="1"/>
  <c r="DN512" i="1"/>
  <c r="DV511" i="1"/>
  <c r="DR511" i="1"/>
  <c r="DS511" i="1" s="1"/>
  <c r="DT511" i="1" s="1"/>
  <c r="DO511" i="1"/>
  <c r="DN511" i="1"/>
  <c r="DV506" i="1"/>
  <c r="DR506" i="1"/>
  <c r="DS506" i="1" s="1"/>
  <c r="DT506" i="1" s="1"/>
  <c r="DO506" i="1"/>
  <c r="DN506" i="1"/>
  <c r="BP506" i="1"/>
  <c r="AU506" i="1"/>
  <c r="Z506" i="1"/>
  <c r="DV505" i="1"/>
  <c r="DR505" i="1"/>
  <c r="DO505" i="1"/>
  <c r="DN505" i="1"/>
  <c r="DV585" i="1"/>
  <c r="DR585" i="1"/>
  <c r="DO585" i="1"/>
  <c r="DN585" i="1"/>
  <c r="DV584" i="1"/>
  <c r="DR584" i="1"/>
  <c r="DS584" i="1" s="1"/>
  <c r="DT584" i="1" s="1"/>
  <c r="DO584" i="1"/>
  <c r="DN584" i="1"/>
  <c r="DV583" i="1"/>
  <c r="DR583" i="1"/>
  <c r="DO583" i="1"/>
  <c r="DN583" i="1"/>
  <c r="DV575" i="1"/>
  <c r="DR575" i="1"/>
  <c r="DO575" i="1"/>
  <c r="DN575" i="1"/>
  <c r="BE575" i="1"/>
  <c r="AJ575" i="1"/>
  <c r="DV574" i="1"/>
  <c r="DR574" i="1"/>
  <c r="DO574" i="1"/>
  <c r="DN574" i="1"/>
  <c r="BE574" i="1"/>
  <c r="DV582" i="1"/>
  <c r="DR582" i="1"/>
  <c r="DO582" i="1"/>
  <c r="DN582" i="1"/>
  <c r="DV581" i="1"/>
  <c r="DR581" i="1"/>
  <c r="DS581" i="1" s="1"/>
  <c r="DO581" i="1"/>
  <c r="DN581" i="1"/>
  <c r="DV580" i="1"/>
  <c r="DR580" i="1"/>
  <c r="DO580" i="1"/>
  <c r="DN580" i="1"/>
  <c r="DV579" i="1"/>
  <c r="DR579" i="1"/>
  <c r="DS579" i="1" s="1"/>
  <c r="DO579" i="1"/>
  <c r="DN579" i="1"/>
  <c r="DV578" i="1"/>
  <c r="DR578" i="1"/>
  <c r="DO578" i="1"/>
  <c r="DN578" i="1"/>
  <c r="DV577" i="1"/>
  <c r="DR577" i="1"/>
  <c r="DS577" i="1" s="1"/>
  <c r="DO577" i="1"/>
  <c r="DN577" i="1"/>
  <c r="DV576" i="1"/>
  <c r="DR576" i="1"/>
  <c r="DO576" i="1"/>
  <c r="DN576" i="1"/>
  <c r="DV299" i="1"/>
  <c r="DR299" i="1"/>
  <c r="DO299" i="1"/>
  <c r="DN299" i="1"/>
  <c r="DV202" i="1"/>
  <c r="BA202" i="1"/>
  <c r="AF202" i="1"/>
  <c r="AN202" i="1" s="1"/>
  <c r="CQ392" i="1"/>
  <c r="BA392" i="1"/>
  <c r="DR392" i="1" s="1"/>
  <c r="EN29" i="1" s="1"/>
  <c r="DV355" i="1"/>
  <c r="DR355" i="1"/>
  <c r="DS355" i="1" s="1"/>
  <c r="DT355" i="1" s="1"/>
  <c r="DO355" i="1"/>
  <c r="DN355" i="1"/>
  <c r="DV358" i="1"/>
  <c r="DR358" i="1"/>
  <c r="DO358" i="1"/>
  <c r="DN358" i="1"/>
  <c r="DV354" i="1"/>
  <c r="DR354" i="1"/>
  <c r="DO354" i="1"/>
  <c r="DN354" i="1"/>
  <c r="DV357" i="1"/>
  <c r="DR357" i="1"/>
  <c r="DO357" i="1"/>
  <c r="DN357" i="1"/>
  <c r="DV356" i="1"/>
  <c r="DR356" i="1"/>
  <c r="DS356" i="1" s="1"/>
  <c r="DT356" i="1" s="1"/>
  <c r="DO356" i="1"/>
  <c r="DN356" i="1"/>
  <c r="DV289" i="1"/>
  <c r="DR289" i="1"/>
  <c r="DO289" i="1"/>
  <c r="DN289" i="1"/>
  <c r="DV296" i="1"/>
  <c r="DR296" i="1"/>
  <c r="DS296" i="1" s="1"/>
  <c r="DT296" i="1" s="1"/>
  <c r="DO296" i="1"/>
  <c r="DN296" i="1"/>
  <c r="DV291" i="1"/>
  <c r="DR291" i="1"/>
  <c r="DS291" i="1" s="1"/>
  <c r="DO291" i="1"/>
  <c r="DN291" i="1"/>
  <c r="DV290" i="1"/>
  <c r="DR290" i="1"/>
  <c r="DS290" i="1" s="1"/>
  <c r="DT290" i="1" s="1"/>
  <c r="DO290" i="1"/>
  <c r="DN290" i="1"/>
  <c r="DV295" i="1"/>
  <c r="DR295" i="1"/>
  <c r="DS295" i="1" s="1"/>
  <c r="DO295" i="1"/>
  <c r="DN295" i="1"/>
  <c r="DV288" i="1"/>
  <c r="DR288" i="1"/>
  <c r="DO288" i="1"/>
  <c r="DN288" i="1"/>
  <c r="CQ294" i="1"/>
  <c r="CZ294" i="1" s="1"/>
  <c r="BV294" i="1"/>
  <c r="CD294" i="1" s="1"/>
  <c r="BA294" i="1"/>
  <c r="AF294" i="1"/>
  <c r="K294" i="1"/>
  <c r="S294" i="1" s="1"/>
  <c r="CQ293" i="1"/>
  <c r="CY293" i="1" s="1"/>
  <c r="BV293" i="1"/>
  <c r="BA293" i="1"/>
  <c r="BJ293" i="1" s="1"/>
  <c r="AF293" i="1"/>
  <c r="K293" i="1"/>
  <c r="AA293" i="1" s="1"/>
  <c r="CQ292" i="1"/>
  <c r="BV292" i="1"/>
  <c r="BA292" i="1"/>
  <c r="AF292" i="1"/>
  <c r="AN292" i="1" s="1"/>
  <c r="K292" i="1"/>
  <c r="T292" i="1" s="1"/>
  <c r="DV390" i="1"/>
  <c r="DR390" i="1"/>
  <c r="DO390" i="1"/>
  <c r="DN390" i="1"/>
  <c r="DV389" i="1"/>
  <c r="AF389" i="1"/>
  <c r="AO389" i="1" s="1"/>
  <c r="K389" i="1"/>
  <c r="S389" i="1" s="1"/>
  <c r="DV386" i="1"/>
  <c r="DR386" i="1"/>
  <c r="DS386" i="1" s="1"/>
  <c r="DO386" i="1"/>
  <c r="DN386" i="1"/>
  <c r="DV385" i="1"/>
  <c r="DR385" i="1"/>
  <c r="DO385" i="1"/>
  <c r="DN385" i="1"/>
  <c r="DV384" i="1"/>
  <c r="DR384" i="1"/>
  <c r="DO384" i="1"/>
  <c r="DN384" i="1"/>
  <c r="DV297" i="1"/>
  <c r="DR297" i="1"/>
  <c r="DO297" i="1"/>
  <c r="DN297" i="1"/>
  <c r="DV298" i="1"/>
  <c r="DW298" i="1" s="1"/>
  <c r="DX298" i="1" s="1"/>
  <c r="DR298" i="1"/>
  <c r="DS298" i="1" s="1"/>
  <c r="DT298" i="1" s="1"/>
  <c r="DO298" i="1"/>
  <c r="DN298" i="1"/>
  <c r="DV349" i="1"/>
  <c r="BA349" i="1"/>
  <c r="DO349" i="1" s="1"/>
  <c r="DV348" i="1"/>
  <c r="BA348" i="1"/>
  <c r="DO348" i="1" s="1"/>
  <c r="DV347" i="1"/>
  <c r="BA347" i="1"/>
  <c r="DR347" i="1" s="1"/>
  <c r="DV621" i="1"/>
  <c r="DR621" i="1"/>
  <c r="ER48" i="1" s="1"/>
  <c r="DO621" i="1"/>
  <c r="DN621" i="1"/>
  <c r="CQ285" i="1"/>
  <c r="CY285" i="1" s="1"/>
  <c r="BV285" i="1"/>
  <c r="CD285" i="1" s="1"/>
  <c r="AF285" i="1"/>
  <c r="AN285" i="1" s="1"/>
  <c r="K285" i="1"/>
  <c r="S285" i="1" s="1"/>
  <c r="DV352" i="1"/>
  <c r="DR352" i="1"/>
  <c r="DN352" i="1"/>
  <c r="BJ352" i="1"/>
  <c r="AO352" i="1"/>
  <c r="DV350" i="1"/>
  <c r="DR350" i="1"/>
  <c r="DO350" i="1"/>
  <c r="DN350" i="1"/>
  <c r="DV351" i="1"/>
  <c r="DV503" i="1"/>
  <c r="DR503" i="1"/>
  <c r="DO503" i="1"/>
  <c r="DN503" i="1"/>
  <c r="DV502" i="1"/>
  <c r="DR502" i="1"/>
  <c r="DO502" i="1"/>
  <c r="DN502" i="1"/>
  <c r="DV391" i="1"/>
  <c r="DR391" i="1"/>
  <c r="ER28" i="1" s="1"/>
  <c r="DO391" i="1"/>
  <c r="DN391" i="1"/>
  <c r="DV404" i="1"/>
  <c r="DR404" i="1"/>
  <c r="DS404" i="1" s="1"/>
  <c r="DT404" i="1" s="1"/>
  <c r="DO404" i="1"/>
  <c r="DN404" i="1"/>
  <c r="DV403" i="1"/>
  <c r="DR403" i="1"/>
  <c r="DS403" i="1" s="1"/>
  <c r="DT403" i="1" s="1"/>
  <c r="DO403" i="1"/>
  <c r="DN403" i="1"/>
  <c r="DV402" i="1"/>
  <c r="DR402" i="1"/>
  <c r="DS402" i="1" s="1"/>
  <c r="DO402" i="1"/>
  <c r="DN402" i="1"/>
  <c r="DV401" i="1"/>
  <c r="DR401" i="1"/>
  <c r="DS401" i="1" s="1"/>
  <c r="DT401" i="1" s="1"/>
  <c r="DO401" i="1"/>
  <c r="DN401" i="1"/>
  <c r="DV400" i="1"/>
  <c r="DR400" i="1"/>
  <c r="DO400" i="1"/>
  <c r="DN400" i="1"/>
  <c r="DV399" i="1"/>
  <c r="DR399" i="1"/>
  <c r="DO399" i="1"/>
  <c r="DN399" i="1"/>
  <c r="DC573" i="1"/>
  <c r="DB573" i="1"/>
  <c r="DA573" i="1"/>
  <c r="CH573" i="1"/>
  <c r="CG573" i="1"/>
  <c r="CF573" i="1"/>
  <c r="BV573" i="1"/>
  <c r="BM573" i="1"/>
  <c r="BL573" i="1"/>
  <c r="BK573" i="1"/>
  <c r="AR573" i="1"/>
  <c r="AQ573" i="1"/>
  <c r="AP573" i="1"/>
  <c r="W573" i="1"/>
  <c r="V573" i="1"/>
  <c r="U573" i="1"/>
  <c r="K573" i="1"/>
  <c r="L573" i="1" s="1"/>
  <c r="DV597" i="1"/>
  <c r="DR597" i="1"/>
  <c r="DO597" i="1"/>
  <c r="DN597" i="1"/>
  <c r="DV596" i="1"/>
  <c r="BA596" i="1"/>
  <c r="DR596" i="1" s="1"/>
  <c r="DV595" i="1"/>
  <c r="BA595" i="1"/>
  <c r="DO595" i="1" s="1"/>
  <c r="DV619" i="1"/>
  <c r="BA619" i="1"/>
  <c r="DN619" i="1" s="1"/>
  <c r="DV617" i="1"/>
  <c r="BA617" i="1"/>
  <c r="DO617" i="1" s="1"/>
  <c r="DV618" i="1"/>
  <c r="BA618" i="1"/>
  <c r="DV616" i="1"/>
  <c r="BA616" i="1"/>
  <c r="DR616" i="1" s="1"/>
  <c r="DV594" i="1"/>
  <c r="DR594" i="1"/>
  <c r="DO594" i="1"/>
  <c r="BI594" i="1"/>
  <c r="DN594" i="1" s="1"/>
  <c r="DV620" i="1"/>
  <c r="DR620" i="1"/>
  <c r="DS620" i="1" s="1"/>
  <c r="DO620" i="1"/>
  <c r="DN620" i="1"/>
  <c r="DV615" i="1"/>
  <c r="DR615" i="1"/>
  <c r="DO615" i="1"/>
  <c r="DN615" i="1"/>
  <c r="DV614" i="1"/>
  <c r="BA614" i="1"/>
  <c r="DV613" i="1"/>
  <c r="BI613" i="1"/>
  <c r="BB613" i="1"/>
  <c r="BA613" i="1"/>
  <c r="DO613" i="1" s="1"/>
  <c r="DV612" i="1"/>
  <c r="BD612" i="1"/>
  <c r="BA612" i="1"/>
  <c r="DO612" i="1" s="1"/>
  <c r="DV611" i="1"/>
  <c r="BA611" i="1"/>
  <c r="DR611" i="1" s="1"/>
  <c r="DV610" i="1"/>
  <c r="DR610" i="1"/>
  <c r="DS610" i="1" s="1"/>
  <c r="DO610" i="1"/>
  <c r="DN610" i="1"/>
  <c r="DV609" i="1"/>
  <c r="BA609" i="1"/>
  <c r="DO609" i="1" s="1"/>
  <c r="DV593" i="1"/>
  <c r="BA593" i="1"/>
  <c r="DV600" i="1"/>
  <c r="BA600" i="1"/>
  <c r="DV599" i="1"/>
  <c r="BA599" i="1"/>
  <c r="DO599" i="1" s="1"/>
  <c r="DV608" i="1"/>
  <c r="BI608" i="1"/>
  <c r="BA608" i="1"/>
  <c r="DO608" i="1" s="1"/>
  <c r="DB598" i="1"/>
  <c r="DA598" i="1"/>
  <c r="CQ598" i="1"/>
  <c r="CG598" i="1"/>
  <c r="CF598" i="1"/>
  <c r="BV598" i="1"/>
  <c r="BL598" i="1"/>
  <c r="BK598" i="1"/>
  <c r="BA598" i="1"/>
  <c r="AQ598" i="1"/>
  <c r="AP598" i="1"/>
  <c r="AF598" i="1"/>
  <c r="V598" i="1"/>
  <c r="U598" i="1"/>
  <c r="K598" i="1"/>
  <c r="DV607" i="1"/>
  <c r="DR607" i="1"/>
  <c r="DS607" i="1" s="1"/>
  <c r="DT607" i="1" s="1"/>
  <c r="DO607" i="1"/>
  <c r="DN607" i="1"/>
  <c r="DV606" i="1"/>
  <c r="DW606" i="1" s="1"/>
  <c r="DR606" i="1"/>
  <c r="DO606" i="1"/>
  <c r="DN606" i="1"/>
  <c r="DV605" i="1"/>
  <c r="BA605" i="1"/>
  <c r="DR605" i="1" s="1"/>
  <c r="DV604" i="1"/>
  <c r="DR604" i="1"/>
  <c r="DS604" i="1" s="1"/>
  <c r="DN604" i="1"/>
  <c r="BL604" i="1"/>
  <c r="BK604" i="1"/>
  <c r="BJ604" i="1"/>
  <c r="BD604" i="1"/>
  <c r="BC604" i="1"/>
  <c r="AQ604" i="1"/>
  <c r="AP604" i="1"/>
  <c r="AO604" i="1"/>
  <c r="AI604" i="1"/>
  <c r="AH604" i="1"/>
  <c r="DV603" i="1"/>
  <c r="DR603" i="1"/>
  <c r="DS603" i="1" s="1"/>
  <c r="DN603" i="1"/>
  <c r="BL603" i="1"/>
  <c r="BK603" i="1"/>
  <c r="BJ603" i="1"/>
  <c r="BD603" i="1"/>
  <c r="BC603" i="1"/>
  <c r="AQ603" i="1"/>
  <c r="AP603" i="1"/>
  <c r="AO603" i="1"/>
  <c r="AI603" i="1"/>
  <c r="AH603" i="1"/>
  <c r="V603" i="1"/>
  <c r="U603" i="1"/>
  <c r="T603" i="1"/>
  <c r="N603" i="1"/>
  <c r="M603" i="1"/>
  <c r="CQ602" i="1"/>
  <c r="CZ602" i="1" s="1"/>
  <c r="BA602" i="1"/>
  <c r="AF602" i="1"/>
  <c r="DV601" i="1"/>
  <c r="DR601" i="1"/>
  <c r="DO601" i="1"/>
  <c r="DN601" i="1"/>
  <c r="DV589" i="1"/>
  <c r="DR589" i="1"/>
  <c r="DO589" i="1"/>
  <c r="DN589" i="1"/>
  <c r="DV588" i="1"/>
  <c r="DR588" i="1"/>
  <c r="DO588" i="1"/>
  <c r="DN588" i="1"/>
  <c r="DV587" i="1"/>
  <c r="DR587" i="1"/>
  <c r="DO587" i="1"/>
  <c r="DN587" i="1"/>
  <c r="DV586" i="1"/>
  <c r="BA586" i="1"/>
  <c r="BJ586" i="1" s="1"/>
  <c r="AF586" i="1"/>
  <c r="DV200" i="1"/>
  <c r="DR200" i="1"/>
  <c r="DS200" i="1" s="1"/>
  <c r="DT200" i="1" s="1"/>
  <c r="DO200" i="1"/>
  <c r="DN200" i="1"/>
  <c r="DV199" i="1"/>
  <c r="DR199" i="1"/>
  <c r="DO199" i="1"/>
  <c r="DN199" i="1"/>
  <c r="DV201" i="1"/>
  <c r="BL201" i="1"/>
  <c r="BK201" i="1"/>
  <c r="BC201" i="1"/>
  <c r="BA201" i="1"/>
  <c r="AF201" i="1"/>
  <c r="DV623" i="1"/>
  <c r="AF623" i="1"/>
  <c r="DV624" i="1"/>
  <c r="DR624" i="1"/>
  <c r="DO624" i="1"/>
  <c r="DN624" i="1"/>
  <c r="DV622" i="1"/>
  <c r="AF622" i="1"/>
  <c r="DO622" i="1" s="1"/>
  <c r="DV630" i="1"/>
  <c r="DR630" i="1"/>
  <c r="DS630" i="1" s="1"/>
  <c r="DT630" i="1" s="1"/>
  <c r="DO630" i="1"/>
  <c r="DN630" i="1"/>
  <c r="DV629" i="1"/>
  <c r="DR629" i="1"/>
  <c r="DS629" i="1" s="1"/>
  <c r="DO629" i="1"/>
  <c r="DN629" i="1"/>
  <c r="DV628" i="1"/>
  <c r="DW628" i="1" s="1"/>
  <c r="DX628" i="1" s="1"/>
  <c r="DR628" i="1"/>
  <c r="DO628" i="1"/>
  <c r="DN628" i="1"/>
  <c r="DV627" i="1"/>
  <c r="DW627" i="1" s="1"/>
  <c r="DR627" i="1"/>
  <c r="DO627" i="1"/>
  <c r="DN627" i="1"/>
  <c r="DV626" i="1"/>
  <c r="DR626" i="1"/>
  <c r="DO626" i="1"/>
  <c r="DN626" i="1"/>
  <c r="DV625" i="1"/>
  <c r="DR625" i="1"/>
  <c r="DO625" i="1"/>
  <c r="DN625" i="1"/>
  <c r="DV284" i="1"/>
  <c r="DR284" i="1"/>
  <c r="DS284" i="1" s="1"/>
  <c r="DT284" i="1" s="1"/>
  <c r="DO284" i="1"/>
  <c r="DN284" i="1"/>
  <c r="DV283" i="1"/>
  <c r="DR283" i="1"/>
  <c r="DS283" i="1" s="1"/>
  <c r="DT283" i="1" s="1"/>
  <c r="DO283" i="1"/>
  <c r="DN283" i="1"/>
  <c r="DV282" i="1"/>
  <c r="DR282" i="1"/>
  <c r="DS282" i="1" s="1"/>
  <c r="DT282" i="1" s="1"/>
  <c r="DO282" i="1"/>
  <c r="DN282" i="1"/>
  <c r="DV281" i="1"/>
  <c r="DR281" i="1"/>
  <c r="DS281" i="1" s="1"/>
  <c r="DT281" i="1" s="1"/>
  <c r="DO281" i="1"/>
  <c r="DN281" i="1"/>
  <c r="DV280" i="1"/>
  <c r="DR280" i="1"/>
  <c r="DS280" i="1" s="1"/>
  <c r="DT280" i="1" s="1"/>
  <c r="DO280" i="1"/>
  <c r="DN280" i="1"/>
  <c r="DV279" i="1"/>
  <c r="DR279" i="1"/>
  <c r="DS279" i="1" s="1"/>
  <c r="DT279" i="1" s="1"/>
  <c r="DO279" i="1"/>
  <c r="DN279" i="1"/>
  <c r="DV278" i="1"/>
  <c r="DR278" i="1"/>
  <c r="DS278" i="1" s="1"/>
  <c r="DT278" i="1" s="1"/>
  <c r="DO278" i="1"/>
  <c r="DN278" i="1"/>
  <c r="DV277" i="1"/>
  <c r="DR277" i="1"/>
  <c r="DS277" i="1" s="1"/>
  <c r="DO277" i="1"/>
  <c r="DN277" i="1"/>
  <c r="DV276" i="1"/>
  <c r="DR276" i="1"/>
  <c r="DO276" i="1"/>
  <c r="DN276" i="1"/>
  <c r="DV275" i="1"/>
  <c r="DR275" i="1"/>
  <c r="DO275" i="1"/>
  <c r="DN275" i="1"/>
  <c r="DV274" i="1"/>
  <c r="DR274" i="1"/>
  <c r="DO274" i="1"/>
  <c r="DN274" i="1"/>
  <c r="DV273" i="1"/>
  <c r="DR273" i="1"/>
  <c r="DO273" i="1"/>
  <c r="DN273" i="1"/>
  <c r="DV272" i="1"/>
  <c r="DW272" i="1" s="1"/>
  <c r="DR272" i="1"/>
  <c r="DO272" i="1"/>
  <c r="DN272" i="1"/>
  <c r="DV271" i="1"/>
  <c r="DR271" i="1"/>
  <c r="DS271" i="1" s="1"/>
  <c r="DT271" i="1" s="1"/>
  <c r="DO271" i="1"/>
  <c r="DN271" i="1"/>
  <c r="DV270" i="1"/>
  <c r="DR270" i="1"/>
  <c r="DO270" i="1"/>
  <c r="DN270" i="1"/>
  <c r="DV321" i="1"/>
  <c r="DR321" i="1"/>
  <c r="DS321" i="1" s="1"/>
  <c r="DT321" i="1" s="1"/>
  <c r="DO321" i="1"/>
  <c r="DN321" i="1"/>
  <c r="DV345" i="1"/>
  <c r="DR345" i="1"/>
  <c r="DS345" i="1" s="1"/>
  <c r="DO345" i="1"/>
  <c r="DN345" i="1"/>
  <c r="DV344" i="1"/>
  <c r="DR344" i="1"/>
  <c r="DS344" i="1" s="1"/>
  <c r="DT344" i="1" s="1"/>
  <c r="DO344" i="1"/>
  <c r="DN344" i="1"/>
  <c r="DV343" i="1"/>
  <c r="DR343" i="1"/>
  <c r="DS343" i="1" s="1"/>
  <c r="DO343" i="1"/>
  <c r="DN343" i="1"/>
  <c r="DV342" i="1"/>
  <c r="DR342" i="1"/>
  <c r="DS342" i="1" s="1"/>
  <c r="DT342" i="1" s="1"/>
  <c r="DO342" i="1"/>
  <c r="DN342" i="1"/>
  <c r="DV341" i="1"/>
  <c r="DR341" i="1"/>
  <c r="DO341" i="1"/>
  <c r="DN341" i="1"/>
  <c r="DV309" i="1"/>
  <c r="DR309" i="1"/>
  <c r="DS309" i="1" s="1"/>
  <c r="DT309" i="1" s="1"/>
  <c r="DO309" i="1"/>
  <c r="DN309" i="1"/>
  <c r="DV340" i="1"/>
  <c r="DR340" i="1"/>
  <c r="DS340" i="1" s="1"/>
  <c r="DO340" i="1"/>
  <c r="DN340" i="1"/>
  <c r="DV339" i="1"/>
  <c r="DR339" i="1"/>
  <c r="DS339" i="1" s="1"/>
  <c r="DO339" i="1"/>
  <c r="DN339" i="1"/>
  <c r="DV338" i="1"/>
  <c r="DR338" i="1"/>
  <c r="DS338" i="1" s="1"/>
  <c r="DO338" i="1"/>
  <c r="DN338" i="1"/>
  <c r="DV320" i="1"/>
  <c r="DR320" i="1"/>
  <c r="DS320" i="1" s="1"/>
  <c r="DO320" i="1"/>
  <c r="DN320" i="1"/>
  <c r="DV307" i="1"/>
  <c r="DR307" i="1"/>
  <c r="DS307" i="1" s="1"/>
  <c r="DO307" i="1"/>
  <c r="DN307" i="1"/>
  <c r="DV337" i="1"/>
  <c r="DR337" i="1"/>
  <c r="DO337" i="1"/>
  <c r="DN337" i="1"/>
  <c r="DV319" i="1"/>
  <c r="DR319" i="1"/>
  <c r="DS319" i="1" s="1"/>
  <c r="DO319" i="1"/>
  <c r="DN319" i="1"/>
  <c r="DV318" i="1"/>
  <c r="DR318" i="1"/>
  <c r="DO318" i="1"/>
  <c r="DN318" i="1"/>
  <c r="DV317" i="1"/>
  <c r="DR317" i="1"/>
  <c r="DS317" i="1" s="1"/>
  <c r="DO317" i="1"/>
  <c r="DN317" i="1"/>
  <c r="DV316" i="1"/>
  <c r="DR316" i="1"/>
  <c r="DS316" i="1" s="1"/>
  <c r="DO316" i="1"/>
  <c r="DN316" i="1"/>
  <c r="DV315" i="1"/>
  <c r="DR315" i="1"/>
  <c r="DO315" i="1"/>
  <c r="DN315" i="1"/>
  <c r="DV314" i="1"/>
  <c r="DR314" i="1"/>
  <c r="DO314" i="1"/>
  <c r="DN314" i="1"/>
  <c r="DV313" i="1"/>
  <c r="DR313" i="1"/>
  <c r="DS313" i="1" s="1"/>
  <c r="DO313" i="1"/>
  <c r="DN313" i="1"/>
  <c r="DV312" i="1"/>
  <c r="DR312" i="1"/>
  <c r="DS312" i="1" s="1"/>
  <c r="DO312" i="1"/>
  <c r="DN312" i="1"/>
  <c r="DV336" i="1"/>
  <c r="DR336" i="1"/>
  <c r="DS336" i="1" s="1"/>
  <c r="DO336" i="1"/>
  <c r="DN336" i="1"/>
  <c r="DV311" i="1"/>
  <c r="DR311" i="1"/>
  <c r="DS311" i="1" s="1"/>
  <c r="DO311" i="1"/>
  <c r="DN311" i="1"/>
  <c r="DV308" i="1"/>
  <c r="DR308" i="1"/>
  <c r="DS308" i="1" s="1"/>
  <c r="DO308" i="1"/>
  <c r="DN308" i="1"/>
  <c r="DV335" i="1"/>
  <c r="DR335" i="1"/>
  <c r="DO335" i="1"/>
  <c r="DN335" i="1"/>
  <c r="DV310" i="1"/>
  <c r="AF310" i="1"/>
  <c r="K310" i="1"/>
  <c r="S310" i="1" s="1"/>
  <c r="DV346" i="1"/>
  <c r="BA346" i="1"/>
  <c r="DV306" i="1"/>
  <c r="DR306" i="1"/>
  <c r="DO306" i="1"/>
  <c r="DN306" i="1"/>
  <c r="DV305" i="1"/>
  <c r="DR305" i="1"/>
  <c r="DO305" i="1"/>
  <c r="DN305" i="1"/>
  <c r="DV304" i="1"/>
  <c r="DR304" i="1"/>
  <c r="DS304" i="1" s="1"/>
  <c r="DO304" i="1"/>
  <c r="DN304" i="1"/>
  <c r="DV303" i="1"/>
  <c r="DR303" i="1"/>
  <c r="DS303" i="1" s="1"/>
  <c r="DO303" i="1"/>
  <c r="DN303" i="1"/>
  <c r="DV302" i="1"/>
  <c r="DR302" i="1"/>
  <c r="DS302" i="1" s="1"/>
  <c r="DO302" i="1"/>
  <c r="DN302" i="1"/>
  <c r="DV301" i="1"/>
  <c r="DR301" i="1"/>
  <c r="DS301" i="1" s="1"/>
  <c r="DO301" i="1"/>
  <c r="DN301" i="1"/>
  <c r="DV334" i="1"/>
  <c r="DR334" i="1"/>
  <c r="DS334" i="1" s="1"/>
  <c r="DO334" i="1"/>
  <c r="DN334" i="1"/>
  <c r="DV326" i="1"/>
  <c r="CZ326" i="1"/>
  <c r="CY326" i="1"/>
  <c r="CE326" i="1"/>
  <c r="BJ326" i="1"/>
  <c r="BI326" i="1"/>
  <c r="AO326" i="1"/>
  <c r="AN326" i="1"/>
  <c r="AF326" i="1"/>
  <c r="T326" i="1"/>
  <c r="S326" i="1"/>
  <c r="K326" i="1"/>
  <c r="U326" i="1" s="1"/>
  <c r="DV325" i="1"/>
  <c r="DR325" i="1"/>
  <c r="DO325" i="1"/>
  <c r="DN325" i="1"/>
  <c r="DV300" i="1"/>
  <c r="DR300" i="1"/>
  <c r="DO300" i="1"/>
  <c r="DN300" i="1"/>
  <c r="DV323" i="1"/>
  <c r="DR323" i="1"/>
  <c r="DS323" i="1" s="1"/>
  <c r="DO323" i="1"/>
  <c r="DN323" i="1"/>
  <c r="DV333" i="1"/>
  <c r="DR333" i="1"/>
  <c r="DO333" i="1"/>
  <c r="DN333" i="1"/>
  <c r="DV332" i="1"/>
  <c r="DR332" i="1"/>
  <c r="DO332" i="1"/>
  <c r="DN332" i="1"/>
  <c r="DV331" i="1"/>
  <c r="DR331" i="1"/>
  <c r="DO331" i="1"/>
  <c r="DN331" i="1"/>
  <c r="DV330" i="1"/>
  <c r="DR330" i="1"/>
  <c r="DS330" i="1" s="1"/>
  <c r="DO330" i="1"/>
  <c r="DN330" i="1"/>
  <c r="DV322" i="1"/>
  <c r="DR322" i="1"/>
  <c r="DO322" i="1"/>
  <c r="DN322" i="1"/>
  <c r="CQ329" i="1"/>
  <c r="CR329" i="1" s="1"/>
  <c r="AF329" i="1"/>
  <c r="K329" i="1"/>
  <c r="DV328" i="1"/>
  <c r="DR328" i="1"/>
  <c r="DS328" i="1" s="1"/>
  <c r="DO328" i="1"/>
  <c r="DN328" i="1"/>
  <c r="DV324" i="1"/>
  <c r="DR324" i="1"/>
  <c r="DS324" i="1" s="1"/>
  <c r="DO324" i="1"/>
  <c r="DN324" i="1"/>
  <c r="DV327" i="1"/>
  <c r="DR327" i="1"/>
  <c r="DS327" i="1" s="1"/>
  <c r="DO327" i="1"/>
  <c r="DN327" i="1"/>
  <c r="DV173" i="1"/>
  <c r="DR173" i="1"/>
  <c r="DS173" i="1" s="1"/>
  <c r="DO173" i="1"/>
  <c r="DN173" i="1"/>
  <c r="DV172" i="1"/>
  <c r="DR172" i="1"/>
  <c r="DS172" i="1" s="1"/>
  <c r="DO172" i="1"/>
  <c r="DN172" i="1"/>
  <c r="DV171" i="1"/>
  <c r="DR171" i="1"/>
  <c r="DS171" i="1" s="1"/>
  <c r="DO171" i="1"/>
  <c r="DN171" i="1"/>
  <c r="DV170" i="1"/>
  <c r="DR170" i="1"/>
  <c r="DS170" i="1" s="1"/>
  <c r="DO170" i="1"/>
  <c r="DN170" i="1"/>
  <c r="DV169" i="1"/>
  <c r="DR169" i="1"/>
  <c r="DS169" i="1" s="1"/>
  <c r="DO169" i="1"/>
  <c r="DN169" i="1"/>
  <c r="DV168" i="1"/>
  <c r="DR168" i="1"/>
  <c r="DO168" i="1"/>
  <c r="DN168" i="1"/>
  <c r="DV166" i="1"/>
  <c r="DR166" i="1"/>
  <c r="DO166" i="1"/>
  <c r="DN166" i="1"/>
  <c r="DV167" i="1"/>
  <c r="DR167" i="1"/>
  <c r="DS167" i="1" s="1"/>
  <c r="DO167" i="1"/>
  <c r="DN167" i="1"/>
  <c r="DV446" i="1"/>
  <c r="DR446" i="1"/>
  <c r="DO446" i="1"/>
  <c r="DN446" i="1"/>
  <c r="DV590" i="1"/>
  <c r="DR590" i="1"/>
  <c r="DO590" i="1"/>
  <c r="DN590" i="1"/>
  <c r="DV405" i="1"/>
  <c r="DR405" i="1"/>
  <c r="DO405" i="1"/>
  <c r="DN405" i="1"/>
  <c r="DV388" i="1"/>
  <c r="BA388" i="1"/>
  <c r="DR388" i="1" s="1"/>
  <c r="DV387" i="1"/>
  <c r="BA387" i="1"/>
  <c r="DR387" i="1" s="1"/>
  <c r="DV501" i="1"/>
  <c r="DR501" i="1"/>
  <c r="DO501" i="1"/>
  <c r="DN501" i="1"/>
  <c r="DV499" i="1"/>
  <c r="DR499" i="1"/>
  <c r="DO499" i="1"/>
  <c r="DN499" i="1"/>
  <c r="DV498" i="1"/>
  <c r="DR498" i="1"/>
  <c r="DO498" i="1"/>
  <c r="DN498" i="1"/>
  <c r="DV500" i="1"/>
  <c r="DR500" i="1"/>
  <c r="DO500" i="1"/>
  <c r="DN500" i="1"/>
  <c r="DV6" i="1"/>
  <c r="DR6" i="1"/>
  <c r="DO6" i="1"/>
  <c r="DN6" i="1"/>
  <c r="DV5" i="1"/>
  <c r="DR5" i="1"/>
  <c r="DO5" i="1"/>
  <c r="DN5" i="1"/>
  <c r="DV4" i="1"/>
  <c r="DR4" i="1"/>
  <c r="ER4" i="1" s="1"/>
  <c r="DO4" i="1"/>
  <c r="DN4" i="1"/>
  <c r="DV592" i="1"/>
  <c r="DR592" i="1"/>
  <c r="DO592" i="1"/>
  <c r="DN592" i="1"/>
  <c r="DV591" i="1"/>
  <c r="DR591" i="1"/>
  <c r="DO591" i="1"/>
  <c r="DN591" i="1"/>
  <c r="DV450" i="1"/>
  <c r="BQ450" i="1"/>
  <c r="BP450" i="1"/>
  <c r="BJ450" i="1"/>
  <c r="BI450" i="1"/>
  <c r="BA450" i="1"/>
  <c r="DR450" i="1" s="1"/>
  <c r="DV449" i="1"/>
  <c r="BQ449" i="1"/>
  <c r="BP449" i="1"/>
  <c r="BJ449" i="1"/>
  <c r="BI449" i="1"/>
  <c r="BA449" i="1"/>
  <c r="DV448" i="1"/>
  <c r="DR448" i="1"/>
  <c r="DO448" i="1"/>
  <c r="DN448" i="1"/>
  <c r="DV447" i="1"/>
  <c r="DR447" i="1"/>
  <c r="DO447" i="1"/>
  <c r="DN447" i="1"/>
  <c r="DV467" i="1"/>
  <c r="DR467" i="1"/>
  <c r="DO467" i="1"/>
  <c r="DN467" i="1"/>
  <c r="DV466" i="1"/>
  <c r="DR466" i="1"/>
  <c r="DO466" i="1"/>
  <c r="DN466" i="1"/>
  <c r="DV496" i="1"/>
  <c r="DR496" i="1"/>
  <c r="DO496" i="1"/>
  <c r="DN496" i="1"/>
  <c r="DV495" i="1"/>
  <c r="DR495" i="1"/>
  <c r="DO495" i="1"/>
  <c r="DN495" i="1"/>
  <c r="DV494" i="1"/>
  <c r="DR494" i="1"/>
  <c r="DS494" i="1" s="1"/>
  <c r="DN494" i="1"/>
  <c r="CZ494" i="1"/>
  <c r="CE494" i="1"/>
  <c r="BJ494" i="1"/>
  <c r="AO494" i="1"/>
  <c r="DV480" i="1"/>
  <c r="DR480" i="1"/>
  <c r="DO480" i="1"/>
  <c r="DN480" i="1"/>
  <c r="DV493" i="1"/>
  <c r="DR493" i="1"/>
  <c r="DO493" i="1"/>
  <c r="DN493" i="1"/>
  <c r="DV468" i="1"/>
  <c r="DR468" i="1"/>
  <c r="DO468" i="1"/>
  <c r="DN468" i="1"/>
  <c r="BL468" i="1"/>
  <c r="BK468" i="1"/>
  <c r="DV457" i="1"/>
  <c r="DR457" i="1"/>
  <c r="DO457" i="1"/>
  <c r="DN457" i="1"/>
  <c r="DV465" i="1"/>
  <c r="DR465" i="1"/>
  <c r="DS465" i="1" s="1"/>
  <c r="DT465" i="1" s="1"/>
  <c r="DO465" i="1"/>
  <c r="DN465" i="1"/>
  <c r="DV453" i="1"/>
  <c r="DR453" i="1"/>
  <c r="DO453" i="1"/>
  <c r="DN453" i="1"/>
  <c r="DV464" i="1"/>
  <c r="DR464" i="1"/>
  <c r="DS464" i="1" s="1"/>
  <c r="DO464" i="1"/>
  <c r="DN464" i="1"/>
  <c r="DV492" i="1"/>
  <c r="DR492" i="1"/>
  <c r="DO492" i="1"/>
  <c r="DN492" i="1"/>
  <c r="DV456" i="1"/>
  <c r="DR456" i="1"/>
  <c r="DO456" i="1"/>
  <c r="DN456" i="1"/>
  <c r="DV479" i="1"/>
  <c r="DW479" i="1" s="1"/>
  <c r="DR479" i="1"/>
  <c r="DS479" i="1" s="1"/>
  <c r="DO479" i="1"/>
  <c r="DN479" i="1"/>
  <c r="CG479" i="1"/>
  <c r="CF479" i="1"/>
  <c r="V479" i="1"/>
  <c r="U479" i="1"/>
  <c r="DV478" i="1"/>
  <c r="DW478" i="1" s="1"/>
  <c r="DX478" i="1" s="1"/>
  <c r="DR478" i="1"/>
  <c r="DS478" i="1" s="1"/>
  <c r="DO478" i="1"/>
  <c r="DN478" i="1"/>
  <c r="CG478" i="1"/>
  <c r="CF478" i="1"/>
  <c r="V478" i="1"/>
  <c r="U478" i="1"/>
  <c r="DV483" i="1"/>
  <c r="DR483" i="1"/>
  <c r="DO483" i="1"/>
  <c r="DN483" i="1"/>
  <c r="AQ483" i="1"/>
  <c r="AP483" i="1"/>
  <c r="DV477" i="1"/>
  <c r="DR477" i="1"/>
  <c r="DO477" i="1"/>
  <c r="DN477" i="1"/>
  <c r="DV476" i="1"/>
  <c r="DR476" i="1"/>
  <c r="DO476" i="1"/>
  <c r="DN476" i="1"/>
  <c r="DV475" i="1"/>
  <c r="DR475" i="1"/>
  <c r="DS475" i="1" s="1"/>
  <c r="DO475" i="1"/>
  <c r="DN475" i="1"/>
  <c r="DV474" i="1"/>
  <c r="DR474" i="1"/>
  <c r="DO474" i="1"/>
  <c r="DN474" i="1"/>
  <c r="DV473" i="1"/>
  <c r="DR473" i="1"/>
  <c r="DS473" i="1" s="1"/>
  <c r="DO473" i="1"/>
  <c r="DN473" i="1"/>
  <c r="DV491" i="1"/>
  <c r="DR491" i="1"/>
  <c r="DS491" i="1" s="1"/>
  <c r="DO491" i="1"/>
  <c r="DN491" i="1"/>
  <c r="DV472" i="1"/>
  <c r="DR472" i="1"/>
  <c r="DS472" i="1" s="1"/>
  <c r="DO472" i="1"/>
  <c r="DN472" i="1"/>
  <c r="DV497" i="1"/>
  <c r="DR497" i="1"/>
  <c r="DS497" i="1" s="1"/>
  <c r="DT497" i="1" s="1"/>
  <c r="DO497" i="1"/>
  <c r="DN497" i="1"/>
  <c r="DV490" i="1"/>
  <c r="DR490" i="1"/>
  <c r="DS490" i="1" s="1"/>
  <c r="DT490" i="1" s="1"/>
  <c r="DO490" i="1"/>
  <c r="DN490" i="1"/>
  <c r="DV463" i="1"/>
  <c r="DR463" i="1"/>
  <c r="DO463" i="1"/>
  <c r="DN463" i="1"/>
  <c r="DV462" i="1"/>
  <c r="DR462" i="1"/>
  <c r="DO462" i="1"/>
  <c r="DN462" i="1"/>
  <c r="DV489" i="1"/>
  <c r="DR489" i="1"/>
  <c r="DO489" i="1"/>
  <c r="DN489" i="1"/>
  <c r="DV471" i="1"/>
  <c r="DR471" i="1"/>
  <c r="DO471" i="1"/>
  <c r="DN471" i="1"/>
  <c r="DR451" i="1"/>
  <c r="DO451" i="1"/>
  <c r="DN451" i="1"/>
  <c r="CQ451" i="1"/>
  <c r="CR451" i="1" s="1"/>
  <c r="DV488" i="1"/>
  <c r="DR488" i="1"/>
  <c r="DO488" i="1"/>
  <c r="DN488" i="1"/>
  <c r="DV482" i="1"/>
  <c r="DW482" i="1" s="1"/>
  <c r="DR482" i="1"/>
  <c r="DN482" i="1"/>
  <c r="CZ482" i="1"/>
  <c r="CE482" i="1"/>
  <c r="BJ482" i="1"/>
  <c r="AO482" i="1"/>
  <c r="DV487" i="1"/>
  <c r="DR487" i="1"/>
  <c r="DO487" i="1"/>
  <c r="DN487" i="1"/>
  <c r="DV486" i="1"/>
  <c r="DR486" i="1"/>
  <c r="DS486" i="1" s="1"/>
  <c r="DT486" i="1" s="1"/>
  <c r="DO486" i="1"/>
  <c r="DN486" i="1"/>
  <c r="DV485" i="1"/>
  <c r="DR485" i="1"/>
  <c r="DS485" i="1" s="1"/>
  <c r="DT485" i="1" s="1"/>
  <c r="DO485" i="1"/>
  <c r="DN485" i="1"/>
  <c r="DV481" i="1"/>
  <c r="DR481" i="1"/>
  <c r="DO481" i="1"/>
  <c r="DN481" i="1"/>
  <c r="DV461" i="1"/>
  <c r="DR461" i="1"/>
  <c r="DS461" i="1" s="1"/>
  <c r="DT461" i="1" s="1"/>
  <c r="DO461" i="1"/>
  <c r="DN461" i="1"/>
  <c r="DV452" i="1"/>
  <c r="DR452" i="1"/>
  <c r="DS452" i="1" s="1"/>
  <c r="DT452" i="1" s="1"/>
  <c r="DO452" i="1"/>
  <c r="DN452" i="1"/>
  <c r="DV460" i="1"/>
  <c r="DR460" i="1"/>
  <c r="DS460" i="1" s="1"/>
  <c r="DT460" i="1" s="1"/>
  <c r="DO460" i="1"/>
  <c r="DN460" i="1"/>
  <c r="DV459" i="1"/>
  <c r="DR459" i="1"/>
  <c r="DS459" i="1" s="1"/>
  <c r="DT459" i="1" s="1"/>
  <c r="DO459" i="1"/>
  <c r="DN459" i="1"/>
  <c r="DV470" i="1"/>
  <c r="DR470" i="1"/>
  <c r="DO470" i="1"/>
  <c r="DN470" i="1"/>
  <c r="BL470" i="1"/>
  <c r="BK470" i="1"/>
  <c r="DV469" i="1"/>
  <c r="DR469" i="1"/>
  <c r="DS469" i="1" s="1"/>
  <c r="DT469" i="1" s="1"/>
  <c r="DO469" i="1"/>
  <c r="DN469" i="1"/>
  <c r="DV455" i="1"/>
  <c r="DR455" i="1"/>
  <c r="DS455" i="1" s="1"/>
  <c r="DT455" i="1" s="1"/>
  <c r="DO455" i="1"/>
  <c r="DN455" i="1"/>
  <c r="DV454" i="1"/>
  <c r="BI454" i="1"/>
  <c r="BA454" i="1"/>
  <c r="DV484" i="1"/>
  <c r="DR484" i="1"/>
  <c r="DS484" i="1" s="1"/>
  <c r="DO484" i="1"/>
  <c r="DN484" i="1"/>
  <c r="DV458" i="1"/>
  <c r="DR458" i="1"/>
  <c r="DO458" i="1"/>
  <c r="DN458" i="1"/>
  <c r="DV286" i="1"/>
  <c r="DR286" i="1"/>
  <c r="ER14" i="1" s="1"/>
  <c r="DO286" i="1"/>
  <c r="DN286" i="1"/>
  <c r="DV287" i="1"/>
  <c r="DR287" i="1"/>
  <c r="EN14" i="1" s="1"/>
  <c r="DO287" i="1"/>
  <c r="DN287" i="1"/>
  <c r="DV267" i="1"/>
  <c r="DR267" i="1"/>
  <c r="DO267" i="1"/>
  <c r="DN267" i="1"/>
  <c r="DV240" i="1"/>
  <c r="DR240" i="1"/>
  <c r="DO240" i="1"/>
  <c r="DN240" i="1"/>
  <c r="BL240" i="1"/>
  <c r="BK240" i="1"/>
  <c r="DV266" i="1"/>
  <c r="DR266" i="1"/>
  <c r="DO266" i="1"/>
  <c r="DN266" i="1"/>
  <c r="DV207" i="1"/>
  <c r="DR207" i="1"/>
  <c r="DO207" i="1"/>
  <c r="DN207" i="1"/>
  <c r="BE207" i="1"/>
  <c r="AJ207" i="1"/>
  <c r="DV265" i="1"/>
  <c r="DW265" i="1" s="1"/>
  <c r="DX265" i="1" s="1"/>
  <c r="DR265" i="1"/>
  <c r="DO265" i="1"/>
  <c r="DN265" i="1"/>
  <c r="DV208" i="1"/>
  <c r="DR208" i="1"/>
  <c r="DO208" i="1"/>
  <c r="DN208" i="1"/>
  <c r="DV264" i="1"/>
  <c r="BA264" i="1"/>
  <c r="BL264" i="1" s="1"/>
  <c r="AF264" i="1"/>
  <c r="AO264" i="1" s="1"/>
  <c r="BV243" i="1"/>
  <c r="K243" i="1"/>
  <c r="DO243" i="1" s="1"/>
  <c r="DV220" i="1"/>
  <c r="DR220" i="1"/>
  <c r="DO220" i="1"/>
  <c r="DN220" i="1"/>
  <c r="DV234" i="1"/>
  <c r="DR234" i="1"/>
  <c r="DO234" i="1"/>
  <c r="DN234" i="1"/>
  <c r="F540" i="1"/>
  <c r="E540" i="1"/>
  <c r="DV233" i="1"/>
  <c r="DR233" i="1"/>
  <c r="DO233" i="1"/>
  <c r="DN233" i="1"/>
  <c r="F533" i="1"/>
  <c r="E533" i="1"/>
  <c r="DV232" i="1"/>
  <c r="DR232" i="1"/>
  <c r="DS232" i="1" s="1"/>
  <c r="DT232" i="1" s="1"/>
  <c r="DO232" i="1"/>
  <c r="DN232" i="1"/>
  <c r="BL232" i="1"/>
  <c r="BK232" i="1"/>
  <c r="BD232" i="1"/>
  <c r="BC232" i="1"/>
  <c r="F539" i="1"/>
  <c r="E539" i="1"/>
  <c r="DV231" i="1"/>
  <c r="DR231" i="1"/>
  <c r="DS231" i="1" s="1"/>
  <c r="DT231" i="1" s="1"/>
  <c r="DO231" i="1"/>
  <c r="DN231" i="1"/>
  <c r="F536" i="1"/>
  <c r="E536" i="1"/>
  <c r="DV230" i="1"/>
  <c r="DR230" i="1"/>
  <c r="DO230" i="1"/>
  <c r="DN230" i="1"/>
  <c r="F535" i="1"/>
  <c r="E535" i="1"/>
  <c r="DV229" i="1"/>
  <c r="BL229" i="1"/>
  <c r="BK229" i="1"/>
  <c r="AQ229" i="1"/>
  <c r="AP229" i="1"/>
  <c r="AF229" i="1"/>
  <c r="DO229" i="1" s="1"/>
  <c r="V229" i="1"/>
  <c r="U229" i="1"/>
  <c r="F538" i="1"/>
  <c r="E538" i="1"/>
  <c r="DV228" i="1"/>
  <c r="DR228" i="1"/>
  <c r="DS228" i="1" s="1"/>
  <c r="DO228" i="1"/>
  <c r="DN228" i="1"/>
  <c r="F537" i="1"/>
  <c r="E537" i="1"/>
  <c r="BV227" i="1"/>
  <c r="DV227" i="1" s="1"/>
  <c r="AF227" i="1"/>
  <c r="DR227" i="1" s="1"/>
  <c r="F534" i="1"/>
  <c r="E534" i="1"/>
  <c r="DV226" i="1"/>
  <c r="BA226" i="1"/>
  <c r="DR226" i="1" s="1"/>
  <c r="F532" i="1"/>
  <c r="E532" i="1"/>
  <c r="DV225" i="1"/>
  <c r="DW225" i="1" s="1"/>
  <c r="DX225" i="1" s="1"/>
  <c r="DR225" i="1"/>
  <c r="DS225" i="1" s="1"/>
  <c r="DO225" i="1"/>
  <c r="DN225" i="1"/>
  <c r="F531" i="1"/>
  <c r="E531" i="1"/>
  <c r="DV224" i="1"/>
  <c r="DW224" i="1" s="1"/>
  <c r="DR224" i="1"/>
  <c r="DO224" i="1"/>
  <c r="DN224" i="1"/>
  <c r="F530" i="1"/>
  <c r="E530" i="1"/>
  <c r="DV268" i="1"/>
  <c r="DR268" i="1"/>
  <c r="DO268" i="1"/>
  <c r="DN268" i="1"/>
  <c r="DV263" i="1"/>
  <c r="DR263" i="1"/>
  <c r="DS263" i="1" s="1"/>
  <c r="DO263" i="1"/>
  <c r="DN263" i="1"/>
  <c r="DV262" i="1"/>
  <c r="DR262" i="1"/>
  <c r="DO262" i="1"/>
  <c r="DN262" i="1"/>
  <c r="DV261" i="1"/>
  <c r="DW261" i="1" s="1"/>
  <c r="BA261" i="1"/>
  <c r="BJ261" i="1" s="1"/>
  <c r="AF261" i="1"/>
  <c r="DV206" i="1"/>
  <c r="BA206" i="1"/>
  <c r="AF206" i="1"/>
  <c r="AO206" i="1" s="1"/>
  <c r="DV260" i="1"/>
  <c r="DR260" i="1"/>
  <c r="DO260" i="1"/>
  <c r="DN260" i="1"/>
  <c r="DV247" i="1"/>
  <c r="DR247" i="1"/>
  <c r="DO247" i="1"/>
  <c r="DN247" i="1"/>
  <c r="DV246" i="1"/>
  <c r="BA246" i="1"/>
  <c r="BL246" i="1" s="1"/>
  <c r="AF246" i="1"/>
  <c r="DV245" i="1"/>
  <c r="DW245" i="1" s="1"/>
  <c r="DR245" i="1"/>
  <c r="DO245" i="1"/>
  <c r="DN245" i="1"/>
  <c r="DV223" i="1"/>
  <c r="DR223" i="1"/>
  <c r="DO223" i="1"/>
  <c r="DN223" i="1"/>
  <c r="DV204" i="1"/>
  <c r="DR204" i="1"/>
  <c r="DO204" i="1"/>
  <c r="DN204" i="1"/>
  <c r="DV259" i="1"/>
  <c r="DR259" i="1"/>
  <c r="DO259" i="1"/>
  <c r="DN259" i="1"/>
  <c r="DV239" i="1"/>
  <c r="DR239" i="1"/>
  <c r="DO239" i="1"/>
  <c r="DN239" i="1"/>
  <c r="DV258" i="1"/>
  <c r="DR258" i="1"/>
  <c r="DO258" i="1"/>
  <c r="DN258" i="1"/>
  <c r="DV222" i="1"/>
  <c r="DR222" i="1"/>
  <c r="DO222" i="1"/>
  <c r="DN222" i="1"/>
  <c r="DV242" i="1"/>
  <c r="DR242" i="1"/>
  <c r="DO242" i="1"/>
  <c r="BI242" i="1"/>
  <c r="AN242" i="1"/>
  <c r="S242" i="1"/>
  <c r="DV241" i="1"/>
  <c r="DR241" i="1"/>
  <c r="DS241" i="1" s="1"/>
  <c r="DT241" i="1" s="1"/>
  <c r="DO241" i="1"/>
  <c r="DN241" i="1"/>
  <c r="DV219" i="1"/>
  <c r="DR219" i="1"/>
  <c r="DS219" i="1" s="1"/>
  <c r="DT219" i="1" s="1"/>
  <c r="DO219" i="1"/>
  <c r="DN219" i="1"/>
  <c r="DV218" i="1"/>
  <c r="DR218" i="1"/>
  <c r="DS218" i="1" s="1"/>
  <c r="DO218" i="1"/>
  <c r="DN218" i="1"/>
  <c r="DV217" i="1"/>
  <c r="DR217" i="1"/>
  <c r="DO217" i="1"/>
  <c r="BI217" i="1"/>
  <c r="DN217" i="1" s="1"/>
  <c r="DV257" i="1"/>
  <c r="DR257" i="1"/>
  <c r="DS257" i="1" s="1"/>
  <c r="DT257" i="1" s="1"/>
  <c r="DO257" i="1"/>
  <c r="DN257" i="1"/>
  <c r="DV216" i="1"/>
  <c r="DR216" i="1"/>
  <c r="DS216" i="1" s="1"/>
  <c r="DT216" i="1" s="1"/>
  <c r="DO216" i="1"/>
  <c r="DN216" i="1"/>
  <c r="DV256" i="1"/>
  <c r="DR256" i="1"/>
  <c r="DS256" i="1" s="1"/>
  <c r="DT256" i="1" s="1"/>
  <c r="DO256" i="1"/>
  <c r="DN256" i="1"/>
  <c r="DV255" i="1"/>
  <c r="DR255" i="1"/>
  <c r="DO255" i="1"/>
  <c r="DN255" i="1"/>
  <c r="DV238" i="1"/>
  <c r="DR238" i="1"/>
  <c r="DS238" i="1" s="1"/>
  <c r="DO238" i="1"/>
  <c r="DN238" i="1"/>
  <c r="DV254" i="1"/>
  <c r="DR254" i="1"/>
  <c r="DS254" i="1" s="1"/>
  <c r="DT254" i="1" s="1"/>
  <c r="DO254" i="1"/>
  <c r="DN254" i="1"/>
  <c r="DV253" i="1"/>
  <c r="DR253" i="1"/>
  <c r="DS253" i="1" s="1"/>
  <c r="DO253" i="1"/>
  <c r="DN253" i="1"/>
  <c r="DV237" i="1"/>
  <c r="AF237" i="1"/>
  <c r="AH237" i="1" s="1"/>
  <c r="K237" i="1"/>
  <c r="U237" i="1" s="1"/>
  <c r="DV236" i="1"/>
  <c r="DR236" i="1"/>
  <c r="DO236" i="1"/>
  <c r="DN236" i="1"/>
  <c r="DV215" i="1"/>
  <c r="DR215" i="1"/>
  <c r="DS215" i="1" s="1"/>
  <c r="DO215" i="1"/>
  <c r="DN215" i="1"/>
  <c r="DV214" i="1"/>
  <c r="DR214" i="1"/>
  <c r="DO214" i="1"/>
  <c r="DN214" i="1"/>
  <c r="DV213" i="1"/>
  <c r="DR213" i="1"/>
  <c r="DS213" i="1" s="1"/>
  <c r="DO213" i="1"/>
  <c r="DN213" i="1"/>
  <c r="DV252" i="1"/>
  <c r="DR252" i="1"/>
  <c r="DO252" i="1"/>
  <c r="DN252" i="1"/>
  <c r="DV251" i="1"/>
  <c r="DR251" i="1"/>
  <c r="DS251" i="1" s="1"/>
  <c r="DT251" i="1" s="1"/>
  <c r="DO251" i="1"/>
  <c r="DN251" i="1"/>
  <c r="DV269" i="1"/>
  <c r="BE269" i="1"/>
  <c r="BA269" i="1"/>
  <c r="DR269" i="1" s="1"/>
  <c r="DV250" i="1"/>
  <c r="DW250" i="1" s="1"/>
  <c r="DR250" i="1"/>
  <c r="DS250" i="1" s="1"/>
  <c r="DT250" i="1" s="1"/>
  <c r="DO250" i="1"/>
  <c r="DN250" i="1"/>
  <c r="DV212" i="1"/>
  <c r="DR212" i="1"/>
  <c r="DO212" i="1"/>
  <c r="DN212" i="1"/>
  <c r="DV211" i="1"/>
  <c r="DR211" i="1"/>
  <c r="DS211" i="1" s="1"/>
  <c r="DT211" i="1" s="1"/>
  <c r="DO211" i="1"/>
  <c r="DN211" i="1"/>
  <c r="DV221" i="1"/>
  <c r="DR221" i="1"/>
  <c r="DS221" i="1" s="1"/>
  <c r="DO221" i="1"/>
  <c r="DN221" i="1"/>
  <c r="DV203" i="1"/>
  <c r="DR203" i="1"/>
  <c r="DO203" i="1"/>
  <c r="DN203" i="1"/>
  <c r="DV210" i="1"/>
  <c r="BA210" i="1"/>
  <c r="BQ210" i="1" s="1"/>
  <c r="AF210" i="1"/>
  <c r="AV210" i="1" s="1"/>
  <c r="K210" i="1"/>
  <c r="S210" i="1" s="1"/>
  <c r="DV235" i="1"/>
  <c r="DR235" i="1"/>
  <c r="DS235" i="1" s="1"/>
  <c r="DO235" i="1"/>
  <c r="DN235" i="1"/>
  <c r="DV249" i="1"/>
  <c r="DR249" i="1"/>
  <c r="DS249" i="1" s="1"/>
  <c r="DT249" i="1" s="1"/>
  <c r="DO249" i="1"/>
  <c r="DN249" i="1"/>
  <c r="DV205" i="1"/>
  <c r="BA205" i="1"/>
  <c r="BI205" i="1" s="1"/>
  <c r="AK205" i="1"/>
  <c r="AJ205" i="1"/>
  <c r="AF205" i="1"/>
  <c r="DV244" i="1"/>
  <c r="AF244" i="1"/>
  <c r="AN244" i="1" s="1"/>
  <c r="K244" i="1"/>
  <c r="DV248" i="1"/>
  <c r="DR248" i="1"/>
  <c r="DS248" i="1" s="1"/>
  <c r="DO248" i="1"/>
  <c r="DN248" i="1"/>
  <c r="DV209" i="1"/>
  <c r="DR209" i="1"/>
  <c r="DS209" i="1" s="1"/>
  <c r="DO209" i="1"/>
  <c r="DN209" i="1"/>
  <c r="DV353" i="1"/>
  <c r="DR353" i="1"/>
  <c r="ER21" i="1" s="1"/>
  <c r="DO353" i="1"/>
  <c r="DN353" i="1"/>
  <c r="DV190" i="1"/>
  <c r="BA190" i="1"/>
  <c r="DR190" i="1" s="1"/>
  <c r="DV189" i="1"/>
  <c r="DR189" i="1"/>
  <c r="DS189" i="1" s="1"/>
  <c r="DT189" i="1" s="1"/>
  <c r="DO189" i="1"/>
  <c r="DN189" i="1"/>
  <c r="DV188" i="1"/>
  <c r="DR188" i="1"/>
  <c r="DS188" i="1" s="1"/>
  <c r="DT188" i="1" s="1"/>
  <c r="DO188" i="1"/>
  <c r="DN188" i="1"/>
  <c r="DV187" i="1"/>
  <c r="DR187" i="1"/>
  <c r="DS187" i="1" s="1"/>
  <c r="DT187" i="1" s="1"/>
  <c r="DO187" i="1"/>
  <c r="DN187" i="1"/>
  <c r="DV186" i="1"/>
  <c r="DR186" i="1"/>
  <c r="DS186" i="1" s="1"/>
  <c r="DT186" i="1" s="1"/>
  <c r="DO186" i="1"/>
  <c r="DN186" i="1"/>
  <c r="DV178" i="1"/>
  <c r="DR178" i="1"/>
  <c r="DO178" i="1"/>
  <c r="DN178" i="1"/>
  <c r="DV193" i="1"/>
  <c r="DR193" i="1"/>
  <c r="DS193" i="1" s="1"/>
  <c r="DT193" i="1" s="1"/>
  <c r="DO193" i="1"/>
  <c r="DN193" i="1"/>
  <c r="DV185" i="1"/>
  <c r="BA185" i="1"/>
  <c r="DR185" i="1" s="1"/>
  <c r="DV177" i="1"/>
  <c r="DR177" i="1"/>
  <c r="DS177" i="1" s="1"/>
  <c r="DO177" i="1"/>
  <c r="DN177" i="1"/>
  <c r="DV181" i="1"/>
  <c r="DR181" i="1"/>
  <c r="DS181" i="1" s="1"/>
  <c r="DT181" i="1" s="1"/>
  <c r="DO181" i="1"/>
  <c r="DN181" i="1"/>
  <c r="DV175" i="1"/>
  <c r="DR175" i="1"/>
  <c r="DO175" i="1"/>
  <c r="DN175" i="1"/>
  <c r="DV192" i="1"/>
  <c r="BA192" i="1"/>
  <c r="BI192" i="1" s="1"/>
  <c r="AF192" i="1"/>
  <c r="AN192" i="1" s="1"/>
  <c r="DV176" i="1"/>
  <c r="DR176" i="1"/>
  <c r="DS176" i="1" s="1"/>
  <c r="DO176" i="1"/>
  <c r="DN176" i="1"/>
  <c r="AV176" i="1"/>
  <c r="AA176" i="1"/>
  <c r="DV180" i="1"/>
  <c r="DW180" i="1" s="1"/>
  <c r="AF180" i="1"/>
  <c r="DR180" i="1" s="1"/>
  <c r="DV179" i="1"/>
  <c r="BA179" i="1"/>
  <c r="BI179" i="1" s="1"/>
  <c r="AF179" i="1"/>
  <c r="AN179" i="1" s="1"/>
  <c r="K179" i="1"/>
  <c r="DV191" i="1"/>
  <c r="DR191" i="1"/>
  <c r="DO191" i="1"/>
  <c r="DN191" i="1"/>
  <c r="BQ191" i="1"/>
  <c r="AV191" i="1"/>
  <c r="AA191" i="1"/>
  <c r="DV184" i="1"/>
  <c r="DW184" i="1" s="1"/>
  <c r="DX184" i="1" s="1"/>
  <c r="DR184" i="1"/>
  <c r="DS184" i="1" s="1"/>
  <c r="DT184" i="1" s="1"/>
  <c r="DO184" i="1"/>
  <c r="DN184" i="1"/>
  <c r="DV174" i="1"/>
  <c r="DR174" i="1"/>
  <c r="DO174" i="1"/>
  <c r="DN174" i="1"/>
  <c r="DV198" i="1"/>
  <c r="DR198" i="1"/>
  <c r="DS198" i="1" s="1"/>
  <c r="DT198" i="1" s="1"/>
  <c r="DO198" i="1"/>
  <c r="DN198" i="1"/>
  <c r="DV197" i="1"/>
  <c r="DR197" i="1"/>
  <c r="DS197" i="1" s="1"/>
  <c r="DO197" i="1"/>
  <c r="DN197" i="1"/>
  <c r="BP197" i="1"/>
  <c r="DV196" i="1"/>
  <c r="DR196" i="1"/>
  <c r="DO196" i="1"/>
  <c r="DN196" i="1"/>
  <c r="DV195" i="1"/>
  <c r="DR195" i="1"/>
  <c r="DO195" i="1"/>
  <c r="DN195" i="1"/>
  <c r="DV194" i="1"/>
  <c r="DR194" i="1"/>
  <c r="DO194" i="1"/>
  <c r="BI194" i="1"/>
  <c r="AN194" i="1"/>
  <c r="S194" i="1"/>
  <c r="DV183" i="1"/>
  <c r="DR183" i="1"/>
  <c r="DS183" i="1" s="1"/>
  <c r="DT183" i="1" s="1"/>
  <c r="DO183" i="1"/>
  <c r="DN183" i="1"/>
  <c r="DV182" i="1"/>
  <c r="DR182" i="1"/>
  <c r="DS182" i="1" s="1"/>
  <c r="DT182" i="1" s="1"/>
  <c r="DO182" i="1"/>
  <c r="DN182" i="1"/>
  <c r="DV7" i="1"/>
  <c r="DR7" i="1"/>
  <c r="DO7" i="1"/>
  <c r="DN7" i="1"/>
  <c r="DV398" i="1"/>
  <c r="DR398" i="1"/>
  <c r="DS398" i="1" s="1"/>
  <c r="DO398" i="1"/>
  <c r="DN398" i="1"/>
  <c r="DV396" i="1"/>
  <c r="DR396" i="1"/>
  <c r="DS396" i="1" s="1"/>
  <c r="DO396" i="1"/>
  <c r="DN396" i="1"/>
  <c r="DV395" i="1"/>
  <c r="DR395" i="1"/>
  <c r="DO395" i="1"/>
  <c r="DN395" i="1"/>
  <c r="DV397" i="1"/>
  <c r="BA397" i="1"/>
  <c r="DV393" i="1"/>
  <c r="DR393" i="1"/>
  <c r="DO393" i="1"/>
  <c r="DN393" i="1"/>
  <c r="F549" i="1"/>
  <c r="E549" i="1"/>
  <c r="DV394" i="1"/>
  <c r="DR394" i="1"/>
  <c r="DO394" i="1"/>
  <c r="DN394" i="1"/>
  <c r="DV414" i="1"/>
  <c r="DR414" i="1"/>
  <c r="DS414" i="1" s="1"/>
  <c r="DO414" i="1"/>
  <c r="DN414" i="1"/>
  <c r="DV413" i="1"/>
  <c r="BA413" i="1"/>
  <c r="BQ413" i="1" s="1"/>
  <c r="DV439" i="1"/>
  <c r="DR439" i="1"/>
  <c r="DS439" i="1" s="1"/>
  <c r="DT439" i="1" s="1"/>
  <c r="DO439" i="1"/>
  <c r="DN439" i="1"/>
  <c r="AZ439" i="1"/>
  <c r="AE439" i="1"/>
  <c r="DV438" i="1"/>
  <c r="DR438" i="1"/>
  <c r="DO438" i="1"/>
  <c r="DN438" i="1"/>
  <c r="AZ438" i="1"/>
  <c r="AE438" i="1"/>
  <c r="DV437" i="1"/>
  <c r="DR437" i="1"/>
  <c r="DS437" i="1" s="1"/>
  <c r="DT437" i="1" s="1"/>
  <c r="DO437" i="1"/>
  <c r="DN437" i="1"/>
  <c r="DV436" i="1"/>
  <c r="DR436" i="1"/>
  <c r="DO436" i="1"/>
  <c r="DN436" i="1"/>
  <c r="DV435" i="1"/>
  <c r="DR435" i="1"/>
  <c r="DS435" i="1" s="1"/>
  <c r="DT435" i="1" s="1"/>
  <c r="DO435" i="1"/>
  <c r="DN435" i="1"/>
  <c r="DV416" i="1"/>
  <c r="DR416" i="1"/>
  <c r="DS416" i="1" s="1"/>
  <c r="DT416" i="1" s="1"/>
  <c r="DO416" i="1"/>
  <c r="DN416" i="1"/>
  <c r="DV415" i="1"/>
  <c r="DR415" i="1"/>
  <c r="DO415" i="1"/>
  <c r="DN415" i="1"/>
  <c r="DV422" i="1"/>
  <c r="DR422" i="1"/>
  <c r="DO422" i="1"/>
  <c r="DN422" i="1"/>
  <c r="DV412" i="1"/>
  <c r="DR412" i="1"/>
  <c r="DS412" i="1" s="1"/>
  <c r="DT412" i="1" s="1"/>
  <c r="DO412" i="1"/>
  <c r="DN412" i="1"/>
  <c r="DV411" i="1"/>
  <c r="DR411" i="1"/>
  <c r="DO411" i="1"/>
  <c r="DN411" i="1"/>
  <c r="DV434" i="1"/>
  <c r="DR434" i="1"/>
  <c r="DS434" i="1" s="1"/>
  <c r="DO434" i="1"/>
  <c r="DN434" i="1"/>
  <c r="DV433" i="1"/>
  <c r="DR433" i="1"/>
  <c r="DS433" i="1" s="1"/>
  <c r="DT433" i="1" s="1"/>
  <c r="DO433" i="1"/>
  <c r="DN433" i="1"/>
  <c r="DV425" i="1"/>
  <c r="DR425" i="1"/>
  <c r="DO425" i="1"/>
  <c r="DN425" i="1"/>
  <c r="DV421" i="1"/>
  <c r="DR421" i="1"/>
  <c r="DO421" i="1"/>
  <c r="DN421" i="1"/>
  <c r="DV432" i="1"/>
  <c r="DR432" i="1"/>
  <c r="DO432" i="1"/>
  <c r="DN432" i="1"/>
  <c r="DV431" i="1"/>
  <c r="DW431" i="1" s="1"/>
  <c r="DR431" i="1"/>
  <c r="DO431" i="1"/>
  <c r="DN431" i="1"/>
  <c r="AU431" i="1"/>
  <c r="DV430" i="1"/>
  <c r="DR430" i="1"/>
  <c r="DO430" i="1"/>
  <c r="DN430" i="1"/>
  <c r="DV429" i="1"/>
  <c r="DR429" i="1"/>
  <c r="DS429" i="1" s="1"/>
  <c r="DT429" i="1" s="1"/>
  <c r="DO429" i="1"/>
  <c r="DN429" i="1"/>
  <c r="DV424" i="1"/>
  <c r="DR424" i="1"/>
  <c r="DS424" i="1" s="1"/>
  <c r="DT424" i="1" s="1"/>
  <c r="DO424" i="1"/>
  <c r="DN424" i="1"/>
  <c r="DV423" i="1"/>
  <c r="DR423" i="1"/>
  <c r="DO423" i="1"/>
  <c r="DN423" i="1"/>
  <c r="DK410" i="1"/>
  <c r="CQ410" i="1"/>
  <c r="BU410" i="1"/>
  <c r="BA410" i="1"/>
  <c r="AZ410" i="1"/>
  <c r="AF410" i="1"/>
  <c r="DV420" i="1"/>
  <c r="DR420" i="1"/>
  <c r="DO420" i="1"/>
  <c r="DN420" i="1"/>
  <c r="DV409" i="1"/>
  <c r="DR409" i="1"/>
  <c r="DS409" i="1" s="1"/>
  <c r="DO409" i="1"/>
  <c r="DN409" i="1"/>
  <c r="AV409" i="1"/>
  <c r="DV428" i="1"/>
  <c r="DR428" i="1"/>
  <c r="DS428" i="1" s="1"/>
  <c r="DO428" i="1"/>
  <c r="DN428" i="1"/>
  <c r="AV428" i="1"/>
  <c r="DK427" i="1"/>
  <c r="CQ427" i="1"/>
  <c r="BU427" i="1"/>
  <c r="BA427" i="1"/>
  <c r="AZ427" i="1"/>
  <c r="AF427" i="1"/>
  <c r="AN427" i="1" s="1"/>
  <c r="DK408" i="1"/>
  <c r="CQ408" i="1"/>
  <c r="BU408" i="1"/>
  <c r="BA408" i="1"/>
  <c r="BI408" i="1" s="1"/>
  <c r="AZ408" i="1"/>
  <c r="AF408" i="1"/>
  <c r="DK419" i="1"/>
  <c r="CQ419" i="1"/>
  <c r="BU419" i="1"/>
  <c r="BA419" i="1"/>
  <c r="BQ419" i="1" s="1"/>
  <c r="AZ419" i="1"/>
  <c r="AF419" i="1"/>
  <c r="DV418" i="1"/>
  <c r="DW418" i="1" s="1"/>
  <c r="DX418" i="1" s="1"/>
  <c r="DR418" i="1"/>
  <c r="DS418" i="1" s="1"/>
  <c r="DT418" i="1" s="1"/>
  <c r="DO418" i="1"/>
  <c r="DN418" i="1"/>
  <c r="DV407" i="1"/>
  <c r="DR407" i="1"/>
  <c r="DS407" i="1" s="1"/>
  <c r="DO407" i="1"/>
  <c r="DN407" i="1"/>
  <c r="DK426" i="1"/>
  <c r="CQ426" i="1"/>
  <c r="BU426" i="1"/>
  <c r="AZ426" i="1"/>
  <c r="AF426" i="1"/>
  <c r="DV417" i="1"/>
  <c r="DR417" i="1"/>
  <c r="DO417" i="1"/>
  <c r="DN417" i="1"/>
  <c r="DV406" i="1"/>
  <c r="DR406" i="1"/>
  <c r="DO406" i="1"/>
  <c r="DN406" i="1"/>
  <c r="DV378" i="1"/>
  <c r="BA378" i="1"/>
  <c r="BJ378" i="1" s="1"/>
  <c r="AF378" i="1"/>
  <c r="AV378" i="1" s="1"/>
  <c r="K378" i="1"/>
  <c r="T378" i="1" s="1"/>
  <c r="DV377" i="1"/>
  <c r="BA377" i="1"/>
  <c r="BI377" i="1" s="1"/>
  <c r="AF377" i="1"/>
  <c r="K377" i="1"/>
  <c r="S377" i="1" s="1"/>
  <c r="DV376" i="1"/>
  <c r="DR376" i="1"/>
  <c r="DS376" i="1" s="1"/>
  <c r="DO376" i="1"/>
  <c r="DN376" i="1"/>
  <c r="DV375" i="1"/>
  <c r="DR375" i="1"/>
  <c r="DO375" i="1"/>
  <c r="DN375" i="1"/>
  <c r="DV359" i="1"/>
  <c r="DR359" i="1"/>
  <c r="DO359" i="1"/>
  <c r="DN359" i="1"/>
  <c r="DV366" i="1"/>
  <c r="DR366" i="1"/>
  <c r="DS366" i="1" s="1"/>
  <c r="DT366" i="1" s="1"/>
  <c r="DO366" i="1"/>
  <c r="DN366" i="1"/>
  <c r="DV365" i="1"/>
  <c r="DR365" i="1"/>
  <c r="DO365" i="1"/>
  <c r="DN365" i="1"/>
  <c r="DV374" i="1"/>
  <c r="DR374" i="1"/>
  <c r="DO374" i="1"/>
  <c r="DN374" i="1"/>
  <c r="DV364" i="1"/>
  <c r="DW364" i="1" s="1"/>
  <c r="DX364" i="1" s="1"/>
  <c r="DR364" i="1"/>
  <c r="DO364" i="1"/>
  <c r="DN364" i="1"/>
  <c r="DV373" i="1"/>
  <c r="DW373" i="1" s="1"/>
  <c r="DR373" i="1"/>
  <c r="DS373" i="1" s="1"/>
  <c r="DT373" i="1" s="1"/>
  <c r="DO373" i="1"/>
  <c r="DN373" i="1"/>
  <c r="DV372" i="1"/>
  <c r="DR372" i="1"/>
  <c r="DS372" i="1" s="1"/>
  <c r="DT372" i="1" s="1"/>
  <c r="DO372" i="1"/>
  <c r="DN372" i="1"/>
  <c r="DV371" i="1"/>
  <c r="BA371" i="1"/>
  <c r="DR371" i="1" s="1"/>
  <c r="CQ363" i="1"/>
  <c r="DH363" i="1" s="1"/>
  <c r="BV363" i="1"/>
  <c r="BA363" i="1"/>
  <c r="BQ363" i="1" s="1"/>
  <c r="AF363" i="1"/>
  <c r="AW363" i="1" s="1"/>
  <c r="K363" i="1"/>
  <c r="CQ370" i="1"/>
  <c r="DG370" i="1" s="1"/>
  <c r="BV370" i="1"/>
  <c r="BA370" i="1"/>
  <c r="AF370" i="1"/>
  <c r="AV370" i="1" s="1"/>
  <c r="K370" i="1"/>
  <c r="T370" i="1" s="1"/>
  <c r="DV369" i="1"/>
  <c r="DR369" i="1"/>
  <c r="DS369" i="1" s="1"/>
  <c r="DT369" i="1" s="1"/>
  <c r="DO369" i="1"/>
  <c r="DN369" i="1"/>
  <c r="CQ362" i="1"/>
  <c r="DH362" i="1" s="1"/>
  <c r="BV362" i="1"/>
  <c r="BA362" i="1"/>
  <c r="BQ362" i="1" s="1"/>
  <c r="AF362" i="1"/>
  <c r="AV362" i="1" s="1"/>
  <c r="K362" i="1"/>
  <c r="CQ368" i="1"/>
  <c r="CZ368" i="1" s="1"/>
  <c r="BV368" i="1"/>
  <c r="BA368" i="1"/>
  <c r="BQ368" i="1" s="1"/>
  <c r="AF368" i="1"/>
  <c r="AW368" i="1" s="1"/>
  <c r="K368" i="1"/>
  <c r="DV367" i="1"/>
  <c r="DR367" i="1"/>
  <c r="DS367" i="1" s="1"/>
  <c r="DO367" i="1"/>
  <c r="DN367" i="1"/>
  <c r="DV361" i="1"/>
  <c r="DR361" i="1"/>
  <c r="DO361" i="1"/>
  <c r="DN361" i="1"/>
  <c r="DV360" i="1"/>
  <c r="DR360" i="1"/>
  <c r="DO360" i="1"/>
  <c r="DN360" i="1"/>
  <c r="DV164" i="1"/>
  <c r="DR164" i="1"/>
  <c r="DS164" i="1" s="1"/>
  <c r="DO164" i="1"/>
  <c r="DN164" i="1"/>
  <c r="DV163" i="1"/>
  <c r="DR163" i="1"/>
  <c r="DO163" i="1"/>
  <c r="DN163" i="1"/>
  <c r="DV162" i="1"/>
  <c r="DR162" i="1"/>
  <c r="DO162" i="1"/>
  <c r="DN162" i="1"/>
  <c r="DV140" i="1"/>
  <c r="BA140" i="1"/>
  <c r="BI140" i="1" s="1"/>
  <c r="AF140" i="1"/>
  <c r="DV69" i="1"/>
  <c r="DR69" i="1"/>
  <c r="DO69" i="1"/>
  <c r="DN69" i="1"/>
  <c r="DV68" i="1"/>
  <c r="DR68" i="1"/>
  <c r="DO68" i="1"/>
  <c r="DN68" i="1"/>
  <c r="DV67" i="1"/>
  <c r="DR67" i="1"/>
  <c r="DS67" i="1" s="1"/>
  <c r="DO67" i="1"/>
  <c r="DN67" i="1"/>
  <c r="DV26" i="1"/>
  <c r="DR26" i="1"/>
  <c r="DO26" i="1"/>
  <c r="DN26" i="1"/>
  <c r="DV88" i="1"/>
  <c r="DR88" i="1"/>
  <c r="DO88" i="1"/>
  <c r="DN88" i="1"/>
  <c r="DV156" i="1"/>
  <c r="DR156" i="1"/>
  <c r="DO156" i="1"/>
  <c r="DN156" i="1"/>
  <c r="DV41" i="1"/>
  <c r="DR41" i="1"/>
  <c r="DS41" i="1" s="1"/>
  <c r="DO41" i="1"/>
  <c r="DN41" i="1"/>
  <c r="DV139" i="1"/>
  <c r="DR139" i="1"/>
  <c r="DO139" i="1"/>
  <c r="DN139" i="1"/>
  <c r="DV138" i="1"/>
  <c r="DR138" i="1"/>
  <c r="DO138" i="1"/>
  <c r="DN138" i="1"/>
  <c r="DV66" i="1"/>
  <c r="DR66" i="1"/>
  <c r="DO66" i="1"/>
  <c r="DN66" i="1"/>
  <c r="DV40" i="1"/>
  <c r="DR40" i="1"/>
  <c r="DS40" i="1" s="1"/>
  <c r="DO40" i="1"/>
  <c r="DN40" i="1"/>
  <c r="DV155" i="1"/>
  <c r="BA155" i="1"/>
  <c r="BI155" i="1" s="1"/>
  <c r="AF155" i="1"/>
  <c r="DV137" i="1"/>
  <c r="DR137" i="1"/>
  <c r="DO137" i="1"/>
  <c r="DN137" i="1"/>
  <c r="DV149" i="1"/>
  <c r="BA149" i="1"/>
  <c r="BL149" i="1" s="1"/>
  <c r="AF149" i="1"/>
  <c r="DV65" i="1"/>
  <c r="BA65" i="1"/>
  <c r="AF65" i="1"/>
  <c r="DV136" i="1"/>
  <c r="DR136" i="1"/>
  <c r="DS136" i="1" s="1"/>
  <c r="DT136" i="1" s="1"/>
  <c r="DO136" i="1"/>
  <c r="DN136" i="1"/>
  <c r="DV148" i="1"/>
  <c r="DR148" i="1"/>
  <c r="DS148" i="1" s="1"/>
  <c r="DT148" i="1" s="1"/>
  <c r="DO148" i="1"/>
  <c r="DN148" i="1"/>
  <c r="DV135" i="1"/>
  <c r="BA135" i="1"/>
  <c r="DV134" i="1"/>
  <c r="DR134" i="1"/>
  <c r="DO134" i="1"/>
  <c r="DN134" i="1"/>
  <c r="DV133" i="1"/>
  <c r="DR133" i="1"/>
  <c r="DO133" i="1"/>
  <c r="DN133" i="1"/>
  <c r="DV132" i="1"/>
  <c r="DR132" i="1"/>
  <c r="DO132" i="1"/>
  <c r="DN132" i="1"/>
  <c r="DV131" i="1"/>
  <c r="DR131" i="1"/>
  <c r="DO131" i="1"/>
  <c r="DN131" i="1"/>
  <c r="DV130" i="1"/>
  <c r="DR130" i="1"/>
  <c r="DO130" i="1"/>
  <c r="DN130" i="1"/>
  <c r="DV129" i="1"/>
  <c r="BA129" i="1"/>
  <c r="AF129" i="1"/>
  <c r="DV64" i="1"/>
  <c r="DR64" i="1"/>
  <c r="DS64" i="1" s="1"/>
  <c r="DO64" i="1"/>
  <c r="DN64" i="1"/>
  <c r="DV154" i="1"/>
  <c r="DR154" i="1"/>
  <c r="DS154" i="1" s="1"/>
  <c r="DT154" i="1" s="1"/>
  <c r="DO154" i="1"/>
  <c r="DN154" i="1"/>
  <c r="DV128" i="1"/>
  <c r="BA128" i="1"/>
  <c r="DV147" i="1"/>
  <c r="DR147" i="1"/>
  <c r="DS147" i="1" s="1"/>
  <c r="DO147" i="1"/>
  <c r="DN147" i="1"/>
  <c r="DV153" i="1"/>
  <c r="DR153" i="1"/>
  <c r="DO153" i="1"/>
  <c r="DN153" i="1"/>
  <c r="DV127" i="1"/>
  <c r="DR127" i="1"/>
  <c r="DO127" i="1"/>
  <c r="DN127" i="1"/>
  <c r="DV126" i="1"/>
  <c r="BA126" i="1"/>
  <c r="AF126" i="1"/>
  <c r="DV125" i="1"/>
  <c r="DR125" i="1"/>
  <c r="DO125" i="1"/>
  <c r="DN125" i="1"/>
  <c r="DV152" i="1"/>
  <c r="DR152" i="1"/>
  <c r="DO152" i="1"/>
  <c r="DN152" i="1"/>
  <c r="DV151" i="1"/>
  <c r="DR151" i="1"/>
  <c r="DO151" i="1"/>
  <c r="DN151" i="1"/>
  <c r="DV124" i="1"/>
  <c r="DR124" i="1"/>
  <c r="DO124" i="1"/>
  <c r="DN124" i="1"/>
  <c r="DV123" i="1"/>
  <c r="DR123" i="1"/>
  <c r="DO123" i="1"/>
  <c r="DN123" i="1"/>
  <c r="DV122" i="1"/>
  <c r="DR122" i="1"/>
  <c r="DO122" i="1"/>
  <c r="DN122" i="1"/>
  <c r="DV121" i="1"/>
  <c r="BA121" i="1"/>
  <c r="DV161" i="1"/>
  <c r="BA161" i="1"/>
  <c r="DV12" i="1"/>
  <c r="DR12" i="1"/>
  <c r="DS12" i="1" s="1"/>
  <c r="DO12" i="1"/>
  <c r="DN12" i="1"/>
  <c r="DV120" i="1"/>
  <c r="DR120" i="1"/>
  <c r="DO120" i="1"/>
  <c r="DN120" i="1"/>
  <c r="DV119" i="1"/>
  <c r="AF119" i="1"/>
  <c r="DV118" i="1"/>
  <c r="DR118" i="1"/>
  <c r="DO118" i="1"/>
  <c r="DN118" i="1"/>
  <c r="DV146" i="1"/>
  <c r="DR146" i="1"/>
  <c r="DS146" i="1" s="1"/>
  <c r="DO146" i="1"/>
  <c r="DN146" i="1"/>
  <c r="DV117" i="1"/>
  <c r="BA117" i="1"/>
  <c r="AF117" i="1"/>
  <c r="DV145" i="1"/>
  <c r="BA145" i="1"/>
  <c r="BL145" i="1" s="1"/>
  <c r="AF145" i="1"/>
  <c r="AQ145" i="1" s="1"/>
  <c r="K145" i="1"/>
  <c r="S145" i="1" s="1"/>
  <c r="DV116" i="1"/>
  <c r="DR116" i="1"/>
  <c r="DO116" i="1"/>
  <c r="DN116" i="1"/>
  <c r="DV115" i="1"/>
  <c r="BJ115" i="1"/>
  <c r="BB115" i="1"/>
  <c r="BA115" i="1"/>
  <c r="BI115" i="1" s="1"/>
  <c r="AO115" i="1"/>
  <c r="AG115" i="1"/>
  <c r="AF115" i="1"/>
  <c r="DV114" i="1"/>
  <c r="DR114" i="1"/>
  <c r="DO114" i="1"/>
  <c r="DN114" i="1"/>
  <c r="DV113" i="1"/>
  <c r="BJ113" i="1"/>
  <c r="BB113" i="1"/>
  <c r="BA113" i="1"/>
  <c r="BI113" i="1" s="1"/>
  <c r="AO113" i="1"/>
  <c r="AG113" i="1"/>
  <c r="AF113" i="1"/>
  <c r="CQ144" i="1"/>
  <c r="BA144" i="1"/>
  <c r="BB144" i="1" s="1"/>
  <c r="AF144" i="1"/>
  <c r="AO144" i="1" s="1"/>
  <c r="K144" i="1"/>
  <c r="DV112" i="1"/>
  <c r="CZ112" i="1"/>
  <c r="BJ112" i="1"/>
  <c r="BA112" i="1"/>
  <c r="AO112" i="1"/>
  <c r="AF112" i="1"/>
  <c r="AN112" i="1" s="1"/>
  <c r="DV150" i="1"/>
  <c r="K150" i="1"/>
  <c r="DV111" i="1"/>
  <c r="DR111" i="1"/>
  <c r="DS111" i="1" s="1"/>
  <c r="DO111" i="1"/>
  <c r="DN111" i="1"/>
  <c r="CQ110" i="1"/>
  <c r="BA110" i="1"/>
  <c r="BI110" i="1" s="1"/>
  <c r="AF110" i="1"/>
  <c r="DV11" i="1"/>
  <c r="DR11" i="1"/>
  <c r="DO11" i="1"/>
  <c r="DN11" i="1"/>
  <c r="DV109" i="1"/>
  <c r="AF109" i="1"/>
  <c r="DV108" i="1"/>
  <c r="DR108" i="1"/>
  <c r="DO108" i="1"/>
  <c r="DN108" i="1"/>
  <c r="CQ107" i="1"/>
  <c r="DV107" i="1" s="1"/>
  <c r="BA107" i="1"/>
  <c r="BI107" i="1" s="1"/>
  <c r="AF107" i="1"/>
  <c r="AN107" i="1" s="1"/>
  <c r="K107" i="1"/>
  <c r="DV143" i="1"/>
  <c r="BA143" i="1"/>
  <c r="DV106" i="1"/>
  <c r="DW106" i="1" s="1"/>
  <c r="DX106" i="1" s="1"/>
  <c r="BA106" i="1"/>
  <c r="AF106" i="1"/>
  <c r="K106" i="1"/>
  <c r="S106" i="1" s="1"/>
  <c r="DV9" i="1"/>
  <c r="DR9" i="1"/>
  <c r="DO9" i="1"/>
  <c r="DN9" i="1"/>
  <c r="DV105" i="1"/>
  <c r="DR105" i="1"/>
  <c r="DS105" i="1" s="1"/>
  <c r="DT105" i="1" s="1"/>
  <c r="DO105" i="1"/>
  <c r="DN105" i="1"/>
  <c r="DV104" i="1"/>
  <c r="BA104" i="1"/>
  <c r="AF104" i="1"/>
  <c r="DV103" i="1"/>
  <c r="DR103" i="1"/>
  <c r="DS103" i="1" s="1"/>
  <c r="DO103" i="1"/>
  <c r="DN103" i="1"/>
  <c r="DV102" i="1"/>
  <c r="DR102" i="1"/>
  <c r="DO102" i="1"/>
  <c r="DN102" i="1"/>
  <c r="DV160" i="1"/>
  <c r="DR160" i="1"/>
  <c r="DS160" i="1" s="1"/>
  <c r="DO160" i="1"/>
  <c r="DN160" i="1"/>
  <c r="DV159" i="1"/>
  <c r="DR159" i="1"/>
  <c r="DO159" i="1"/>
  <c r="DN159" i="1"/>
  <c r="DV63" i="1"/>
  <c r="DW63" i="1" s="1"/>
  <c r="DX63" i="1" s="1"/>
  <c r="DR63" i="1"/>
  <c r="DO63" i="1"/>
  <c r="DN63" i="1"/>
  <c r="DV39" i="1"/>
  <c r="DR39" i="1"/>
  <c r="DO39" i="1"/>
  <c r="DN39" i="1"/>
  <c r="DV30" i="1"/>
  <c r="DR30" i="1"/>
  <c r="DO30" i="1"/>
  <c r="DN30" i="1"/>
  <c r="DV62" i="1"/>
  <c r="DR62" i="1"/>
  <c r="DO62" i="1"/>
  <c r="DN62" i="1"/>
  <c r="DV31" i="1"/>
  <c r="DR31" i="1"/>
  <c r="DO31" i="1"/>
  <c r="DN31" i="1"/>
  <c r="DV38" i="1"/>
  <c r="DR38" i="1"/>
  <c r="DO38" i="1"/>
  <c r="DN38" i="1"/>
  <c r="DV87" i="1"/>
  <c r="DR87" i="1"/>
  <c r="DO87" i="1"/>
  <c r="DN87" i="1"/>
  <c r="DV86" i="1"/>
  <c r="DR86" i="1"/>
  <c r="DO86" i="1"/>
  <c r="DN86" i="1"/>
  <c r="DV37" i="1"/>
  <c r="DR37" i="1"/>
  <c r="DS37" i="1" s="1"/>
  <c r="DO37" i="1"/>
  <c r="DN37" i="1"/>
  <c r="DV85" i="1"/>
  <c r="DR85" i="1"/>
  <c r="DO85" i="1"/>
  <c r="DN85" i="1"/>
  <c r="DV29" i="1"/>
  <c r="DR29" i="1"/>
  <c r="DO29" i="1"/>
  <c r="DN29" i="1"/>
  <c r="DV90" i="1"/>
  <c r="DR90" i="1"/>
  <c r="DO90" i="1"/>
  <c r="DN90" i="1"/>
  <c r="DV28" i="1"/>
  <c r="DR28" i="1"/>
  <c r="DO28" i="1"/>
  <c r="DN28" i="1"/>
  <c r="DV36" i="1"/>
  <c r="DR36" i="1"/>
  <c r="DO36" i="1"/>
  <c r="DN36" i="1"/>
  <c r="BQ36" i="1"/>
  <c r="AV36" i="1"/>
  <c r="DV35" i="1"/>
  <c r="DR35" i="1"/>
  <c r="DO35" i="1"/>
  <c r="DN35" i="1"/>
  <c r="DV89" i="1"/>
  <c r="DR89" i="1"/>
  <c r="DS89" i="1" s="1"/>
  <c r="DO89" i="1"/>
  <c r="DN89" i="1"/>
  <c r="DV61" i="1"/>
  <c r="DR61" i="1"/>
  <c r="DO61" i="1"/>
  <c r="DN61" i="1"/>
  <c r="DV60" i="1"/>
  <c r="DR60" i="1"/>
  <c r="DS60" i="1" s="1"/>
  <c r="DT60" i="1" s="1"/>
  <c r="DO60" i="1"/>
  <c r="DN60" i="1"/>
  <c r="DV59" i="1"/>
  <c r="DR59" i="1"/>
  <c r="DO59" i="1"/>
  <c r="DN59" i="1"/>
  <c r="DV94" i="1"/>
  <c r="BA94" i="1"/>
  <c r="BQ94" i="1" s="1"/>
  <c r="AF94" i="1"/>
  <c r="AO94" i="1" s="1"/>
  <c r="DV58" i="1"/>
  <c r="AF58" i="1"/>
  <c r="DV27" i="1"/>
  <c r="DR27" i="1"/>
  <c r="DO27" i="1"/>
  <c r="DN27" i="1"/>
  <c r="DV84" i="1"/>
  <c r="DR84" i="1"/>
  <c r="DO84" i="1"/>
  <c r="DN84" i="1"/>
  <c r="DV83" i="1"/>
  <c r="DR83" i="1"/>
  <c r="DO83" i="1"/>
  <c r="DN83" i="1"/>
  <c r="DV57" i="1"/>
  <c r="BA57" i="1"/>
  <c r="DV56" i="1"/>
  <c r="DR56" i="1"/>
  <c r="DO56" i="1"/>
  <c r="DN56" i="1"/>
  <c r="DV70" i="1"/>
  <c r="DR70" i="1"/>
  <c r="DO70" i="1"/>
  <c r="DN70" i="1"/>
  <c r="DV34" i="1"/>
  <c r="DR34" i="1"/>
  <c r="DS34" i="1" s="1"/>
  <c r="DT34" i="1" s="1"/>
  <c r="DO34" i="1"/>
  <c r="DN34" i="1"/>
  <c r="DV55" i="1"/>
  <c r="DR55" i="1"/>
  <c r="DS55" i="1" s="1"/>
  <c r="DT55" i="1" s="1"/>
  <c r="DO55" i="1"/>
  <c r="DN55" i="1"/>
  <c r="DV82" i="1"/>
  <c r="DR82" i="1"/>
  <c r="DO82" i="1"/>
  <c r="DN82" i="1"/>
  <c r="DV93" i="1"/>
  <c r="DR93" i="1"/>
  <c r="DS93" i="1" s="1"/>
  <c r="DO93" i="1"/>
  <c r="DN93" i="1"/>
  <c r="DV33" i="1"/>
  <c r="BA33" i="1"/>
  <c r="DV81" i="1"/>
  <c r="DR81" i="1"/>
  <c r="DO81" i="1"/>
  <c r="DN81" i="1"/>
  <c r="DV80" i="1"/>
  <c r="DR80" i="1"/>
  <c r="DS80" i="1" s="1"/>
  <c r="DT80" i="1" s="1"/>
  <c r="DO80" i="1"/>
  <c r="DN80" i="1"/>
  <c r="DV79" i="1"/>
  <c r="DR79" i="1"/>
  <c r="DO79" i="1"/>
  <c r="DN79" i="1"/>
  <c r="DV54" i="1"/>
  <c r="DR54" i="1"/>
  <c r="DO54" i="1"/>
  <c r="DN54" i="1"/>
  <c r="DV53" i="1"/>
  <c r="DR53" i="1"/>
  <c r="DS53" i="1" s="1"/>
  <c r="DT53" i="1" s="1"/>
  <c r="DO53" i="1"/>
  <c r="DN53" i="1"/>
  <c r="DV52" i="1"/>
  <c r="DR52" i="1"/>
  <c r="DS52" i="1" s="1"/>
  <c r="DO52" i="1"/>
  <c r="DN52" i="1"/>
  <c r="DV51" i="1"/>
  <c r="DR51" i="1"/>
  <c r="DS51" i="1" s="1"/>
  <c r="DT51" i="1" s="1"/>
  <c r="DO51" i="1"/>
  <c r="DN51" i="1"/>
  <c r="DV50" i="1"/>
  <c r="DR50" i="1"/>
  <c r="DO50" i="1"/>
  <c r="DN50" i="1"/>
  <c r="DV78" i="1"/>
  <c r="DR78" i="1"/>
  <c r="DO78" i="1"/>
  <c r="DN78" i="1"/>
  <c r="DV77" i="1"/>
  <c r="DR77" i="1"/>
  <c r="DS77" i="1" s="1"/>
  <c r="DO77" i="1"/>
  <c r="DN77" i="1"/>
  <c r="DV25" i="1"/>
  <c r="DR25" i="1"/>
  <c r="DO25" i="1"/>
  <c r="DN25" i="1"/>
  <c r="DV24" i="1"/>
  <c r="DR24" i="1"/>
  <c r="DO24" i="1"/>
  <c r="DN24" i="1"/>
  <c r="DV23" i="1"/>
  <c r="DR23" i="1"/>
  <c r="DO23" i="1"/>
  <c r="DN23" i="1"/>
  <c r="DV22" i="1"/>
  <c r="DR22" i="1"/>
  <c r="DS22" i="1" s="1"/>
  <c r="DO22" i="1"/>
  <c r="DN22" i="1"/>
  <c r="DV21" i="1"/>
  <c r="DR21" i="1"/>
  <c r="DO21" i="1"/>
  <c r="DN21" i="1"/>
  <c r="DV20" i="1"/>
  <c r="DR20" i="1"/>
  <c r="DO20" i="1"/>
  <c r="DN20" i="1"/>
  <c r="DV19" i="1"/>
  <c r="DW19" i="1" s="1"/>
  <c r="DX19" i="1" s="1"/>
  <c r="DR19" i="1"/>
  <c r="DO19" i="1"/>
  <c r="DN19" i="1"/>
  <c r="DV18" i="1"/>
  <c r="DW18" i="1" s="1"/>
  <c r="DX18" i="1" s="1"/>
  <c r="DR18" i="1"/>
  <c r="DS18" i="1" s="1"/>
  <c r="DT18" i="1" s="1"/>
  <c r="DO18" i="1"/>
  <c r="DN18" i="1"/>
  <c r="DV17" i="1"/>
  <c r="DR17" i="1"/>
  <c r="DS17" i="1" s="1"/>
  <c r="DT17" i="1" s="1"/>
  <c r="DO17" i="1"/>
  <c r="DN17" i="1"/>
  <c r="DV49" i="1"/>
  <c r="DW49" i="1" s="1"/>
  <c r="DR49" i="1"/>
  <c r="DO49" i="1"/>
  <c r="DN49" i="1"/>
  <c r="DV48" i="1"/>
  <c r="DW48" i="1" s="1"/>
  <c r="DX48" i="1" s="1"/>
  <c r="K48" i="1"/>
  <c r="DV142" i="1"/>
  <c r="BA142" i="1"/>
  <c r="DV92" i="1"/>
  <c r="DR92" i="1"/>
  <c r="DO92" i="1"/>
  <c r="DN92" i="1"/>
  <c r="DV91" i="1"/>
  <c r="DR91" i="1"/>
  <c r="DS91" i="1" s="1"/>
  <c r="DO91" i="1"/>
  <c r="DN91" i="1"/>
  <c r="DV42" i="1"/>
  <c r="DR42" i="1"/>
  <c r="DO42" i="1"/>
  <c r="DN42" i="1"/>
  <c r="DV76" i="1"/>
  <c r="DR76" i="1"/>
  <c r="DS76" i="1" s="1"/>
  <c r="DO76" i="1"/>
  <c r="DN76" i="1"/>
  <c r="DV101" i="1"/>
  <c r="DR101" i="1"/>
  <c r="DO101" i="1"/>
  <c r="DN101" i="1"/>
  <c r="DV16" i="1"/>
  <c r="DR16" i="1"/>
  <c r="DS16" i="1" s="1"/>
  <c r="DO16" i="1"/>
  <c r="DN16" i="1"/>
  <c r="DV32" i="1"/>
  <c r="DR32" i="1"/>
  <c r="DO32" i="1"/>
  <c r="DN32" i="1"/>
  <c r="DV15" i="1"/>
  <c r="DR15" i="1"/>
  <c r="DS15" i="1" s="1"/>
  <c r="DO15" i="1"/>
  <c r="DN15" i="1"/>
  <c r="DV14" i="1"/>
  <c r="DR14" i="1"/>
  <c r="DS14" i="1" s="1"/>
  <c r="DO14" i="1"/>
  <c r="DN14" i="1"/>
  <c r="DV75" i="1"/>
  <c r="DR75" i="1"/>
  <c r="DS75" i="1" s="1"/>
  <c r="DO75" i="1"/>
  <c r="DN75" i="1"/>
  <c r="DV74" i="1"/>
  <c r="DR74" i="1"/>
  <c r="DS74" i="1" s="1"/>
  <c r="DO74" i="1"/>
  <c r="DN74" i="1"/>
  <c r="DV73" i="1"/>
  <c r="DR73" i="1"/>
  <c r="DS73" i="1" s="1"/>
  <c r="DO73" i="1"/>
  <c r="DN73" i="1"/>
  <c r="DV72" i="1"/>
  <c r="DR72" i="1"/>
  <c r="DS72" i="1" s="1"/>
  <c r="DO72" i="1"/>
  <c r="DN72" i="1"/>
  <c r="DV47" i="1"/>
  <c r="DR47" i="1"/>
  <c r="DS47" i="1" s="1"/>
  <c r="DO47" i="1"/>
  <c r="DN47" i="1"/>
  <c r="DV46" i="1"/>
  <c r="DR46" i="1"/>
  <c r="DS46" i="1" s="1"/>
  <c r="DO46" i="1"/>
  <c r="DN46" i="1"/>
  <c r="DV45" i="1"/>
  <c r="DR45" i="1"/>
  <c r="DS45" i="1" s="1"/>
  <c r="DO45" i="1"/>
  <c r="DN45" i="1"/>
  <c r="DV71" i="1"/>
  <c r="DR71" i="1"/>
  <c r="DS71" i="1" s="1"/>
  <c r="DO71" i="1"/>
  <c r="DN71" i="1"/>
  <c r="DV44" i="1"/>
  <c r="DR44" i="1"/>
  <c r="DS44" i="1" s="1"/>
  <c r="DO44" i="1"/>
  <c r="DN44" i="1"/>
  <c r="DV13" i="1"/>
  <c r="DR13" i="1"/>
  <c r="DO13" i="1"/>
  <c r="DN13" i="1"/>
  <c r="DV100" i="1"/>
  <c r="DR100" i="1"/>
  <c r="DO100" i="1"/>
  <c r="DN100" i="1"/>
  <c r="DV99" i="1"/>
  <c r="BA99" i="1"/>
  <c r="DV98" i="1"/>
  <c r="DW98" i="1" s="1"/>
  <c r="DX98" i="1" s="1"/>
  <c r="DR98" i="1"/>
  <c r="DO98" i="1"/>
  <c r="DN98" i="1"/>
  <c r="DV97" i="1"/>
  <c r="DW97" i="1" s="1"/>
  <c r="DX97" i="1" s="1"/>
  <c r="BA97" i="1"/>
  <c r="BI97" i="1" s="1"/>
  <c r="AF97" i="1"/>
  <c r="CQ96" i="1"/>
  <c r="BV96" i="1"/>
  <c r="K96" i="1"/>
  <c r="DR96" i="1" s="1"/>
  <c r="CQ95" i="1"/>
  <c r="CY95" i="1" s="1"/>
  <c r="BV95" i="1"/>
  <c r="BA95" i="1"/>
  <c r="BI95" i="1" s="1"/>
  <c r="AF95" i="1"/>
  <c r="AN95" i="1" s="1"/>
  <c r="K95" i="1"/>
  <c r="DV445" i="1"/>
  <c r="BI445" i="1"/>
  <c r="BA445" i="1"/>
  <c r="F237" i="1"/>
  <c r="E237" i="1"/>
  <c r="DV444" i="1"/>
  <c r="BA444" i="1"/>
  <c r="F132" i="1"/>
  <c r="E132" i="1"/>
  <c r="DV443" i="1"/>
  <c r="DR443" i="1"/>
  <c r="DO443" i="1"/>
  <c r="DN443" i="1"/>
  <c r="F262" i="1"/>
  <c r="E262" i="1"/>
  <c r="DV442" i="1"/>
  <c r="DR442" i="1"/>
  <c r="DS442" i="1" s="1"/>
  <c r="DO442" i="1"/>
  <c r="DN442" i="1"/>
  <c r="F612" i="1"/>
  <c r="E612" i="1"/>
  <c r="DV440" i="1"/>
  <c r="DR440" i="1"/>
  <c r="DO440" i="1"/>
  <c r="DN440" i="1"/>
  <c r="F295" i="1"/>
  <c r="E295" i="1"/>
  <c r="DV441" i="1"/>
  <c r="DW441" i="1" s="1"/>
  <c r="DX441" i="1" s="1"/>
  <c r="DR441" i="1"/>
  <c r="DS441" i="1" s="1"/>
  <c r="DO441" i="1"/>
  <c r="DN441" i="1"/>
  <c r="F448" i="1"/>
  <c r="E448" i="1"/>
  <c r="DV43" i="1"/>
  <c r="DR43" i="1"/>
  <c r="DS43" i="1" s="1"/>
  <c r="DT43" i="1" s="1"/>
  <c r="DO43" i="1"/>
  <c r="DN43" i="1"/>
  <c r="DV141" i="1"/>
  <c r="DR141" i="1"/>
  <c r="DO141" i="1"/>
  <c r="DN141" i="1"/>
  <c r="DV8" i="1"/>
  <c r="BA8" i="1"/>
  <c r="AF8" i="1"/>
  <c r="DV165" i="1"/>
  <c r="BS165" i="1"/>
  <c r="BA165" i="1"/>
  <c r="BI165" i="1" s="1"/>
  <c r="AX165" i="1"/>
  <c r="AF165" i="1"/>
  <c r="AM165" i="1" s="1"/>
  <c r="DV158" i="1"/>
  <c r="DR158" i="1"/>
  <c r="DS158" i="1" s="1"/>
  <c r="DT158" i="1" s="1"/>
  <c r="DO158" i="1"/>
  <c r="DN158" i="1"/>
  <c r="DV10" i="1"/>
  <c r="DR10" i="1"/>
  <c r="DS10" i="1" s="1"/>
  <c r="DO10" i="1"/>
  <c r="DN10" i="1"/>
  <c r="DV157" i="1"/>
  <c r="DR157" i="1"/>
  <c r="DO157" i="1"/>
  <c r="DN157" i="1"/>
  <c r="EZ6" i="1" l="1"/>
  <c r="HU35" i="2"/>
  <c r="HR35" i="2" s="1"/>
  <c r="FI16" i="1"/>
  <c r="HR37" i="2"/>
  <c r="HW37" i="2"/>
  <c r="HW1" i="2" s="1"/>
  <c r="FI31" i="1"/>
  <c r="FI27" i="1"/>
  <c r="FK35" i="1"/>
  <c r="FL35" i="1"/>
  <c r="HU33" i="2"/>
  <c r="HR33" i="2" s="1"/>
  <c r="DW13" i="1"/>
  <c r="DX13" i="1" s="1"/>
  <c r="FI6" i="1"/>
  <c r="FK16" i="1"/>
  <c r="FL16" i="1"/>
  <c r="FI35" i="1"/>
  <c r="DW625" i="1"/>
  <c r="DX625" i="1" s="1"/>
  <c r="FE50" i="1"/>
  <c r="FE12" i="1"/>
  <c r="FI8" i="1"/>
  <c r="FE38" i="1"/>
  <c r="HQ48" i="2"/>
  <c r="HQ50" i="2" s="1"/>
  <c r="ID41" i="2"/>
  <c r="ID1" i="2"/>
  <c r="HZ50" i="2"/>
  <c r="IB41" i="2"/>
  <c r="IA41" i="2" s="1"/>
  <c r="HU39" i="2"/>
  <c r="HR39" i="2" s="1"/>
  <c r="IC32" i="2"/>
  <c r="IC41" i="2" s="1"/>
  <c r="HW41" i="2"/>
  <c r="HO43" i="2"/>
  <c r="ID39" i="2"/>
  <c r="IB43" i="2"/>
  <c r="IA43" i="2" s="1"/>
  <c r="HW40" i="2"/>
  <c r="HW42" i="2"/>
  <c r="HY50" i="2"/>
  <c r="HY51" i="2" s="1"/>
  <c r="IA18" i="2"/>
  <c r="IB39" i="2"/>
  <c r="HN48" i="2"/>
  <c r="HN50" i="2" s="1"/>
  <c r="ID43" i="2"/>
  <c r="HW43" i="2"/>
  <c r="HR18" i="2"/>
  <c r="HO39" i="2"/>
  <c r="HP48" i="2"/>
  <c r="HP50" i="2" s="1"/>
  <c r="HV40" i="2"/>
  <c r="HX1" i="2"/>
  <c r="HW39" i="2"/>
  <c r="HU43" i="2"/>
  <c r="HV42" i="2"/>
  <c r="HU44" i="2"/>
  <c r="HR44" i="2" s="1"/>
  <c r="HU40" i="2"/>
  <c r="HR24" i="2"/>
  <c r="HU41" i="2"/>
  <c r="HN1" i="2"/>
  <c r="IB1" i="2"/>
  <c r="IA1" i="2" s="1"/>
  <c r="HV36" i="2"/>
  <c r="HV45" i="2" s="1"/>
  <c r="HV28" i="2"/>
  <c r="HV26" i="2"/>
  <c r="HV32" i="2"/>
  <c r="HV30" i="2"/>
  <c r="IC20" i="2"/>
  <c r="IC22" i="2"/>
  <c r="GS159" i="2"/>
  <c r="HV22" i="2"/>
  <c r="HV20" i="2"/>
  <c r="HV24" i="2"/>
  <c r="HV11" i="2"/>
  <c r="HV44" i="2" s="1"/>
  <c r="GS71" i="2"/>
  <c r="HV18" i="2"/>
  <c r="GS27" i="2"/>
  <c r="HV12" i="2"/>
  <c r="GS286" i="2"/>
  <c r="IC1" i="2"/>
  <c r="GS371" i="2"/>
  <c r="HA286" i="2"/>
  <c r="GS34" i="2"/>
  <c r="HV1" i="2"/>
  <c r="GS31" i="2"/>
  <c r="HV13" i="2"/>
  <c r="DS393" i="1"/>
  <c r="DT393" i="1" s="1"/>
  <c r="ER30" i="1"/>
  <c r="DS405" i="1"/>
  <c r="DT405" i="1" s="1"/>
  <c r="ER33" i="1"/>
  <c r="DS350" i="1"/>
  <c r="DT350" i="1" s="1"/>
  <c r="DS162" i="1"/>
  <c r="DT162" i="1" s="1"/>
  <c r="DS359" i="1"/>
  <c r="DT359" i="1" s="1"/>
  <c r="DS354" i="1"/>
  <c r="DT354" i="1" s="1"/>
  <c r="ER22" i="1"/>
  <c r="EV38" i="1"/>
  <c r="DS387" i="1"/>
  <c r="DT387" i="1" s="1"/>
  <c r="ER26" i="1"/>
  <c r="DS174" i="1"/>
  <c r="DT174" i="1" s="1"/>
  <c r="EV8" i="1"/>
  <c r="DS502" i="1"/>
  <c r="DT502" i="1" s="1"/>
  <c r="ER40" i="1"/>
  <c r="DS297" i="1"/>
  <c r="DT297" i="1" s="1"/>
  <c r="ER16" i="1"/>
  <c r="EV43" i="1"/>
  <c r="DS591" i="1"/>
  <c r="DT591" i="1" s="1"/>
  <c r="ER46" i="1"/>
  <c r="ER39" i="1"/>
  <c r="DS590" i="1"/>
  <c r="ER45" i="1"/>
  <c r="DS288" i="1"/>
  <c r="DT288" i="1" s="1"/>
  <c r="EZ11" i="1"/>
  <c r="DS299" i="1"/>
  <c r="ER17" i="1"/>
  <c r="ER25" i="1"/>
  <c r="DS446" i="1"/>
  <c r="ER36" i="1"/>
  <c r="DS13" i="1"/>
  <c r="DS175" i="1"/>
  <c r="DT175" i="1" s="1"/>
  <c r="DS203" i="1"/>
  <c r="DT203" i="1" s="1"/>
  <c r="DS208" i="1"/>
  <c r="DT208" i="1" s="1"/>
  <c r="EN38" i="1"/>
  <c r="EN8" i="1"/>
  <c r="EN7" i="1"/>
  <c r="EN12" i="1"/>
  <c r="DS625" i="1"/>
  <c r="DT625" i="1" s="1"/>
  <c r="EN50" i="1"/>
  <c r="DS7" i="1"/>
  <c r="DT7" i="1" s="1"/>
  <c r="EN5" i="1"/>
  <c r="DS624" i="1"/>
  <c r="DT624" i="1" s="1"/>
  <c r="EN49" i="1"/>
  <c r="EN43" i="1"/>
  <c r="DS399" i="1"/>
  <c r="DT399" i="1" s="1"/>
  <c r="EN32" i="1"/>
  <c r="EN44" i="1"/>
  <c r="DV536" i="1"/>
  <c r="DV528" i="1"/>
  <c r="DV532" i="1"/>
  <c r="DW532" i="1" s="1"/>
  <c r="DX532" i="1" s="1"/>
  <c r="DN524" i="1"/>
  <c r="DR534" i="1"/>
  <c r="DV553" i="1"/>
  <c r="DV555" i="1"/>
  <c r="DR532" i="1"/>
  <c r="DO559" i="1"/>
  <c r="DR559" i="1"/>
  <c r="DV559" i="1"/>
  <c r="DO558" i="1"/>
  <c r="DR558" i="1"/>
  <c r="DV558" i="1"/>
  <c r="DO557" i="1"/>
  <c r="DR557" i="1"/>
  <c r="DV557" i="1"/>
  <c r="DR524" i="1"/>
  <c r="DS524" i="1" s="1"/>
  <c r="DR536" i="1"/>
  <c r="DV539" i="1"/>
  <c r="DR537" i="1"/>
  <c r="DR546" i="1"/>
  <c r="DO556" i="1"/>
  <c r="DR556" i="1"/>
  <c r="DV556" i="1"/>
  <c r="DO555" i="1"/>
  <c r="DR555" i="1"/>
  <c r="DO554" i="1"/>
  <c r="DR554" i="1"/>
  <c r="DV554" i="1"/>
  <c r="DO553" i="1"/>
  <c r="DR553" i="1"/>
  <c r="DO552" i="1"/>
  <c r="DR552" i="1"/>
  <c r="DV552" i="1"/>
  <c r="DO551" i="1"/>
  <c r="DR551" i="1"/>
  <c r="DV551" i="1"/>
  <c r="DO548" i="1"/>
  <c r="DR548" i="1"/>
  <c r="DV548" i="1"/>
  <c r="DW548" i="1" s="1"/>
  <c r="DX548" i="1" s="1"/>
  <c r="DR547" i="1"/>
  <c r="DV547" i="1"/>
  <c r="DO546" i="1"/>
  <c r="DV546" i="1"/>
  <c r="DW546" i="1" s="1"/>
  <c r="DX546" i="1" s="1"/>
  <c r="DO545" i="1"/>
  <c r="DR545" i="1"/>
  <c r="DV545" i="1"/>
  <c r="DO544" i="1"/>
  <c r="DR544" i="1"/>
  <c r="DV544" i="1"/>
  <c r="DO543" i="1"/>
  <c r="DR543" i="1"/>
  <c r="DV543" i="1"/>
  <c r="DO541" i="1"/>
  <c r="DR541" i="1"/>
  <c r="DV541" i="1"/>
  <c r="DO539" i="1"/>
  <c r="DR539" i="1"/>
  <c r="DO537" i="1"/>
  <c r="DV537" i="1"/>
  <c r="DO536" i="1"/>
  <c r="DO534" i="1"/>
  <c r="DV534" i="1"/>
  <c r="DO532" i="1"/>
  <c r="DO531" i="1"/>
  <c r="DR531" i="1"/>
  <c r="DV531" i="1"/>
  <c r="DO530" i="1"/>
  <c r="DR530" i="1"/>
  <c r="DV530" i="1"/>
  <c r="DO529" i="1"/>
  <c r="DR529" i="1"/>
  <c r="DV529" i="1"/>
  <c r="DO528" i="1"/>
  <c r="DR528" i="1"/>
  <c r="DO525" i="1"/>
  <c r="DR525" i="1"/>
  <c r="DV525" i="1"/>
  <c r="DO524" i="1"/>
  <c r="DV524" i="1"/>
  <c r="DO523" i="1"/>
  <c r="DR523" i="1"/>
  <c r="DN523" i="1"/>
  <c r="DV523" i="1"/>
  <c r="DO522" i="1"/>
  <c r="DR522" i="1"/>
  <c r="DV522" i="1"/>
  <c r="DV521" i="1"/>
  <c r="DO521" i="1"/>
  <c r="DR521" i="1"/>
  <c r="DV509" i="1"/>
  <c r="DW509" i="1" s="1"/>
  <c r="DR510" i="1"/>
  <c r="DS510" i="1" s="1"/>
  <c r="DT510" i="1" s="1"/>
  <c r="DV517" i="1"/>
  <c r="DO517" i="1"/>
  <c r="DR517" i="1"/>
  <c r="DO515" i="1"/>
  <c r="DR515" i="1"/>
  <c r="DV515" i="1"/>
  <c r="DO514" i="1"/>
  <c r="DR514" i="1"/>
  <c r="DV514" i="1"/>
  <c r="DW514" i="1" s="1"/>
  <c r="DO513" i="1"/>
  <c r="DR513" i="1"/>
  <c r="DV513" i="1"/>
  <c r="DN510" i="1"/>
  <c r="DO510" i="1"/>
  <c r="DV510" i="1"/>
  <c r="DO509" i="1"/>
  <c r="DR509" i="1"/>
  <c r="DR507" i="1"/>
  <c r="DR508" i="1"/>
  <c r="DO508" i="1"/>
  <c r="DV508" i="1"/>
  <c r="DW508" i="1" s="1"/>
  <c r="DO507" i="1"/>
  <c r="DV507" i="1"/>
  <c r="AV292" i="1"/>
  <c r="BI293" i="1"/>
  <c r="AP210" i="1"/>
  <c r="BI378" i="1"/>
  <c r="BI135" i="1"/>
  <c r="DN135" i="1" s="1"/>
  <c r="BJ144" i="1"/>
  <c r="DR413" i="1"/>
  <c r="DO244" i="1"/>
  <c r="DT494" i="1"/>
  <c r="DN387" i="1"/>
  <c r="CY363" i="1"/>
  <c r="CZ363" i="1"/>
  <c r="BK261" i="1"/>
  <c r="DG363" i="1"/>
  <c r="AN210" i="1"/>
  <c r="DO352" i="1"/>
  <c r="AO292" i="1"/>
  <c r="AW362" i="1"/>
  <c r="DO413" i="1"/>
  <c r="DO179" i="1"/>
  <c r="DO387" i="1"/>
  <c r="R310" i="1"/>
  <c r="BJ363" i="1"/>
  <c r="AH264" i="1"/>
  <c r="BR363" i="1"/>
  <c r="CD227" i="1"/>
  <c r="DW227" i="1" s="1"/>
  <c r="DX227" i="1" s="1"/>
  <c r="DO619" i="1"/>
  <c r="DR99" i="1"/>
  <c r="DS594" i="1"/>
  <c r="DT594" i="1" s="1"/>
  <c r="DR619" i="1"/>
  <c r="DS619" i="1" s="1"/>
  <c r="DT619" i="1" s="1"/>
  <c r="T293" i="1"/>
  <c r="DT564" i="1"/>
  <c r="DO603" i="1"/>
  <c r="DT402" i="1"/>
  <c r="AO165" i="1"/>
  <c r="BQ293" i="1"/>
  <c r="AO202" i="1"/>
  <c r="BQ408" i="1"/>
  <c r="DV293" i="1"/>
  <c r="AN119" i="1"/>
  <c r="DN119" i="1" s="1"/>
  <c r="DO142" i="1"/>
  <c r="L237" i="1"/>
  <c r="DO482" i="1"/>
  <c r="DT323" i="1"/>
  <c r="M310" i="1"/>
  <c r="L145" i="1"/>
  <c r="AN237" i="1"/>
  <c r="DR246" i="1"/>
  <c r="DR206" i="1"/>
  <c r="AN129" i="1"/>
  <c r="DH368" i="1"/>
  <c r="DS332" i="1"/>
  <c r="DT332" i="1" s="1"/>
  <c r="DN609" i="1"/>
  <c r="CY410" i="1"/>
  <c r="DN598" i="1"/>
  <c r="DN194" i="1"/>
  <c r="DT330" i="1"/>
  <c r="DO604" i="1"/>
  <c r="AA370" i="1"/>
  <c r="S293" i="1"/>
  <c r="DT441" i="1"/>
  <c r="BE205" i="1"/>
  <c r="DS481" i="1"/>
  <c r="DT481" i="1" s="1"/>
  <c r="BC142" i="1"/>
  <c r="BI142" i="1"/>
  <c r="DN142" i="1" s="1"/>
  <c r="BQ378" i="1"/>
  <c r="BI190" i="1"/>
  <c r="DN190" i="1" s="1"/>
  <c r="BL142" i="1"/>
  <c r="DV598" i="1"/>
  <c r="DT89" i="1"/>
  <c r="BJ155" i="1"/>
  <c r="AV410" i="1"/>
  <c r="DO269" i="1"/>
  <c r="AQ237" i="1"/>
  <c r="DT538" i="1"/>
  <c r="S144" i="1"/>
  <c r="AN65" i="1"/>
  <c r="BJ368" i="1"/>
  <c r="DS322" i="1"/>
  <c r="DT322" i="1" s="1"/>
  <c r="DS331" i="1"/>
  <c r="DT331" i="1" s="1"/>
  <c r="DS333" i="1"/>
  <c r="DT333" i="1" s="1"/>
  <c r="DS300" i="1"/>
  <c r="DT300" i="1" s="1"/>
  <c r="M326" i="1"/>
  <c r="DT629" i="1"/>
  <c r="T389" i="1"/>
  <c r="DO389" i="1" s="1"/>
  <c r="BI94" i="1"/>
  <c r="DW128" i="1"/>
  <c r="DX128" i="1" s="1"/>
  <c r="DR378" i="1"/>
  <c r="S179" i="1"/>
  <c r="DN179" i="1" s="1"/>
  <c r="DS212" i="1"/>
  <c r="DT212" i="1" s="1"/>
  <c r="DS266" i="1"/>
  <c r="DT266" i="1" s="1"/>
  <c r="DN450" i="1"/>
  <c r="CS602" i="1"/>
  <c r="BH165" i="1"/>
  <c r="DT442" i="1"/>
  <c r="AN58" i="1"/>
  <c r="BS94" i="1"/>
  <c r="DR113" i="1"/>
  <c r="BI65" i="1"/>
  <c r="CL362" i="1"/>
  <c r="DT428" i="1"/>
  <c r="AG227" i="1"/>
  <c r="DX482" i="1"/>
  <c r="CY602" i="1"/>
  <c r="DN611" i="1"/>
  <c r="AN389" i="1"/>
  <c r="DN389" i="1" s="1"/>
  <c r="CM362" i="1"/>
  <c r="AO227" i="1"/>
  <c r="DO227" i="1" s="1"/>
  <c r="DV602" i="1"/>
  <c r="DO611" i="1"/>
  <c r="DN612" i="1"/>
  <c r="DO571" i="1"/>
  <c r="BJ165" i="1"/>
  <c r="DG410" i="1"/>
  <c r="DV410" i="1"/>
  <c r="DO494" i="1"/>
  <c r="DT64" i="1"/>
  <c r="DN445" i="1"/>
  <c r="AG140" i="1"/>
  <c r="DO192" i="1"/>
  <c r="DO445" i="1"/>
  <c r="BI57" i="1"/>
  <c r="DO112" i="1"/>
  <c r="DO119" i="1"/>
  <c r="S378" i="1"/>
  <c r="DS488" i="1"/>
  <c r="DT488" i="1" s="1"/>
  <c r="CY329" i="1"/>
  <c r="DN608" i="1"/>
  <c r="DN613" i="1"/>
  <c r="DN348" i="1"/>
  <c r="CD96" i="1"/>
  <c r="BQ57" i="1"/>
  <c r="DT147" i="1"/>
  <c r="AB362" i="1"/>
  <c r="DS421" i="1"/>
  <c r="DT421" i="1" s="1"/>
  <c r="DX180" i="1"/>
  <c r="DO190" i="1"/>
  <c r="DN205" i="1"/>
  <c r="DS207" i="1"/>
  <c r="DT207" i="1" s="1"/>
  <c r="DO449" i="1"/>
  <c r="DV329" i="1"/>
  <c r="FE18" i="1" s="1"/>
  <c r="DS199" i="1"/>
  <c r="DT199" i="1" s="1"/>
  <c r="DN616" i="1"/>
  <c r="CY294" i="1"/>
  <c r="DV362" i="1"/>
  <c r="DN269" i="1"/>
  <c r="DT484" i="1"/>
  <c r="DX479" i="1"/>
  <c r="DW326" i="1"/>
  <c r="DX326" i="1" s="1"/>
  <c r="DO616" i="1"/>
  <c r="DG294" i="1"/>
  <c r="DR165" i="1"/>
  <c r="BB165" i="1"/>
  <c r="DT10" i="1"/>
  <c r="BE165" i="1"/>
  <c r="DS20" i="1"/>
  <c r="DT20" i="1" s="1"/>
  <c r="DS159" i="1"/>
  <c r="DT159" i="1" s="1"/>
  <c r="S96" i="1"/>
  <c r="DS96" i="1" s="1"/>
  <c r="DT96" i="1" s="1"/>
  <c r="DS42" i="1"/>
  <c r="DT42" i="1" s="1"/>
  <c r="BI99" i="1"/>
  <c r="DT46" i="1"/>
  <c r="DT74" i="1"/>
  <c r="DS32" i="1"/>
  <c r="DT32" i="1" s="1"/>
  <c r="AN110" i="1"/>
  <c r="DN110" i="1" s="1"/>
  <c r="DN192" i="1"/>
  <c r="DS141" i="1"/>
  <c r="DT141" i="1" s="1"/>
  <c r="CY96" i="1"/>
  <c r="DT44" i="1"/>
  <c r="DS50" i="1"/>
  <c r="DT50" i="1" s="1"/>
  <c r="AG8" i="1"/>
  <c r="DS87" i="1"/>
  <c r="DT87" i="1" s="1"/>
  <c r="AO8" i="1"/>
  <c r="DT71" i="1"/>
  <c r="DT72" i="1"/>
  <c r="DT14" i="1"/>
  <c r="DS101" i="1"/>
  <c r="DT101" i="1" s="1"/>
  <c r="DR48" i="1"/>
  <c r="T48" i="1"/>
  <c r="DS24" i="1"/>
  <c r="DT24" i="1" s="1"/>
  <c r="DT15" i="1"/>
  <c r="DT76" i="1"/>
  <c r="DT37" i="1"/>
  <c r="BI145" i="1"/>
  <c r="DT12" i="1"/>
  <c r="DT67" i="1"/>
  <c r="CM368" i="1"/>
  <c r="T362" i="1"/>
  <c r="CD362" i="1"/>
  <c r="DV419" i="1"/>
  <c r="DV408" i="1"/>
  <c r="DT213" i="1"/>
  <c r="AP246" i="1"/>
  <c r="DT228" i="1"/>
  <c r="AP264" i="1"/>
  <c r="DS487" i="1"/>
  <c r="DT487" i="1" s="1"/>
  <c r="DT22" i="1"/>
  <c r="DT77" i="1"/>
  <c r="DT52" i="1"/>
  <c r="DT93" i="1"/>
  <c r="DT367" i="1"/>
  <c r="DT376" i="1"/>
  <c r="DT396" i="1"/>
  <c r="DT209" i="1"/>
  <c r="DR210" i="1"/>
  <c r="DT218" i="1"/>
  <c r="AQ246" i="1"/>
  <c r="DS306" i="1"/>
  <c r="DT306" i="1" s="1"/>
  <c r="DW211" i="1"/>
  <c r="DX211" i="1" s="1"/>
  <c r="DX250" i="1"/>
  <c r="BI264" i="1"/>
  <c r="DS474" i="1"/>
  <c r="DT474" i="1" s="1"/>
  <c r="DS166" i="1"/>
  <c r="DT166" i="1" s="1"/>
  <c r="DS341" i="1"/>
  <c r="DT341" i="1" s="1"/>
  <c r="DS83" i="1"/>
  <c r="DT83" i="1" s="1"/>
  <c r="DS31" i="1"/>
  <c r="DT31" i="1" s="1"/>
  <c r="DS102" i="1"/>
  <c r="DT102" i="1" s="1"/>
  <c r="BB143" i="1"/>
  <c r="DW109" i="1"/>
  <c r="DX109" i="1" s="1"/>
  <c r="L150" i="1"/>
  <c r="CY144" i="1"/>
  <c r="DS153" i="1"/>
  <c r="DT153" i="1" s="1"/>
  <c r="BI129" i="1"/>
  <c r="AN362" i="1"/>
  <c r="DR426" i="1"/>
  <c r="AV427" i="1"/>
  <c r="DS420" i="1"/>
  <c r="DT420" i="1" s="1"/>
  <c r="AN180" i="1"/>
  <c r="DR205" i="1"/>
  <c r="DS205" i="1" s="1"/>
  <c r="DT205" i="1" s="1"/>
  <c r="U210" i="1"/>
  <c r="DR237" i="1"/>
  <c r="DS242" i="1"/>
  <c r="DT242" i="1" s="1"/>
  <c r="DS239" i="1"/>
  <c r="DT239" i="1" s="1"/>
  <c r="DS204" i="1"/>
  <c r="DT204" i="1" s="1"/>
  <c r="DS245" i="1"/>
  <c r="DT245" i="1" s="1"/>
  <c r="BB246" i="1"/>
  <c r="DT225" i="1"/>
  <c r="BK264" i="1"/>
  <c r="DS477" i="1"/>
  <c r="DT477" i="1" s="1"/>
  <c r="BK346" i="1"/>
  <c r="DR346" i="1"/>
  <c r="DO346" i="1"/>
  <c r="BI346" i="1"/>
  <c r="DN346" i="1" s="1"/>
  <c r="BC346" i="1"/>
  <c r="DS606" i="1"/>
  <c r="DT606" i="1" s="1"/>
  <c r="DS621" i="1"/>
  <c r="DT621" i="1" s="1"/>
  <c r="CL292" i="1"/>
  <c r="CD292" i="1"/>
  <c r="DV292" i="1"/>
  <c r="BI106" i="1"/>
  <c r="BI143" i="1"/>
  <c r="S150" i="1"/>
  <c r="DN150" i="1" s="1"/>
  <c r="DS123" i="1"/>
  <c r="DT123" i="1" s="1"/>
  <c r="DO129" i="1"/>
  <c r="DS130" i="1"/>
  <c r="DT130" i="1" s="1"/>
  <c r="DS134" i="1"/>
  <c r="DT134" i="1" s="1"/>
  <c r="DS138" i="1"/>
  <c r="DT138" i="1" s="1"/>
  <c r="DS68" i="1"/>
  <c r="DT68" i="1" s="1"/>
  <c r="AO362" i="1"/>
  <c r="CY362" i="1"/>
  <c r="DV427" i="1"/>
  <c r="DS191" i="1"/>
  <c r="DT191" i="1" s="1"/>
  <c r="DO180" i="1"/>
  <c r="DS236" i="1"/>
  <c r="DT236" i="1" s="1"/>
  <c r="BI246" i="1"/>
  <c r="AJ206" i="1"/>
  <c r="BW227" i="1"/>
  <c r="DR264" i="1"/>
  <c r="BL346" i="1"/>
  <c r="CZ292" i="1"/>
  <c r="CY292" i="1"/>
  <c r="DG292" i="1"/>
  <c r="AO294" i="1"/>
  <c r="AV294" i="1"/>
  <c r="AN294" i="1"/>
  <c r="DS540" i="1"/>
  <c r="DT540" i="1" s="1"/>
  <c r="DS19" i="1"/>
  <c r="DT19" i="1" s="1"/>
  <c r="DS23" i="1"/>
  <c r="DT23" i="1" s="1"/>
  <c r="DS78" i="1"/>
  <c r="DT78" i="1" s="1"/>
  <c r="DS82" i="1"/>
  <c r="DT82" i="1" s="1"/>
  <c r="DS11" i="1"/>
  <c r="DT11" i="1" s="1"/>
  <c r="DO113" i="1"/>
  <c r="BW573" i="1"/>
  <c r="CD573" i="1"/>
  <c r="DV573" i="1"/>
  <c r="FE42" i="1" s="1"/>
  <c r="DS385" i="1"/>
  <c r="DT385" i="1" s="1"/>
  <c r="BI294" i="1"/>
  <c r="BQ294" i="1"/>
  <c r="BJ294" i="1"/>
  <c r="DN392" i="1"/>
  <c r="DO392" i="1"/>
  <c r="DT47" i="1"/>
  <c r="DT75" i="1"/>
  <c r="DT16" i="1"/>
  <c r="DT91" i="1"/>
  <c r="DS70" i="1"/>
  <c r="DT70" i="1" s="1"/>
  <c r="DS84" i="1"/>
  <c r="DT84" i="1" s="1"/>
  <c r="DS29" i="1"/>
  <c r="DT29" i="1" s="1"/>
  <c r="DT103" i="1"/>
  <c r="DR104" i="1"/>
  <c r="DS108" i="1"/>
  <c r="DT108" i="1" s="1"/>
  <c r="AN117" i="1"/>
  <c r="AN126" i="1"/>
  <c r="AG149" i="1"/>
  <c r="DS88" i="1"/>
  <c r="DT88" i="1" s="1"/>
  <c r="CZ370" i="1"/>
  <c r="DS374" i="1"/>
  <c r="DT374" i="1" s="1"/>
  <c r="BQ427" i="1"/>
  <c r="DX431" i="1"/>
  <c r="DT197" i="1"/>
  <c r="DS214" i="1"/>
  <c r="DT214" i="1" s="1"/>
  <c r="DS168" i="1"/>
  <c r="DT168" i="1" s="1"/>
  <c r="DS400" i="1"/>
  <c r="DT400" i="1" s="1"/>
  <c r="DS575" i="1"/>
  <c r="DT575" i="1" s="1"/>
  <c r="DH370" i="1"/>
  <c r="DS482" i="1"/>
  <c r="DT482" i="1" s="1"/>
  <c r="DS456" i="1"/>
  <c r="DT456" i="1" s="1"/>
  <c r="BI117" i="1"/>
  <c r="DO65" i="1"/>
  <c r="DT40" i="1"/>
  <c r="DS69" i="1"/>
  <c r="DT69" i="1" s="1"/>
  <c r="DS361" i="1"/>
  <c r="DT361" i="1" s="1"/>
  <c r="BR368" i="1"/>
  <c r="BI362" i="1"/>
  <c r="CD363" i="1"/>
  <c r="CY408" i="1"/>
  <c r="BJ205" i="1"/>
  <c r="DO205" i="1" s="1"/>
  <c r="BI210" i="1"/>
  <c r="DS252" i="1"/>
  <c r="DT252" i="1" s="1"/>
  <c r="M237" i="1"/>
  <c r="AG246" i="1"/>
  <c r="DS451" i="1"/>
  <c r="DT451" i="1" s="1"/>
  <c r="DR614" i="1"/>
  <c r="DS614" i="1" s="1"/>
  <c r="DT614" i="1" s="1"/>
  <c r="DO614" i="1"/>
  <c r="DN614" i="1"/>
  <c r="DO380" i="1"/>
  <c r="DS56" i="1"/>
  <c r="DT56" i="1" s="1"/>
  <c r="BJ362" i="1"/>
  <c r="CE363" i="1"/>
  <c r="CY426" i="1"/>
  <c r="CY427" i="1"/>
  <c r="DS422" i="1"/>
  <c r="DT422" i="1" s="1"/>
  <c r="BI397" i="1"/>
  <c r="DN397" i="1" s="1"/>
  <c r="DS353" i="1"/>
  <c r="DT353" i="1" s="1"/>
  <c r="DR244" i="1"/>
  <c r="BK210" i="1"/>
  <c r="S237" i="1"/>
  <c r="DW219" i="1"/>
  <c r="DX219" i="1" s="1"/>
  <c r="DS258" i="1"/>
  <c r="DT258" i="1" s="1"/>
  <c r="DS259" i="1"/>
  <c r="DT259" i="1" s="1"/>
  <c r="DS223" i="1"/>
  <c r="DT223" i="1" s="1"/>
  <c r="AH246" i="1"/>
  <c r="DT263" i="1"/>
  <c r="DR243" i="1"/>
  <c r="DS483" i="1"/>
  <c r="DT483" i="1" s="1"/>
  <c r="AO310" i="1"/>
  <c r="AN310" i="1"/>
  <c r="DN310" i="1" s="1"/>
  <c r="AH310" i="1"/>
  <c r="AG310" i="1"/>
  <c r="DS315" i="1"/>
  <c r="DT315" i="1" s="1"/>
  <c r="BB602" i="1"/>
  <c r="BI602" i="1"/>
  <c r="BC602" i="1"/>
  <c r="DS92" i="1"/>
  <c r="DT92" i="1" s="1"/>
  <c r="DW54" i="1"/>
  <c r="DX54" i="1" s="1"/>
  <c r="DS27" i="1"/>
  <c r="DT27" i="1" s="1"/>
  <c r="DS30" i="1"/>
  <c r="DT30" i="1" s="1"/>
  <c r="DR150" i="1"/>
  <c r="DS127" i="1"/>
  <c r="DT127" i="1" s="1"/>
  <c r="DS132" i="1"/>
  <c r="DT132" i="1" s="1"/>
  <c r="DT41" i="1"/>
  <c r="DT164" i="1"/>
  <c r="CD368" i="1"/>
  <c r="BR362" i="1"/>
  <c r="CL363" i="1"/>
  <c r="DW365" i="1"/>
  <c r="DX365" i="1" s="1"/>
  <c r="DS406" i="1"/>
  <c r="DT406" i="1" s="1"/>
  <c r="DG426" i="1"/>
  <c r="DG427" i="1"/>
  <c r="BQ410" i="1"/>
  <c r="DS194" i="1"/>
  <c r="DT194" i="1" s="1"/>
  <c r="DT177" i="1"/>
  <c r="DS178" i="1"/>
  <c r="DT178" i="1" s="1"/>
  <c r="S244" i="1"/>
  <c r="DN244" i="1" s="1"/>
  <c r="DT235" i="1"/>
  <c r="V237" i="1"/>
  <c r="AN246" i="1"/>
  <c r="BB261" i="1"/>
  <c r="DT327" i="1"/>
  <c r="AQ326" i="1"/>
  <c r="AP326" i="1"/>
  <c r="AH326" i="1"/>
  <c r="AG326" i="1"/>
  <c r="AM310" i="1"/>
  <c r="DS21" i="1"/>
  <c r="DT21" i="1" s="1"/>
  <c r="DS25" i="1"/>
  <c r="DT25" i="1" s="1"/>
  <c r="DS28" i="1"/>
  <c r="DT28" i="1" s="1"/>
  <c r="DT160" i="1"/>
  <c r="BI104" i="1"/>
  <c r="DT111" i="1"/>
  <c r="BB145" i="1"/>
  <c r="CE368" i="1"/>
  <c r="CM363" i="1"/>
  <c r="DX373" i="1"/>
  <c r="DR408" i="1"/>
  <c r="DT409" i="1"/>
  <c r="DO237" i="1"/>
  <c r="AO246" i="1"/>
  <c r="DR229" i="1"/>
  <c r="DT472" i="1"/>
  <c r="DS476" i="1"/>
  <c r="DT476" i="1" s="1"/>
  <c r="DS492" i="1"/>
  <c r="DT492" i="1" s="1"/>
  <c r="L329" i="1"/>
  <c r="S329" i="1"/>
  <c r="DS318" i="1"/>
  <c r="DT318" i="1" s="1"/>
  <c r="DO618" i="1"/>
  <c r="DN618" i="1"/>
  <c r="DR618" i="1"/>
  <c r="DS618" i="1" s="1"/>
  <c r="DT618" i="1" s="1"/>
  <c r="DN449" i="1"/>
  <c r="DT171" i="1"/>
  <c r="DT303" i="1"/>
  <c r="DR310" i="1"/>
  <c r="EV18" i="1" s="1"/>
  <c r="DT312" i="1"/>
  <c r="DT339" i="1"/>
  <c r="DX272" i="1"/>
  <c r="BQ586" i="1"/>
  <c r="DT603" i="1"/>
  <c r="DT610" i="1"/>
  <c r="DR613" i="1"/>
  <c r="DS613" i="1" s="1"/>
  <c r="DT613" i="1" s="1"/>
  <c r="DV285" i="1"/>
  <c r="DO347" i="1"/>
  <c r="AA292" i="1"/>
  <c r="CE293" i="1"/>
  <c r="DS569" i="1"/>
  <c r="DT569" i="1" s="1"/>
  <c r="DT473" i="1"/>
  <c r="DT590" i="1"/>
  <c r="DT328" i="1"/>
  <c r="BR586" i="1"/>
  <c r="CL293" i="1"/>
  <c r="DT464" i="1"/>
  <c r="DT301" i="1"/>
  <c r="DT311" i="1"/>
  <c r="DT320" i="1"/>
  <c r="DT620" i="1"/>
  <c r="DT299" i="1"/>
  <c r="DX533" i="1"/>
  <c r="DT172" i="1"/>
  <c r="V326" i="1"/>
  <c r="T310" i="1"/>
  <c r="DS335" i="1"/>
  <c r="DT335" i="1" s="1"/>
  <c r="DS337" i="1"/>
  <c r="DT337" i="1" s="1"/>
  <c r="DT277" i="1"/>
  <c r="BB605" i="1"/>
  <c r="DR608" i="1"/>
  <c r="DS608" i="1" s="1"/>
  <c r="DT608" i="1" s="1"/>
  <c r="DR609" i="1"/>
  <c r="DN595" i="1"/>
  <c r="DR348" i="1"/>
  <c r="DS348" i="1" s="1"/>
  <c r="DT348" i="1" s="1"/>
  <c r="DT581" i="1"/>
  <c r="DT527" i="1"/>
  <c r="DR380" i="1"/>
  <c r="DS380" i="1" s="1"/>
  <c r="DT380" i="1" s="1"/>
  <c r="DS382" i="1"/>
  <c r="DT382" i="1" s="1"/>
  <c r="DO450" i="1"/>
  <c r="DT170" i="1"/>
  <c r="DR602" i="1"/>
  <c r="DR595" i="1"/>
  <c r="DV392" i="1"/>
  <c r="DT316" i="1"/>
  <c r="DW271" i="1"/>
  <c r="DX271" i="1" s="1"/>
  <c r="AH602" i="1"/>
  <c r="S573" i="1"/>
  <c r="DN573" i="1" s="1"/>
  <c r="DT386" i="1"/>
  <c r="DT579" i="1"/>
  <c r="DT526" i="1"/>
  <c r="DT550" i="1"/>
  <c r="DT568" i="1"/>
  <c r="DS596" i="1"/>
  <c r="DT596" i="1" s="1"/>
  <c r="BI504" i="1"/>
  <c r="DN504" i="1" s="1"/>
  <c r="DT475" i="1"/>
  <c r="DT167" i="1"/>
  <c r="DS305" i="1"/>
  <c r="DT305" i="1" s="1"/>
  <c r="DS314" i="1"/>
  <c r="DT314" i="1" s="1"/>
  <c r="DT319" i="1"/>
  <c r="DT345" i="1"/>
  <c r="BI586" i="1"/>
  <c r="DN596" i="1"/>
  <c r="DN285" i="1"/>
  <c r="DN347" i="1"/>
  <c r="DS384" i="1"/>
  <c r="DT384" i="1" s="1"/>
  <c r="S292" i="1"/>
  <c r="CD293" i="1"/>
  <c r="DT577" i="1"/>
  <c r="DT549" i="1"/>
  <c r="AN165" i="1"/>
  <c r="DS157" i="1"/>
  <c r="DT157" i="1" s="1"/>
  <c r="AG165" i="1"/>
  <c r="AJ165" i="1"/>
  <c r="BJ8" i="1"/>
  <c r="BI8" i="1"/>
  <c r="BB8" i="1"/>
  <c r="DR8" i="1"/>
  <c r="EV6" i="1" s="1"/>
  <c r="AN8" i="1"/>
  <c r="DS443" i="1"/>
  <c r="DT443" i="1" s="1"/>
  <c r="DV95" i="1"/>
  <c r="CD95" i="1"/>
  <c r="DR444" i="1"/>
  <c r="DS444" i="1" s="1"/>
  <c r="DO444" i="1"/>
  <c r="DN444" i="1"/>
  <c r="DV96" i="1"/>
  <c r="DO99" i="1"/>
  <c r="DS54" i="1"/>
  <c r="DT54" i="1" s="1"/>
  <c r="DS85" i="1"/>
  <c r="DT85" i="1" s="1"/>
  <c r="DS62" i="1"/>
  <c r="DT62" i="1" s="1"/>
  <c r="AN97" i="1"/>
  <c r="DR97" i="1"/>
  <c r="DO97" i="1"/>
  <c r="DT13" i="1"/>
  <c r="DT45" i="1"/>
  <c r="DT73" i="1"/>
  <c r="BQ33" i="1"/>
  <c r="BJ33" i="1"/>
  <c r="BI33" i="1"/>
  <c r="DR33" i="1"/>
  <c r="DW93" i="1"/>
  <c r="DX93" i="1" s="1"/>
  <c r="DR107" i="1"/>
  <c r="DO107" i="1"/>
  <c r="S107" i="1"/>
  <c r="DW17" i="1"/>
  <c r="DX17" i="1" s="1"/>
  <c r="DO95" i="1"/>
  <c r="DO96" i="1"/>
  <c r="DS90" i="1"/>
  <c r="DT90" i="1" s="1"/>
  <c r="DS38" i="1"/>
  <c r="DT38" i="1" s="1"/>
  <c r="DR95" i="1"/>
  <c r="DR445" i="1"/>
  <c r="S95" i="1"/>
  <c r="DS440" i="1"/>
  <c r="DT440" i="1" s="1"/>
  <c r="DS100" i="1"/>
  <c r="DT100" i="1" s="1"/>
  <c r="DS36" i="1"/>
  <c r="DT36" i="1" s="1"/>
  <c r="DS86" i="1"/>
  <c r="DT86" i="1" s="1"/>
  <c r="DS39" i="1"/>
  <c r="DT39" i="1" s="1"/>
  <c r="DS98" i="1"/>
  <c r="DT98" i="1" s="1"/>
  <c r="DS49" i="1"/>
  <c r="DT49" i="1" s="1"/>
  <c r="DX49" i="1"/>
  <c r="DR142" i="1"/>
  <c r="AV94" i="1"/>
  <c r="AX94" i="1"/>
  <c r="AN104" i="1"/>
  <c r="AN106" i="1"/>
  <c r="DS124" i="1"/>
  <c r="DT124" i="1" s="1"/>
  <c r="DR57" i="1"/>
  <c r="AO58" i="1"/>
  <c r="BI126" i="1"/>
  <c r="DS79" i="1"/>
  <c r="DT79" i="1" s="1"/>
  <c r="DS81" i="1"/>
  <c r="DT81" i="1" s="1"/>
  <c r="BJ94" i="1"/>
  <c r="DO94" i="1" s="1"/>
  <c r="DS59" i="1"/>
  <c r="DT59" i="1" s="1"/>
  <c r="DS61" i="1"/>
  <c r="DT61" i="1" s="1"/>
  <c r="DS35" i="1"/>
  <c r="DT35" i="1" s="1"/>
  <c r="BJ143" i="1"/>
  <c r="DT146" i="1"/>
  <c r="BB142" i="1"/>
  <c r="S48" i="1"/>
  <c r="DR58" i="1"/>
  <c r="DO104" i="1"/>
  <c r="DO106" i="1"/>
  <c r="DS122" i="1"/>
  <c r="DT122" i="1" s="1"/>
  <c r="DW112" i="1"/>
  <c r="DX112" i="1" s="1"/>
  <c r="DS63" i="1"/>
  <c r="DT63" i="1" s="1"/>
  <c r="DS9" i="1"/>
  <c r="DT9" i="1" s="1"/>
  <c r="DR106" i="1"/>
  <c r="DR143" i="1"/>
  <c r="BK142" i="1"/>
  <c r="DR115" i="1"/>
  <c r="AN115" i="1"/>
  <c r="DS152" i="1"/>
  <c r="DT152" i="1" s="1"/>
  <c r="DR94" i="1"/>
  <c r="BJ57" i="1"/>
  <c r="AN94" i="1"/>
  <c r="DO115" i="1"/>
  <c r="AB368" i="1"/>
  <c r="DS394" i="1"/>
  <c r="DT394" i="1" s="1"/>
  <c r="DS268" i="1"/>
  <c r="DT268" i="1" s="1"/>
  <c r="DR109" i="1"/>
  <c r="DV110" i="1"/>
  <c r="T150" i="1"/>
  <c r="BI144" i="1"/>
  <c r="DV144" i="1"/>
  <c r="M145" i="1"/>
  <c r="BC145" i="1"/>
  <c r="DR119" i="1"/>
  <c r="AN149" i="1"/>
  <c r="DS425" i="1"/>
  <c r="DT425" i="1" s="1"/>
  <c r="DR155" i="1"/>
  <c r="DW218" i="1"/>
  <c r="DX218" i="1" s="1"/>
  <c r="BI112" i="1"/>
  <c r="DW115" i="1"/>
  <c r="DX115" i="1" s="1"/>
  <c r="U145" i="1"/>
  <c r="BK145" i="1"/>
  <c r="BI121" i="1"/>
  <c r="DO126" i="1"/>
  <c r="BI128" i="1"/>
  <c r="BB149" i="1"/>
  <c r="DS137" i="1"/>
  <c r="DT137" i="1" s="1"/>
  <c r="DS66" i="1"/>
  <c r="DT66" i="1" s="1"/>
  <c r="DS139" i="1"/>
  <c r="DT139" i="1" s="1"/>
  <c r="DS156" i="1"/>
  <c r="DT156" i="1" s="1"/>
  <c r="DS26" i="1"/>
  <c r="DT26" i="1" s="1"/>
  <c r="DW374" i="1"/>
  <c r="DX374" i="1" s="1"/>
  <c r="DT407" i="1"/>
  <c r="CY107" i="1"/>
  <c r="L144" i="1"/>
  <c r="CR144" i="1"/>
  <c r="V145" i="1"/>
  <c r="DO117" i="1"/>
  <c r="DR126" i="1"/>
  <c r="BI149" i="1"/>
  <c r="DS432" i="1"/>
  <c r="DT432" i="1" s="1"/>
  <c r="DR117" i="1"/>
  <c r="DO121" i="1"/>
  <c r="DO128" i="1"/>
  <c r="CY110" i="1"/>
  <c r="T144" i="1"/>
  <c r="CZ144" i="1"/>
  <c r="AN113" i="1"/>
  <c r="AG145" i="1"/>
  <c r="DO145" i="1"/>
  <c r="DS118" i="1"/>
  <c r="DT118" i="1" s="1"/>
  <c r="BB161" i="1"/>
  <c r="DR121" i="1"/>
  <c r="BR370" i="1"/>
  <c r="BQ370" i="1"/>
  <c r="BJ370" i="1"/>
  <c r="BI370" i="1"/>
  <c r="DR363" i="1"/>
  <c r="AB363" i="1"/>
  <c r="AA363" i="1"/>
  <c r="T363" i="1"/>
  <c r="S363" i="1"/>
  <c r="AH145" i="1"/>
  <c r="DR145" i="1"/>
  <c r="BI161" i="1"/>
  <c r="DS151" i="1"/>
  <c r="DT151" i="1" s="1"/>
  <c r="DS125" i="1"/>
  <c r="DT125" i="1" s="1"/>
  <c r="DR128" i="1"/>
  <c r="DR129" i="1"/>
  <c r="DR65" i="1"/>
  <c r="DO149" i="1"/>
  <c r="AN155" i="1"/>
  <c r="DS436" i="1"/>
  <c r="DT436" i="1" s="1"/>
  <c r="DS480" i="1"/>
  <c r="DT480" i="1" s="1"/>
  <c r="DO110" i="1"/>
  <c r="AG144" i="1"/>
  <c r="DS116" i="1"/>
  <c r="DT116" i="1" s="1"/>
  <c r="AN145" i="1"/>
  <c r="DS120" i="1"/>
  <c r="DT120" i="1" s="1"/>
  <c r="DS131" i="1"/>
  <c r="DT131" i="1" s="1"/>
  <c r="DS133" i="1"/>
  <c r="DT133" i="1" s="1"/>
  <c r="DO135" i="1"/>
  <c r="DR149" i="1"/>
  <c r="AO155" i="1"/>
  <c r="AN109" i="1"/>
  <c r="DW150" i="1"/>
  <c r="DX150" i="1" s="1"/>
  <c r="DR112" i="1"/>
  <c r="AN144" i="1"/>
  <c r="DS114" i="1"/>
  <c r="DT114" i="1" s="1"/>
  <c r="AP145" i="1"/>
  <c r="DO161" i="1"/>
  <c r="DR135" i="1"/>
  <c r="AV419" i="1"/>
  <c r="DO419" i="1"/>
  <c r="AN419" i="1"/>
  <c r="DR419" i="1"/>
  <c r="DR110" i="1"/>
  <c r="DR144" i="1"/>
  <c r="DR161" i="1"/>
  <c r="DS364" i="1"/>
  <c r="DT364" i="1" s="1"/>
  <c r="DT434" i="1"/>
  <c r="DO109" i="1"/>
  <c r="BB140" i="1"/>
  <c r="DR368" i="1"/>
  <c r="AA368" i="1"/>
  <c r="T368" i="1"/>
  <c r="S368" i="1"/>
  <c r="BI368" i="1"/>
  <c r="DG368" i="1"/>
  <c r="S362" i="1"/>
  <c r="AW370" i="1"/>
  <c r="CY370" i="1"/>
  <c r="BI363" i="1"/>
  <c r="BI371" i="1"/>
  <c r="DN371" i="1" s="1"/>
  <c r="DR377" i="1"/>
  <c r="DO427" i="1"/>
  <c r="AN410" i="1"/>
  <c r="DO410" i="1"/>
  <c r="DT221" i="1"/>
  <c r="DT238" i="1"/>
  <c r="DX261" i="1"/>
  <c r="DT446" i="1"/>
  <c r="AN329" i="1"/>
  <c r="AG329" i="1"/>
  <c r="DT304" i="1"/>
  <c r="DT313" i="1"/>
  <c r="DT340" i="1"/>
  <c r="AN140" i="1"/>
  <c r="AA362" i="1"/>
  <c r="DO371" i="1"/>
  <c r="BI413" i="1"/>
  <c r="DN413" i="1" s="1"/>
  <c r="DT253" i="1"/>
  <c r="DS234" i="1"/>
  <c r="DT234" i="1" s="1"/>
  <c r="DS265" i="1"/>
  <c r="DT265" i="1" s="1"/>
  <c r="DT479" i="1"/>
  <c r="DS453" i="1"/>
  <c r="DT453" i="1" s="1"/>
  <c r="DS592" i="1"/>
  <c r="DT592" i="1" s="1"/>
  <c r="DT324" i="1"/>
  <c r="DT302" i="1"/>
  <c r="DT336" i="1"/>
  <c r="DT338" i="1"/>
  <c r="DR362" i="1"/>
  <c r="DS470" i="1"/>
  <c r="DT470" i="1" s="1"/>
  <c r="DS466" i="1"/>
  <c r="DT466" i="1" s="1"/>
  <c r="DR329" i="1"/>
  <c r="DS597" i="1"/>
  <c r="DT597" i="1" s="1"/>
  <c r="CE362" i="1"/>
  <c r="S370" i="1"/>
  <c r="DG408" i="1"/>
  <c r="BI427" i="1"/>
  <c r="BI410" i="1"/>
  <c r="DT215" i="1"/>
  <c r="DX245" i="1"/>
  <c r="DS262" i="1"/>
  <c r="DT262" i="1" s="1"/>
  <c r="DS463" i="1"/>
  <c r="DT463" i="1" s="1"/>
  <c r="DT478" i="1"/>
  <c r="DT173" i="1"/>
  <c r="DT334" i="1"/>
  <c r="DT308" i="1"/>
  <c r="DT307" i="1"/>
  <c r="DS627" i="1"/>
  <c r="DT627" i="1" s="1"/>
  <c r="DT176" i="1"/>
  <c r="DS185" i="1"/>
  <c r="DT185" i="1" s="1"/>
  <c r="BJ206" i="1"/>
  <c r="DO206" i="1" s="1"/>
  <c r="BI206" i="1"/>
  <c r="BF206" i="1"/>
  <c r="BE206" i="1"/>
  <c r="BB206" i="1"/>
  <c r="DS468" i="1"/>
  <c r="DT468" i="1" s="1"/>
  <c r="DS270" i="1"/>
  <c r="DT270" i="1" s="1"/>
  <c r="AV293" i="1"/>
  <c r="AO293" i="1"/>
  <c r="AN293" i="1"/>
  <c r="DS417" i="1"/>
  <c r="DT417" i="1" s="1"/>
  <c r="BI419" i="1"/>
  <c r="DS423" i="1"/>
  <c r="DT423" i="1" s="1"/>
  <c r="DS431" i="1"/>
  <c r="DT431" i="1" s="1"/>
  <c r="DW396" i="1"/>
  <c r="DX396" i="1" s="1"/>
  <c r="DW179" i="1"/>
  <c r="DX179" i="1" s="1"/>
  <c r="FL8" i="1" s="1"/>
  <c r="DS230" i="1"/>
  <c r="DT230" i="1" s="1"/>
  <c r="DO140" i="1"/>
  <c r="AN368" i="1"/>
  <c r="CL368" i="1"/>
  <c r="AB370" i="1"/>
  <c r="CD370" i="1"/>
  <c r="DR370" i="1"/>
  <c r="AN363" i="1"/>
  <c r="DS375" i="1"/>
  <c r="DT375" i="1" s="1"/>
  <c r="AN377" i="1"/>
  <c r="AA378" i="1"/>
  <c r="DO426" i="1"/>
  <c r="AN408" i="1"/>
  <c r="DO408" i="1"/>
  <c r="DS411" i="1"/>
  <c r="DT411" i="1" s="1"/>
  <c r="DS438" i="1"/>
  <c r="DT438" i="1" s="1"/>
  <c r="DT398" i="1"/>
  <c r="DW244" i="1"/>
  <c r="DX244" i="1" s="1"/>
  <c r="DS217" i="1"/>
  <c r="DT217" i="1" s="1"/>
  <c r="DS224" i="1"/>
  <c r="DT224" i="1" s="1"/>
  <c r="DS458" i="1"/>
  <c r="DT458" i="1" s="1"/>
  <c r="DS495" i="1"/>
  <c r="DT495" i="1" s="1"/>
  <c r="DR140" i="1"/>
  <c r="AO368" i="1"/>
  <c r="DV368" i="1"/>
  <c r="CE370" i="1"/>
  <c r="AO363" i="1"/>
  <c r="DV363" i="1"/>
  <c r="DS365" i="1"/>
  <c r="DT365" i="1" s="1"/>
  <c r="DW366" i="1"/>
  <c r="DX366" i="1" s="1"/>
  <c r="DV426" i="1"/>
  <c r="AV408" i="1"/>
  <c r="AQ261" i="1"/>
  <c r="AP261" i="1"/>
  <c r="DR261" i="1"/>
  <c r="AO261" i="1"/>
  <c r="DO261" i="1" s="1"/>
  <c r="AN261" i="1"/>
  <c r="AH261" i="1"/>
  <c r="AG261" i="1"/>
  <c r="DX224" i="1"/>
  <c r="DS226" i="1"/>
  <c r="DT226" i="1" s="1"/>
  <c r="DS233" i="1"/>
  <c r="DT233" i="1" s="1"/>
  <c r="DR454" i="1"/>
  <c r="DS454" i="1" s="1"/>
  <c r="DO454" i="1"/>
  <c r="DN454" i="1"/>
  <c r="DS489" i="1"/>
  <c r="DT489" i="1" s="1"/>
  <c r="DT169" i="1"/>
  <c r="DW310" i="1"/>
  <c r="DX310" i="1" s="1"/>
  <c r="FM18" i="1" s="1"/>
  <c r="DT317" i="1"/>
  <c r="DT343" i="1"/>
  <c r="DS274" i="1"/>
  <c r="DT274" i="1" s="1"/>
  <c r="DS163" i="1"/>
  <c r="DT163" i="1" s="1"/>
  <c r="DS360" i="1"/>
  <c r="DT360" i="1" s="1"/>
  <c r="AV368" i="1"/>
  <c r="CZ362" i="1"/>
  <c r="AN370" i="1"/>
  <c r="CL370" i="1"/>
  <c r="AV363" i="1"/>
  <c r="AN378" i="1"/>
  <c r="DS269" i="1"/>
  <c r="DT269" i="1" s="1"/>
  <c r="DS247" i="1"/>
  <c r="DT247" i="1" s="1"/>
  <c r="CD243" i="1"/>
  <c r="DV243" i="1"/>
  <c r="FE11" i="1" s="1"/>
  <c r="DR600" i="1"/>
  <c r="DO600" i="1"/>
  <c r="DN600" i="1"/>
  <c r="DS347" i="1"/>
  <c r="DT347" i="1" s="1"/>
  <c r="CY368" i="1"/>
  <c r="DG362" i="1"/>
  <c r="AO370" i="1"/>
  <c r="CM370" i="1"/>
  <c r="DV370" i="1"/>
  <c r="AO378" i="1"/>
  <c r="DO378" i="1" s="1"/>
  <c r="AN426" i="1"/>
  <c r="CY419" i="1"/>
  <c r="DR427" i="1"/>
  <c r="DR410" i="1"/>
  <c r="DS430" i="1"/>
  <c r="DT430" i="1" s="1"/>
  <c r="DS415" i="1"/>
  <c r="DT415" i="1" s="1"/>
  <c r="DT414" i="1"/>
  <c r="DS222" i="1"/>
  <c r="DT222" i="1" s="1"/>
  <c r="DS240" i="1"/>
  <c r="DT240" i="1" s="1"/>
  <c r="DS388" i="1"/>
  <c r="DT388" i="1" s="1"/>
  <c r="DN326" i="1"/>
  <c r="DO377" i="1"/>
  <c r="AV426" i="1"/>
  <c r="DG419" i="1"/>
  <c r="DS395" i="1"/>
  <c r="DT395" i="1" s="1"/>
  <c r="DT248" i="1"/>
  <c r="DS255" i="1"/>
  <c r="DT255" i="1" s="1"/>
  <c r="DS287" i="1"/>
  <c r="DT287" i="1" s="1"/>
  <c r="DT491" i="1"/>
  <c r="DS457" i="1"/>
  <c r="DT457" i="1" s="1"/>
  <c r="DS447" i="1"/>
  <c r="DT447" i="1" s="1"/>
  <c r="DR201" i="1"/>
  <c r="ER9" i="1" s="1"/>
  <c r="AO201" i="1"/>
  <c r="AN201" i="1"/>
  <c r="AG201" i="1"/>
  <c r="AW586" i="1"/>
  <c r="AV586" i="1"/>
  <c r="AO586" i="1"/>
  <c r="DO586" i="1" s="1"/>
  <c r="AN586" i="1"/>
  <c r="DW549" i="1"/>
  <c r="DX549" i="1" s="1"/>
  <c r="T210" i="1"/>
  <c r="BJ210" i="1"/>
  <c r="BL261" i="1"/>
  <c r="AN227" i="1"/>
  <c r="DN227" i="1" s="1"/>
  <c r="AQ264" i="1"/>
  <c r="DR449" i="1"/>
  <c r="ER37" i="1" s="1"/>
  <c r="DS450" i="1"/>
  <c r="DT450" i="1" s="1"/>
  <c r="DS276" i="1"/>
  <c r="DT276" i="1" s="1"/>
  <c r="DS626" i="1"/>
  <c r="DT626" i="1" s="1"/>
  <c r="AH201" i="1"/>
  <c r="DS615" i="1"/>
  <c r="DT615" i="1" s="1"/>
  <c r="DS289" i="1"/>
  <c r="DT289" i="1" s="1"/>
  <c r="DO326" i="1"/>
  <c r="AP201" i="1"/>
  <c r="DS588" i="1"/>
  <c r="DT588" i="1" s="1"/>
  <c r="DR192" i="1"/>
  <c r="DN185" i="1"/>
  <c r="V210" i="1"/>
  <c r="BL210" i="1"/>
  <c r="DW237" i="1"/>
  <c r="DX237" i="1" s="1"/>
  <c r="DS260" i="1"/>
  <c r="DT260" i="1" s="1"/>
  <c r="DN226" i="1"/>
  <c r="AG229" i="1"/>
  <c r="DS220" i="1"/>
  <c r="DT220" i="1" s="1"/>
  <c r="BB264" i="1"/>
  <c r="DS267" i="1"/>
  <c r="DT267" i="1" s="1"/>
  <c r="DS286" i="1"/>
  <c r="DT286" i="1" s="1"/>
  <c r="CY451" i="1"/>
  <c r="DS471" i="1"/>
  <c r="DT471" i="1" s="1"/>
  <c r="DS462" i="1"/>
  <c r="DT462" i="1" s="1"/>
  <c r="DS493" i="1"/>
  <c r="DT493" i="1" s="1"/>
  <c r="DS496" i="1"/>
  <c r="DT496" i="1" s="1"/>
  <c r="DS467" i="1"/>
  <c r="DT467" i="1" s="1"/>
  <c r="DS448" i="1"/>
  <c r="DT448" i="1" s="1"/>
  <c r="DN388" i="1"/>
  <c r="DS325" i="1"/>
  <c r="DT325" i="1" s="1"/>
  <c r="DR326" i="1"/>
  <c r="DS272" i="1"/>
  <c r="DT272" i="1" s="1"/>
  <c r="DS273" i="1"/>
  <c r="DT273" i="1" s="1"/>
  <c r="DS275" i="1"/>
  <c r="DT275" i="1" s="1"/>
  <c r="AQ201" i="1"/>
  <c r="CL294" i="1"/>
  <c r="CE294" i="1"/>
  <c r="DT291" i="1"/>
  <c r="BJ202" i="1"/>
  <c r="BI202" i="1"/>
  <c r="DO397" i="1"/>
  <c r="DW395" i="1"/>
  <c r="DX395" i="1" s="1"/>
  <c r="FL31" i="1" s="1"/>
  <c r="DS195" i="1"/>
  <c r="DT195" i="1" s="1"/>
  <c r="DO185" i="1"/>
  <c r="AA210" i="1"/>
  <c r="AG237" i="1"/>
  <c r="DN242" i="1"/>
  <c r="DO226" i="1"/>
  <c r="AH229" i="1"/>
  <c r="BC264" i="1"/>
  <c r="DS5" i="1"/>
  <c r="DT5" i="1" s="1"/>
  <c r="DS500" i="1"/>
  <c r="DT500" i="1" s="1"/>
  <c r="DS499" i="1"/>
  <c r="DT499" i="1" s="1"/>
  <c r="DO388" i="1"/>
  <c r="BB346" i="1"/>
  <c r="L310" i="1"/>
  <c r="DW626" i="1"/>
  <c r="DX626" i="1" s="1"/>
  <c r="DS628" i="1"/>
  <c r="DT628" i="1" s="1"/>
  <c r="AN622" i="1"/>
  <c r="BJ201" i="1"/>
  <c r="BI201" i="1"/>
  <c r="BQ292" i="1"/>
  <c r="BJ292" i="1"/>
  <c r="DR293" i="1"/>
  <c r="DR397" i="1"/>
  <c r="ER31" i="1" s="1"/>
  <c r="AN229" i="1"/>
  <c r="DN229" i="1" s="1"/>
  <c r="BD264" i="1"/>
  <c r="DR622" i="1"/>
  <c r="BB201" i="1"/>
  <c r="DS611" i="1"/>
  <c r="DT611" i="1" s="1"/>
  <c r="DS503" i="1"/>
  <c r="DT503" i="1" s="1"/>
  <c r="DS352" i="1"/>
  <c r="DT352" i="1" s="1"/>
  <c r="BI292" i="1"/>
  <c r="DG293" i="1"/>
  <c r="CZ293" i="1"/>
  <c r="DT295" i="1"/>
  <c r="AN623" i="1"/>
  <c r="DN623" i="1" s="1"/>
  <c r="AG623" i="1"/>
  <c r="DR586" i="1"/>
  <c r="ER44" i="1" s="1"/>
  <c r="DS589" i="1"/>
  <c r="DT589" i="1" s="1"/>
  <c r="BB205" i="1"/>
  <c r="AO210" i="1"/>
  <c r="AP237" i="1"/>
  <c r="BC246" i="1"/>
  <c r="AG206" i="1"/>
  <c r="S243" i="1"/>
  <c r="DN243" i="1" s="1"/>
  <c r="AG264" i="1"/>
  <c r="BJ264" i="1"/>
  <c r="DO264" i="1" s="1"/>
  <c r="DO329" i="1"/>
  <c r="L326" i="1"/>
  <c r="DW622" i="1"/>
  <c r="DX622" i="1" s="1"/>
  <c r="FM49" i="1" s="1"/>
  <c r="FO49" i="1" s="1"/>
  <c r="AO623" i="1"/>
  <c r="DO623" i="1" s="1"/>
  <c r="DT604" i="1"/>
  <c r="DX606" i="1"/>
  <c r="DS391" i="1"/>
  <c r="DT391" i="1" s="1"/>
  <c r="DS390" i="1"/>
  <c r="DT390" i="1" s="1"/>
  <c r="DR294" i="1"/>
  <c r="AA294" i="1"/>
  <c r="T294" i="1"/>
  <c r="DS358" i="1"/>
  <c r="DT358" i="1" s="1"/>
  <c r="DR179" i="1"/>
  <c r="BF205" i="1"/>
  <c r="AQ210" i="1"/>
  <c r="BJ246" i="1"/>
  <c r="AK206" i="1"/>
  <c r="BC261" i="1"/>
  <c r="AI264" i="1"/>
  <c r="DV451" i="1"/>
  <c r="DS616" i="1"/>
  <c r="DT616" i="1" s="1"/>
  <c r="DV294" i="1"/>
  <c r="DW550" i="1"/>
  <c r="DX550" i="1" s="1"/>
  <c r="DS563" i="1"/>
  <c r="DT563" i="1" s="1"/>
  <c r="DS196" i="1"/>
  <c r="DT196" i="1" s="1"/>
  <c r="BH205" i="1"/>
  <c r="BK246" i="1"/>
  <c r="AN206" i="1"/>
  <c r="BI261" i="1"/>
  <c r="AN264" i="1"/>
  <c r="DW494" i="1"/>
  <c r="DX494" i="1" s="1"/>
  <c r="DS4" i="1"/>
  <c r="DT4" i="1" s="1"/>
  <c r="DS6" i="1"/>
  <c r="DT6" i="1" s="1"/>
  <c r="DS498" i="1"/>
  <c r="DT498" i="1" s="1"/>
  <c r="DS501" i="1"/>
  <c r="DT501" i="1" s="1"/>
  <c r="DR623" i="1"/>
  <c r="DS587" i="1"/>
  <c r="DT587" i="1" s="1"/>
  <c r="DS601" i="1"/>
  <c r="DT601" i="1" s="1"/>
  <c r="DS357" i="1"/>
  <c r="DT357" i="1" s="1"/>
  <c r="DX627" i="1"/>
  <c r="DR593" i="1"/>
  <c r="DO593" i="1"/>
  <c r="DN593" i="1"/>
  <c r="DR351" i="1"/>
  <c r="ER20" i="1" s="1"/>
  <c r="DO598" i="1"/>
  <c r="DR612" i="1"/>
  <c r="DO285" i="1"/>
  <c r="DR292" i="1"/>
  <c r="DT566" i="1"/>
  <c r="DR572" i="1"/>
  <c r="BI572" i="1"/>
  <c r="DN572" i="1" s="1"/>
  <c r="BB572" i="1"/>
  <c r="CR602" i="1"/>
  <c r="DR598" i="1"/>
  <c r="DR285" i="1"/>
  <c r="DS574" i="1"/>
  <c r="DT574" i="1" s="1"/>
  <c r="DW518" i="1"/>
  <c r="DX518" i="1" s="1"/>
  <c r="DR389" i="1"/>
  <c r="ER27" i="1" s="1"/>
  <c r="DS516" i="1"/>
  <c r="DT516" i="1" s="1"/>
  <c r="DR202" i="1"/>
  <c r="ER10" i="1" s="1"/>
  <c r="DS583" i="1"/>
  <c r="DT583" i="1" s="1"/>
  <c r="DS585" i="1"/>
  <c r="DT585" i="1" s="1"/>
  <c r="DS505" i="1"/>
  <c r="DT505" i="1" s="1"/>
  <c r="DS512" i="1"/>
  <c r="DT512" i="1" s="1"/>
  <c r="DR570" i="1"/>
  <c r="DS570" i="1" s="1"/>
  <c r="DO570" i="1"/>
  <c r="DN570" i="1"/>
  <c r="AG602" i="1"/>
  <c r="BI605" i="1"/>
  <c r="DN599" i="1"/>
  <c r="DN617" i="1"/>
  <c r="DO596" i="1"/>
  <c r="DN349" i="1"/>
  <c r="CE292" i="1"/>
  <c r="DS567" i="1"/>
  <c r="DT567" i="1" s="1"/>
  <c r="DN569" i="1"/>
  <c r="DW570" i="1"/>
  <c r="DX570" i="1" s="1"/>
  <c r="AN602" i="1"/>
  <c r="DO605" i="1"/>
  <c r="DR599" i="1"/>
  <c r="DR617" i="1"/>
  <c r="DO573" i="1"/>
  <c r="DR349" i="1"/>
  <c r="DS349" i="1" s="1"/>
  <c r="DW389" i="1"/>
  <c r="DX389" i="1" s="1"/>
  <c r="DS576" i="1"/>
  <c r="DT576" i="1" s="1"/>
  <c r="DS578" i="1"/>
  <c r="DT578" i="1" s="1"/>
  <c r="DS580" i="1"/>
  <c r="DT580" i="1" s="1"/>
  <c r="DS582" i="1"/>
  <c r="DT582" i="1" s="1"/>
  <c r="DX560" i="1"/>
  <c r="DT562" i="1"/>
  <c r="AO602" i="1"/>
  <c r="DO602" i="1" s="1"/>
  <c r="DR573" i="1"/>
  <c r="EN42" i="1" s="1"/>
  <c r="DS392" i="1"/>
  <c r="DT392" i="1" s="1"/>
  <c r="DW202" i="1"/>
  <c r="DX202" i="1" s="1"/>
  <c r="FO10" i="1" s="1"/>
  <c r="DS565" i="1"/>
  <c r="DT565" i="1" s="1"/>
  <c r="DR571" i="1"/>
  <c r="DS571" i="1" s="1"/>
  <c r="DN571" i="1"/>
  <c r="DT381" i="1"/>
  <c r="DS520" i="1"/>
  <c r="DT520" i="1" s="1"/>
  <c r="DR379" i="1"/>
  <c r="DO379" i="1"/>
  <c r="DN379" i="1"/>
  <c r="DN380" i="1"/>
  <c r="DR504" i="1"/>
  <c r="EN66" i="1" l="1"/>
  <c r="ER66" i="1"/>
  <c r="FC6" i="1"/>
  <c r="FB6" i="1"/>
  <c r="FE41" i="1"/>
  <c r="HU42" i="2"/>
  <c r="HR42" i="2" s="1"/>
  <c r="HU1" i="2"/>
  <c r="HR1" i="2" s="1"/>
  <c r="FI34" i="1"/>
  <c r="FI15" i="1"/>
  <c r="FL6" i="1"/>
  <c r="FH38" i="1"/>
  <c r="FI23" i="1"/>
  <c r="DW392" i="1"/>
  <c r="DX392" i="1" s="1"/>
  <c r="FE29" i="1"/>
  <c r="EY43" i="1"/>
  <c r="ER15" i="1"/>
  <c r="FH50" i="1"/>
  <c r="ER23" i="1"/>
  <c r="FE6" i="1"/>
  <c r="FK27" i="1"/>
  <c r="FL27" i="1"/>
  <c r="DW285" i="1"/>
  <c r="DX285" i="1" s="1"/>
  <c r="FI13" i="1"/>
  <c r="FO16" i="1"/>
  <c r="FJ16" i="1"/>
  <c r="FH12" i="1"/>
  <c r="DW598" i="1"/>
  <c r="DX598" i="1" s="1"/>
  <c r="FE47" i="1"/>
  <c r="IC39" i="2"/>
  <c r="FJ35" i="1"/>
  <c r="FO35" i="1"/>
  <c r="ID50" i="2"/>
  <c r="HW49" i="2"/>
  <c r="HO48" i="2"/>
  <c r="HO50" i="2" s="1"/>
  <c r="HV39" i="2"/>
  <c r="HV43" i="2"/>
  <c r="HW48" i="2"/>
  <c r="HR43" i="2"/>
  <c r="HV49" i="2"/>
  <c r="HR41" i="2"/>
  <c r="IA39" i="2"/>
  <c r="IB50" i="2"/>
  <c r="HR40" i="2"/>
  <c r="HU48" i="2"/>
  <c r="HV41" i="2"/>
  <c r="EV11" i="1"/>
  <c r="ER34" i="1"/>
  <c r="EN18" i="1"/>
  <c r="ER19" i="1"/>
  <c r="ER8" i="1"/>
  <c r="ER6" i="1"/>
  <c r="ER35" i="1"/>
  <c r="FC11" i="1"/>
  <c r="ET40" i="1"/>
  <c r="EK40" i="1" s="1"/>
  <c r="EU40" i="1"/>
  <c r="ET14" i="1"/>
  <c r="EU14" i="1"/>
  <c r="EV49" i="1"/>
  <c r="EV66" i="1" s="1"/>
  <c r="DS595" i="1"/>
  <c r="DT595" i="1" s="1"/>
  <c r="ER47" i="1"/>
  <c r="EN11" i="1"/>
  <c r="EU33" i="1"/>
  <c r="ET33" i="1"/>
  <c r="EK33" i="1" s="1"/>
  <c r="EX38" i="1"/>
  <c r="EW38" i="1" s="1"/>
  <c r="EY38" i="1"/>
  <c r="EU30" i="1"/>
  <c r="ET30" i="1"/>
  <c r="EK30" i="1" s="1"/>
  <c r="EX8" i="1"/>
  <c r="EW8" i="1" s="1"/>
  <c r="EY8" i="1"/>
  <c r="EU16" i="1"/>
  <c r="ET16" i="1"/>
  <c r="EK16" i="1" s="1"/>
  <c r="ET39" i="1"/>
  <c r="EK39" i="1" s="1"/>
  <c r="EU39" i="1"/>
  <c r="EU45" i="1"/>
  <c r="ET45" i="1"/>
  <c r="EK45" i="1" s="1"/>
  <c r="ET36" i="1"/>
  <c r="EK36" i="1" s="1"/>
  <c r="EU36" i="1"/>
  <c r="EU48" i="1"/>
  <c r="ET48" i="1"/>
  <c r="EK48" i="1" s="1"/>
  <c r="ET25" i="1"/>
  <c r="EK25" i="1" s="1"/>
  <c r="EU25" i="1"/>
  <c r="EU4" i="1"/>
  <c r="ET4" i="1"/>
  <c r="EK4" i="1" s="1"/>
  <c r="ET46" i="1"/>
  <c r="EK46" i="1" s="1"/>
  <c r="EU46" i="1"/>
  <c r="EU26" i="1"/>
  <c r="ET26" i="1"/>
  <c r="EK26" i="1" s="1"/>
  <c r="ET21" i="1"/>
  <c r="EK21" i="1" s="1"/>
  <c r="EU21" i="1"/>
  <c r="DS285" i="1"/>
  <c r="DT285" i="1" s="1"/>
  <c r="ER13" i="1"/>
  <c r="EU28" i="1"/>
  <c r="ET28" i="1"/>
  <c r="EK28" i="1" s="1"/>
  <c r="ET17" i="1"/>
  <c r="EK17" i="1" s="1"/>
  <c r="EU17" i="1"/>
  <c r="ER38" i="1"/>
  <c r="DS379" i="1"/>
  <c r="EV24" i="1"/>
  <c r="DS593" i="1"/>
  <c r="DT593" i="1" s="1"/>
  <c r="EV47" i="1"/>
  <c r="ET22" i="1"/>
  <c r="EK22" i="1" s="1"/>
  <c r="EU22" i="1"/>
  <c r="EP49" i="1"/>
  <c r="EQ49" i="1"/>
  <c r="EQ43" i="1"/>
  <c r="EP14" i="1"/>
  <c r="EJ14" i="1" s="1"/>
  <c r="EQ14" i="1"/>
  <c r="EQ8" i="1"/>
  <c r="EN6" i="1"/>
  <c r="EQ7" i="1"/>
  <c r="EP29" i="1"/>
  <c r="EJ29" i="1" s="1"/>
  <c r="EQ29" i="1"/>
  <c r="EQ12" i="1"/>
  <c r="EN41" i="1"/>
  <c r="EQ50" i="1"/>
  <c r="EN47" i="1"/>
  <c r="EQ44" i="1"/>
  <c r="EP5" i="1"/>
  <c r="EQ5" i="1"/>
  <c r="EQ32" i="1"/>
  <c r="EQ38" i="1"/>
  <c r="FG38" i="1"/>
  <c r="EP38" i="1"/>
  <c r="FK8" i="1"/>
  <c r="EP50" i="1"/>
  <c r="EJ50" i="1" s="1"/>
  <c r="FG50" i="1"/>
  <c r="FO50" i="1" s="1"/>
  <c r="EP8" i="1"/>
  <c r="EJ8" i="1" s="1"/>
  <c r="FK31" i="1"/>
  <c r="EX43" i="1"/>
  <c r="EW43" i="1" s="1"/>
  <c r="EP32" i="1"/>
  <c r="EJ32" i="1" s="1"/>
  <c r="EP44" i="1"/>
  <c r="EJ44" i="1" s="1"/>
  <c r="EP43" i="1"/>
  <c r="FG12" i="1"/>
  <c r="FO12" i="1" s="1"/>
  <c r="FB11" i="1"/>
  <c r="FA11" i="1" s="1"/>
  <c r="EP12" i="1"/>
  <c r="EJ12" i="1" s="1"/>
  <c r="EP7" i="1"/>
  <c r="EJ7" i="1" s="1"/>
  <c r="FK6" i="1"/>
  <c r="FJ6" i="1" s="1"/>
  <c r="DO246" i="1"/>
  <c r="DW543" i="1"/>
  <c r="DX543" i="1" s="1"/>
  <c r="DW541" i="1"/>
  <c r="DX541" i="1" s="1"/>
  <c r="DO547" i="1"/>
  <c r="DN528" i="1"/>
  <c r="DN536" i="1"/>
  <c r="DS552" i="1"/>
  <c r="DT552" i="1" s="1"/>
  <c r="DN529" i="1"/>
  <c r="DS534" i="1"/>
  <c r="DT534" i="1" s="1"/>
  <c r="DS536" i="1"/>
  <c r="DT536" i="1" s="1"/>
  <c r="DN547" i="1"/>
  <c r="DN534" i="1"/>
  <c r="DS556" i="1"/>
  <c r="DT556" i="1" s="1"/>
  <c r="DW536" i="1"/>
  <c r="DX536" i="1" s="1"/>
  <c r="DS557" i="1"/>
  <c r="DT557" i="1" s="1"/>
  <c r="DN546" i="1"/>
  <c r="DW539" i="1"/>
  <c r="DX539" i="1" s="1"/>
  <c r="DN558" i="1"/>
  <c r="DS559" i="1"/>
  <c r="DT559" i="1" s="1"/>
  <c r="DN557" i="1"/>
  <c r="DT524" i="1"/>
  <c r="DS528" i="1"/>
  <c r="DT528" i="1" s="1"/>
  <c r="DN530" i="1"/>
  <c r="DN554" i="1"/>
  <c r="DN548" i="1"/>
  <c r="DW558" i="1"/>
  <c r="DX558" i="1" s="1"/>
  <c r="DN552" i="1"/>
  <c r="DS551" i="1"/>
  <c r="DT551" i="1" s="1"/>
  <c r="DS558" i="1"/>
  <c r="DT558" i="1" s="1"/>
  <c r="DN532" i="1"/>
  <c r="DN545" i="1"/>
  <c r="DW555" i="1"/>
  <c r="DX555" i="1" s="1"/>
  <c r="DN559" i="1"/>
  <c r="DN543" i="1"/>
  <c r="DS546" i="1"/>
  <c r="DT546" i="1" s="1"/>
  <c r="DS529" i="1"/>
  <c r="DT529" i="1" s="1"/>
  <c r="DN555" i="1"/>
  <c r="DW556" i="1"/>
  <c r="DX556" i="1" s="1"/>
  <c r="DS530" i="1"/>
  <c r="DT530" i="1" s="1"/>
  <c r="DN531" i="1"/>
  <c r="DN541" i="1"/>
  <c r="DS523" i="1"/>
  <c r="DT523" i="1" s="1"/>
  <c r="DW534" i="1"/>
  <c r="DX534" i="1" s="1"/>
  <c r="DW547" i="1"/>
  <c r="DX547" i="1" s="1"/>
  <c r="DS548" i="1"/>
  <c r="DT548" i="1" s="1"/>
  <c r="DN556" i="1"/>
  <c r="DS555" i="1"/>
  <c r="DT555" i="1" s="1"/>
  <c r="DS554" i="1"/>
  <c r="DT554" i="1" s="1"/>
  <c r="DS553" i="1"/>
  <c r="DT553" i="1" s="1"/>
  <c r="DN553" i="1"/>
  <c r="DN551" i="1"/>
  <c r="DS547" i="1"/>
  <c r="DT547" i="1" s="1"/>
  <c r="DS545" i="1"/>
  <c r="DT545" i="1" s="1"/>
  <c r="DS544" i="1"/>
  <c r="DT544" i="1" s="1"/>
  <c r="DN544" i="1"/>
  <c r="DS543" i="1"/>
  <c r="DT543" i="1" s="1"/>
  <c r="DS541" i="1"/>
  <c r="DT541" i="1" s="1"/>
  <c r="DS539" i="1"/>
  <c r="DT539" i="1" s="1"/>
  <c r="DN539" i="1"/>
  <c r="DN537" i="1"/>
  <c r="DS537" i="1"/>
  <c r="DT537" i="1" s="1"/>
  <c r="DS532" i="1"/>
  <c r="DT532" i="1" s="1"/>
  <c r="DS531" i="1"/>
  <c r="DT531" i="1" s="1"/>
  <c r="DS525" i="1"/>
  <c r="DT525" i="1" s="1"/>
  <c r="DN525" i="1"/>
  <c r="DW524" i="1"/>
  <c r="DX524" i="1" s="1"/>
  <c r="DN522" i="1"/>
  <c r="DS522" i="1"/>
  <c r="DT522" i="1" s="1"/>
  <c r="DN521" i="1"/>
  <c r="DS521" i="1"/>
  <c r="DT521" i="1" s="1"/>
  <c r="DS397" i="1"/>
  <c r="DT397" i="1" s="1"/>
  <c r="ET31" i="1" s="1"/>
  <c r="EK31" i="1" s="1"/>
  <c r="DN514" i="1"/>
  <c r="DS517" i="1"/>
  <c r="DT517" i="1" s="1"/>
  <c r="DX509" i="1"/>
  <c r="DN143" i="1"/>
  <c r="DW510" i="1"/>
  <c r="DX510" i="1" s="1"/>
  <c r="DS143" i="1"/>
  <c r="DT143" i="1" s="1"/>
  <c r="DN513" i="1"/>
  <c r="DS129" i="1"/>
  <c r="DT129" i="1" s="1"/>
  <c r="DO293" i="1"/>
  <c r="DO292" i="1"/>
  <c r="DS514" i="1"/>
  <c r="DT514" i="1" s="1"/>
  <c r="DS515" i="1"/>
  <c r="DT515" i="1" s="1"/>
  <c r="DN517" i="1"/>
  <c r="DS509" i="1"/>
  <c r="DT509" i="1" s="1"/>
  <c r="DX514" i="1"/>
  <c r="DN515" i="1"/>
  <c r="DS513" i="1"/>
  <c r="DT513" i="1" s="1"/>
  <c r="DN509" i="1"/>
  <c r="DN507" i="1"/>
  <c r="DX508" i="1"/>
  <c r="DS508" i="1"/>
  <c r="DT508" i="1" s="1"/>
  <c r="DN508" i="1"/>
  <c r="DW507" i="1"/>
  <c r="DX507" i="1" s="1"/>
  <c r="DO202" i="1"/>
  <c r="DS507" i="1"/>
  <c r="DT507" i="1" s="1"/>
  <c r="DW410" i="1"/>
  <c r="DX410" i="1" s="1"/>
  <c r="DW293" i="1"/>
  <c r="DX293" i="1" s="1"/>
  <c r="DN586" i="1"/>
  <c r="DS135" i="1"/>
  <c r="DT135" i="1" s="1"/>
  <c r="DN264" i="1"/>
  <c r="DO351" i="1"/>
  <c r="DS504" i="1"/>
  <c r="DT504" i="1" s="1"/>
  <c r="DS351" i="1"/>
  <c r="DT351" i="1" s="1"/>
  <c r="EU20" i="1" s="1"/>
  <c r="DS378" i="1"/>
  <c r="DT378" i="1" s="1"/>
  <c r="DS179" i="1"/>
  <c r="DT179" i="1" s="1"/>
  <c r="DO294" i="1"/>
  <c r="DS573" i="1"/>
  <c r="DT573" i="1" s="1"/>
  <c r="DW363" i="1"/>
  <c r="DX363" i="1" s="1"/>
  <c r="DN210" i="1"/>
  <c r="DS65" i="1"/>
  <c r="DT65" i="1" s="1"/>
  <c r="DN292" i="1"/>
  <c r="DN117" i="1"/>
  <c r="DN145" i="1"/>
  <c r="DS117" i="1"/>
  <c r="DT117" i="1" s="1"/>
  <c r="DO310" i="1"/>
  <c r="DS310" i="1"/>
  <c r="DT310" i="1" s="1"/>
  <c r="EX18" i="1" s="1"/>
  <c r="EW18" i="1" s="1"/>
  <c r="DW362" i="1"/>
  <c r="DX362" i="1" s="1"/>
  <c r="DN237" i="1"/>
  <c r="DN293" i="1"/>
  <c r="DN57" i="1"/>
  <c r="DO8" i="1"/>
  <c r="DN96" i="1"/>
  <c r="DN201" i="1"/>
  <c r="DS142" i="1"/>
  <c r="DT142" i="1" s="1"/>
  <c r="DO165" i="1"/>
  <c r="DO370" i="1"/>
  <c r="DN126" i="1"/>
  <c r="DW426" i="1"/>
  <c r="DX426" i="1" s="1"/>
  <c r="DS237" i="1"/>
  <c r="DT237" i="1" s="1"/>
  <c r="DN329" i="1"/>
  <c r="DS113" i="1"/>
  <c r="DT113" i="1" s="1"/>
  <c r="DW427" i="1"/>
  <c r="DX427" i="1" s="1"/>
  <c r="DS190" i="1"/>
  <c r="DT190" i="1" s="1"/>
  <c r="DW602" i="1"/>
  <c r="DX602" i="1" s="1"/>
  <c r="FG47" i="1" s="1"/>
  <c r="FO47" i="1" s="1"/>
  <c r="DN129" i="1"/>
  <c r="DS144" i="1"/>
  <c r="DT144" i="1" s="1"/>
  <c r="DS419" i="1"/>
  <c r="DT419" i="1" s="1"/>
  <c r="DS104" i="1"/>
  <c r="DT104" i="1" s="1"/>
  <c r="DS586" i="1"/>
  <c r="DT586" i="1" s="1"/>
  <c r="DS210" i="1"/>
  <c r="DT210" i="1" s="1"/>
  <c r="DS244" i="1"/>
  <c r="DT244" i="1" s="1"/>
  <c r="DO362" i="1"/>
  <c r="DS246" i="1"/>
  <c r="DT246" i="1" s="1"/>
  <c r="DN65" i="1"/>
  <c r="DS95" i="1"/>
  <c r="DT95" i="1" s="1"/>
  <c r="DN206" i="1"/>
  <c r="DS293" i="1"/>
  <c r="DT293" i="1" s="1"/>
  <c r="DW329" i="1"/>
  <c r="DX329" i="1" s="1"/>
  <c r="FG18" i="1" s="1"/>
  <c r="FO18" i="1" s="1"/>
  <c r="DS292" i="1"/>
  <c r="DT292" i="1" s="1"/>
  <c r="DO201" i="1"/>
  <c r="DS368" i="1"/>
  <c r="DT368" i="1" s="1"/>
  <c r="DS155" i="1"/>
  <c r="DT155" i="1" s="1"/>
  <c r="DW573" i="1"/>
  <c r="DX573" i="1" s="1"/>
  <c r="DN58" i="1"/>
  <c r="DW243" i="1"/>
  <c r="DX243" i="1" s="1"/>
  <c r="FG11" i="1" s="1"/>
  <c r="DN378" i="1"/>
  <c r="DW95" i="1"/>
  <c r="DX95" i="1" s="1"/>
  <c r="DW292" i="1"/>
  <c r="DX292" i="1" s="1"/>
  <c r="DS572" i="1"/>
  <c r="DT572" i="1" s="1"/>
  <c r="DS107" i="1"/>
  <c r="DT107" i="1" s="1"/>
  <c r="DN351" i="1"/>
  <c r="DS362" i="1"/>
  <c r="DT362" i="1" s="1"/>
  <c r="DS377" i="1"/>
  <c r="DT377" i="1" s="1"/>
  <c r="DS413" i="1"/>
  <c r="DT413" i="1" s="1"/>
  <c r="DN294" i="1"/>
  <c r="DN180" i="1"/>
  <c r="DS180" i="1"/>
  <c r="DT180" i="1" s="1"/>
  <c r="DN99" i="1"/>
  <c r="DS408" i="1"/>
  <c r="DT408" i="1" s="1"/>
  <c r="DW419" i="1"/>
  <c r="DX419" i="1" s="1"/>
  <c r="DW451" i="1"/>
  <c r="DX451" i="1" s="1"/>
  <c r="FM38" i="1" s="1"/>
  <c r="DO48" i="1"/>
  <c r="DS229" i="1"/>
  <c r="DT229" i="1" s="1"/>
  <c r="DS609" i="1"/>
  <c r="DT609" i="1" s="1"/>
  <c r="DS410" i="1"/>
  <c r="DT410" i="1" s="1"/>
  <c r="DS112" i="1"/>
  <c r="DT112" i="1" s="1"/>
  <c r="DN246" i="1"/>
  <c r="DS202" i="1"/>
  <c r="DT202" i="1" s="1"/>
  <c r="DS427" i="1"/>
  <c r="DT427" i="1" s="1"/>
  <c r="DS150" i="1"/>
  <c r="DT150" i="1" s="1"/>
  <c r="DS149" i="1"/>
  <c r="DT149" i="1" s="1"/>
  <c r="DW408" i="1"/>
  <c r="DX408" i="1" s="1"/>
  <c r="DS99" i="1"/>
  <c r="DT99" i="1" s="1"/>
  <c r="DO210" i="1"/>
  <c r="DW368" i="1"/>
  <c r="DX368" i="1" s="1"/>
  <c r="DN112" i="1"/>
  <c r="DS346" i="1"/>
  <c r="DT346" i="1" s="1"/>
  <c r="DT379" i="1"/>
  <c r="DS145" i="1"/>
  <c r="DT145" i="1" s="1"/>
  <c r="DN113" i="1"/>
  <c r="DW107" i="1"/>
  <c r="DX107" i="1" s="1"/>
  <c r="DS58" i="1"/>
  <c r="DT58" i="1" s="1"/>
  <c r="DN33" i="1"/>
  <c r="DS605" i="1"/>
  <c r="DT605" i="1" s="1"/>
  <c r="DN605" i="1"/>
  <c r="DN410" i="1"/>
  <c r="DN161" i="1"/>
  <c r="DN144" i="1"/>
  <c r="DO58" i="1"/>
  <c r="DW96" i="1"/>
  <c r="DX96" i="1" s="1"/>
  <c r="DN202" i="1"/>
  <c r="DS600" i="1"/>
  <c r="DT600" i="1" s="1"/>
  <c r="DS370" i="1"/>
  <c r="DT370" i="1" s="1"/>
  <c r="DN370" i="1"/>
  <c r="DS227" i="1"/>
  <c r="DT227" i="1" s="1"/>
  <c r="DN419" i="1"/>
  <c r="DN427" i="1"/>
  <c r="DN128" i="1"/>
  <c r="DN377" i="1"/>
  <c r="DN94" i="1"/>
  <c r="DS161" i="1"/>
  <c r="DT161" i="1" s="1"/>
  <c r="DS110" i="1"/>
  <c r="DT110" i="1" s="1"/>
  <c r="DN106" i="1"/>
  <c r="DS602" i="1"/>
  <c r="DT602" i="1" s="1"/>
  <c r="DN602" i="1"/>
  <c r="DS206" i="1"/>
  <c r="DT206" i="1" s="1"/>
  <c r="EX11" i="1" s="1"/>
  <c r="DS264" i="1"/>
  <c r="DT264" i="1" s="1"/>
  <c r="DN140" i="1"/>
  <c r="DN362" i="1"/>
  <c r="DW370" i="1"/>
  <c r="DX370" i="1" s="1"/>
  <c r="DO150" i="1"/>
  <c r="DS106" i="1"/>
  <c r="DT106" i="1" s="1"/>
  <c r="DO33" i="1"/>
  <c r="DS97" i="1"/>
  <c r="DT97" i="1" s="1"/>
  <c r="DN97" i="1"/>
  <c r="DS201" i="1"/>
  <c r="DT201" i="1" s="1"/>
  <c r="EU9" i="1" s="1"/>
  <c r="DN622" i="1"/>
  <c r="DS622" i="1"/>
  <c r="DT622" i="1" s="1"/>
  <c r="DS140" i="1"/>
  <c r="DT140" i="1" s="1"/>
  <c r="DN261" i="1"/>
  <c r="DS371" i="1"/>
  <c r="DT371" i="1" s="1"/>
  <c r="DN115" i="1"/>
  <c r="DS94" i="1"/>
  <c r="DT94" i="1" s="1"/>
  <c r="DS33" i="1"/>
  <c r="DT33" i="1" s="1"/>
  <c r="DS294" i="1"/>
  <c r="DT294" i="1" s="1"/>
  <c r="DS617" i="1"/>
  <c r="DT617" i="1" s="1"/>
  <c r="DW294" i="1"/>
  <c r="DX294" i="1" s="1"/>
  <c r="DS243" i="1"/>
  <c r="DT243" i="1" s="1"/>
  <c r="DN368" i="1"/>
  <c r="DW110" i="1"/>
  <c r="DX110" i="1" s="1"/>
  <c r="DS126" i="1"/>
  <c r="DT126" i="1" s="1"/>
  <c r="DW144" i="1"/>
  <c r="DX144" i="1" s="1"/>
  <c r="DO57" i="1"/>
  <c r="DO144" i="1"/>
  <c r="DS48" i="1"/>
  <c r="DT48" i="1" s="1"/>
  <c r="DN48" i="1"/>
  <c r="DN363" i="1"/>
  <c r="DN121" i="1"/>
  <c r="DN149" i="1"/>
  <c r="DN95" i="1"/>
  <c r="DS8" i="1"/>
  <c r="DT8" i="1" s="1"/>
  <c r="DN8" i="1"/>
  <c r="DS599" i="1"/>
  <c r="DT599" i="1" s="1"/>
  <c r="DS449" i="1"/>
  <c r="DT449" i="1" s="1"/>
  <c r="ET37" i="1" s="1"/>
  <c r="EK37" i="1" s="1"/>
  <c r="DS261" i="1"/>
  <c r="DT261" i="1" s="1"/>
  <c r="DO368" i="1"/>
  <c r="DN109" i="1"/>
  <c r="DS109" i="1"/>
  <c r="DT109" i="1" s="1"/>
  <c r="DO155" i="1"/>
  <c r="DS121" i="1"/>
  <c r="DT121" i="1" s="1"/>
  <c r="DS363" i="1"/>
  <c r="DT363" i="1" s="1"/>
  <c r="DS119" i="1"/>
  <c r="DT119" i="1" s="1"/>
  <c r="DT570" i="1"/>
  <c r="DS623" i="1"/>
  <c r="DT623" i="1" s="1"/>
  <c r="DS326" i="1"/>
  <c r="DT326" i="1" s="1"/>
  <c r="DS612" i="1"/>
  <c r="DT612" i="1" s="1"/>
  <c r="DS389" i="1"/>
  <c r="DT389" i="1" s="1"/>
  <c r="DS128" i="1"/>
  <c r="DT128" i="1" s="1"/>
  <c r="DN155" i="1"/>
  <c r="DN104" i="1"/>
  <c r="DN107" i="1"/>
  <c r="DS165" i="1"/>
  <c r="DT165" i="1" s="1"/>
  <c r="DN165" i="1"/>
  <c r="DT349" i="1"/>
  <c r="EU19" i="1" s="1"/>
  <c r="DS598" i="1"/>
  <c r="DT598" i="1" s="1"/>
  <c r="DS426" i="1"/>
  <c r="DT426" i="1" s="1"/>
  <c r="DN426" i="1"/>
  <c r="DO363" i="1"/>
  <c r="DO143" i="1"/>
  <c r="DS115" i="1"/>
  <c r="DT115" i="1" s="1"/>
  <c r="DT444" i="1"/>
  <c r="DT454" i="1"/>
  <c r="ET38" i="1" s="1"/>
  <c r="DT571" i="1"/>
  <c r="DS329" i="1"/>
  <c r="DT329" i="1" s="1"/>
  <c r="DS192" i="1"/>
  <c r="DT192" i="1" s="1"/>
  <c r="DN408" i="1"/>
  <c r="DS445" i="1"/>
  <c r="DT445" i="1" s="1"/>
  <c r="DS57" i="1"/>
  <c r="DT57" i="1" s="1"/>
  <c r="EW11" i="1" l="1"/>
  <c r="EJ5" i="1"/>
  <c r="EX6" i="1"/>
  <c r="EY6" i="1"/>
  <c r="ET35" i="1"/>
  <c r="EK35" i="1" s="1"/>
  <c r="HU49" i="2"/>
  <c r="HR49" i="2" s="1"/>
  <c r="FO38" i="1"/>
  <c r="FF47" i="1"/>
  <c r="EJ43" i="1"/>
  <c r="FG42" i="1"/>
  <c r="FH42" i="1"/>
  <c r="ET8" i="1"/>
  <c r="FD8" i="1" s="1"/>
  <c r="EL8" i="1" s="1"/>
  <c r="FF50" i="1"/>
  <c r="EO49" i="1"/>
  <c r="FH47" i="1"/>
  <c r="FO31" i="1"/>
  <c r="FJ31" i="1"/>
  <c r="FK13" i="1"/>
  <c r="FL13" i="1"/>
  <c r="FL34" i="1"/>
  <c r="FL15" i="1"/>
  <c r="FO27" i="1"/>
  <c r="FJ27" i="1"/>
  <c r="ES14" i="1"/>
  <c r="EK14" i="1"/>
  <c r="FH6" i="1"/>
  <c r="FL23" i="1"/>
  <c r="FH41" i="1"/>
  <c r="FF38" i="1"/>
  <c r="FG29" i="1"/>
  <c r="FO29" i="1" s="1"/>
  <c r="FH29" i="1"/>
  <c r="FJ8" i="1"/>
  <c r="FO8" i="1"/>
  <c r="HW50" i="2"/>
  <c r="FH18" i="1"/>
  <c r="FF18" i="1"/>
  <c r="ES38" i="1"/>
  <c r="EK38" i="1"/>
  <c r="FO11" i="1"/>
  <c r="FF11" i="1"/>
  <c r="EJ38" i="1"/>
  <c r="FF12" i="1"/>
  <c r="FH11" i="1"/>
  <c r="HV48" i="2"/>
  <c r="HV50" i="2" s="1"/>
  <c r="IB55" i="2"/>
  <c r="IA50" i="2"/>
  <c r="IB54" i="2"/>
  <c r="IB53" i="2"/>
  <c r="IB52" i="2"/>
  <c r="HR48" i="2"/>
  <c r="EU6" i="1"/>
  <c r="EY11" i="1"/>
  <c r="EU15" i="1"/>
  <c r="ET15" i="1"/>
  <c r="EK15" i="1" s="1"/>
  <c r="EY18" i="1"/>
  <c r="ET23" i="1"/>
  <c r="EK23" i="1" s="1"/>
  <c r="EU34" i="1"/>
  <c r="EU31" i="1"/>
  <c r="EU23" i="1"/>
  <c r="EU8" i="1"/>
  <c r="ES37" i="1"/>
  <c r="FD37" i="1"/>
  <c r="EL37" i="1" s="1"/>
  <c r="FD31" i="1"/>
  <c r="EL31" i="1" s="1"/>
  <c r="ES31" i="1"/>
  <c r="ES23" i="1"/>
  <c r="EQ18" i="1"/>
  <c r="EO44" i="1"/>
  <c r="ET20" i="1"/>
  <c r="EK20" i="1" s="1"/>
  <c r="EO32" i="1"/>
  <c r="FD32" i="1"/>
  <c r="EL32" i="1" s="1"/>
  <c r="EO5" i="1"/>
  <c r="FD5" i="1"/>
  <c r="FD21" i="1"/>
  <c r="EL21" i="1" s="1"/>
  <c r="ES21" i="1"/>
  <c r="EY49" i="1"/>
  <c r="EY66" i="1" s="1"/>
  <c r="EO14" i="1"/>
  <c r="FD14" i="1"/>
  <c r="EL14" i="1" s="1"/>
  <c r="ES36" i="1"/>
  <c r="FD36" i="1"/>
  <c r="EL36" i="1" s="1"/>
  <c r="EU35" i="1"/>
  <c r="ES26" i="1"/>
  <c r="FD26" i="1"/>
  <c r="EL26" i="1" s="1"/>
  <c r="FD45" i="1"/>
  <c r="EL45" i="1" s="1"/>
  <c r="ES45" i="1"/>
  <c r="ES30" i="1"/>
  <c r="FD30" i="1"/>
  <c r="EL30" i="1" s="1"/>
  <c r="EO8" i="1"/>
  <c r="ET9" i="1"/>
  <c r="EK9" i="1" s="1"/>
  <c r="FA6" i="1"/>
  <c r="EU10" i="1"/>
  <c r="EU66" i="1" s="1"/>
  <c r="ET10" i="1"/>
  <c r="ES17" i="1"/>
  <c r="FD17" i="1"/>
  <c r="EL17" i="1" s="1"/>
  <c r="ET34" i="1"/>
  <c r="EK34" i="1" s="1"/>
  <c r="ES40" i="1"/>
  <c r="FD40" i="1"/>
  <c r="EL40" i="1" s="1"/>
  <c r="EX47" i="1"/>
  <c r="EW47" i="1" s="1"/>
  <c r="EY47" i="1"/>
  <c r="EO50" i="1"/>
  <c r="FD50" i="1"/>
  <c r="EL50" i="1" s="1"/>
  <c r="ET6" i="1"/>
  <c r="FD46" i="1"/>
  <c r="EL46" i="1" s="1"/>
  <c r="ES46" i="1"/>
  <c r="ES39" i="1"/>
  <c r="FD39" i="1"/>
  <c r="EL39" i="1" s="1"/>
  <c r="ES33" i="1"/>
  <c r="FD33" i="1"/>
  <c r="EL33" i="1" s="1"/>
  <c r="ET13" i="1"/>
  <c r="EK13" i="1" s="1"/>
  <c r="EU13" i="1"/>
  <c r="EX24" i="1"/>
  <c r="EJ24" i="1" s="1"/>
  <c r="EY24" i="1"/>
  <c r="EQ11" i="1"/>
  <c r="EO7" i="1"/>
  <c r="FD7" i="1"/>
  <c r="EL7" i="1" s="1"/>
  <c r="ES22" i="1"/>
  <c r="FD22" i="1"/>
  <c r="EL22" i="1" s="1"/>
  <c r="ES4" i="1"/>
  <c r="FD4" i="1"/>
  <c r="EL4" i="1" s="1"/>
  <c r="EU38" i="1"/>
  <c r="ES28" i="1"/>
  <c r="FD28" i="1"/>
  <c r="EL28" i="1" s="1"/>
  <c r="EU44" i="1"/>
  <c r="ET44" i="1"/>
  <c r="EO12" i="1"/>
  <c r="FD12" i="1"/>
  <c r="EL12" i="1" s="1"/>
  <c r="EO29" i="1"/>
  <c r="FD29" i="1"/>
  <c r="EL29" i="1" s="1"/>
  <c r="EU37" i="1"/>
  <c r="ES16" i="1"/>
  <c r="FD16" i="1"/>
  <c r="EL16" i="1" s="1"/>
  <c r="ET19" i="1"/>
  <c r="EK19" i="1" s="1"/>
  <c r="EO38" i="1"/>
  <c r="FD38" i="1"/>
  <c r="EL38" i="1" s="1"/>
  <c r="EU27" i="1"/>
  <c r="ET27" i="1"/>
  <c r="EK27" i="1" s="1"/>
  <c r="ES25" i="1"/>
  <c r="FD25" i="1"/>
  <c r="EL25" i="1" s="1"/>
  <c r="EU47" i="1"/>
  <c r="ET47" i="1"/>
  <c r="EO43" i="1"/>
  <c r="FD43" i="1"/>
  <c r="EL43" i="1" s="1"/>
  <c r="FD48" i="1"/>
  <c r="EL48" i="1" s="1"/>
  <c r="ES48" i="1"/>
  <c r="EQ41" i="1"/>
  <c r="EQ47" i="1"/>
  <c r="EQ6" i="1"/>
  <c r="EP42" i="1"/>
  <c r="EJ42" i="1" s="1"/>
  <c r="EQ42" i="1"/>
  <c r="EQ66" i="1" s="1"/>
  <c r="FK34" i="1"/>
  <c r="EX49" i="1"/>
  <c r="FG41" i="1"/>
  <c r="EP47" i="1"/>
  <c r="EP41" i="1"/>
  <c r="EJ41" i="1" s="1"/>
  <c r="EP18" i="1"/>
  <c r="EJ18" i="1" s="1"/>
  <c r="EP11" i="1"/>
  <c r="EJ11" i="1" s="1"/>
  <c r="FK23" i="1"/>
  <c r="FK15" i="1"/>
  <c r="FG6" i="1"/>
  <c r="EP6" i="1"/>
  <c r="FD15" i="1" l="1"/>
  <c r="EL15" i="1" s="1"/>
  <c r="EP66" i="1"/>
  <c r="EO66" i="1" s="1"/>
  <c r="EJ6" i="1"/>
  <c r="FD35" i="1"/>
  <c r="EL35" i="1" s="1"/>
  <c r="ES35" i="1"/>
  <c r="ES15" i="1"/>
  <c r="EW49" i="1"/>
  <c r="EX66" i="1"/>
  <c r="EW66" i="1" s="1"/>
  <c r="EL5" i="1"/>
  <c r="EK10" i="1"/>
  <c r="ET66" i="1"/>
  <c r="ES66" i="1" s="1"/>
  <c r="HU50" i="2"/>
  <c r="HU55" i="2" s="1"/>
  <c r="FJ34" i="1"/>
  <c r="FO34" i="1"/>
  <c r="EJ47" i="1"/>
  <c r="FF29" i="1"/>
  <c r="FO41" i="1"/>
  <c r="FF41" i="1"/>
  <c r="FO23" i="1"/>
  <c r="FJ23" i="1"/>
  <c r="ES8" i="1"/>
  <c r="EK8" i="1"/>
  <c r="FO6" i="1"/>
  <c r="FF6" i="1"/>
  <c r="EJ49" i="1"/>
  <c r="ES47" i="1"/>
  <c r="EK47" i="1"/>
  <c r="ES44" i="1"/>
  <c r="EK44" i="1"/>
  <c r="FJ13" i="1"/>
  <c r="FO13" i="1"/>
  <c r="FO15" i="1"/>
  <c r="FJ15" i="1"/>
  <c r="ES6" i="1"/>
  <c r="EK6" i="1"/>
  <c r="FD23" i="1"/>
  <c r="EL23" i="1" s="1"/>
  <c r="FF42" i="1"/>
  <c r="FO42" i="1"/>
  <c r="FD20" i="1"/>
  <c r="EL20" i="1" s="1"/>
  <c r="ES20" i="1"/>
  <c r="EW6" i="1"/>
  <c r="ES9" i="1"/>
  <c r="FD9" i="1"/>
  <c r="EL9" i="1" s="1"/>
  <c r="FD44" i="1"/>
  <c r="EL44" i="1" s="1"/>
  <c r="ES13" i="1"/>
  <c r="FD13" i="1"/>
  <c r="EL13" i="1" s="1"/>
  <c r="EO47" i="1"/>
  <c r="FD47" i="1"/>
  <c r="EL47" i="1" s="1"/>
  <c r="ES19" i="1"/>
  <c r="FD19" i="1"/>
  <c r="EL19" i="1" s="1"/>
  <c r="EO42" i="1"/>
  <c r="FD42" i="1"/>
  <c r="EL42" i="1" s="1"/>
  <c r="ES34" i="1"/>
  <c r="FD34" i="1"/>
  <c r="EL34" i="1" s="1"/>
  <c r="ES27" i="1"/>
  <c r="FD27" i="1"/>
  <c r="EL27" i="1" s="1"/>
  <c r="EO6" i="1"/>
  <c r="FD6" i="1"/>
  <c r="EL6" i="1" s="1"/>
  <c r="FD49" i="1"/>
  <c r="EL49" i="1" s="1"/>
  <c r="EO18" i="1"/>
  <c r="FD18" i="1"/>
  <c r="EL18" i="1" s="1"/>
  <c r="EO11" i="1"/>
  <c r="FD11" i="1"/>
  <c r="EL11" i="1" s="1"/>
  <c r="FD10" i="1"/>
  <c r="EL10" i="1" s="1"/>
  <c r="ES10" i="1"/>
  <c r="EO41" i="1"/>
  <c r="FD41" i="1"/>
  <c r="EL41" i="1" s="1"/>
  <c r="EW24" i="1"/>
  <c r="FD24" i="1"/>
  <c r="EL24" i="1" s="1"/>
  <c r="FD66" i="1" l="1"/>
  <c r="EL66" i="1" s="1"/>
  <c r="HU53" i="2"/>
  <c r="HU54" i="2"/>
  <c r="HU52" i="2"/>
  <c r="HR5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Gavin Mudd</author>
    <author>Author</author>
  </authors>
  <commentList>
    <comment ref="H2" authorId="0" shapeId="0" xr:uid="{0CE9937B-8F1A-4660-92A8-1FE6C22382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between European Nickel plc (40%), Rusina Mining (40%), Local Business (20%); current ownership unclear</t>
        </r>
      </text>
    </comment>
    <comment ref="BA4" authorId="0" shapeId="0" xr:uid="{8D4AA384-8B2C-49C9-88AF-6C7DF4120D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" authorId="0" shapeId="0" xr:uid="{A47D92C5-C11C-41BC-89B5-89605D29A3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" authorId="0" shapeId="0" xr:uid="{ADA933F3-0BE1-4868-A318-9E34A0710A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P4" authorId="0" shapeId="0" xr:uid="{E1B5F921-92CA-4ACB-8DC2-1B70E8E2DE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4" authorId="0" shapeId="0" xr:uid="{918B86D0-6A10-48EF-8FF8-EF560E5E17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" authorId="0" shapeId="0" xr:uid="{ECA8DAF1-F93B-4F6F-ACC0-0534B373A0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" authorId="0" shapeId="0" xr:uid="{992F8747-5240-4F4E-BB54-04A9EBC2B1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5" authorId="0" shapeId="0" xr:uid="{B2666F72-11E5-474A-9960-4D13DDF1B6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P5" authorId="0" shapeId="0" xr:uid="{3584BCAE-1EE8-4D72-A3D3-CA4D796647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5" authorId="0" shapeId="0" xr:uid="{B5FC312E-B244-4CD2-AA0A-E79645036E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6" authorId="0" shapeId="0" xr:uid="{0E6DE891-6C3C-4D9A-A76D-CF5594FE850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Bolobolo, Karihatag, Agat South, Agata North</t>
        </r>
      </text>
    </comment>
    <comment ref="BA6" authorId="0" shapeId="0" xr:uid="{B6AB3EAD-B6D7-4AB7-8BC9-524CA235AA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" authorId="0" shapeId="0" xr:uid="{200D9422-DEE3-45CE-9FD8-9FC8D6DF75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6" authorId="0" shapeId="0" xr:uid="{F520492B-0ADA-4D1F-9DCE-95DFD43DA39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P6" authorId="0" shapeId="0" xr:uid="{27F588D0-5247-4C30-9F37-49EC6E0E46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6" authorId="0" shapeId="0" xr:uid="{15A266FC-5931-4689-8D7D-58ADFE7609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P9" authorId="0" shapeId="0" xr:uid="{B2F8D162-D68F-4A1B-8B3E-7D8E015031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previous owner MMG</t>
        </r>
      </text>
    </comment>
    <comment ref="DP10" authorId="0" shapeId="0" xr:uid="{6ED86D2E-508B-48E8-8D9C-C3CFE2705B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earlier owner Compass Resources</t>
        </r>
      </text>
    </comment>
    <comment ref="H11" authorId="0" shapeId="0" xr:uid="{B7716425-83DF-4C89-8258-E10D50E0A8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part of Sibanye-Stillwater</t>
        </r>
      </text>
    </comment>
    <comment ref="H13" authorId="0" shapeId="0" xr:uid="{928B1210-A22C-4405-9D7E-D85D0ADB4D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Canadian Arrow Mines (which went bankrupt and was transformed into Tartisan Nickel); Tartisan Nickel sold the project to VaniCom Resources Ltd in early 2019 - which is now Class 1 Nickel Ltd</t>
        </r>
      </text>
    </comment>
    <comment ref="H14" authorId="0" shapeId="0" xr:uid="{A2D2E2CF-0817-43AE-9FF8-7CF76D85E5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Mbmi Resources, but later sold to DMCI after legal battles</t>
        </r>
      </text>
    </comment>
    <comment ref="BA16" authorId="0" shapeId="0" xr:uid="{2369644F-BC20-4814-B2A8-DB0B304BF32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BI16" authorId="0" shapeId="0" xr:uid="{A95F2529-69C9-44D4-988E-652C0CF4B6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H18" authorId="0" shapeId="0" xr:uid="{E9B1DFE8-054C-4DED-86FD-16F2BD4E10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exact ownership not certain ...</t>
        </r>
      </text>
    </comment>
    <comment ref="C19" authorId="0" shapeId="0" xr:uid="{338CE8AB-B8E1-4F00-892B-2306F4F60B9B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South: Pequizeiro, Baião, Pequizeiro West, Jacutinga, Vila Oito East, Vila Oito West, Vila Oito; North: Vale do Sonhos</t>
        </r>
      </text>
    </comment>
    <comment ref="C20" authorId="1" shapeId="0" xr:uid="{DEA661A1-D3B7-4ED3-805A-41D1CFBD84C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includes Kilvenjärvi, Ahmavaara, Suhanko
North, Siika-Kämä, Konttijärvi</t>
        </r>
      </text>
    </comment>
    <comment ref="H20" authorId="0" shapeId="0" xr:uid="{A56C24BB-646D-4410-B657-0DD0C345A9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Gold Fields Ltd</t>
        </r>
      </text>
    </comment>
    <comment ref="H21" authorId="0" shapeId="0" xr:uid="{2B06DE3E-3319-4F0F-A603-4F8C5EB380CE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Hunnan Australia Resources, which was recently taken over by China Minmetals; before this the project was owned by Compass Resources</t>
        </r>
      </text>
    </comment>
    <comment ref="H24" authorId="0" shapeId="0" xr:uid="{E2CB0EFD-B7DB-4775-AB25-8886A1AB3EEE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held by Allegiance Mining, then then Zinifex, then OZ Minerals, then MMG, now Dundas Mining</t>
        </r>
      </text>
    </comment>
    <comment ref="H27" authorId="0" shapeId="0" xr:uid="{2562E4FF-73B9-45EF-8D40-E4C154A288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H31" authorId="0" shapeId="0" xr:uid="{77543C4F-A7FF-4FC2-A27A-5A2AB4A7A83E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held by Graynic Metals Plc</t>
        </r>
      </text>
    </comment>
    <comment ref="H34" authorId="0" shapeId="0" xr:uid="{1EE40A26-A57D-4C93-A8FC-5650B7190A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Proto Resources Ltd (now bankrupt)</t>
        </r>
      </text>
    </comment>
    <comment ref="H36" authorId="1" shapeId="0" xr:uid="{B90DCEF2-674C-4435-85C8-ABB4A5964EC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H37" authorId="0" shapeId="0" xr:uid="{84782CE9-373E-4E90-B60C-9A4FD7CB9D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Platfields Ltd went bankrupt; current owner unclear</t>
        </r>
      </text>
    </comment>
    <comment ref="H38" authorId="0" shapeId="0" xr:uid="{3BEDFD7A-214D-4FBD-A003-BD750E64EF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Toledo Mining Corp, which was taken over by DMCI Holdings</t>
        </r>
      </text>
    </comment>
    <comment ref="H40" authorId="0" shapeId="0" xr:uid="{0590EA93-DC67-4B6A-8E93-84E98687C1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Mwana Africa Plc, which was taken over by Asa Resource Group; Asa Resource Group bankrupt, Bindura complex sold to Sotic International Ltd in Oct. 2019</t>
        </r>
      </text>
    </comment>
    <comment ref="AO42" authorId="0" shapeId="0" xr:uid="{5F5F4E79-8563-4616-B9BA-5BD7F75D26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J42" authorId="0" shapeId="0" xr:uid="{530E3A17-2EC9-4D65-87A8-A43CA1D918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A43" authorId="0" shapeId="0" xr:uid="{8B839564-9770-4430-AD9F-2FCF904773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 only, assumed as inferred resources</t>
        </r>
      </text>
    </comment>
    <comment ref="BI43" authorId="0" shapeId="0" xr:uid="{FBD509FE-CFDA-465B-9A33-D13EA2801E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 only, assumed as inferred resourcesvalue from 2007 Annual Report</t>
        </r>
      </text>
    </comment>
    <comment ref="BJ43" authorId="0" shapeId="0" xr:uid="{6AD1B86D-18F5-43DB-8EB9-7E24F517BF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 only, assumed as inferred resources</t>
        </r>
      </text>
    </comment>
    <comment ref="DP43" authorId="0" shapeId="0" xr:uid="{EEC6DCCF-1E72-40A3-AB66-ABD282BA34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Central West Gold NL</t>
        </r>
      </text>
    </comment>
    <comment ref="H45" authorId="0" shapeId="0" xr:uid="{4C832DF5-9AA0-49C0-9042-2476130D01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Rockland Minerals Corp.</t>
        </r>
      </text>
    </comment>
    <comment ref="H48" authorId="0" shapeId="0" xr:uid="{E5B39497-D237-43F9-885E-5A303B271B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CAMEC (Central African Mining &amp; Exploration Company Plc)</t>
        </r>
      </text>
    </comment>
    <comment ref="H50" authorId="0" shapeId="0" xr:uid="{AD8017C9-E34D-4EE1-88DB-49E0883E2A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African Nickel Plc</t>
        </r>
      </text>
    </comment>
    <comment ref="DP51" authorId="0" shapeId="0" xr:uid="{D6FB982B-E0EA-4713-A92F-F2D37E93E8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"Final Report On Exploration Licences 4964, 5185, 5315 Lake Innes, N.S.W.  Nickel/Cobalt/Scandium Laterite Project for Jervois Mining"</t>
        </r>
      </text>
    </comment>
    <comment ref="DP52" authorId="0" shapeId="0" xr:uid="{476AE6E2-DD30-4E8B-A436-783FEC722B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"Final Report On Exploration Licences 4964, 5185, 5315 Lake Innes, N.S.W.  Nickel/Cobalt/Scandium Laterite Project for Jervois Mining"</t>
        </r>
      </text>
    </comment>
    <comment ref="H53" authorId="0" shapeId="0" xr:uid="{2F3EE216-ABF0-4543-8F10-6A0C67E965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CTT is Compagnie de Tifnout Tighanimine, a subsidiary of Managem</t>
        </r>
      </text>
    </comment>
    <comment ref="DP53" authorId="0" shapeId="0" xr:uid="{E1267890-F965-4DB2-84A5-92DBB24112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"Final Report On Exploration Licences 4964, 5185, 5315 Lake Innes, N.S.W.  Nickel/Cobalt/Scandium Laterite Project for Jervois Mining"</t>
        </r>
      </text>
    </comment>
    <comment ref="H54" authorId="0" shapeId="0" xr:uid="{0399D04E-37CA-48FA-AFD5-74C8208255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Hunnan Australia Resources, which was recently taken over by China Minmetals; before this the project was owned by Compass Resources</t>
        </r>
      </text>
    </comment>
    <comment ref="AO54" authorId="0" shapeId="0" xr:uid="{0F5601E7-1BA2-4661-9C10-2B4EDBB1C9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Barnes (2006)</t>
        </r>
      </text>
    </comment>
    <comment ref="H55" authorId="1" shapeId="0" xr:uid="{3BD6E8EF-723F-4BDF-BBAD-AF1520937A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</t>
        </r>
      </text>
    </comment>
    <comment ref="H56" authorId="0" shapeId="0" xr:uid="{77773F8E-E4A2-49E2-A090-3B9F4A2B0B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CaNickel Mining Corp.</t>
        </r>
      </text>
    </comment>
    <comment ref="C57" authorId="0" shapeId="0" xr:uid="{61BCD144-F0F0-4B8D-80E9-A432ADBCB9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also reported to contain rare earths, vanadium, lithium and scandium</t>
        </r>
      </text>
    </comment>
    <comment ref="DP58" authorId="0" shapeId="0" xr:uid="{88EC6270-F6FA-48B3-907C-AA595B6A94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DP59" authorId="0" shapeId="0" xr:uid="{88DEE364-E4A3-460A-B5D7-FCB5FA5D58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DP60" authorId="0" shapeId="0" xr:uid="{1A8ECF11-C1D9-48F0-8FC4-6B3783EEFB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DP61" authorId="0" shapeId="0" xr:uid="{374F503F-5153-43B2-83BB-9993CB771D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BJ64" authorId="0" shapeId="0" xr:uid="{9A0B9580-4AAF-442C-8D36-A3409A4DDF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H70" authorId="0" shapeId="0" xr:uid="{284021CD-B0EB-40CD-8645-B89521D8FC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Clifton Star Resources</t>
        </r>
      </text>
    </comment>
    <comment ref="BK74" authorId="0" shapeId="0" xr:uid="{28065240-810C-4313-8B20-F04FAD33D6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Dec. 2017 quarterly report</t>
        </r>
      </text>
    </comment>
    <comment ref="BL74" authorId="0" shapeId="0" xr:uid="{21596B58-F161-4EF1-918C-475B3BCFC5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Dec. 2017 quarterly report</t>
        </r>
      </text>
    </comment>
    <comment ref="BS74" authorId="0" shapeId="0" xr:uid="{3831AE8F-D804-4671-9EA0-305DB97EB2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Dec. 2017 quarterly report</t>
        </r>
      </text>
    </comment>
    <comment ref="H76" authorId="0" shapeId="0" xr:uid="{085A2D41-BB39-43BE-8FE2-1A2F768660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Lisungwe Resources Plc</t>
        </r>
      </text>
    </comment>
    <comment ref="BJ76" authorId="0" shapeId="0" xr:uid="{D15D93C5-1FD3-4D9D-BDAA-FC2D135D5D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Barnes (2006)</t>
        </r>
      </text>
    </comment>
    <comment ref="H77" authorId="0" shapeId="0" xr:uid="{8E3BA748-B0AB-4426-B1E8-124478DEC4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CAMEC (Central African Mining &amp; Exploration Company Plc)</t>
        </r>
      </text>
    </comment>
    <comment ref="BS77" authorId="0" shapeId="0" xr:uid="{83B247B3-ED91-4ACD-905C-1B35B61FF7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BS78" authorId="0" shapeId="0" xr:uid="{C94A36EB-4BCB-4078-8212-3164E9B00A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H81" authorId="0" shapeId="0" xr:uid="{4CC14ADA-2A2B-4C67-826B-101F0C48A8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recently filed for bankruptcy protection</t>
        </r>
      </text>
    </comment>
    <comment ref="BJ92" authorId="0" shapeId="0" xr:uid="{547EB910-34FB-4098-A89E-F3F76B72B4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Barnes (2006)</t>
        </r>
      </text>
    </comment>
    <comment ref="DP94" authorId="0" shapeId="0" xr:uid="{0BE67076-98D6-4E5F-9877-F6DE9E75E8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H95" authorId="1" shapeId="0" xr:uid="{6A39CC49-1463-4B1E-9919-2C33A95BDA8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H97" authorId="0" shapeId="0" xr:uid="{17920631-2447-46CE-9241-47B0A7493A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Perilya Mines were taken over by Zhongjin Lingnan Nonfemet Company in Dec. 2013 ...</t>
        </r>
      </text>
    </comment>
    <comment ref="H99" authorId="1" shapeId="0" xr:uid="{9BDBD1B3-6C9E-45ED-9D50-C76B4F034EE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Ventures, then Drake Resources</t>
        </r>
      </text>
    </comment>
    <comment ref="H100" authorId="0" shapeId="0" xr:uid="{96BE41C5-D43F-423C-8386-62D62C1366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First Point Minerals Corp</t>
        </r>
      </text>
    </comment>
    <comment ref="H101" authorId="0" shapeId="0" xr:uid="{526976C7-4AE8-4A7A-98F5-3E09506120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part of Sibanye-Stillwater</t>
        </r>
      </text>
    </comment>
    <comment ref="AF101" authorId="0" shapeId="0" xr:uid="{B7753AE5-1C27-4277-AFC6-CE8E448A6D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measured and indicated</t>
        </r>
      </text>
    </comment>
    <comment ref="AN101" authorId="0" shapeId="0" xr:uid="{62B586E5-AB48-4370-8C14-926400254A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measured and indicated</t>
        </r>
      </text>
    </comment>
    <comment ref="C103" authorId="0" shapeId="0" xr:uid="{2586B2F9-962A-4E85-93C8-4BCAE59361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Bitinckës, Trenit, Kokogllaves, Serpentine, Kapshticës</t>
        </r>
      </text>
    </comment>
    <comment ref="H103" authorId="0" shapeId="0" xr:uid="{17CF8376-167E-4DF6-8DD1-EB5BEB7C6D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Balkan Resources, which became Arian Resources</t>
        </r>
      </text>
    </comment>
    <comment ref="AG103" authorId="1" shapeId="0" xr:uid="{2ABEA519-B9FE-4177-AC6F-1063CDB52F9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03" authorId="1" shapeId="0" xr:uid="{D2CCE732-DA19-4868-AF47-BE568C6F91D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B103" authorId="1" shapeId="0" xr:uid="{B1279912-48FB-4C57-9059-2DF029627B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J103" authorId="1" shapeId="0" xr:uid="{C9014ED8-B764-4F81-9854-24821772224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H105" authorId="0" shapeId="0" xr:uid="{30CFCDDC-F9AC-44B8-A4F4-B9588A14EC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led by Discovery Metals Ltd, which is now bankrupt, butr other partners included JOGMEC, Xstrata</t>
        </r>
      </text>
    </comment>
    <comment ref="L106" authorId="1" shapeId="0" xr:uid="{20181C01-4E7F-4F14-90FF-FE28346B4E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T106" authorId="1" shapeId="0" xr:uid="{CF78801B-9342-48EC-B52A-BF9F826043E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G106" authorId="1" shapeId="0" xr:uid="{3908344A-5759-4472-A87A-8760CE991BB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06" authorId="1" shapeId="0" xr:uid="{788A4403-D2DF-439B-A646-2133FAB116D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A106" authorId="0" shapeId="0" xr:uid="{23FC7E00-1168-43E0-B0B1-AAA6F4C4A8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Grimsby from WA MINEDEX</t>
        </r>
      </text>
    </comment>
    <comment ref="BB106" authorId="1" shapeId="0" xr:uid="{71937382-5284-452C-868A-BC519EE092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I106" authorId="0" shapeId="0" xr:uid="{3D411D69-F761-4940-838B-96FB9464F6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Grimsby from WA MINEDEX</t>
        </r>
      </text>
    </comment>
    <comment ref="BJ106" authorId="1" shapeId="0" xr:uid="{5C579B74-DF05-4FB3-99C7-D20C88D16B7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W106" authorId="1" shapeId="0" xr:uid="{3999D228-57D9-4FCE-BDBD-6C08E95C64A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E106" authorId="1" shapeId="0" xr:uid="{B0F7AB2B-95F0-4BB2-829C-39FDEEC7AC2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R106" authorId="1" shapeId="0" xr:uid="{26CC4323-1AE9-4213-8834-4BDA0E28BE8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Z106" authorId="1" shapeId="0" xr:uid="{9A2C707B-DF6B-4679-AB15-7A5B80BC21E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L107" authorId="1" shapeId="0" xr:uid="{2796C14A-EC59-488B-822A-F9D2F16D3D1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T107" authorId="1" shapeId="0" xr:uid="{2F3E5246-BC94-4725-86BF-60E0F8F4DC1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G107" authorId="1" shapeId="0" xr:uid="{E05B91EF-3B43-4676-858D-08055B0136E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07" authorId="1" shapeId="0" xr:uid="{963102C1-7B5C-43CD-B6C2-0FB723EF32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B107" authorId="1" shapeId="0" xr:uid="{28058345-0778-4B20-9896-4A686948D42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J107" authorId="1" shapeId="0" xr:uid="{A506FD5C-28A2-45DB-B47C-C789E51E32F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R107" authorId="1" shapeId="0" xr:uid="{A624DDB9-C00A-4F80-90AF-B057E157FD1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Z107" authorId="1" shapeId="0" xr:uid="{2118A0D5-CCB4-41C6-BF94-1300F04ACC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L108" authorId="1" shapeId="0" xr:uid="{7A1AEAF9-AF9C-4D6A-930E-4D4AC306952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T108" authorId="1" shapeId="0" xr:uid="{2CA8AD6F-EFC8-403D-B664-E0C5CC20AAF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G108" authorId="1" shapeId="0" xr:uid="{DEC80B39-A8D8-453E-9DC1-1DF78134DA8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08" authorId="1" shapeId="0" xr:uid="{8812D009-EBDC-444B-8022-AB55FE67ED7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B108" authorId="1" shapeId="0" xr:uid="{807F9925-3C44-433D-9B95-5D5F94FAE33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J108" authorId="1" shapeId="0" xr:uid="{AC3A5538-B550-48C0-A2FE-97873924A11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H111" authorId="0" shapeId="0" xr:uid="{2E36DB78-9D74-49B8-9640-A2D47A2A14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Royal Nickel Corp</t>
        </r>
      </text>
    </comment>
    <comment ref="AG111" authorId="1" shapeId="0" xr:uid="{10EA9821-777A-4FFB-B53B-8A5BAB47295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11" authorId="1" shapeId="0" xr:uid="{DA59F3D5-096C-436F-AEEF-F7202CAC07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B111" authorId="1" shapeId="0" xr:uid="{0ADAAEFA-356D-4CE4-9C61-0BCD1F94B5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J111" authorId="1" shapeId="0" xr:uid="{9868919F-34CE-4288-A11E-0EDDCBCC0C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H112" authorId="0" shapeId="0" xr:uid="{7D5038C5-2AE4-4EE1-93F1-063D22DF44B2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First Nickel went bankrupt in mid-2015, then sold to Transition Metals Corp.; sold to VaniCom Ltd in August 2018 - which is now Class 1 Nickel Ltd</t>
        </r>
      </text>
    </comment>
    <comment ref="AO112" authorId="0" shapeId="0" xr:uid="{94A58F9F-EC9A-436A-99A4-02FDF8C8F9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older WA MINEDEX data for %Co in the Lounge Lizard resource</t>
        </r>
      </text>
    </comment>
    <comment ref="BJ112" authorId="0" shapeId="0" xr:uid="{E3FFFE39-28BC-4441-8863-A1548E2713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older WA MINEDEX data for %Co in the Lounge Lizard resource</t>
        </r>
      </text>
    </comment>
    <comment ref="CZ112" authorId="0" shapeId="0" xr:uid="{CF1FC8FD-98A0-4A87-94B8-989433EE4C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older WA MINEDEX data for %Co in the Lounge Lizard resource</t>
        </r>
      </text>
    </comment>
    <comment ref="AG113" authorId="0" shapeId="0" xr:uid="{B1FFD204-8D5B-497C-A22D-BF6985162D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O113" authorId="0" shapeId="0" xr:uid="{A6159A4D-4A00-4779-81ED-9CD67AD203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B113" authorId="0" shapeId="0" xr:uid="{056E933A-40BA-4DA8-8FFC-10D4966DBB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J113" authorId="0" shapeId="0" xr:uid="{FDD2E15A-29B5-4AF6-8F6A-644718046A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O114" authorId="0" shapeId="0" xr:uid="{26A58A31-7CE9-48A8-A1BD-A58326D330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AQ114" authorId="0" shapeId="0" xr:uid="{D53978A2-283A-421A-87A7-D4734129FB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J114" authorId="0" shapeId="0" xr:uid="{BA02E2FF-4AAB-47D0-A944-67227E87CE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L114" authorId="0" shapeId="0" xr:uid="{34F537AD-E062-4AC0-9119-ED87DED2FA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AG115" authorId="0" shapeId="0" xr:uid="{46EEE60E-8EDF-4033-8BA4-B86599D0C7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O115" authorId="0" shapeId="0" xr:uid="{FFE9082A-3E04-4F21-BFF4-760186BDFB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B115" authorId="0" shapeId="0" xr:uid="{A1CFC691-C841-44EF-A675-428A288864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J115" authorId="0" shapeId="0" xr:uid="{1D59B746-53E8-4F2F-B92D-18AD771C98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G116" authorId="0" shapeId="0" xr:uid="{EF321214-B369-4F61-9E3C-F1B3B8FDBC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O116" authorId="0" shapeId="0" xr:uid="{FA401704-3433-4467-A9F7-E32948BAF9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B116" authorId="0" shapeId="0" xr:uid="{ED029A65-BE76-45B6-9B77-4F07A911F5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J116" authorId="0" shapeId="0" xr:uid="{3B4CE566-07E8-40C6-9138-06A7745CEC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C117" authorId="0" shapeId="0" xr:uid="{F3023AAF-FFA5-4219-80E4-5A4CA2CE79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Pakal Island, Tanjung Buli, Mornopo, Sangaji</t>
        </r>
      </text>
    </comment>
    <comment ref="C118" authorId="0" shapeId="0" xr:uid="{E77974A0-C221-4742-BCED-3ED3958EFB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Pakal Island, Tanjung Buli, Mornopo, Sangaji</t>
        </r>
      </text>
    </comment>
    <comment ref="C119" authorId="0" shapeId="0" xr:uid="{8CA19568-2759-4A73-9019-9B153497AB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includes Schietfontein, Zilkaatsnek</t>
        </r>
      </text>
    </comment>
    <comment ref="H120" authorId="0" shapeId="0" xr:uid="{1B0F2344-3B9E-4940-9DC1-BFB94D0EAA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Alberta Star Development Corp (which is now Elysee Development Corp)</t>
        </r>
      </text>
    </comment>
    <comment ref="BK120" authorId="0" shapeId="0" xr:uid="{AD7AF594-1B61-43AE-B629-99873A303D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greade reported as 0.5 g/t PGEs, assumes 30% Pt split</t>
        </r>
      </text>
    </comment>
    <comment ref="BL120" authorId="0" shapeId="0" xr:uid="{C439AC43-692E-40A6-A711-E2C124CB20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greade reported as 0.5 g/t PGEs, assumes 60% Pd split</t>
        </r>
      </text>
    </comment>
    <comment ref="BM120" authorId="0" shapeId="0" xr:uid="{3F413075-E94E-4F1A-89DD-C57AE907CE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greade reported as 0.5 g/t PGEs, assumes 10% Rh split</t>
        </r>
      </text>
    </comment>
    <comment ref="H121" authorId="1" shapeId="0" xr:uid="{8D51CD6B-859C-4E57-AC3F-31661F983F9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</t>
        </r>
      </text>
    </comment>
    <comment ref="D125" authorId="0" shapeId="0" xr:uid="{B6465E22-6EB4-4ECD-BB6C-16C29815D7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atfer closure in 2013, Americano Nickel has apprently restarted but no information is published.</t>
        </r>
      </text>
    </comment>
    <comment ref="H125" authorId="0" shapeId="0" xr:uid="{56EB0B2A-7BF1-429C-A660-F56F5CE22A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Americano Nickel Ltd is a private equity holding company; Falcondo previously owned by Falconbridge Ltd, then Xstrata Plc, then Glencore Plc till August 2015 …</t>
        </r>
      </text>
    </comment>
    <comment ref="AG126" authorId="1" shapeId="0" xr:uid="{285331D0-415D-4961-A848-F662F9412C5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26" authorId="0" shapeId="0" xr:uid="{20274E92-6E80-4DCA-9811-67017334D2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B126" authorId="1" shapeId="0" xr:uid="{9CAFA291-AAD7-46CC-97BE-86DCC8D828A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J126" authorId="0" shapeId="0" xr:uid="{7263F416-F7E2-4CC3-A96F-1876A1C646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H127" authorId="0" shapeId="0" xr:uid="{C0167110-0306-42F5-BAF9-FED1E29FBDB8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long variable corporate history - most recently owned by HudBay Minerals; sold to Solway Group in Sept. 2011</t>
        </r>
      </text>
    </comment>
    <comment ref="H128" authorId="0" shapeId="0" xr:uid="{09EAECF0-5253-4ADF-9920-C6A2F2A7A9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Starfield Resources Ltd (now bankrupt)</t>
        </r>
      </text>
    </comment>
    <comment ref="H130" authorId="1" shapeId="0" xr:uid="{614CA835-D200-459F-B1F6-37F5DC4412E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</t>
        </r>
      </text>
    </comment>
    <comment ref="AG131" authorId="1" shapeId="0" xr:uid="{BC86EBA4-BA63-4F5C-842F-CEB789AC72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31" authorId="1" shapeId="0" xr:uid="{0DF71E6D-17EC-4D0D-BB8F-400968483A0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B131" authorId="1" shapeId="0" xr:uid="{ADD33EC7-202C-4F01-B552-4430A695A0B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J131" authorId="1" shapeId="0" xr:uid="{42128B2A-C35E-4420-A26F-0E4BEC2538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G135" authorId="1" shapeId="0" xr:uid="{1875BF9C-6359-4180-BF08-BF05D37BD88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O135" authorId="1" shapeId="0" xr:uid="{F3157181-29AA-4A11-AFDA-C7A5697ADB4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B135" authorId="1" shapeId="0" xr:uid="{8B2A832F-1C91-4890-859A-FFF57C9B77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J135" authorId="1" shapeId="0" xr:uid="{9CBC365F-6FE1-42C8-9277-EBABE50918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DP141" authorId="0" shapeId="0" xr:uid="{2E83C0F7-2080-4489-AB98-D8F435E370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former owner Allegiance Mining</t>
        </r>
      </text>
    </comment>
    <comment ref="H144" authorId="0" shapeId="0" xr:uid="{BF56230D-074D-4A2B-883F-10129F558E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Central West Gold NL</t>
        </r>
      </text>
    </comment>
    <comment ref="DP146" authorId="0" shapeId="0" xr:uid="{22025276-5EF1-4ADA-8229-E8F1AC356C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Platina Resources</t>
        </r>
      </text>
    </comment>
    <comment ref="H157" authorId="0" shapeId="0" xr:uid="{08B562B0-9B6F-4911-B391-B4475EEE66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Belevedere Resources Ltd, which declared bankruptcy in Dec. 2015</t>
        </r>
      </text>
    </comment>
    <comment ref="N157" authorId="0" shapeId="0" xr:uid="{AE723C69-3266-4316-8D6A-E6ADD9A5F2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indicative, based on resource reported in 2007 Annual Report</t>
        </r>
      </text>
    </comment>
    <comment ref="AI157" authorId="0" shapeId="0" xr:uid="{9CCAA22D-030F-43D0-8502-C89A0BBE03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indicative, based on resource reported in 2007 Annual Report</t>
        </r>
      </text>
    </comment>
    <comment ref="BD157" authorId="0" shapeId="0" xr:uid="{DF944B08-D943-4E79-A500-EA761D29F4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indicative, based on resource reported in 2007 Annual Report</t>
        </r>
      </text>
    </comment>
    <comment ref="DP157" authorId="0" shapeId="0" xr:uid="{1ECCE7DE-223F-4FF5-B877-AC06C36E2F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earlier owner Compass Resources</t>
        </r>
      </text>
    </comment>
    <comment ref="DP158" authorId="0" shapeId="0" xr:uid="{62AFAD45-C21F-4174-803D-037B7C4F89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earlier owner Compass Resources</t>
        </r>
      </text>
    </comment>
    <comment ref="C160" authorId="0" shapeId="0" xr:uid="{43FA716B-7F85-4965-82FA-6585B61671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Corella, Hannibals, Harrier, Harakka, Wedgetail</t>
        </r>
      </text>
    </comment>
    <comment ref="DP161" authorId="0" shapeId="0" xr:uid="{74F6E6E9-0000-4970-B736-D9319713BC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former owner Goldstake Explorations Inc.</t>
        </r>
      </text>
    </comment>
    <comment ref="BB163" authorId="1" shapeId="0" xr:uid="{825D4E02-F6B3-4626-9FD1-C1383AE2EBB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X165" authorId="0" shapeId="0" xr:uid="{D9132E19-25E2-45AF-9B4B-20241917D0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ASX announcement, 17 Sept. 2015</t>
        </r>
      </text>
    </comment>
    <comment ref="BS165" authorId="0" shapeId="0" xr:uid="{146E44AE-BA99-415E-AE9C-AA11717B58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ASX announcement, 17 Sept. 2015</t>
        </r>
      </text>
    </comment>
    <comment ref="H166" authorId="0" shapeId="0" xr:uid="{1B73D26E-E2F1-4510-8C64-766E97E468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Lithic Metals &amp; Energy</t>
        </r>
      </text>
    </comment>
    <comment ref="K166" authorId="0" shapeId="0" xr:uid="{F8ADAA18-BAF0-4CF5-A395-B0C9D0BC2E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F166" authorId="0" shapeId="0" xr:uid="{54343279-0F53-4F6B-BBF9-61B377A9E5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G166" authorId="0" shapeId="0" xr:uid="{A022D62F-5408-4595-BE21-DDE16F51FD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N166" authorId="0" shapeId="0" xr:uid="{4D8D5242-DFDA-40B1-AD14-F7FCF89EBE9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DP167" authorId="0" shapeId="0" xr:uid="{20FA42F1-BCC7-408A-8F6E-4F1BDBA521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Discovery Metals</t>
        </r>
      </text>
    </comment>
    <comment ref="K168" authorId="0" shapeId="0" xr:uid="{B862ECC4-A0B6-43D3-9ACC-A5CF40BFC3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F168" authorId="0" shapeId="0" xr:uid="{68FFA0F1-551E-4819-83BA-123EA0E7DF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G168" authorId="0" shapeId="0" xr:uid="{5DE03110-FA97-446A-9BD6-880A6CE4F9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N168" authorId="0" shapeId="0" xr:uid="{85BCABAB-8969-4C08-AE91-A25E0D1F49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K169" authorId="0" shapeId="0" xr:uid="{2EC3CAF0-2D68-4EDB-AF1F-AFDCD2F677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F169" authorId="0" shapeId="0" xr:uid="{F82C58F2-2A7B-4724-A3E9-938B059DAF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A169" authorId="0" shapeId="0" xr:uid="{630D21DB-5167-4A9B-9BEE-AC55256718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B169" authorId="0" shapeId="0" xr:uid="{900AAE98-B48A-457D-890A-2DD3170EDC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I169" authorId="0" shapeId="0" xr:uid="{BCEE27BC-78F4-40C0-9B0B-61A6207E06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V169" authorId="0" shapeId="0" xr:uid="{CEFB6D2E-2E6F-41D5-AFCD-5855AA0097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Q169" authorId="0" shapeId="0" xr:uid="{0822C5B1-0AEA-484C-AFFB-565D198560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K170" authorId="0" shapeId="0" xr:uid="{2BFD9574-AD04-4541-B961-5DC14FE06D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F170" authorId="0" shapeId="0" xr:uid="{29FA0F08-9F7F-4094-92F7-FB847F0623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A170" authorId="0" shapeId="0" xr:uid="{587162DD-B9AA-4DCB-91FE-E04ABD660F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B170" authorId="0" shapeId="0" xr:uid="{92C54F68-CFAF-4D4E-8DE7-5302CB2326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I170" authorId="0" shapeId="0" xr:uid="{659FDCE8-FA02-42B3-BA98-797B89BEF8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V170" authorId="0" shapeId="0" xr:uid="{F8BB2253-438D-443A-B055-E90E05D7FC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Q170" authorId="0" shapeId="0" xr:uid="{2D4E925A-3B4D-4923-8F25-AA4A7A4689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K171" authorId="0" shapeId="0" xr:uid="{B7469DB8-69C2-4C04-94C9-300FAC8B68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F171" authorId="0" shapeId="0" xr:uid="{A99DAC86-FCA5-44D0-819D-5FBA62F42B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A171" authorId="0" shapeId="0" xr:uid="{A793A6F0-1884-4D09-9B58-F2A8886690C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B171" authorId="0" shapeId="0" xr:uid="{8CFF460D-C9F2-430B-8ED1-EC36043B26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I171" authorId="0" shapeId="0" xr:uid="{39F6414C-0CEC-4BDE-B586-E48F63347FB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V171" authorId="0" shapeId="0" xr:uid="{5B636D5B-08CF-4E66-8677-2ED2C77815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Q171" authorId="0" shapeId="0" xr:uid="{AE66E475-F053-43D6-B28E-B54533A784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172" authorId="0" shapeId="0" xr:uid="{14837187-A7CB-45C6-8389-E5150D522B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note these leases lapsed in 2018 and were not renewed - 2017 data assumed</t>
        </r>
      </text>
    </comment>
    <comment ref="K172" authorId="0" shapeId="0" xr:uid="{BEFECF89-80B5-403A-BC7B-E6CC8DBA7A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F172" authorId="0" shapeId="0" xr:uid="{BCAE869F-6A7F-41FA-B919-F0D69FB5A1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A172" authorId="0" shapeId="0" xr:uid="{23C8914A-317B-40C7-9B26-F216EA3AB0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B172" authorId="0" shapeId="0" xr:uid="{CFB4310D-0B0E-4480-A52C-B19223B43A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I172" authorId="0" shapeId="0" xr:uid="{1C653B41-B7AB-4E73-8E43-A8D1EA8BF1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V172" authorId="0" shapeId="0" xr:uid="{2E02C40E-62FD-4BE2-8495-E04C710EFD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Q172" authorId="0" shapeId="0" xr:uid="{1D8C46AE-77D0-40AE-8C03-3A1E33C0CA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K173" authorId="0" shapeId="0" xr:uid="{3FDA87D4-E310-49C7-B21A-2532B5FFFE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F173" authorId="0" shapeId="0" xr:uid="{63B00BE9-8773-4CE3-9E4A-95873B8074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A173" authorId="0" shapeId="0" xr:uid="{571C8732-0812-4AC8-9EA6-52E798ADFD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B173" authorId="0" shapeId="0" xr:uid="{B35A73D1-8890-4B20-B68C-95F4E9123C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I173" authorId="0" shapeId="0" xr:uid="{31A59AD3-0D0F-4A1F-A3CD-9BEF94841B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V173" authorId="0" shapeId="0" xr:uid="{EADA583C-1925-4581-A69B-64357D71DA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Q173" authorId="0" shapeId="0" xr:uid="{EFE6B90B-7B79-4A29-84D0-E8DAAF2FA9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H175" authorId="0" shapeId="0" xr:uid="{9FA9F409-6799-4993-BF6C-1AD46DE869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Toledo Mining Corp, which was taken over by DMCI Holdings</t>
        </r>
      </text>
    </comment>
    <comment ref="BA175" authorId="0" shapeId="0" xr:uid="{C6AC8B24-465A-4AED-9446-FBB534FB62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175" authorId="0" shapeId="0" xr:uid="{7E3693CC-5E8D-4B1A-BF41-5FCFF73C8D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A177" authorId="0" shapeId="0" xr:uid="{35DC2DBB-C641-4531-BA21-AA7A9B6AA6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177" authorId="0" shapeId="0" xr:uid="{0C3A0AD0-7374-416D-B6C2-44D0BD27D0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A178" authorId="0" shapeId="0" xr:uid="{71F5D4DA-9A3E-44C9-973D-28399F9AA0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178" authorId="0" shapeId="0" xr:uid="{9F0B0138-6761-4B97-8FF5-48DB326C790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J178" authorId="0" shapeId="0" xr:uid="{61CD0F82-7097-407E-A146-D52814308E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Berger et al (2011)</t>
        </r>
      </text>
    </comment>
    <comment ref="K179" authorId="0" shapeId="0" xr:uid="{A648B78A-A68A-4F00-A93B-75E2613A3D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S179" authorId="0" shapeId="0" xr:uid="{E39A8E0E-F238-4B04-857E-305DA7B671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F179" authorId="0" shapeId="0" xr:uid="{13818D99-E778-4418-AC10-B649341D85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N179" authorId="0" shapeId="0" xr:uid="{85704DD8-34D6-4ED7-82DF-00040229E9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K180" authorId="0" shapeId="0" xr:uid="{86E0937C-E2EC-4CD3-BC41-0BC1B2DCDF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F180" authorId="0" shapeId="0" xr:uid="{5723C8EF-AF4D-4261-92CC-C292119DF0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N180" authorId="0" shapeId="0" xr:uid="{6329349F-418D-48E3-9A9C-9570C38317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H181" authorId="0" shapeId="0" xr:uid="{A107B24E-B0DD-4A41-AA29-30035C9822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Thabex Ltd</t>
        </r>
      </text>
    </comment>
    <comment ref="BA181" authorId="0" shapeId="0" xr:uid="{233D778B-533C-469F-A96A-D6B66DAF16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181" authorId="0" shapeId="0" xr:uid="{6CF56E5C-42B7-4D0C-9272-97506B08FC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K184" authorId="0" shapeId="0" xr:uid="{BA839D2F-4C9E-43F4-9663-76308BD424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oer reserves assumed same as measured resources (due to lack of total mineral resources data)</t>
        </r>
      </text>
    </comment>
    <comment ref="S184" authorId="0" shapeId="0" xr:uid="{1B9C0525-3468-4485-9431-30927A1A64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oer reserves assumed same as measured resources (due to lack of total mineral resources data)</t>
        </r>
      </text>
    </comment>
    <comment ref="T184" authorId="0" shapeId="0" xr:uid="{CD4328A6-784A-413E-A2DB-78495D36F5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oer reserves assumed same as measured resources (due to lack of total mineral resources data)</t>
        </r>
      </text>
    </comment>
    <comment ref="AF184" authorId="0" shapeId="0" xr:uid="{239E5551-85B7-40B0-89BA-762C6AF3F1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oer reserves assumed same as indicated resources (due to lack of total mineral resources data)</t>
        </r>
      </text>
    </comment>
    <comment ref="AN184" authorId="0" shapeId="0" xr:uid="{9A1252C6-E73E-4408-B53B-338D95B502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oer reserves assumed same as indicated resources (due to lack of total mineral resources data)</t>
        </r>
      </text>
    </comment>
    <comment ref="AO184" authorId="0" shapeId="0" xr:uid="{C4A6A90B-5DEB-42F8-8865-91ADDA19AE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oer reserves assumed same as indicated resources (due to lack of total mineral resources data)</t>
        </r>
      </text>
    </comment>
    <comment ref="BA185" authorId="0" shapeId="0" xr:uid="{E3E3427F-C734-4ABA-B3DA-C45F9F0354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185" authorId="0" shapeId="0" xr:uid="{9505B3CC-5F4D-4EC3-B2CD-298206437A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A186" authorId="0" shapeId="0" xr:uid="{390379BE-C74E-47BB-BF22-FBAD4612F8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I186" authorId="0" shapeId="0" xr:uid="{57C64313-EE38-4331-9A8E-E71EB9DB39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A187" authorId="0" shapeId="0" xr:uid="{EFC3F5CC-CEBD-4860-B1C8-71F4D8FDE83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I187" authorId="0" shapeId="0" xr:uid="{CDFDCC8A-73D6-4EE2-A631-562F7272DA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A188" authorId="0" shapeId="0" xr:uid="{DDB6D31B-7A75-4C58-8B3F-467471EDA0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I188" authorId="0" shapeId="0" xr:uid="{98B03789-D0D8-4086-A68F-47313F43F7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A189" authorId="0" shapeId="0" xr:uid="{DFFFA1C1-EB1A-4BBF-BBEF-18339AB6C1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I189" authorId="0" shapeId="0" xr:uid="{5024C276-9127-4939-907D-45F5036437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A190" authorId="0" shapeId="0" xr:uid="{EFEA7280-FF3A-43C6-9C94-FFADDAB109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I190" authorId="0" shapeId="0" xr:uid="{311B7C19-7253-4967-A7F9-DA29D6EA98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A193" authorId="0" shapeId="0" xr:uid="{C6F717EC-442F-4C91-9742-2F60B3FC9C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193" authorId="0" shapeId="0" xr:uid="{01BD1E16-F274-420C-899D-46D391A839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DP193" authorId="0" shapeId="0" xr:uid="{023D4A00-C6B5-432B-B859-3801FDCEAF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Lara Exploration - report on Aragauaia project (plus Berger et al, 2011)</t>
        </r>
      </text>
    </comment>
    <comment ref="BA195" authorId="0" shapeId="0" xr:uid="{DFBDA960-277C-4D5F-9483-28A2AC4528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B197" authorId="0" shapeId="0" xr:uid="{5F73D229-6413-4528-9252-5BF4D695EF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BI197" authorId="0" shapeId="0" xr:uid="{A3F4C599-C996-4EAE-89AB-5A34FEEC86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BJ197" authorId="0" shapeId="0" xr:uid="{312C9539-A1D7-4CF4-AF96-678FC53614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BP197" authorId="0" shapeId="0" xr:uid="{39DB6AAF-5B92-4509-8D8A-BACC51AA17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H198" authorId="0" shapeId="0" xr:uid="{DBA2C914-26C0-427C-B3D3-B3CE50B5E8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Royal Nickel Corp.</t>
        </r>
      </text>
    </comment>
    <comment ref="BA199" authorId="0" shapeId="0" xr:uid="{DA734C66-5C68-4FA2-ACCE-46CFF2822D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I199" authorId="0" shapeId="0" xr:uid="{FF5FCB00-16A2-4546-ABC5-1FEC849CBB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J199" authorId="0" shapeId="0" xr:uid="{01B70C02-6D89-422C-A2C2-F6D742C5E3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Berger et al (2011)</t>
        </r>
      </text>
    </comment>
    <comment ref="BA200" authorId="0" shapeId="0" xr:uid="{CE9CC069-463D-41EE-92F7-9D8D5E9079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I200" authorId="0" shapeId="0" xr:uid="{2DE77243-CCCC-46D2-A790-C6C54B80D2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J200" authorId="0" shapeId="0" xr:uid="{0DE4F5BF-50BE-44F0-9747-F482ACD9FA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Berger et al (2011)</t>
        </r>
      </text>
    </comment>
    <comment ref="BV202" authorId="0" shapeId="0" xr:uid="{89714B37-3D5E-479E-83E7-701C8A9F4D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Q202" authorId="0" shapeId="0" xr:uid="{E29A5691-F70A-4BB3-B218-44A8CADC98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Y202" authorId="0" shapeId="0" xr:uid="{216750DA-F7D8-4530-8131-83BC087E56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Z202" authorId="0" shapeId="0" xr:uid="{3822C9D2-EEC4-4D93-8821-5D5D69B3B1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203" authorId="0" shapeId="0" xr:uid="{E5879D7F-A002-404C-BD2A-6AF00DE85C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Cassini, Burnett, Miitel, Wannaway, Carnilya, Otter Juan, McMahon/Ken, Durkin North, Gellatly, Voyce, Cameron, Stockwell</t>
        </r>
      </text>
    </comment>
    <comment ref="DP206" authorId="0" shapeId="0" xr:uid="{0B12F125-E0B7-41B7-B548-C4374DBD86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Hathor Exploration</t>
        </r>
      </text>
    </comment>
    <comment ref="H209" authorId="0" shapeId="0" xr:uid="{6FBE7099-5D07-4118-A6F6-FE9174DCB8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Nortec Minerals Corp, Finore Mining (note: Palladium One was formerly Nickel On Resources)</t>
        </r>
      </text>
    </comment>
    <comment ref="DP209" authorId="0" shapeId="0" xr:uid="{7C905BFB-052D-4D3D-B93F-5460BD1606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First Nickel</t>
        </r>
      </text>
    </comment>
    <comment ref="H212" authorId="0" shapeId="0" xr:uid="{D2F2E625-7FBE-4CFA-93CC-74792D52590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Canadian Arrow Mines</t>
        </r>
      </text>
    </comment>
    <comment ref="DP212" authorId="0" shapeId="0" xr:uid="{E77557DC-8E7F-4288-A70A-BAE97DA907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First Nickel</t>
        </r>
      </text>
    </comment>
    <comment ref="H213" authorId="0" shapeId="0" xr:uid="{313C00FF-F13F-4BE5-8230-37E7C08879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First Quantum Minerals</t>
        </r>
      </text>
    </comment>
    <comment ref="H215" authorId="0" shapeId="0" xr:uid="{0B22BC7E-482E-4D68-A6D8-371ED5204B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merged in 2013 with Mercator Minerals Ltd, which went bankrupt in 2014</t>
        </r>
      </text>
    </comment>
    <comment ref="H216" authorId="0" shapeId="0" xr:uid="{04D74E11-4E8B-4919-976B-FC86943F59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merged in 2013 with Mercator Minerals Ltd, which went bankrupt in 2014</t>
        </r>
      </text>
    </comment>
    <comment ref="K216" authorId="0" shapeId="0" xr:uid="{6CB3617D-03AA-42C3-B8A5-5E42067BDF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F216" authorId="0" shapeId="0" xr:uid="{5A1610C8-9024-4368-A1FD-3E39EE1E43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16" authorId="0" shapeId="0" xr:uid="{FB9CA890-0BC9-49DF-9F37-1BE5C53D09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16" authorId="0" shapeId="0" xr:uid="{D2E0DAFF-69A3-4B7D-9470-4544729407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P216" authorId="0" shapeId="0" xr:uid="{E11211F9-FB30-430F-A796-1B862CE7F8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Royal Nickel Corp</t>
        </r>
      </text>
    </comment>
    <comment ref="H217" authorId="0" shapeId="0" xr:uid="{D600B8B6-3685-4266-BFE5-53BE695C4C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merged in 2013 with Mercator Minerals Ltd, which went bankrupt in 2014</t>
        </r>
      </text>
    </comment>
    <comment ref="H218" authorId="0" shapeId="0" xr:uid="{6C53FBF8-C5A1-4DCD-9948-8004F6CEF5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Realm Resources Ltd</t>
        </r>
      </text>
    </comment>
    <comment ref="BA220" authorId="0" shapeId="0" xr:uid="{3C2CD023-315B-4FC1-A227-28515164D4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resource, not NI43-101 compliant</t>
        </r>
      </text>
    </comment>
    <comment ref="BI220" authorId="0" shapeId="0" xr:uid="{6BF4CC6D-935E-4864-8233-B859DCDDB7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resource, not NI43-101 compliant</t>
        </r>
      </text>
    </comment>
    <comment ref="AF221" authorId="0" shapeId="0" xr:uid="{F70CB06C-BBB8-47BD-BC63-313EEABAF1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G221" authorId="0" shapeId="0" xr:uid="{92A34B49-66FA-4438-B17C-164CC1869E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H221" authorId="0" shapeId="0" xr:uid="{09FF6CAD-D9F6-440E-B26C-1AD656E965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N221" authorId="0" shapeId="0" xr:uid="{85DFABEC-38CC-4879-8A58-769B3F85EC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O221" authorId="0" shapeId="0" xr:uid="{F1C0599C-8BD4-411B-9747-C8A4CDD651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P221" authorId="0" shapeId="0" xr:uid="{A501FE05-98B1-4DF0-B401-FA52C71A73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Q221" authorId="0" shapeId="0" xr:uid="{C805408F-9C81-4295-A7A1-BEC0D89EB5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A221" authorId="0" shapeId="0" xr:uid="{8780A7ED-D579-4687-AEC7-DB64AA636A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B221" authorId="0" shapeId="0" xr:uid="{6F7F0655-96FA-46A1-8D9C-7D9F256EE6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C221" authorId="0" shapeId="0" xr:uid="{675B7423-D6CA-42F3-A939-247897C23D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I221" authorId="0" shapeId="0" xr:uid="{1B15B641-8B0F-40E9-8280-540AD566B8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J221" authorId="0" shapeId="0" xr:uid="{D976DE98-2F71-4F52-9A10-A63F74F3FF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K221" authorId="0" shapeId="0" xr:uid="{EA0D5465-B220-46BE-9852-39E4DA28FC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L221" authorId="0" shapeId="0" xr:uid="{8022C0A8-FCC2-4AC5-AC58-592DC07B38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A223" authorId="0" shapeId="0" xr:uid="{8E94B31A-D49A-4A9E-BA1C-8BF2A44A23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223" authorId="0" shapeId="0" xr:uid="{25BF99D5-B929-451E-8EFB-A584D34AB7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23" authorId="0" shapeId="0" xr:uid="{2B5FC183-2E7B-4FE0-BED3-A9735898F0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K225" authorId="0" shapeId="0" xr:uid="{05462708-2E9B-4D75-BF35-951C824DA6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L225" authorId="0" shapeId="0" xr:uid="{FFC49D0E-C832-41A3-A770-3D303F671A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M225" authorId="0" shapeId="0" xr:uid="{FCE81E71-C47E-49C8-9666-6CC4A8BB31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S225" authorId="0" shapeId="0" xr:uid="{1873CC63-24FC-4CF2-87C4-B612E5D674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T225" authorId="0" shapeId="0" xr:uid="{29CB9D9A-A2DE-4262-B654-80F22F3830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U225" authorId="0" shapeId="0" xr:uid="{CAD92D0A-8D62-4F10-9027-2C9B278FA7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V225" authorId="0" shapeId="0" xr:uid="{E9ADD565-074C-457B-9613-E2B445FBD8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AF225" authorId="0" shapeId="0" xr:uid="{B3EDC192-BC5E-453B-B74E-72A001C3FD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G225" authorId="0" shapeId="0" xr:uid="{C992F982-BC2A-498B-84A3-6BFAAA755C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H225" authorId="0" shapeId="0" xr:uid="{AAA6BD96-F177-4BC5-AFB4-18ADDCD0F6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N225" authorId="0" shapeId="0" xr:uid="{B06816C3-D1B9-4BB4-87BB-E185BA15AE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O225" authorId="0" shapeId="0" xr:uid="{77748476-620C-4185-92A0-5A551150D4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P225" authorId="0" shapeId="0" xr:uid="{F9ABFD61-57DA-4588-BD3E-D9D1749DF3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Q225" authorId="0" shapeId="0" xr:uid="{BBE4381E-8510-47AC-8EE2-3E52552374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BA226" authorId="1" shapeId="0" xr:uid="{8F6A4F5F-7DA7-46FB-B32C-CE0BDC3DA64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estimated from historic reserve minus mine production; historical resource assumed as inferred</t>
        </r>
      </text>
    </comment>
    <comment ref="AF227" authorId="0" shapeId="0" xr:uid="{05B9ACC8-A921-4021-9A3F-8DF18412B8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AG227" authorId="0" shapeId="0" xr:uid="{8B0EDEB5-ED66-4167-B082-31AD361A9C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AN227" authorId="0" shapeId="0" xr:uid="{3C94F412-D467-4C5A-85CD-BF43D7572D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AO227" authorId="0" shapeId="0" xr:uid="{F231B580-F38B-46FF-93E2-B83EE98167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BV227" authorId="0" shapeId="0" xr:uid="{4DCAB32A-2105-40F4-8E50-F0B0B5B5BF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BW227" authorId="0" shapeId="0" xr:uid="{7A335BF3-4144-4588-B2E4-C2E4D8915E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CD227" authorId="0" shapeId="0" xr:uid="{46483DE5-5BA5-404C-97CA-3AEF1E0EFA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CE227" authorId="0" shapeId="0" xr:uid="{09F0074C-3E25-4FDF-919E-3042EE512E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Cobalt grade assumed same for all mined ore as reserves</t>
        </r>
      </text>
    </comment>
    <comment ref="AO228" authorId="0" shapeId="0" xr:uid="{20ACCCEC-DF9D-478B-8C31-F800B1A106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(2011-12)</t>
        </r>
      </text>
    </comment>
    <comment ref="BJ228" authorId="0" shapeId="0" xr:uid="{53329A9A-FAD8-4254-BBBC-66E03DFD97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(2011-12)</t>
        </r>
      </text>
    </comment>
    <comment ref="U229" authorId="0" shapeId="0" xr:uid="{08223EFA-FE87-4179-B5F1-C762587E9D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40% as Pt</t>
        </r>
      </text>
    </comment>
    <comment ref="V229" authorId="0" shapeId="0" xr:uid="{3E151A13-CD90-4E4A-BFE2-6A53F6B373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60% as Pd</t>
        </r>
      </text>
    </comment>
    <comment ref="AP229" authorId="0" shapeId="0" xr:uid="{722BBA18-8966-4197-908C-758D6F7E9B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40% as Pt</t>
        </r>
      </text>
    </comment>
    <comment ref="AQ229" authorId="0" shapeId="0" xr:uid="{89B4C8E0-3B32-4F9F-A727-0129E7004B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60% as Pd</t>
        </r>
      </text>
    </comment>
    <comment ref="BK229" authorId="0" shapeId="0" xr:uid="{8CEBF5F2-CF3D-4DFD-9736-2E9F308DB0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40% as Pt</t>
        </r>
      </text>
    </comment>
    <comment ref="BL229" authorId="0" shapeId="0" xr:uid="{7931095F-EABE-4306-BED8-6141A85281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60% as Pd</t>
        </r>
      </text>
    </comment>
    <comment ref="DP229" authorId="0" shapeId="0" xr:uid="{71DFE8A3-95B2-43E4-9E09-A4469B4855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QuadraFNX Mining</t>
        </r>
      </text>
    </comment>
    <comment ref="AF231" authorId="0" shapeId="0" xr:uid="{08D21DC8-2550-4DE3-AE52-8A228E6B46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combined measured &amp; indicated resources stated</t>
        </r>
      </text>
    </comment>
    <comment ref="AG231" authorId="0" shapeId="0" xr:uid="{7C9856C6-6BB1-4BF0-86A2-E21D0BFA38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combined measured &amp; indicated resources stated</t>
        </r>
      </text>
    </comment>
    <comment ref="AN231" authorId="0" shapeId="0" xr:uid="{F6136073-B556-41F4-AC72-27CA4F8341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combined measured &amp; indicated resources stated</t>
        </r>
      </text>
    </comment>
    <comment ref="DP231" authorId="0" shapeId="0" xr:uid="{471AD3C0-DD7B-4484-82B8-A6FD151FD3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FNX Mining Company</t>
        </r>
      </text>
    </comment>
    <comment ref="DP233" authorId="0" shapeId="0" xr:uid="{7BB9090E-1DFB-4D3E-BB21-8EF8B6EF70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QuadraFNX Mining</t>
        </r>
      </text>
    </comment>
    <comment ref="C235" authorId="0" shapeId="0" xr:uid="{613269AA-494E-4138-832D-3BD38D0B06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Kotselvaara-Kammikivi, Semiletka,
Zhdanovskoye, Zapolyarnoye, Bystrinskoye, Tundrovoye, Sputnik and Verkhneye fields</t>
        </r>
      </text>
    </comment>
    <comment ref="BA235" authorId="0" shapeId="0" xr:uid="{B974EE61-FC19-42B6-9494-811804DAF8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P236" authorId="0" shapeId="0" xr:uid="{013E3009-15A1-4255-BC43-CDE0078B45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Canadian Arrow Mines</t>
        </r>
      </text>
    </comment>
    <comment ref="T237" authorId="0" shapeId="0" xr:uid="{063E1B36-5797-4B3F-879A-6E7199260A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AO237" authorId="0" shapeId="0" xr:uid="{B13398AB-6F40-4FA5-B3EA-03C98A4A40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BJ237" authorId="0" shapeId="0" xr:uid="{39C1DD36-E0D3-4167-93DA-D28F0FC1B1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CE237" authorId="0" shapeId="0" xr:uid="{40AEF039-8A3C-4FB7-867F-4EDBB4173B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CZ237" authorId="0" shapeId="0" xr:uid="{22B1D8D7-8144-49FE-819E-1D23AE7582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BA239" authorId="0" shapeId="0" xr:uid="{D967F2C2-CC64-4093-9C4E-F17AF202B1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239" authorId="0" shapeId="0" xr:uid="{58BEB077-90FF-4784-96CD-A213FFFE1F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39" authorId="0" shapeId="0" xr:uid="{EFFE2E46-DB05-4AB0-8CC4-8E35C473E3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240" authorId="0" shapeId="0" xr:uid="{C3E36FC4-B2B4-46ED-9C08-00A060172D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K240" authorId="0" shapeId="0" xr:uid="{5E419EB8-1ABC-4EFA-A7EF-D227E4D049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F240" authorId="0" shapeId="0" xr:uid="{685A4E98-FEFE-4A25-B50E-64C3FE523B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40" authorId="0" shapeId="0" xr:uid="{85A5F187-7DF4-4455-830B-4A4E815F86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240" authorId="0" shapeId="0" xr:uid="{12814BDC-0582-4635-AE0D-47CACA33F6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40" authorId="0" shapeId="0" xr:uid="{F272E02D-824D-4F26-83D7-81518C9BA9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240" authorId="0" shapeId="0" xr:uid="{FF4EE6FC-0FFE-416F-83C5-389F4627DC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K240" authorId="0" shapeId="0" xr:uid="{D2E09FC8-046F-423F-8539-28801D8661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L240" authorId="0" shapeId="0" xr:uid="{6BA3C388-D194-4A45-B66F-F0BD9F7F0C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Q240" authorId="0" shapeId="0" xr:uid="{4D749ED5-BB01-4991-A82B-C8DB8CB035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241" authorId="0" shapeId="0" xr:uid="{B014A232-B4F0-4647-882D-576BDF6D68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H243" authorId="0" shapeId="0" xr:uid="{DF1E9E06-21F5-45DD-9637-3248471D35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K243" authorId="0" shapeId="0" xr:uid="{178EEF77-C7CA-402B-BE3F-5AB0E106AB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L243" authorId="0" shapeId="0" xr:uid="{482CA5CC-C1BF-4BF1-B9BE-E05C803F11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M243" authorId="0" shapeId="0" xr:uid="{C8E3CBCE-5FC3-4E2C-8610-5983A4046E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N243" authorId="0" shapeId="0" xr:uid="{CDA1EA3F-BD29-47F0-A796-2DEE8C2B69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S243" authorId="0" shapeId="0" xr:uid="{F251CDFC-E572-41A4-B65B-692B0E57E6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T243" authorId="0" shapeId="0" xr:uid="{9953CDA5-A6B5-4943-8062-6040468635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G243" authorId="0" shapeId="0" xr:uid="{09D1F7A0-DD7A-43BE-BBF1-C16C76E043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H243" authorId="0" shapeId="0" xr:uid="{EAC47882-26C5-4BC0-9354-4727C281F0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I243" authorId="0" shapeId="0" xr:uid="{3742F347-C653-41ED-809F-6AB9C5BC2D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O243" authorId="0" shapeId="0" xr:uid="{3CB77735-AD53-42B8-8632-48E8658C45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BV243" authorId="0" shapeId="0" xr:uid="{968B6DC0-CEB3-4D46-BD37-04C122EA98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BW243" authorId="0" shapeId="0" xr:uid="{5535B5FE-B9EE-4C39-BAC9-4556C54CBB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BX243" authorId="0" shapeId="0" xr:uid="{6AC954C5-3DFF-4872-83D8-3ED8370881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BY243" authorId="0" shapeId="0" xr:uid="{FD566910-175F-46CC-846B-E979CD85FF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D243" authorId="0" shapeId="0" xr:uid="{7964837D-C269-48CE-8AD3-C1E2F2B208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CE243" authorId="0" shapeId="0" xr:uid="{22A881B3-EAC8-4921-BF67-8A87CF4FCF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R243" authorId="0" shapeId="0" xr:uid="{486F9CA3-4E9A-4B20-87EE-F6F012D064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S243" authorId="0" shapeId="0" xr:uid="{7FA7FD16-087A-445E-A8F3-C135B10499F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T243" authorId="0" shapeId="0" xr:uid="{5E06E2B8-51F6-4DDC-8BD8-C4F74AAB48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Z243" authorId="0" shapeId="0" xr:uid="{7214F5CE-1EB6-4FF2-8B19-DDF65AC311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H244" authorId="0" shapeId="0" xr:uid="{E391877C-4035-4FF5-B2E7-D5FD7A8F98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K244" authorId="0" shapeId="0" xr:uid="{ACDDC125-6847-4E73-943A-10B101C006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M244" authorId="0" shapeId="0" xr:uid="{DFA40F78-CBF8-414A-9B06-8DC904457B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T244" authorId="0" shapeId="0" xr:uid="{002DB429-9A77-4FC5-ABBF-36F8073FFD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U244" authorId="0" shapeId="0" xr:uid="{596BA82E-4BEE-416F-A424-6251D92535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V244" authorId="0" shapeId="0" xr:uid="{91BA9BDA-2E18-49C3-B952-18F93F408D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H244" authorId="0" shapeId="0" xr:uid="{75F7E2C8-7D30-4B46-A00B-0E5B182BA7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O244" authorId="0" shapeId="0" xr:uid="{C1D8D547-3C59-40BE-A2CA-1C7802720B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P244" authorId="0" shapeId="0" xr:uid="{41566E16-F81D-4E2D-8796-25665A3D98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Q244" authorId="0" shapeId="0" xr:uid="{A25C8CDB-08AF-45C3-B835-86EF2A69A3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C244" authorId="0" shapeId="0" xr:uid="{B9A1F1D6-187F-4B7A-B20F-239A321768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J244" authorId="0" shapeId="0" xr:uid="{4CB85847-F81F-46BD-AA17-C6647F2103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K244" authorId="0" shapeId="0" xr:uid="{9F3A2E6B-BD23-4769-B86A-0FFA6A1039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L244" authorId="0" shapeId="0" xr:uid="{49A2D50C-1B76-4DE8-9473-CFE07B388D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R244" authorId="0" shapeId="0" xr:uid="{142412DD-77BC-430C-B797-D1EFF9939B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S244" authorId="0" shapeId="0" xr:uid="{EA756AD6-18D3-4970-924A-E629B0AC01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Z244" authorId="0" shapeId="0" xr:uid="{575536AA-8F0F-47FA-BF45-EDCBD09D3C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DA244" authorId="0" shapeId="0" xr:uid="{51C9C6A8-7019-4BF4-AA43-BECE2C074A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DB244" authorId="0" shapeId="0" xr:uid="{06C83D81-3CD3-492B-BFAA-F6F02B22DC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H245" authorId="0" shapeId="0" xr:uid="{F5326BE0-45CC-4D61-BDC2-94BA4FCAF3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C246" authorId="0" shapeId="0" xr:uid="{E348D762-386B-4C4B-A2E8-9442E2B15C33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Trull-Surroj, Mamez, Namen (Nome)-Arren</t>
        </r>
      </text>
    </comment>
    <comment ref="H246" authorId="0" shapeId="0" xr:uid="{11CCB2FE-61A4-4073-BA45-083F869249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Balkan Resources, which became Arian Resources</t>
        </r>
      </text>
    </comment>
    <comment ref="K246" authorId="0" shapeId="0" xr:uid="{4BC3EC6C-19DA-4E0F-98BE-7D7439C88F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L246" authorId="0" shapeId="0" xr:uid="{161FE533-C1B4-4C68-8B2D-267269A5A8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M246" authorId="0" shapeId="0" xr:uid="{C4A3683C-E053-4751-B0D2-50C1B3E42C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S246" authorId="0" shapeId="0" xr:uid="{59D9A83F-7E67-439B-BA95-AED9B0B164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T246" authorId="0" shapeId="0" xr:uid="{84FC89C0-7584-4691-89AB-BAD7D27674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U246" authorId="0" shapeId="0" xr:uid="{71E6950A-6EC0-4EAF-8855-6829AD6C39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V246" authorId="0" shapeId="0" xr:uid="{5DA1EB9A-7753-47BD-A40C-DCCCA37824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F246" authorId="0" shapeId="0" xr:uid="{624EBECF-71FE-4161-81AA-605D0CC0EE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G246" authorId="0" shapeId="0" xr:uid="{AEF773B8-211D-42A6-909C-377E0A1ED0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H246" authorId="0" shapeId="0" xr:uid="{F8343CA8-830E-4050-95BD-9F382060DD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N246" authorId="0" shapeId="0" xr:uid="{9B8E00C3-11BB-426A-B90B-C9CC3A18A1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O246" authorId="0" shapeId="0" xr:uid="{4537D9AE-8DFD-4CA1-A2CB-29629AF68F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P246" authorId="0" shapeId="0" xr:uid="{09049B67-C1FF-416D-B37A-3285842F4F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Q246" authorId="0" shapeId="0" xr:uid="{8143CF8A-855C-493B-AA6A-ECE52AAA1C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A246" authorId="0" shapeId="0" xr:uid="{FB89D6D6-8BCA-4301-9E03-CABB4A61D6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B246" authorId="0" shapeId="0" xr:uid="{22B2464E-C536-458E-9ECE-95A5AB604E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C246" authorId="0" shapeId="0" xr:uid="{2AA6A998-95CC-4FEF-984E-E061C394D2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I246" authorId="0" shapeId="0" xr:uid="{AB6E7348-7577-4AAB-896A-EBECFB43DB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J246" authorId="0" shapeId="0" xr:uid="{81911C97-76CB-4FFC-9735-C7314B2185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K246" authorId="0" shapeId="0" xr:uid="{3F114EA3-1DF7-40CD-91C4-73EF4B5E4E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L246" authorId="0" shapeId="0" xr:uid="{5D3381F9-5060-4487-A5E8-61F0050961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DP246" authorId="1" shapeId="0" xr:uid="{AAA4B829-EEF0-4DAF-A23C-71927ACEAFF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Goldbrook Ventures (taken over by Jilin Jien Nickel)</t>
        </r>
      </text>
    </comment>
    <comment ref="AF247" authorId="0" shapeId="0" xr:uid="{6AD2CD6D-85A0-414D-8FDC-726D3BF8F8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G247" authorId="0" shapeId="0" xr:uid="{447C2983-C0B7-415D-BD77-89C1E678FF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H247" authorId="0" shapeId="0" xr:uid="{1D6CAE16-213A-4FFD-A620-ECB8AF0EDB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N247" authorId="0" shapeId="0" xr:uid="{5CDB8093-17FC-44BB-B397-057187FCE8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O247" authorId="0" shapeId="0" xr:uid="{E21C062F-0D7A-4873-95E4-B21810DA33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P247" authorId="0" shapeId="0" xr:uid="{ECF34156-5ECD-4A52-ACD6-50B5324D30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Q247" authorId="0" shapeId="0" xr:uid="{EEABDA53-FC81-4A6C-B271-D47027A0CD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A247" authorId="0" shapeId="0" xr:uid="{887A6A3C-3D81-4081-A0DC-1C8FE859C6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B247" authorId="0" shapeId="0" xr:uid="{872D9382-09B3-470A-B607-D12F6346C19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C247" authorId="0" shapeId="0" xr:uid="{EFFB3833-D212-46F4-8201-B760B2212C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I247" authorId="0" shapeId="0" xr:uid="{B298152B-3CF4-4788-A451-4E5C1BA793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J247" authorId="0" shapeId="0" xr:uid="{2B91C7A4-9E74-4382-89FB-C26292DDF5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K247" authorId="0" shapeId="0" xr:uid="{6B2F36E4-FE89-4D6F-A8D7-845DB43F6F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L247" authorId="0" shapeId="0" xr:uid="{D0432116-74BE-4A3F-A4E0-95905E106F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DP247" authorId="1" shapeId="0" xr:uid="{99AE9BDE-0BD1-43C0-8778-C670861FE2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Goldbrook Ventures (taken over by Jilin Jien Nickel)</t>
        </r>
      </text>
    </comment>
    <comment ref="C248" authorId="1" shapeId="0" xr:uid="{85ABA622-2CD5-4EEF-B345-1A8B09397C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includes Kubuk, Gorny, Ikenskoe / Sobolevsky, Vodorazdelny, Maly Kurumkon / Flangovy</t>
        </r>
      </text>
    </comment>
    <comment ref="BA249" authorId="0" shapeId="0" xr:uid="{311F4580-0658-4311-BD2F-67B5A8BB3F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252" authorId="0" shapeId="0" xr:uid="{59A63189-4D73-4FA4-89FB-FA9710D5B7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H253" authorId="0" shapeId="0" xr:uid="{BC572A66-CB5B-43FA-AD78-703130A849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taken over by Sibanye-Stillwater in mid-2019</t>
        </r>
      </text>
    </comment>
    <comment ref="BA253" authorId="0" shapeId="0" xr:uid="{7B91A37E-7C57-4D96-B853-7DCB31BB59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BB253" authorId="0" shapeId="0" xr:uid="{79030101-E309-4703-A898-122A92546F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BI253" authorId="0" shapeId="0" xr:uid="{16B33A1D-8374-42F4-882D-D9DF701600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BK253" authorId="0" shapeId="0" xr:uid="{10260C7D-30E6-4FCB-9B47-878076DBDD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BL253" authorId="0" shapeId="0" xr:uid="{BAB70EBC-06CD-41E6-80AB-0A55308C94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H255" authorId="0" shapeId="0" xr:uid="{D6D900BD-337D-4E82-996B-B941E598C4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initially held by Nemaska Exploration, which apparently became Monarques Resources, but is now Nemasaka Lithium</t>
        </r>
      </text>
    </comment>
    <comment ref="BA258" authorId="0" shapeId="0" xr:uid="{22CA2847-E937-42B6-AAB5-3269906108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258" authorId="0" shapeId="0" xr:uid="{20D5B509-EEDD-4CA3-B047-59434BC1B1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58" authorId="0" shapeId="0" xr:uid="{77F67433-671B-47B4-8DF6-F6CE7A1D8D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259" authorId="0" shapeId="0" xr:uid="{294AB26E-D411-42AF-A67D-1FBD9BA517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H260" authorId="0" shapeId="0" xr:uid="{9A022A4F-4A47-4CD9-8720-17BEAA48E7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various owners previously</t>
        </r>
      </text>
    </comment>
    <comment ref="DP261" authorId="0" shapeId="0" xr:uid="{57D6993D-BA4C-4F8F-8C41-701C8C9CC3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Ursa Major Minerals</t>
        </r>
      </text>
    </comment>
    <comment ref="AO263" authorId="0" shapeId="0" xr:uid="{C83EC654-BCBB-4E98-BBBD-58651DF05E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2011 Annual Report, Ursa Major Minerals</t>
        </r>
      </text>
    </comment>
    <comment ref="BJ263" authorId="0" shapeId="0" xr:uid="{1FB15F48-1FA2-4B47-B89B-7701C8252F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2011 Annual Report, Ursa Major Minerals</t>
        </r>
      </text>
    </comment>
    <comment ref="H265" authorId="0" shapeId="0" xr:uid="{2D33FE2F-44D4-4DBC-8125-3F6C7217D5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K265" authorId="0" shapeId="0" xr:uid="{26F05341-23A0-4C6A-9921-E8CD5F2139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L265" authorId="0" shapeId="0" xr:uid="{8BCE8B22-573E-4660-A5BD-5DB3700E27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S265" authorId="0" shapeId="0" xr:uid="{C3B1C5EC-2267-4F19-9941-9082B3BEF2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T265" authorId="0" shapeId="0" xr:uid="{0EA6E85F-4536-4E46-90EB-F6E8EFFE89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AF265" authorId="0" shapeId="0" xr:uid="{AAEEDE4D-E51C-470E-81A4-59F4479A26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G265" authorId="0" shapeId="0" xr:uid="{4DA4A8CA-7CC6-4421-9C4F-5BD107B94B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N265" authorId="0" shapeId="0" xr:uid="{6C2102B5-6279-40F2-B978-806FC8911C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O265" authorId="0" shapeId="0" xr:uid="{C0EBC4B1-6153-4045-9481-4F7AE0D842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K267" authorId="0" shapeId="0" xr:uid="{1D69AC41-3BCC-4FFA-920D-02BF0B876B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F267" authorId="0" shapeId="0" xr:uid="{80DA3749-C44B-4C75-851D-B19F19FB6E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67" authorId="0" shapeId="0" xr:uid="{F7C9B56B-D20E-437B-966F-DF770F8699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267" authorId="0" shapeId="0" xr:uid="{44B5D555-5A62-4EAE-A678-9DC33BE62E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67" authorId="0" shapeId="0" xr:uid="{31B3718F-B3CA-4A2B-AA5F-1D2EEFBAB1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68" authorId="0" shapeId="0" xr:uid="{24D7296A-D597-40AE-AABC-7B2DFB244E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resource, not NI43-101 compliant</t>
        </r>
      </text>
    </comment>
    <comment ref="BA269" authorId="0" shapeId="0" xr:uid="{11A8AC2A-E1A3-40FE-8F7E-4CA1019198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P269" authorId="0" shapeId="0" xr:uid="{0E33AADC-E604-4C8A-8578-56A12BB980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Alberta Star Development Corp (which is now Elysee Development Corp)</t>
        </r>
      </text>
    </comment>
    <comment ref="BA270" authorId="0" shapeId="0" xr:uid="{2914AE38-E306-4A74-AB2D-34441CB4A6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best estimate</t>
        </r>
      </text>
    </comment>
    <comment ref="BB270" authorId="0" shapeId="0" xr:uid="{FDECEC78-F915-41BF-A654-DC6DD934BF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C270" authorId="0" shapeId="0" xr:uid="{046ACB99-2827-4101-9E33-CBFC11772A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I270" authorId="0" shapeId="0" xr:uid="{E7245EC0-2098-46F5-AC8D-7E2B4FF94D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best estimate</t>
        </r>
      </text>
    </comment>
    <comment ref="BJ270" authorId="0" shapeId="0" xr:uid="{76005323-75EB-4BC3-8351-8B11AB0254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K270" authorId="0" shapeId="0" xr:uid="{11419B6E-6189-4AB4-A414-3032D52180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L270" authorId="0" shapeId="0" xr:uid="{302E5207-7FBE-44EC-9E41-1758AF1BEA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M270" authorId="0" shapeId="0" xr:uid="{9F72E86D-3247-469C-B5BE-0C3DF0BBE7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K271" authorId="0" shapeId="0" xr:uid="{CFDAF7CA-087C-4428-93F9-DC8C9F65D0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1" authorId="0" shapeId="0" xr:uid="{33A56803-EB5B-4052-A8FD-2F90DEC6CB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A271" authorId="0" shapeId="0" xr:uid="{D0ADDF00-B1B8-4AB0-BF57-5B906D138F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1" authorId="0" shapeId="0" xr:uid="{3CD77D7D-160C-4207-BB59-7154EE239A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I271" authorId="0" shapeId="0" xr:uid="{DE4BDBCE-F6BC-40BF-870F-3FEFA0003F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V271" authorId="0" shapeId="0" xr:uid="{87EFC4A6-098B-4269-A137-DB22F7C42C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Q271" authorId="0" shapeId="0" xr:uid="{D020AC9A-7CC9-4C3D-9DD2-A9FA220CBE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R271" authorId="0" shapeId="0" xr:uid="{D9756925-D70D-4240-B137-CABA4DEF29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Y271" authorId="0" shapeId="0" xr:uid="{A68B6408-B3AC-4DA8-9BB6-E7E427DEF8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K272" authorId="0" shapeId="0" xr:uid="{137A45B7-5F4F-4942-98B3-832892F63B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2" authorId="0" shapeId="0" xr:uid="{286C1D20-9710-4856-AA57-EE651CF721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A272" authorId="0" shapeId="0" xr:uid="{63EA3C87-2BF1-4C5A-A18C-B0915A9E9B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2" authorId="0" shapeId="0" xr:uid="{968CD26D-0292-4F6B-8D89-552FF9C1563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I272" authorId="0" shapeId="0" xr:uid="{A2BACBC2-FE40-4965-9B5E-44720F0750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V272" authorId="0" shapeId="0" xr:uid="{C32D720D-7A91-4360-B3DF-D9FBFFB2B8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Q272" authorId="0" shapeId="0" xr:uid="{DEC7769E-FE68-443A-8E28-B4097C457E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R272" authorId="0" shapeId="0" xr:uid="{7F6B81C0-E28F-4A64-A675-2C272B4C86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Y272" authorId="0" shapeId="0" xr:uid="{C86B6708-3B9A-44B8-983D-0433728369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K273" authorId="0" shapeId="0" xr:uid="{CD00E11B-5B48-4A33-919B-70354C46BA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3" authorId="0" shapeId="0" xr:uid="{FD4810AC-A32A-4815-8536-465DBE1E2B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73" authorId="0" shapeId="0" xr:uid="{91D9AAB0-CFB7-47BD-949B-2A3491A91C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3" authorId="0" shapeId="0" xr:uid="{84691973-04EE-4BED-A3EF-D553DA7003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73" authorId="0" shapeId="0" xr:uid="{461CE69D-52EE-4E51-B065-835CF47335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74" authorId="0" shapeId="0" xr:uid="{1B3261D0-544A-4E50-9421-0528AB6FB0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4" authorId="0" shapeId="0" xr:uid="{7E66B3D6-B040-4E51-8126-E24209EC38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74" authorId="0" shapeId="0" xr:uid="{5F945B48-185B-4513-A968-7616E5EA4C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4" authorId="0" shapeId="0" xr:uid="{97F52B37-3E78-4117-BDB9-A5FC39B558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74" authorId="0" shapeId="0" xr:uid="{CACB5781-731D-4058-818F-359F3B3B97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H275" authorId="0" shapeId="0" xr:uid="{34C0EC32-E55B-4929-B35D-FF8B06BBF5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74% interest held by Village Main Reef, but they appear to be bankrupt ...</t>
        </r>
      </text>
    </comment>
    <comment ref="K275" authorId="0" shapeId="0" xr:uid="{609C96FF-D03F-4C78-9049-C2602CF7FC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5" authorId="0" shapeId="0" xr:uid="{1031233C-9B52-4041-B04C-A0F934AB1C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75" authorId="0" shapeId="0" xr:uid="{11214D60-ACBC-4792-9ED9-F017DEF3168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5" authorId="0" shapeId="0" xr:uid="{E35FEAFD-942E-4634-AE96-F355B7BFA9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75" authorId="0" shapeId="0" xr:uid="{F5F8DAEC-D105-4DF8-B9A7-D08BBD5339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H276" authorId="0" shapeId="0" xr:uid="{C8A3A3F4-56DE-40B6-8F62-9BDA7DECC28D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held by Balkan Resources, which became Arian Resources</t>
        </r>
      </text>
    </comment>
    <comment ref="K276" authorId="0" shapeId="0" xr:uid="{2B3413F1-D908-4B10-A906-EC1ADB8D75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6" authorId="0" shapeId="0" xr:uid="{32F5F609-9E20-401F-B759-135F24774A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76" authorId="0" shapeId="0" xr:uid="{6BC3B34D-E513-4EA4-874E-9DE166CA7F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6" authorId="0" shapeId="0" xr:uid="{0DF2A309-E1C2-4A73-BB65-D31D3F8E5A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76" authorId="0" shapeId="0" xr:uid="{F33B6C63-4EAC-4DA7-9311-56732198CF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H277" authorId="0" shapeId="0" xr:uid="{C99BA7CB-47DC-4A01-9D3A-5508776EDA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Platfields Ltd went bankrupt; current owner unclear</t>
        </r>
      </text>
    </comment>
    <comment ref="K277" authorId="0" shapeId="0" xr:uid="{42CB7EDE-CE5C-4F31-8155-85A0EA79D6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7" authorId="0" shapeId="0" xr:uid="{9A4EAC9D-BBBF-43F2-B843-9F71DF2FF1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77" authorId="0" shapeId="0" xr:uid="{C035867C-CB67-44B3-A148-993087A253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7" authorId="0" shapeId="0" xr:uid="{8FE00AA6-D706-41CF-9CB5-9750E42E08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77" authorId="0" shapeId="0" xr:uid="{70BC7D6B-4E95-4321-9643-A2E6467A92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78" authorId="0" shapeId="0" xr:uid="{6CFA4EEC-BE04-4428-8236-6F99A2AC58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8" authorId="0" shapeId="0" xr:uid="{83447964-491F-4887-A87C-7FD7349F98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78" authorId="0" shapeId="0" xr:uid="{4A3E9595-A2E6-46A9-A706-E67DA09ED7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8" authorId="0" shapeId="0" xr:uid="{233C477A-EE1C-4DEB-9756-BAD6F6837E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78" authorId="0" shapeId="0" xr:uid="{9B6A78EF-7BE8-46A5-BBA6-96F9C68B72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H279" authorId="0" shapeId="0" xr:uid="{27171B43-9426-4289-BCD2-0D95AA25D7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K279" authorId="0" shapeId="0" xr:uid="{8E1F8AD8-8F2D-4747-BB2F-B08A0E7A732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79" authorId="0" shapeId="0" xr:uid="{6FBA2AAE-37FD-4C0D-871B-903F9E2B20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79" authorId="0" shapeId="0" xr:uid="{F821C525-3412-4D6D-84E0-59A3FCD822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79" authorId="0" shapeId="0" xr:uid="{B4477012-E721-439D-85C8-702B895635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79" authorId="0" shapeId="0" xr:uid="{E94F5A2E-627E-4234-BA66-D2CE6D3CFC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80" authorId="0" shapeId="0" xr:uid="{3BC642C5-2A82-43CC-812D-C9799E3535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80" authorId="0" shapeId="0" xr:uid="{8A7EBC8B-1F40-4C3B-BEF8-036B6FE7BE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80" authorId="0" shapeId="0" xr:uid="{54C75998-0339-40F2-BCB6-F043E43819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80" authorId="0" shapeId="0" xr:uid="{F67A71F5-B2F3-43C0-B096-61633DBC3C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80" authorId="0" shapeId="0" xr:uid="{3D362233-0EEB-4EAE-AE74-27F8428D9A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81" authorId="0" shapeId="0" xr:uid="{13140DAE-2517-44F6-915F-2E05155D8D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81" authorId="0" shapeId="0" xr:uid="{B636B831-1893-4C77-A7E4-95CAA7A7DA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81" authorId="0" shapeId="0" xr:uid="{AAA58B50-9F8B-4DBB-8690-4C512DC104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81" authorId="0" shapeId="0" xr:uid="{0ABFF9D3-2AB7-4985-AF28-A6C8556451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81" authorId="0" shapeId="0" xr:uid="{8BAF721D-7ABB-4CD0-A1D3-46458F08CF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82" authorId="0" shapeId="0" xr:uid="{168D40A1-9673-4503-84B9-BCC23FDEAC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82" authorId="0" shapeId="0" xr:uid="{EC1423C8-DEC6-4D4E-8AE8-C3D35BD373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82" authorId="0" shapeId="0" xr:uid="{33E4F95A-D328-457B-9F68-97FF766478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82" authorId="0" shapeId="0" xr:uid="{343D7425-2112-47BC-9850-D6BFBEBAF2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82" authorId="0" shapeId="0" xr:uid="{92B525B2-634C-4041-B329-C6E27796938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K283" authorId="0" shapeId="0" xr:uid="{1849D081-4863-4A88-A63A-0D12F11DF5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83" authorId="0" shapeId="0" xr:uid="{EDF10CF0-FA38-49CB-827A-EB1FFAAD3D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83" authorId="0" shapeId="0" xr:uid="{29DA855D-705C-4A13-B2CC-864D598B6E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83" authorId="0" shapeId="0" xr:uid="{EF5FC94F-BFDD-4F56-BFB3-2C87FD9DD2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83" authorId="0" shapeId="0" xr:uid="{6FDB46CD-7873-4F09-8D19-6621B8116E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H284" authorId="0" shapeId="0" xr:uid="{8DB29274-1064-4860-AE4E-013D52E625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Anglo American Plc</t>
        </r>
      </text>
    </comment>
    <comment ref="K284" authorId="0" shapeId="0" xr:uid="{8E9D2DA6-1E59-4FCC-BC0C-22E2299DCD3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F284" authorId="0" shapeId="0" xr:uid="{86F0A79B-F6DD-4679-83D2-2F1839E6E8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84" authorId="0" shapeId="0" xr:uid="{CDD1AC39-EA4D-40A0-9E1A-79564B995C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B284" authorId="0" shapeId="0" xr:uid="{A2A59D77-309C-40E3-BD03-3D46574691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I284" authorId="0" shapeId="0" xr:uid="{A99B9176-68FE-4DD2-A2F6-A770260B0E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A286" authorId="0" shapeId="0" xr:uid="{6293ED8B-762C-4CB6-B29B-7ABAD535A0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86" authorId="0" shapeId="0" xr:uid="{12D19F90-6B98-4B84-87BC-456DF6D7CD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286" authorId="0" shapeId="0" xr:uid="{CA4A5B07-6443-4285-912C-6F45555D6A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88" authorId="0" shapeId="0" xr:uid="{C71D6A86-783E-4030-98F8-F64F68C64B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88" authorId="0" shapeId="0" xr:uid="{FAF77AE1-CBED-4EBB-A2C2-8B994ADED9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288" authorId="0" shapeId="0" xr:uid="{57CD1591-869F-45DB-9794-14BC7063CF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only. Co value from Cabri et al (2017)</t>
        </r>
      </text>
    </comment>
    <comment ref="BA289" authorId="0" shapeId="0" xr:uid="{B48C6FB8-849D-4719-8C47-724D3F2C5F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89" authorId="0" shapeId="0" xr:uid="{C94BED5A-59E1-4073-B159-C580F58E34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90" authorId="0" shapeId="0" xr:uid="{2C827B36-2C5C-4FCF-AE5A-C6F3B1BE2C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90" authorId="0" shapeId="0" xr:uid="{1D196418-E4C9-40FA-AFE1-D6E165E264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91" authorId="0" shapeId="0" xr:uid="{4B77C982-751F-4EC5-BB3E-61F5709770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91" authorId="0" shapeId="0" xr:uid="{C411B3AA-8335-4E2A-A810-59D108118F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291" authorId="0" shapeId="0" xr:uid="{1E896260-0102-4C3A-930A-2B74911DB9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293" authorId="0" shapeId="0" xr:uid="{204E2C95-3D7B-438A-A499-BFA99F898C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Mustang Minerals Corp</t>
        </r>
      </text>
    </comment>
    <comment ref="BA295" authorId="0" shapeId="0" xr:uid="{E10E07A2-43D1-46A7-8AD4-713B22318A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95" authorId="0" shapeId="0" xr:uid="{031F5BAA-8814-4138-8C6D-B70CCA73A2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295" authorId="0" shapeId="0" xr:uid="{F77C4BC6-0CFD-4D83-8FD0-5FA22F1CBA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296" authorId="0" shapeId="0" xr:uid="{954ECCA7-6634-4AA4-A9DD-1A8F3CC731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96" authorId="0" shapeId="0" xr:uid="{76AE4CB4-FBA7-47DE-AD25-5EC0D714E9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298" authorId="0" shapeId="0" xr:uid="{D97DE4F1-E58A-48CD-8D69-A7B831B81E8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European Nickel Plc</t>
        </r>
      </text>
    </comment>
    <comment ref="DP298" authorId="0" shapeId="0" xr:uid="{BED13457-700E-425C-9AC2-61FE17806C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Franco-Nevada - the minority 4.1% shareholder of the Falcondo mine. Data is 2014 Glencore reporting.</t>
        </r>
      </text>
    </comment>
    <comment ref="BA299" authorId="0" shapeId="0" xr:uid="{0CE7708A-B965-48D0-A158-D1C3ED19FE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299" authorId="0" shapeId="0" xr:uid="{3DC658B2-B3BF-4692-8E20-EFB3F5F711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00" authorId="0" shapeId="0" xr:uid="{532FF306-CDC6-4B81-A0D3-5E811C6BAC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Royal Nickel Corp (which is now RNC Minerals)</t>
        </r>
      </text>
    </comment>
    <comment ref="BA300" authorId="0" shapeId="0" xr:uid="{841E8AA2-A5DC-43EF-8795-5E3563036F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00" authorId="0" shapeId="0" xr:uid="{2E028747-9E6D-412B-9C72-956241A15C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300" authorId="0" shapeId="0" xr:uid="{4B6E636C-9CF7-487C-8546-24706F2532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00" authorId="0" shapeId="0" xr:uid="{291A0563-0F4E-4B86-A3C1-01D1C6583E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300" authorId="0" shapeId="0" xr:uid="{454145C0-849F-4348-B1DC-05CB8E73B5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301" authorId="0" shapeId="0" xr:uid="{E8179347-0953-4F4C-AE76-F991B5A280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BRC - Brightgreen Resources Corp</t>
        </r>
      </text>
    </comment>
    <comment ref="AP302" authorId="0" shapeId="0" xr:uid="{E7ADBAE1-329A-43B0-8BC5-2990CF7B62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Q302" authorId="0" shapeId="0" xr:uid="{94D58E8B-9DD6-41A7-8BAA-2A34CC51C7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K302" authorId="0" shapeId="0" xr:uid="{EC87C510-ED1E-4D7D-9478-C381646B12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L302" authorId="0" shapeId="0" xr:uid="{9EF73C23-8303-43DD-B1B1-AD7966EDC8E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A303" authorId="0" shapeId="0" xr:uid="{7F03D4A2-C9A1-4D34-85A0-DF4322D16A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03" authorId="0" shapeId="0" xr:uid="{AA88FD84-B922-4F36-868F-F105AB0801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04" authorId="0" shapeId="0" xr:uid="{B228D30E-12C7-4A32-91CA-DB46F494E3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part of Sibanye-Stillwater</t>
        </r>
      </text>
    </comment>
    <comment ref="AP304" authorId="0" shapeId="0" xr:uid="{AD1ACB8E-F310-486D-AD38-140E62608F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Q304" authorId="0" shapeId="0" xr:uid="{9ED07169-46BF-4FA4-820E-3F77333E97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K304" authorId="0" shapeId="0" xr:uid="{E90BFB59-0A3C-4D33-B891-A475C72AD3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L304" authorId="0" shapeId="0" xr:uid="{C3E50697-C293-4477-B3F0-E17E69C66E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DP306" authorId="0" shapeId="0" xr:uid="{94EC3C22-A293-4011-A1B9-FEEA2B7C63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Vulcan Resources</t>
        </r>
      </text>
    </comment>
    <comment ref="H307" authorId="0" shapeId="0" xr:uid="{B6B68FD7-260B-4D61-BB3B-B64F709C5D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Minara Resources (Anaconda Nickel), now part of Glencore</t>
        </r>
      </text>
    </comment>
    <comment ref="DP307" authorId="0" shapeId="0" xr:uid="{4D9B6320-E163-4912-ABB0-1574C48A3A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Western Areas Ltd</t>
        </r>
      </text>
    </comment>
    <comment ref="BA308" authorId="0" shapeId="0" xr:uid="{4D18BF72-7AE5-4551-A6CE-6F7E158B4E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C308" authorId="0" shapeId="0" xr:uid="{DC81E56B-A647-49AD-932A-D46F327091D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08" authorId="0" shapeId="0" xr:uid="{8F345D65-C634-47C9-BDEC-809DA948EF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09" authorId="0" shapeId="0" xr:uid="{361B7FF3-C17F-4337-9721-7F959DEEF1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Wesizwe Pt Ltd</t>
        </r>
      </text>
    </comment>
    <comment ref="BA309" authorId="0" shapeId="0" xr:uid="{8D02BA23-92EC-4B30-8137-321966D145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BB309" authorId="0" shapeId="0" xr:uid="{83A7BA14-B2D1-4A2E-8E98-A2577E052D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D309" authorId="0" shapeId="0" xr:uid="{3E5C77BF-B9DA-42A8-93EC-E627EC6405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E309" authorId="0" shapeId="0" xr:uid="{2B349B29-F709-4DF2-8A53-7602F88748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F309" authorId="0" shapeId="0" xr:uid="{03F2A60B-A1E8-48BC-A45B-2C6C23EDCA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G309" authorId="0" shapeId="0" xr:uid="{F7E7A440-238E-48C4-AC2E-3B53E7E04B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H309" authorId="0" shapeId="0" xr:uid="{AD75955E-1E89-43D1-B316-687921C970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I309" authorId="0" shapeId="0" xr:uid="{9D6FB872-1F15-4DFB-9AF9-BB6D6E5F32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J309" authorId="0" shapeId="0" xr:uid="{66913C81-9C68-4C73-BAD1-7674D214BF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K309" authorId="0" shapeId="0" xr:uid="{C03662A4-3E43-4470-BD92-11A75087B8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L309" authorId="0" shapeId="0" xr:uid="{EA06B9B2-2500-4A00-987D-C9831416DF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K310" authorId="0" shapeId="0" xr:uid="{FD8CC9C8-9361-4BBF-808E-02A2E04AD23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L310" authorId="0" shapeId="0" xr:uid="{A6BE46B8-AE27-4F6E-AEC6-138A326719B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M310" authorId="0" shapeId="0" xr:uid="{939A1E01-8077-428E-BBA0-9B45168C40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S310" authorId="0" shapeId="0" xr:uid="{FC2F87A8-BEAD-4158-927C-CB5BA45B66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T310" authorId="0" shapeId="0" xr:uid="{9595A0F5-6A40-401A-AF3A-DC8C474263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F310" authorId="0" shapeId="0" xr:uid="{111024BA-10E8-4ECF-8165-0E56B56675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G310" authorId="0" shapeId="0" xr:uid="{D6EF157F-0C64-43D9-B8BA-286798271F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H310" authorId="0" shapeId="0" xr:uid="{589D2847-81B2-4B68-8559-EB0349C873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N310" authorId="0" shapeId="0" xr:uid="{7916C016-8EC0-4560-BE19-85E1B64CBE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O310" authorId="0" shapeId="0" xr:uid="{0C73D649-D5B0-406C-87D6-22DB6EBA78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BA311" authorId="0" shapeId="0" xr:uid="{5B83C002-3A24-4238-92FB-0C8848A3C7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11" authorId="0" shapeId="0" xr:uid="{BE8D49DC-546C-44FD-B798-A0AE01E4DD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11" authorId="0" shapeId="0" xr:uid="{80E9BE96-EF13-4934-864E-AAC5F2968A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11" authorId="0" shapeId="0" xr:uid="{DEBE7DF7-B707-46EB-A839-BED97A585F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K312" authorId="0" shapeId="0" xr:uid="{B73949B5-1B4D-4EC2-8E8C-E8A7A25EE9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L312" authorId="0" shapeId="0" xr:uid="{E9E065D1-8887-4DEA-AD65-7298A91F23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R312" authorId="0" shapeId="0" xr:uid="{4385CE3F-D152-45C4-80E6-9CE3968732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S312" authorId="0" shapeId="0" xr:uid="{325402AA-4D6F-4CD9-A7FA-140F0046C0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T312" authorId="0" shapeId="0" xr:uid="{5020B28B-7E1F-46B7-B25D-2E902475AD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F312" authorId="0" shapeId="0" xr:uid="{4751EEB6-E484-404E-A734-7C53DC4504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G312" authorId="0" shapeId="0" xr:uid="{849F05AE-F111-46AF-9849-B631678CAD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M312" authorId="0" shapeId="0" xr:uid="{757B37A1-0BA4-4A25-BD09-FA9D025139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N312" authorId="0" shapeId="0" xr:uid="{29C7B19A-D548-40E0-ACE3-EE83272289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O312" authorId="0" shapeId="0" xr:uid="{7211249E-6D7B-487F-B6D2-540ACAD073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A312" authorId="0" shapeId="0" xr:uid="{24F0CFD8-46D8-45A3-8FB6-6010DC5F92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B312" authorId="0" shapeId="0" xr:uid="{6DAAFBF8-FAE4-48D7-835F-D86C238D94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H312" authorId="0" shapeId="0" xr:uid="{2D5B5A5E-0CCD-4EA6-ADD3-BE6FFA9392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I312" authorId="0" shapeId="0" xr:uid="{6B4EBC30-6FEA-4836-990B-80540517D5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J312" authorId="0" shapeId="0" xr:uid="{D9A6C694-71D7-471E-A0BD-1FEF442073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A313" authorId="0" shapeId="0" xr:uid="{2077F7D0-2CA7-4F3D-AC8A-98C3B36ABF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B313" authorId="0" shapeId="0" xr:uid="{8AEFA29F-0CF8-4C22-B574-9BA884F489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C313" authorId="0" shapeId="0" xr:uid="{ADB01D01-68AB-448E-8C27-9A11927FC8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D313" authorId="0" shapeId="0" xr:uid="{DABDD200-CB9F-4C35-B357-8BDB26A183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I313" authorId="0" shapeId="0" xr:uid="{0B555E24-DEE4-4B77-861D-B9333A541C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J313" authorId="0" shapeId="0" xr:uid="{370396E9-1D60-4701-BBB3-56A8FE5BD9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H314" authorId="0" shapeId="0" xr:uid="{17E6FF20-9FC9-4C8F-9CCB-9BF4728C4D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Anfield Nickel Corp</t>
        </r>
      </text>
    </comment>
    <comment ref="H315" authorId="0" shapeId="0" xr:uid="{78CCE755-599F-4AAB-8480-ED51A9FC0F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Mustang Minerals Corp</t>
        </r>
      </text>
    </comment>
    <comment ref="BJ315" authorId="0" shapeId="0" xr:uid="{749BEAA1-94FD-4B95-877F-B33B7A803D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H317" authorId="0" shapeId="0" xr:uid="{508F4B6C-F95D-4163-BADB-10FAADF050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Allegiance Mining, then then Zinifex, then OZ Minerals, then MMG, now Dundas Mining</t>
        </r>
      </text>
    </comment>
    <comment ref="BC318" authorId="0" shapeId="0" xr:uid="{BF7FC58B-2D16-4809-8CA3-55745709079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D318" authorId="0" shapeId="0" xr:uid="{02600D28-2175-4A21-B4D4-EB0E2FEFB5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I318" authorId="0" shapeId="0" xr:uid="{CD8DEE3D-7B23-4FC8-AFBE-EC340A6FFC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H319" authorId="0" shapeId="0" xr:uid="{A61DA14E-6332-4925-A44F-4D1B9524B3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Aquiarius Platinum Ltd, now part of Sibanye-Stillwater Ltd</t>
        </r>
      </text>
    </comment>
    <comment ref="BA319" authorId="0" shapeId="0" xr:uid="{32068E2B-337C-4F83-87AD-43BAE6D3F7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19" authorId="0" shapeId="0" xr:uid="{DD8D94A5-C497-4DC9-9AEE-3CF24857EB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319" authorId="0" shapeId="0" xr:uid="{69E9DE50-261B-46CB-9BA2-FF5FC3DAA7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19" authorId="0" shapeId="0" xr:uid="{84A02023-592D-4441-ADA4-120F9D5E3F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19" authorId="0" shapeId="0" xr:uid="{59BE2F63-57F4-4D4D-A6D6-132E128CC9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20" authorId="0" shapeId="0" xr:uid="{F13EFE40-0101-47DF-A1FD-C6108C7182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20" authorId="0" shapeId="0" xr:uid="{A4E54958-2486-4B38-8F4B-EC5DED71D0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C320" authorId="0" shapeId="0" xr:uid="{F74E48FF-2E5D-47E8-A104-12CA0EDC90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D320" authorId="0" shapeId="0" xr:uid="{D1B4CF7D-2C13-4B16-B0A0-B1AAC2ED5F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320" authorId="0" shapeId="0" xr:uid="{78FF8C87-467A-4ABC-8F75-DC3B21DDCC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20" authorId="0" shapeId="0" xr:uid="{E88C7194-59FA-45FD-BF02-95651A2F7D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20" authorId="0" shapeId="0" xr:uid="{26A88630-322D-44BC-945B-2E2D41965F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21" authorId="0" shapeId="0" xr:uid="{58F87E86-51CF-433A-87B3-493D248580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21" authorId="0" shapeId="0" xr:uid="{59969CD1-AEFD-42E0-9E92-C5B8E0CDDC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21" authorId="0" shapeId="0" xr:uid="{38881487-C195-49BB-B16A-82823F81601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21" authorId="0" shapeId="0" xr:uid="{7167F334-CF3B-43E4-A2D6-80F1FB9FB2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321" authorId="0" shapeId="0" xr:uid="{693F7F5D-9D14-4CDB-83F5-2629EC3B9A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22" authorId="0" shapeId="0" xr:uid="{793D0C22-A46A-417C-8D7E-30F135272A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22" authorId="0" shapeId="0" xr:uid="{5B0C8392-F702-4E01-8140-183D3B97A7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22" authorId="0" shapeId="0" xr:uid="{511FF3D7-F921-40B7-A1F9-F151837822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Sandstad et al (2012)</t>
        </r>
      </text>
    </comment>
    <comment ref="BA323" authorId="0" shapeId="0" xr:uid="{8E97EED4-1155-451E-A5CA-245D45852E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23" authorId="0" shapeId="0" xr:uid="{2269C506-4701-4B4F-8687-4A99DDAAF7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23" authorId="0" shapeId="0" xr:uid="{3786B9F7-DD54-457B-A3B1-B76BD07C4E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23" authorId="0" shapeId="0" xr:uid="{425591B4-23BB-4381-AB7F-7A62F213B0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K324" authorId="0" shapeId="0" xr:uid="{1471C444-495B-4D7A-B17D-E2C22EFDCB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L324" authorId="0" shapeId="0" xr:uid="{B6AF05CA-07D5-4FF8-9987-EBFC0B28C9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M324" authorId="0" shapeId="0" xr:uid="{F849F9F5-0479-4720-BAD0-F03B54ADD1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S324" authorId="0" shapeId="0" xr:uid="{C7564231-FE5D-4CDB-867F-64AABCC855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U324" authorId="0" shapeId="0" xr:uid="{7A691662-412D-4463-A2A9-9F23DAEB8E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V324" authorId="0" shapeId="0" xr:uid="{29148FC9-56EB-44A7-B6A4-DA019E631A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F324" authorId="0" shapeId="0" xr:uid="{28B97305-8717-4562-9D4E-5F806F40FC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G324" authorId="0" shapeId="0" xr:uid="{CD99B2A0-169F-4518-B2DE-F26BB4258E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H324" authorId="0" shapeId="0" xr:uid="{7F5F7C87-E393-4B68-A1E8-0D20ED05DF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N324" authorId="0" shapeId="0" xr:uid="{2D1FA234-BCD6-4DC5-B4F3-E007007DFE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P324" authorId="0" shapeId="0" xr:uid="{9AF43672-700F-4D3A-B362-32AD878B6C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Q324" authorId="0" shapeId="0" xr:uid="{351C2501-3D04-47F5-8C24-500F8BBA8D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A324" authorId="0" shapeId="0" xr:uid="{B9285F81-F7C8-4E05-8439-DD9763814F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B324" authorId="0" shapeId="0" xr:uid="{2F62BD6B-F311-448E-BA4D-D1D771AB70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C324" authorId="0" shapeId="0" xr:uid="{3835D20A-33CD-4CB0-AADB-4D144191F3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I324" authorId="0" shapeId="0" xr:uid="{A1060F42-44E1-476B-B52D-4AB0190079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K324" authorId="0" shapeId="0" xr:uid="{78E97077-1EC5-4686-9DC3-E60388B6A79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L324" authorId="0" shapeId="0" xr:uid="{80AD2E04-BE0E-470E-8DB2-9FA5BFC32D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DP324" authorId="0" shapeId="0" xr:uid="{221AF6BF-D9E0-4925-86DF-D42AD3D7F93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O325" authorId="0" shapeId="0" xr:uid="{80144ED4-08F3-44D4-B059-F95CFDD065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(2011-03)</t>
        </r>
      </text>
    </comment>
    <comment ref="BJ325" authorId="0" shapeId="0" xr:uid="{97C02D0E-28F2-4E06-9F6A-2ACBFD1BCF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(2011-03)</t>
        </r>
      </text>
    </comment>
    <comment ref="K326" authorId="0" shapeId="0" xr:uid="{D3469083-6E8E-4C10-9A95-2468C147B0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L326" authorId="0" shapeId="0" xr:uid="{ADCF1602-A60A-43D7-BDAF-1A09005269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M326" authorId="0" shapeId="0" xr:uid="{00EB07F8-155F-4A24-AB20-E2B3E6976C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S326" authorId="0" shapeId="0" xr:uid="{E905715E-0FF7-4A9D-A1BF-E5A84D0245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T326" authorId="0" shapeId="0" xr:uid="{2083399E-A7C8-4E88-BC7B-001FC15743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U326" authorId="0" shapeId="0" xr:uid="{409293F4-E935-4591-90E4-C85348A1C6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V326" authorId="0" shapeId="0" xr:uid="{4028C1A3-E349-48E3-8F52-2724C139A4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F326" authorId="0" shapeId="0" xr:uid="{CC25771B-BE4A-49B7-9759-431B75F0D0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G326" authorId="0" shapeId="0" xr:uid="{64AD4647-4C0F-43F3-A19B-C7B7D10098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H326" authorId="0" shapeId="0" xr:uid="{8BCF9F0B-C8BB-45E1-AFC5-EE5D8A2E92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N326" authorId="0" shapeId="0" xr:uid="{66A15CDD-E8EE-49F0-856A-5F2DF376EA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O326" authorId="0" shapeId="0" xr:uid="{C02535FA-A3F6-4D70-B205-EC30544D58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P326" authorId="0" shapeId="0" xr:uid="{22AC0F5B-0477-40E3-B675-9AFD9FC9FD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Q326" authorId="0" shapeId="0" xr:uid="{9E3659ED-E04B-4B13-95B7-AC02E0F479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C327" authorId="0" shapeId="0" xr:uid="{0802E179-58C4-45CA-B318-0E1C0BAEB5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MMDC - Marcventures Mining &amp; Development Corp</t>
        </r>
      </text>
    </comment>
    <comment ref="BA327" authorId="0" shapeId="0" xr:uid="{69BBD5A0-687B-4D3F-A008-6AD153CC19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27" authorId="0" shapeId="0" xr:uid="{C68330D7-62C8-4468-939B-821F3F2AB4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27" authorId="0" shapeId="0" xr:uid="{7CCD979C-52B8-4C04-AC14-5B9F54484A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328" authorId="0" shapeId="0" xr:uid="{A5030BB5-EC7F-4ADD-BFD9-79EB6A5534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Oriental, Yagrumaje Oeste, Playa La Vaca y Zona Septentrional, Zona Central, Zona A, Zona A Oeste, Sector 11 Bloques (Yamanigüey Ferroniquel), Sector 5 Bloques (Yamanigüey Ferroniquel), Slurry Plant Road, Zona Sur FerroNi I and II
</t>
        </r>
      </text>
    </comment>
    <comment ref="BJ328" authorId="0" shapeId="0" xr:uid="{773E644E-31E5-4801-BC43-D09EAD3A80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(2011-03)</t>
        </r>
      </text>
    </comment>
    <comment ref="K329" authorId="0" shapeId="0" xr:uid="{28065FE0-695E-4D9E-A8AC-46C0DECAB8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L329" authorId="0" shapeId="0" xr:uid="{ACA37598-78D3-4303-9DA2-3352B57371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S329" authorId="0" shapeId="0" xr:uid="{D6D761C9-28E7-48DC-86CF-D4B6EA23E8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T329" authorId="0" shapeId="0" xr:uid="{4732CB97-655E-43BF-B0FE-33589CB2E9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U329" authorId="0" shapeId="0" xr:uid="{91088960-BFBA-4DD7-8FF9-A00681A7DB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V329" authorId="0" shapeId="0" xr:uid="{18E43CA7-E64E-460B-9680-9A41FD0020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AF329" authorId="0" shapeId="0" xr:uid="{9A2AD4DD-002E-49F8-B317-5BE67E9C2F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G329" authorId="0" shapeId="0" xr:uid="{CD33F277-B530-4470-8514-463D30E3261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N329" authorId="0" shapeId="0" xr:uid="{77C584E8-0976-461D-834F-2B24333789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O329" authorId="0" shapeId="0" xr:uid="{008C4981-DFC7-4B3C-988F-695604351A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AP329" authorId="0" shapeId="0" xr:uid="{DD548270-7AA9-4DA3-B951-F6324A7C02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AQ329" authorId="0" shapeId="0" xr:uid="{CC4BCFD5-F875-4DD0-9C70-9CCE5C4288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BJ329" authorId="0" shapeId="0" xr:uid="{96C3DB02-BC4E-4B0D-9AE3-F122A958A5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BK329" authorId="0" shapeId="0" xr:uid="{4CFFE767-02B7-4210-A21D-69515B79A3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BL329" authorId="0" shapeId="0" xr:uid="{F6C709B5-F11F-4E48-8C25-2E3836441D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CE329" authorId="0" shapeId="0" xr:uid="{DCA22F28-03F7-47B0-8719-932DC2F24B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CF329" authorId="0" shapeId="0" xr:uid="{366F3757-C0AE-423E-A643-A73C794D08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CG329" authorId="0" shapeId="0" xr:uid="{AD94DE7D-A630-4D67-B5E0-B0C4BFE336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CZ329" authorId="0" shapeId="0" xr:uid="{58E53C8B-B53A-4245-B3E8-6545A46675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DA329" authorId="0" shapeId="0" xr:uid="{CF134265-A9F6-4E3B-A136-CD82CB1D18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DB329" authorId="0" shapeId="0" xr:uid="{6A96A316-307E-4F62-A593-45DF3432D9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C330" authorId="0" shapeId="0" xr:uid="{C694389B-E474-4367-A599-FD986F9C7C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La Delta, Centarrana, Santa Teresita</t>
        </r>
      </text>
    </comment>
    <comment ref="BA330" authorId="0" shapeId="0" xr:uid="{5C107FE8-DA20-42E4-879D-F91AE46608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0" authorId="0" shapeId="0" xr:uid="{1563E42A-1856-46B5-B7B9-848E83B905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0" authorId="0" shapeId="0" xr:uid="{A75E594D-82CE-40C4-8166-73BF8110E6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30" authorId="0" shapeId="0" xr:uid="{7E2E8D57-E4CB-4CAA-9B5A-EF24D4CDFF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31" authorId="0" shapeId="0" xr:uid="{2B9D1DBD-46A9-4EAC-A0CF-2D97A3A52F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1" authorId="0" shapeId="0" xr:uid="{814A35A2-E0B5-49A8-8818-F51C0A5341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1" authorId="0" shapeId="0" xr:uid="{B1248AE9-A63A-4BB2-8CA7-B3094D8D4F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31" authorId="0" shapeId="0" xr:uid="{E7CAD95E-755D-4C1A-9390-4E28B734ED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32" authorId="0" shapeId="0" xr:uid="{46E1ECB5-C499-4396-ABAF-AD13247575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2" authorId="0" shapeId="0" xr:uid="{94B45FC8-F253-4674-94C6-F6CC1E3E2F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2" authorId="0" shapeId="0" xr:uid="{32020569-EA93-49F9-AE71-CEFFAC588F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33" authorId="0" shapeId="0" xr:uid="{26FD50B7-EB1D-4046-9056-78EA1B37C3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BA333" authorId="0" shapeId="0" xr:uid="{5E3873F3-1D3F-4FB5-81CD-43EC8568AE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3" authorId="0" shapeId="0" xr:uid="{3A9688C0-D9AF-4E78-A604-F6950ADA9C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3" authorId="0" shapeId="0" xr:uid="{C59C7D1A-4D7F-437B-8808-E2FC414655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33" authorId="0" shapeId="0" xr:uid="{319BCA28-D199-48CB-A6AD-A594466A60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34" authorId="0" shapeId="0" xr:uid="{7D8390A6-01A3-4E75-9E44-7354A3DD90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Blackthorn Resources; data from BR 2009 AnnRep</t>
        </r>
      </text>
    </comment>
    <comment ref="BA334" authorId="0" shapeId="0" xr:uid="{C9664880-36E0-44A5-A506-8752AAAA53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4" authorId="0" shapeId="0" xr:uid="{0F20E4CB-B000-4079-ADAF-D466C3E0A6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4" authorId="0" shapeId="0" xr:uid="{110E6830-6ACB-4560-89F0-EE20EA1D95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35" authorId="0" shapeId="0" xr:uid="{F9E422F6-38B1-4FF1-9597-10FC8F0AE5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5" authorId="0" shapeId="0" xr:uid="{DC9965F6-4E40-4938-9D52-9FB2F096FB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5" authorId="0" shapeId="0" xr:uid="{EA122EC9-438C-4EAD-A4AE-D501F0633B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36" authorId="0" shapeId="0" xr:uid="{1FAB6393-6D9D-45F0-AA7C-A5515E9F7C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6" authorId="0" shapeId="0" xr:uid="{62808D90-39C1-4C09-AB11-68E3D10C7D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6" authorId="0" shapeId="0" xr:uid="{C4076611-5EBC-4949-9AB9-832832A2B0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36" authorId="0" shapeId="0" xr:uid="{64A044C3-665D-4112-BB0C-3C27159940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37" authorId="0" shapeId="0" xr:uid="{F53220A7-E69D-4D3F-9018-634B2D47BB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7" authorId="0" shapeId="0" xr:uid="{23189B0B-DDD1-4C7F-A8B0-95160C4EB7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7" authorId="0" shapeId="0" xr:uid="{9E743193-AA17-4AC1-A476-D631370068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38" authorId="0" shapeId="0" xr:uid="{646E6D20-C8C2-4E4B-914C-2B168E6870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8" authorId="0" shapeId="0" xr:uid="{A1132400-10E4-4EE2-8AD3-74CC47F7B0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8" authorId="0" shapeId="0" xr:uid="{A7B62EB9-9EAB-459B-8E78-AFEF86E10C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38" authorId="0" shapeId="0" xr:uid="{9F9A388A-AEA0-4937-80AC-50E26A6B8E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P338" authorId="0" shapeId="0" xr:uid="{EBBEE43F-D681-412B-BA3D-E1D7ABFCCB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Western Areas</t>
        </r>
      </text>
    </comment>
    <comment ref="BA339" authorId="0" shapeId="0" xr:uid="{B5C1C3AD-B95B-4B81-A013-998E8C7C10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39" authorId="0" shapeId="0" xr:uid="{2311A3F9-1D46-45FE-BA22-416D7F1808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39" authorId="0" shapeId="0" xr:uid="{B147BDED-F431-45FC-896E-210CA3561E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40" authorId="0" shapeId="0" xr:uid="{ECAFC742-7D9F-4B1A-BAA9-2548E75259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40" authorId="0" shapeId="0" xr:uid="{AEAA163B-44A5-42F3-B7E0-E8908B4AB2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40" authorId="0" shapeId="0" xr:uid="{E4B53904-C95D-4BDD-867A-F28F30772F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41" authorId="0" shapeId="0" xr:uid="{7F84502E-6CE5-4730-A6D8-7C3CCBEDEE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Toledo Mining Corp, which was taken over by DMCI Holdings</t>
        </r>
      </text>
    </comment>
    <comment ref="BA342" authorId="0" shapeId="0" xr:uid="{DB6F29C9-CE57-42E5-A6EC-22912839CE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42" authorId="0" shapeId="0" xr:uid="{4B10C17E-D73A-45B0-8ADB-DFA900DBEF1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42" authorId="0" shapeId="0" xr:uid="{BAF398B1-9305-4207-B0B0-941FD54B4E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42" authorId="0" shapeId="0" xr:uid="{7EEE2DAD-5E0B-4931-AF64-C24B39940F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43" authorId="0" shapeId="0" xr:uid="{3420F8B9-CF17-4FBB-81EB-185BBD4469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43" authorId="0" shapeId="0" xr:uid="{9902F469-A5D7-4001-A747-AAE4ED2224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43" authorId="0" shapeId="0" xr:uid="{A3790630-B5C6-4FD3-AB97-747A6E6DE9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45" authorId="0" shapeId="0" xr:uid="{6E6C82C9-2B66-4C96-A944-A5ABCCB06A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345" authorId="0" shapeId="0" xr:uid="{D3B37E62-C7FC-491B-A367-A9E7766A66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45" authorId="0" shapeId="0" xr:uid="{94D6D46C-ABD9-4732-A21C-F048B8F421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45" authorId="0" shapeId="0" xr:uid="{4F6CC099-2E9E-4471-85E8-62DB41EBA5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46" authorId="1" shapeId="0" xr:uid="{0396A024-26EF-4A16-AAB1-BE24145E0D3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BA347" authorId="0" shapeId="0" xr:uid="{87A7F19B-BF2D-4700-A161-412272F322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I347" authorId="0" shapeId="0" xr:uid="{41A7223C-35DE-4C5C-9D90-1C7DC1B653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48" authorId="0" shapeId="0" xr:uid="{342D217C-D2AD-4874-B9EB-00938F215D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~1.35 Mt ore/yr since 2005</t>
        </r>
      </text>
    </comment>
    <comment ref="BI348" authorId="0" shapeId="0" xr:uid="{048008EB-BB68-4163-93BB-A6342B8402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49" authorId="0" shapeId="0" xr:uid="{D7E58C5A-EAA4-464F-AE18-7EA105C0FA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Hunnan Australia Resources, which was recently taken over by China Minmetals; before this the project was owned by Compass Resources</t>
        </r>
      </text>
    </comment>
    <comment ref="BA349" authorId="0" shapeId="0" xr:uid="{9C0BE8C7-BCEA-4E6D-838D-1B9B9F1853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I349" authorId="0" shapeId="0" xr:uid="{7162CA9C-4EE9-479D-82DC-B597D96DAC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50" authorId="0" shapeId="0" xr:uid="{7E78E489-4C06-45CB-816A-054D495118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I350" authorId="0" shapeId="0" xr:uid="{385DD505-7893-48F8-AD0C-1BF061BF8B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50" authorId="0" shapeId="0" xr:uid="{53766D74-9385-4F91-9F5F-CA3B0735D9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K351" authorId="0" shapeId="0" xr:uid="{3B922D24-40AF-45FD-B796-0FAA242609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S351" authorId="0" shapeId="0" xr:uid="{1AD21BB0-FB1D-44F9-9DE2-4C81FAB24E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T351" authorId="0" shapeId="0" xr:uid="{FEEF566A-E485-4379-926E-F8EA94ADC1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AF351" authorId="0" shapeId="0" xr:uid="{002AA1EB-DAD5-40BD-B755-ACDFEEE197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AN351" authorId="0" shapeId="0" xr:uid="{E41B18F1-3CC5-488C-BEA5-35D33A4EDC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AO351" authorId="0" shapeId="0" xr:uid="{24692189-65B4-4DAA-9309-86ED1A36EF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BA351" authorId="0" shapeId="0" xr:uid="{C9988E5F-4219-4254-862F-335682566C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BI351" authorId="0" shapeId="0" xr:uid="{6F07F73D-B50A-4FE2-B6EA-6C467BC09E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BJ351" authorId="0" shapeId="0" xr:uid="{DC896F2A-7CE7-4B4C-BF19-462D106C53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DP351" authorId="0" shapeId="0" xr:uid="{425C1188-8F74-4318-BEB1-F157F20D67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HudBay Minerals; AIF 2010</t>
        </r>
      </text>
    </comment>
    <comment ref="H353" authorId="0" shapeId="0" xr:uid="{50C57064-51E7-446E-A568-A74C56AE17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Lithic Metals &amp; Energy</t>
        </r>
      </text>
    </comment>
    <comment ref="BA354" authorId="0" shapeId="0" xr:uid="{E1676558-9EA5-4D88-9F16-EEE66033BD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I354" authorId="0" shapeId="0" xr:uid="{EFEF8150-9357-4C02-878A-2BFFC4B630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54" authorId="0" shapeId="0" xr:uid="{C40A42F3-765E-4C57-B693-FE4C5A6BFC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55" authorId="0" shapeId="0" xr:uid="{302F5C4C-B0A9-4C83-A478-60988F9ACD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I355" authorId="0" shapeId="0" xr:uid="{15BAF80E-1DF0-4F73-8168-288093433B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56" authorId="0" shapeId="0" xr:uid="{ADF83EA6-A91C-47D4-BB59-A26EF133D6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I356" authorId="0" shapeId="0" xr:uid="{734C7B1D-1238-4490-A042-CED21D70B0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56" authorId="0" shapeId="0" xr:uid="{76F933AB-3121-499E-BF26-1A868AFBB7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57" authorId="0" shapeId="0" xr:uid="{0F5740BC-63C5-4F61-B1EB-A68BE62EBA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I357" authorId="0" shapeId="0" xr:uid="{E3233FAD-8782-407D-B347-782D52D6F8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58" authorId="0" shapeId="0" xr:uid="{DF105710-DE48-4B62-9115-FB12581EAA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I358" authorId="0" shapeId="0" xr:uid="{19B41E25-3829-4872-89BC-CEEE9991DA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58" authorId="0" shapeId="0" xr:uid="{730C936B-A79E-4D7D-A536-462A57D788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59" authorId="0" shapeId="0" xr:uid="{DA056F65-9406-4B08-867B-049DE8345E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I359" authorId="0" shapeId="0" xr:uid="{D544EECB-F92E-42BC-88C9-F272A0A276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A360" authorId="0" shapeId="0" xr:uid="{6067AB98-D8A8-43C6-8A35-C3A0A18B9B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estimated from Figure 6 in Dalvi &amp; Bacon (2004)</t>
        </r>
      </text>
    </comment>
    <comment ref="BI360" authorId="0" shapeId="0" xr:uid="{1F088840-57C8-4C8A-913B-C2CAF36841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SEG Newsleter No. 54, July 2003 (Gleeson et al, 2003)</t>
        </r>
      </text>
    </comment>
    <comment ref="D361" authorId="0" shapeId="0" xr:uid="{E65AA288-4717-4B7F-9774-38FAB62484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restarted early 2019</t>
        </r>
      </text>
    </comment>
    <comment ref="H361" authorId="0" shapeId="0" xr:uid="{40BA62EF-33C5-408A-9AF5-FB32C61522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interests include Albidon Ltd, Intrepid Mines Ltd, then Consolidated Mining &amp; Investments Plc</t>
        </r>
      </text>
    </comment>
    <comment ref="BA361" authorId="0" shapeId="0" xr:uid="{B3CFD504-6BDC-49AB-AAA1-136859A66A7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I361" authorId="0" shapeId="0" xr:uid="{38E62F62-FA82-4D8B-A5AF-21BB79BDAB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K366" authorId="0" shapeId="0" xr:uid="{C2313B51-5D9F-4D4F-8BC0-7C93C82E84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S366" authorId="0" shapeId="0" xr:uid="{0047B677-3949-4BAD-8047-C1C58CED8B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AF366" authorId="0" shapeId="0" xr:uid="{D8C2CB1F-CAD6-4D2A-9ED9-8B8BB49220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AN366" authorId="0" shapeId="0" xr:uid="{E6CEB8E9-B116-449B-A249-3714AF04A3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BA367" authorId="0" shapeId="0" xr:uid="{02C3E9E9-1BB5-457E-974C-8068FE2923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I367" authorId="0" shapeId="0" xr:uid="{09275FAA-8DD6-4E4E-8AD3-874485FDDE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H369" authorId="0" shapeId="0" xr:uid="{56FB3563-FD1F-47E6-9DC8-A5DD0D9A22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Caledonia Mining Corp</t>
        </r>
      </text>
    </comment>
    <comment ref="BA369" authorId="0" shapeId="0" xr:uid="{E2881BE2-6FC6-4A93-86CC-D883FA6EEE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I369" authorId="0" shapeId="0" xr:uid="{C4E0DF67-8242-40AA-9D08-4FCAAFD357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A371" authorId="0" shapeId="0" xr:uid="{B5250234-80C4-4711-A779-3DBFC6F78A0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low grade ore targetted for nickel pig iron (NPI)</t>
        </r>
      </text>
    </comment>
    <comment ref="BI371" authorId="0" shapeId="0" xr:uid="{2E4C29E7-D54D-4A9C-B2EF-FDE65476CA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low grade ore targetted for nickel pig iron (NPI)</t>
        </r>
      </text>
    </comment>
    <comment ref="DP371" authorId="0" shapeId="0" xr:uid="{01F64014-E10F-4ACB-8AB6-1B4AB87F7D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China Hanking sold to Tuochuan Capital in July 2018</t>
        </r>
      </text>
    </comment>
    <comment ref="H372" authorId="0" shapeId="0" xr:uid="{331257A3-6AEC-4D50-8E51-2E261C6B14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Solomon Gold Plc (which became SolGold)</t>
        </r>
      </text>
    </comment>
    <comment ref="BA372" authorId="0" shapeId="0" xr:uid="{E470AEBE-9B15-44FF-B294-422E009D97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I372" authorId="0" shapeId="0" xr:uid="{9C9AE9E1-23B8-4BA8-8A46-A885D6D3BC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A376" authorId="0" shapeId="0" xr:uid="{8F5B99C0-A0CD-44DF-893B-E0C470D524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2014 data (Rio Tinto Annual Report 2014)</t>
        </r>
      </text>
    </comment>
    <comment ref="BI376" authorId="0" shapeId="0" xr:uid="{F6BA93DE-B1F9-4E4C-989B-79F37DC25E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2014 data (Rio Tinto Annual Report 2014)</t>
        </r>
      </text>
    </comment>
    <comment ref="BJ376" authorId="0" shapeId="0" xr:uid="{20D4E792-343A-47BF-95AE-9F69BF008C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Rio Tinto media release 28 May 2008</t>
        </r>
      </text>
    </comment>
    <comment ref="DP376" authorId="0" shapeId="0" xr:uid="{B7994AAD-E257-4B56-97D3-398B612E1F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2014 data (Rio Tinto Annual Report 2014)</t>
        </r>
      </text>
    </comment>
    <comment ref="C378" authorId="0" shapeId="0" xr:uid="{17161CEF-EE79-4801-B4FF-54C2E6BDA0E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John Ellis, Merv Daw</t>
        </r>
      </text>
    </comment>
    <comment ref="K379" authorId="0" shapeId="0" xr:uid="{4512DDBB-83F3-49CC-9BED-E9E96CFD2E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uses nodule wet moisture content of 44% (from Tech. Rep.)</t>
        </r>
      </text>
    </comment>
    <comment ref="AF379" authorId="0" shapeId="0" xr:uid="{4EE12EFD-D11A-4775-893A-E8709846CD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uses nodule wet moisture content of 44% (from Tech. Rep.)</t>
        </r>
      </text>
    </comment>
    <comment ref="BA379" authorId="0" shapeId="0" xr:uid="{947D5F3C-A662-4206-A273-18F8211D21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uses nodule wet moisture content of 44% (from Tech. Rep.)</t>
        </r>
      </text>
    </comment>
    <comment ref="K380" authorId="0" shapeId="0" xr:uid="{3ED47559-867C-40CF-A8D5-7B6DCEEF69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approximate average moisture content of 20% (from Tech Rep)</t>
        </r>
      </text>
    </comment>
    <comment ref="AF380" authorId="0" shapeId="0" xr:uid="{5A723CC7-F1AC-4080-BA07-CFFA52D027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approximate average moisture content of 20% (from Tech Rep)</t>
        </r>
      </text>
    </comment>
    <comment ref="BA380" authorId="0" shapeId="0" xr:uid="{DEF5D713-556E-4DB0-8E8D-7D6047FB3F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approximate average moisture content of 20% (from Tech Rep)</t>
        </r>
      </text>
    </comment>
    <comment ref="BA384" authorId="0" shapeId="0" xr:uid="{9DA59548-7893-4860-B6B7-C207FDD6E4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I384" authorId="0" shapeId="0" xr:uid="{115F59D6-5F09-415B-B1F2-0B656454FB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84" authorId="0" shapeId="0" xr:uid="{724EA7D1-B73C-4EBE-9A55-35609576F6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85" authorId="0" shapeId="0" xr:uid="{5F411704-AA00-4FDB-84CC-078D1C8B7A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I385" authorId="0" shapeId="0" xr:uid="{F1351321-2C8B-41FC-ABDE-648964CD00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86" authorId="0" shapeId="0" xr:uid="{073EE769-3BA4-4732-BBE9-8A94944E45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I386" authorId="0" shapeId="0" xr:uid="{5B238A74-0CB1-4FA3-957F-FA46C05348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387" authorId="0" shapeId="0" xr:uid="{593C453F-D950-4097-AFF3-5D1F6AB24B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87" authorId="0" shapeId="0" xr:uid="{1C86CB0B-BC24-48C7-9335-91F35EE193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87" authorId="0" shapeId="0" xr:uid="{0566784B-4522-4C63-8825-3E78AB678F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Prof. Sokol Mati</t>
        </r>
      </text>
    </comment>
    <comment ref="BA388" authorId="0" shapeId="0" xr:uid="{8802C939-6D5A-4121-8772-03044DBE51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88" authorId="0" shapeId="0" xr:uid="{F84A8AAC-7B04-4DA1-9C50-9E69ED3922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388" authorId="0" shapeId="0" xr:uid="{DE1104E7-B0AE-4AF1-ACD4-5828ACE314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P388" authorId="0" shapeId="0" xr:uid="{4A2BABE3-2083-4AEF-91F6-47ADC9ED6AF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388" authorId="0" shapeId="0" xr:uid="{11B2A570-E61C-40DA-89E9-B0658D2853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K389" authorId="0" shapeId="0" xr:uid="{2031E816-36CF-4D2A-BCFD-2E59A9A205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reserves added to exclsuive measured resources</t>
        </r>
      </text>
    </comment>
    <comment ref="S389" authorId="0" shapeId="0" xr:uid="{46072EDD-87D5-4598-9FBE-7960C8BB44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reserves added to exclsuive measured resources</t>
        </r>
      </text>
    </comment>
    <comment ref="T389" authorId="0" shapeId="0" xr:uid="{A771C2DF-EBBA-423A-95E8-0A58B5BB0E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reserves added to exclsuive measured resources</t>
        </r>
      </text>
    </comment>
    <comment ref="AF389" authorId="0" shapeId="0" xr:uid="{628F1637-07C8-42CD-BC03-00187B2EDB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reserves added to exlusive indicated resources</t>
        </r>
      </text>
    </comment>
    <comment ref="AN389" authorId="0" shapeId="0" xr:uid="{0843282C-CCB1-4506-9C3E-2A8FDAAFF6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reserves added to exlusive indicated resources</t>
        </r>
      </text>
    </comment>
    <comment ref="AO389" authorId="0" shapeId="0" xr:uid="{EC2AF331-1111-4EB4-9C88-A1EA118E1E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reserves added to exlusive indicated resources</t>
        </r>
      </text>
    </comment>
    <comment ref="DP389" authorId="0" shapeId="0" xr:uid="{63CA0A4B-C866-407C-A786-70F3CDB8B6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Sherritt</t>
        </r>
      </text>
    </comment>
    <comment ref="BA390" authorId="0" shapeId="0" xr:uid="{9BCD7C23-0997-46DF-B37C-03E1C2BE3F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90" authorId="0" shapeId="0" xr:uid="{5FA4F368-FF8D-4A05-A1E7-B9D22B403B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P391" authorId="0" shapeId="0" xr:uid="{02F10BF2-0452-47F6-967F-79C5AFBE87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Lisungwe Resources Plc</t>
        </r>
      </text>
    </comment>
    <comment ref="H392" authorId="0" shapeId="0" xr:uid="{37851C20-B56F-4D89-9743-F61F5B9E1A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Hanking satte they owj 52.5% of the joint venture but do not state partners</t>
        </r>
      </text>
    </comment>
    <comment ref="K392" authorId="0" shapeId="0" xr:uid="{D90218E0-4F15-4E26-8256-47EBE61C40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AF392" authorId="0" shapeId="0" xr:uid="{18ED84DA-C9D2-4081-8FF7-921E1DDAF0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BA392" authorId="0" shapeId="0" xr:uid="{42878498-164B-4CDA-9274-DF10248607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BC392" authorId="0" shapeId="0" xr:uid="{DEBA91D3-D625-4894-9018-6A3BE0262D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BI392" authorId="0" shapeId="0" xr:uid="{84D5E48E-F1FA-4565-B5F9-DE170F9C01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BJ392" authorId="0" shapeId="0" xr:uid="{7F43EEBA-B20B-4D9E-99A0-5F8D1AF4DD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BV392" authorId="0" shapeId="0" xr:uid="{B7A909B4-66DB-4C27-BC92-05DEC5E31D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reserves reported</t>
        </r>
      </text>
    </comment>
    <comment ref="CQ392" authorId="0" shapeId="0" xr:uid="{3105D153-2678-4E79-846A-2CAA3737BF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reserves reported</t>
        </r>
      </text>
    </comment>
    <comment ref="CS392" authorId="0" shapeId="0" xr:uid="{3BF18F23-EE5B-44CD-8DDF-CD0AD1F1E1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CY392" authorId="0" shapeId="0" xr:uid="{C85847F3-495B-4175-A93E-ED0A3ABCE8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CZ392" authorId="0" shapeId="0" xr:uid="{8F9CCD8A-7297-45E8-BA51-7C05309F44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C393" authorId="0" shapeId="0" xr:uid="{F58C3BF4-F913-45CA-98C1-AF179F8209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Lasolo Lalindu, Bahubulu, Tapunopaka, Mandiodo</t>
        </r>
      </text>
    </comment>
    <comment ref="BA393" authorId="0" shapeId="0" xr:uid="{45BBA45E-589C-44CB-A298-9CBD5C714B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93" authorId="0" shapeId="0" xr:uid="{AC015D3A-EBD3-4843-B77E-1EFA911AA3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394" authorId="0" shapeId="0" xr:uid="{591023FC-AC81-45EB-9CE7-54826D70BD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Lasolo Lalindu, Bahubulu, Tapunopaka, Mandiodo</t>
        </r>
      </text>
    </comment>
    <comment ref="BA394" authorId="0" shapeId="0" xr:uid="{7C7ED593-FBA1-43C8-9354-45D8E3D5BE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94" authorId="0" shapeId="0" xr:uid="{9861174D-95B4-4DBA-9372-FFFC956929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K397" authorId="0" shapeId="0" xr:uid="{2AF4D44D-1E0A-48A9-A301-D2DC44F591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AF397" authorId="0" shapeId="0" xr:uid="{95A10CBC-2353-4724-8BA9-5E8A50589E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BA397" authorId="0" shapeId="0" xr:uid="{DF27DC69-1DB2-473B-A4E5-167D99D5CF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
- this estimate base on 2014 reserves minus production 2015 to 2018</t>
        </r>
      </text>
    </comment>
    <comment ref="BI397" authorId="0" shapeId="0" xr:uid="{74E0506D-25F8-41C1-992F-A4125085FF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
- this estimate base on 2014 reserves minus production 2015 to 2018</t>
        </r>
      </text>
    </comment>
    <comment ref="BJ397" authorId="0" shapeId="0" xr:uid="{A04C1F15-6367-4426-B00B-FDB2E47EA2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
- this estimate base on 2014 reserves minus production 2015 to 2018
- cobalt grades not reported for production, so constant reserves value assumed</t>
        </r>
      </text>
    </comment>
    <comment ref="BV397" authorId="0" shapeId="0" xr:uid="{E7A459B3-AA33-4ADB-AEFD-9AAB71CAC0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CQ397" authorId="0" shapeId="0" xr:uid="{78B4D207-ABAD-48F1-AA79-30042F4BA4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BA398" authorId="0" shapeId="0" xr:uid="{24ABD85F-924F-4788-90CB-51C6F4E996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398" authorId="0" shapeId="0" xr:uid="{A9DE49F7-A92D-4DC0-9141-CF18265461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399" authorId="1" shapeId="0" xr:uid="{EC8866BB-30F3-4E58-8E3B-AB2B11105C9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DP399" authorId="1" shapeId="0" xr:uid="{6AAAABB9-AFE2-4F94-BC07-537772F9CC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DP400" authorId="1" shapeId="0" xr:uid="{C0910797-AFA3-4195-A168-DEDF1D6157D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DP401" authorId="1" shapeId="0" xr:uid="{9CB2503E-FB8E-4553-B9B5-857397A7FA2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H402" authorId="0" shapeId="0" xr:uid="{F67A1B18-E754-4AC0-B02E-ED730CE865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current (late 2019) ownership remains unclear</t>
        </r>
      </text>
    </comment>
    <comment ref="BA402" authorId="0" shapeId="0" xr:uid="{8B7808C1-7F8B-46FD-BEF7-7111BA8872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02" authorId="0" shapeId="0" xr:uid="{4A023BEA-17DA-48F6-B686-B8586A39AF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02" authorId="0" shapeId="0" xr:uid="{A3B3FED4-4B8E-4BDD-B244-CB90E905E0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02" authorId="0" shapeId="0" xr:uid="{89F0B481-E180-4216-AF20-606CB185DB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03" authorId="0" shapeId="0" xr:uid="{D6940B2A-3E83-486C-A19A-7D1754F1C1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03" authorId="0" shapeId="0" xr:uid="{8EC3F7DD-D9B0-4152-893B-CA874BBF45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03" authorId="0" shapeId="0" xr:uid="{96321703-50A6-466B-8F4B-3929AF7348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03" authorId="0" shapeId="0" xr:uid="{52089519-860A-4F68-B2A0-CD294E83A4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04" authorId="0" shapeId="0" xr:uid="{5DAA94BD-4595-4185-AA11-1CC35B052E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04" authorId="0" shapeId="0" xr:uid="{B209AF4E-02EF-4DB5-A968-E543BB02DF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04" authorId="0" shapeId="0" xr:uid="{4EAFE50B-60DE-4E11-AE2D-DF2370CD1B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04" authorId="0" shapeId="0" xr:uid="{A7C68E68-B4FA-4358-B48E-94B540D0C2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05" authorId="0" shapeId="0" xr:uid="{EF35A9C3-B8AE-4F86-8E59-1BD673A513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05" authorId="0" shapeId="0" xr:uid="{B28EBA33-8D9D-4D54-9B47-11EDD3FC70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06" authorId="0" shapeId="0" xr:uid="{B5235934-BE2E-4C1A-B725-8FE685CB23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BA406" authorId="0" shapeId="0" xr:uid="{B71D7EDB-BD0A-4FCB-8277-6A5CB92AAB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I406" authorId="0" shapeId="0" xr:uid="{53DEB856-D5C2-4C93-BCB3-D11C6F317B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J406" authorId="0" shapeId="0" xr:uid="{83C14C51-849D-4A0D-BAC9-BDEEFFCAFE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Berger et al (2011)</t>
        </r>
      </text>
    </comment>
    <comment ref="DP406" authorId="0" shapeId="0" xr:uid="{7480AEEA-546B-4558-ABFF-B4E1FA7887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Toledo Mining Corp.</t>
        </r>
      </text>
    </comment>
    <comment ref="H407" authorId="0" shapeId="0" xr:uid="{89F54AEB-F3F6-40A2-814A-1B540350B4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BA407" authorId="0" shapeId="0" xr:uid="{B7242C97-1242-4B53-BBAA-EB5E81310E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I407" authorId="0" shapeId="0" xr:uid="{C89337D2-7996-441C-AF54-409B6B9A11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DP407" authorId="0" shapeId="0" xr:uid="{50439F0E-3ABB-4CC0-B2FD-EC7F2B154A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Toledo Mining Corp.</t>
        </r>
      </text>
    </comment>
    <comment ref="H408" authorId="0" shapeId="0" xr:uid="{604847C2-D261-4302-B07A-C46F2EF6D0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K408" authorId="0" shapeId="0" xr:uid="{060D018D-B76E-4B3D-AB69-0AEDD73CDA3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08" authorId="0" shapeId="0" xr:uid="{D66FF87C-6C26-4906-B153-4D3FED2A72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N408" authorId="0" shapeId="0" xr:uid="{172B08B9-E1B6-4AF9-BBAD-82294E58E1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08" authorId="0" shapeId="0" xr:uid="{66326D41-C135-4ABD-85C6-3BC30392413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08" authorId="0" shapeId="0" xr:uid="{33D901DE-B731-442B-BA11-4C126DCDE5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I408" authorId="0" shapeId="0" xr:uid="{0F7EFA9F-1E09-4941-9510-4AA85B2927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Q408" authorId="0" shapeId="0" xr:uid="{C6DF717C-5D7B-4897-80B0-9375CB4492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Q408" authorId="0" shapeId="0" xr:uid="{C4CFC4A6-3A33-4E91-8B44-C8F88F3D75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Y408" authorId="0" shapeId="0" xr:uid="{3FB9AF09-4BC6-4795-9FF3-D8459A6B4C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G408" authorId="0" shapeId="0" xr:uid="{33FA2F35-69B6-4BA7-81D3-DBCA742F773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H409" authorId="0" shapeId="0" xr:uid="{39110844-74B7-407F-8C8E-02EBCA16F3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K409" authorId="0" shapeId="0" xr:uid="{DCCB459D-449B-4DC1-870B-3253E7D7A2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09" authorId="0" shapeId="0" xr:uid="{43DAB5E7-A5BD-408B-87A9-B574AE6339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
- this is the original 2010 estimate and does not account for mining since this time</t>
        </r>
      </text>
    </comment>
    <comment ref="AN409" authorId="0" shapeId="0" xr:uid="{84EE9A6A-5B07-404E-8282-C3168A8E06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09" authorId="0" shapeId="0" xr:uid="{A9405E9F-2C65-4D7E-BD50-60EE02A01F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09" authorId="0" shapeId="0" xr:uid="{EA3B1069-FA86-4673-B023-D5DE6B3E62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V409" authorId="0" shapeId="0" xr:uid="{713A6CF7-170A-4FB3-B6E5-B53BB17BEF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Q409" authorId="0" shapeId="0" xr:uid="{CF3CC36D-545E-4722-A05B-C7706E16AE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H410" authorId="0" shapeId="0" xr:uid="{42783A6B-4A2D-442E-961A-E8E37C0D46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K410" authorId="0" shapeId="0" xr:uid="{6C3B9C4E-D674-4B1C-8B38-442150BEC0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10" authorId="0" shapeId="0" xr:uid="{4084D99E-C327-48FE-A520-EB427151DA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N410" authorId="0" shapeId="0" xr:uid="{6D4EE4A4-C591-4F7F-95C6-955A10EDC8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10" authorId="0" shapeId="0" xr:uid="{FED1470E-E9E1-4206-9F79-B89EE185FE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10" authorId="0" shapeId="0" xr:uid="{F55D1152-B9D2-419F-A4A3-59206A7F25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I410" authorId="0" shapeId="0" xr:uid="{432665E8-70F9-42EE-80BB-BC79481DBE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Q410" authorId="0" shapeId="0" xr:uid="{B6803FBA-71EA-4214-ADCE-9E7756EC7A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Q410" authorId="0" shapeId="0" xr:uid="{3140DBFE-8BE5-43ED-89EA-F6DBB6A3C6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Y410" authorId="0" shapeId="0" xr:uid="{077CC2A8-7C31-4290-A2CE-59934EEA1B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G410" authorId="0" shapeId="0" xr:uid="{7F2F9D37-7D8E-4DCF-9EAE-20D8731820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H411" authorId="0" shapeId="0" xr:uid="{9480D1F4-DA78-4740-B196-CE6FB68A3F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H412" authorId="0" shapeId="0" xr:uid="{89146A89-F814-446C-8696-B9A3AE1AF6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P412" authorId="0" shapeId="0" xr:uid="{E95E8063-6296-4A40-B5E0-D45BAE32E3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Mbmi Resources</t>
        </r>
      </text>
    </comment>
    <comment ref="H415" authorId="0" shapeId="0" xr:uid="{CB619433-5876-4A61-B30F-346A02CC71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BA417" authorId="0" shapeId="0" xr:uid="{A5FD3A4F-5ABC-45DC-BF80-5F103E7EC5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17" authorId="0" shapeId="0" xr:uid="{F375FB1F-00CD-483C-BDF4-B3BA50E515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K419" authorId="0" shapeId="0" xr:uid="{ACD4C222-DC8C-49D1-AD57-2C91C27027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19" authorId="0" shapeId="0" xr:uid="{3E9B2684-4E56-4EC5-A64E-EAEFD1F01E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N419" authorId="0" shapeId="0" xr:uid="{35D60B60-DECC-43F6-B269-136E7F439D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19" authorId="0" shapeId="0" xr:uid="{F1F3BD73-6271-499F-B7E5-0351DA1E33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19" authorId="0" shapeId="0" xr:uid="{3C877F19-9402-4C12-9FC7-5688116017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I419" authorId="0" shapeId="0" xr:uid="{4F68E6E5-1FD7-4517-B8AF-C104C826FB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Q419" authorId="0" shapeId="0" xr:uid="{114BDD67-EE0B-4D71-995B-3A58158F1D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Q419" authorId="0" shapeId="0" xr:uid="{F3172893-A811-4851-99BC-727FED7DEB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Y419" authorId="0" shapeId="0" xr:uid="{82673467-ADE0-4855-BE6A-5A1EC88086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G419" authorId="0" shapeId="0" xr:uid="{E8AF7288-66FE-4681-888C-2E8BA2C1E0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BA420" authorId="0" shapeId="0" xr:uid="{306B2D44-C10B-4BA7-8830-9E2A1F2854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20" authorId="0" shapeId="0" xr:uid="{49512811-9743-423C-9EBE-A29A0EC823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DP421" authorId="0" shapeId="0" xr:uid="{B5E7B9C8-6E3E-4BF3-A622-44646915C6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 (ENK)</t>
        </r>
      </text>
    </comment>
    <comment ref="H422" authorId="0" shapeId="0" xr:uid="{646164EC-2061-4CFB-B09D-BA85E8C4A7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an Anglo Am Pt / Solitario joint venture; then Jaganda Mines, now ValOre</t>
        </r>
      </text>
    </comment>
    <comment ref="BA423" authorId="0" shapeId="0" xr:uid="{308FCBB2-3FEE-4ACA-8E6B-7DA2B95C87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23" authorId="0" shapeId="0" xr:uid="{42092DFA-20D7-4285-919A-61D7873733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J423" authorId="0" shapeId="0" xr:uid="{5C8C0ED8-308B-4E17-AA85-EAB97C2A71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K424" authorId="0" shapeId="0" xr:uid="{55CE0B41-05C6-43B9-8FA4-448B57D3B6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from 2013 resources minus cumulative production to 2018 (assuming all production is from measured resources)</t>
        </r>
      </text>
    </comment>
    <comment ref="S424" authorId="0" shapeId="0" xr:uid="{65DAE283-304E-42D2-8B31-8D0BC00DB2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from 2013 resources minus cumulative production to 2018 (assuming all production is from measured resources)</t>
        </r>
      </text>
    </comment>
    <comment ref="AN424" authorId="0" shapeId="0" xr:uid="{70E83A95-1C75-42A3-B6BA-E8982FAB0E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ore grade by category not given, only total average grade</t>
        </r>
      </text>
    </comment>
    <comment ref="BI424" authorId="0" shapeId="0" xr:uid="{8ADA1DC9-E185-4253-BA59-96EFB286E8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ore grade by category not given, only total average grade</t>
        </r>
      </text>
    </comment>
    <comment ref="H425" authorId="0" shapeId="0" xr:uid="{028CC111-9284-44EE-8993-2153D08035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DP425" authorId="0" shapeId="0" xr:uid="{14141D4B-D0FD-4899-98F9-8E0D81C593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 (ENK)</t>
        </r>
      </text>
    </comment>
    <comment ref="K426" authorId="0" shapeId="0" xr:uid="{F6D6BF35-B001-4F1B-894F-C0ECB659C7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26" authorId="0" shapeId="0" xr:uid="{DDB57660-5612-4D52-B018-D1CBEE303D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N426" authorId="0" shapeId="0" xr:uid="{55533275-4B7B-46D5-BEFF-8C95D1BD92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26" authorId="0" shapeId="0" xr:uid="{CCB42A42-F6C9-444C-8FA6-DC005BD275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26" authorId="0" shapeId="0" xr:uid="{1A8B422B-762F-49E4-9902-1B0EE681E2F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I426" authorId="0" shapeId="0" xr:uid="{279A9760-1CEE-495C-8EEB-E97805F109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Q426" authorId="0" shapeId="0" xr:uid="{9532EDB7-F21B-4FD9-8F92-39F042B3CE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Q426" authorId="0" shapeId="0" xr:uid="{730E9C19-3161-4E2A-961E-04A7865D4A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Y426" authorId="0" shapeId="0" xr:uid="{87908B80-9467-48EF-85F3-55CB4F7B1D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G426" authorId="0" shapeId="0" xr:uid="{C0B1BDCA-CC77-4AB4-806D-A197FD1902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K427" authorId="0" shapeId="0" xr:uid="{B21DC999-65F1-4E6E-BE12-A068C90FB0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27" authorId="0" shapeId="0" xr:uid="{9BD166DD-36E1-4ED0-8FDE-9AA02BE882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N427" authorId="0" shapeId="0" xr:uid="{60A2E106-397C-4EFD-BEE9-E820F7CB87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27" authorId="0" shapeId="0" xr:uid="{B37D7012-B9ED-48FA-8CF6-F4882F9A81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27" authorId="0" shapeId="0" xr:uid="{60C92819-E0B0-4E96-8347-71A305DDBA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I427" authorId="0" shapeId="0" xr:uid="{129DE499-F945-4F5F-8D1B-731A815018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Q427" authorId="0" shapeId="0" xr:uid="{578A34F8-52FD-4EB4-A0E3-73A5DDEDAC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Q427" authorId="0" shapeId="0" xr:uid="{8F6F67D6-83D2-4F83-9B1C-D789620B6F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Y427" authorId="0" shapeId="0" xr:uid="{9387AA6D-AEA4-4DE4-81BA-F565F769F49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G427" authorId="0" shapeId="0" xr:uid="{9BD29F97-0418-40EB-8705-B91A76DA32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K428" authorId="0" shapeId="0" xr:uid="{9A90BB2E-DCA8-454D-A1A0-E70FF0D5E9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28" authorId="0" shapeId="0" xr:uid="{DB77DCE1-84E9-4F98-B545-15A980B3C7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
- this is the original 2010 estimate and does not account for mining since this time</t>
        </r>
      </text>
    </comment>
    <comment ref="AN428" authorId="0" shapeId="0" xr:uid="{CC081AFA-E6BC-4499-ADC1-CEFCA7DE65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28" authorId="0" shapeId="0" xr:uid="{221A3D40-D728-4506-9882-FB6FD77DD0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28" authorId="0" shapeId="0" xr:uid="{552DC683-3FE4-4219-A555-92B849CB38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V428" authorId="0" shapeId="0" xr:uid="{1D82F11C-B64D-4F60-8BCC-6189CAE31E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Q428" authorId="0" shapeId="0" xr:uid="{4A46815F-A112-4026-BCDE-49CF3C4B7D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29" authorId="0" shapeId="0" xr:uid="{48D46088-653A-4CC9-9019-B0FA002E98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29" authorId="0" shapeId="0" xr:uid="{6532D3E5-E897-4104-8E2B-75D874AF4D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H430" authorId="0" shapeId="0" xr:uid="{289FF4B7-4999-4C2D-9A60-C413571D1F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BA430" authorId="0" shapeId="0" xr:uid="{11331475-7E0B-46DF-92D8-27ED6C8BE9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30" authorId="0" shapeId="0" xr:uid="{06272AD9-66A9-4B57-BE7C-0618275DE2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J430" authorId="0" shapeId="0" xr:uid="{6A6F9D6B-72F4-47FE-9EFD-6376D06EB6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Co value from Cabri et al (2017)</t>
        </r>
      </text>
    </comment>
    <comment ref="K431" authorId="0" shapeId="0" xr:uid="{9A7CA13C-2B33-4F23-94D2-DD84D5654D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31" authorId="0" shapeId="0" xr:uid="{7F1EAB53-5F95-46EA-B1BB-8137B000B7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A431" authorId="0" shapeId="0" xr:uid="{18A7F012-2735-4496-AB9C-AD1FA3D8A9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V431" authorId="0" shapeId="0" xr:uid="{BA62E826-F397-4B58-BB42-BCDE365938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proved &amp; probable reserves reported</t>
        </r>
      </text>
    </comment>
    <comment ref="CQ431" authorId="0" shapeId="0" xr:uid="{B4BFB88E-7A61-4A67-9998-370BF91029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proved &amp; probable reserves reported</t>
        </r>
      </text>
    </comment>
    <comment ref="BA432" authorId="0" shapeId="0" xr:uid="{C56673C8-CE54-48F5-BF40-D099AC05BE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I432" authorId="0" shapeId="0" xr:uid="{79718D4A-0DC5-4E7B-A5AF-8A8A8A3AD3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DP432" authorId="0" shapeId="0" xr:uid="{CADBC027-E388-4E9D-8362-1BA326ED37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Toledo Mining Corp.</t>
        </r>
      </text>
    </comment>
    <comment ref="BA433" authorId="0" shapeId="0" xr:uid="{32353571-AA19-4B39-B93D-28BF883D6A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33" authorId="0" shapeId="0" xr:uid="{0E0DA8A2-1683-496C-BF88-918B1FF5B3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A434" authorId="0" shapeId="0" xr:uid="{346CC3CA-C1DE-45D5-A9B0-2834CD791E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I434" authorId="0" shapeId="0" xr:uid="{11856643-D452-4AB5-B32E-9FA4D8D640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A435" authorId="0" shapeId="0" xr:uid="{D91AD26E-EBCA-4AEF-85CA-BCF858F41D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35" authorId="0" shapeId="0" xr:uid="{F8600C4A-6AC6-4D9C-8C66-851B0BE84F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DP436" authorId="0" shapeId="0" xr:uid="{51B5CA36-B1E2-4B42-BE8B-6053B26245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Pelican Resources</t>
        </r>
      </text>
    </comment>
    <comment ref="BA437" authorId="0" shapeId="0" xr:uid="{A20D6CE4-CF4B-4A82-AE17-3D08D1AD2C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I437" authorId="0" shapeId="0" xr:uid="{7DEF4EBC-01D0-4042-8EEF-495B45A369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K438" authorId="0" shapeId="0" xr:uid="{3A1B1F55-EE15-460E-BA71-9D5579DC39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38" authorId="0" shapeId="0" xr:uid="{C28CD30C-26C2-4D97-A985-67F3251EED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N438" authorId="0" shapeId="0" xr:uid="{5FCAC35C-77AC-4778-8C73-1AF95632B5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V438" authorId="0" shapeId="0" xr:uid="{0D4DA574-05A7-4933-820E-7A3988801F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F440" authorId="0" shapeId="0" xr:uid="{20360C4A-B32B-4308-A0BF-EC9145DEB5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BA440" authorId="0" shapeId="0" xr:uid="{31DD59BD-056E-470B-853C-8D50B853B0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BI440" authorId="0" shapeId="0" xr:uid="{B123A02E-1A37-42F3-94BD-04F9D246FE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BJ440" authorId="0" shapeId="0" xr:uid="{A7446E84-FBFF-49AE-BF2A-AFF2F30C36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DP440" authorId="0" shapeId="0" xr:uid="{1DD94052-2ED0-49B7-BC6E-D962B910A8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Regency Mines plc</t>
        </r>
      </text>
    </comment>
    <comment ref="BA444" authorId="0" shapeId="0" xr:uid="{E433F6AC-531C-4137-81CE-36426B427E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ASSUMED; based on reported 210 kt Ni in Mosusu (2014)</t>
        </r>
      </text>
    </comment>
    <comment ref="BI444" authorId="0" shapeId="0" xr:uid="{D63A8D28-D787-48D4-AE62-9B210F8B1E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ASSUMED; based on reported 210 kt Ni in Mosusu (2014)</t>
        </r>
      </text>
    </comment>
    <comment ref="C446" authorId="0" shapeId="0" xr:uid="{869D7CF5-281E-445B-B968-EC305CC165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H446" authorId="0" shapeId="0" xr:uid="{7141ECA0-2E29-4725-8426-BC1F9621E1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Goldbrook Ventures, which was taken over by Jilin Jien Nickel in March 2012 - JJN was bankrupt ~2018</t>
        </r>
      </text>
    </comment>
    <comment ref="DP446" authorId="0" shapeId="0" xr:uid="{EF47FB98-3B78-4F1F-833F-2EBDB6CD37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Northern Mining Ltd</t>
        </r>
      </text>
    </comment>
    <comment ref="C447" authorId="0" shapeId="0" xr:uid="{DFADB9CE-C11A-4B46-A21F-6413A71680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H447" authorId="0" shapeId="0" xr:uid="{013E955D-F244-49F9-94D5-BC927B4AC8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Goldbrook Ventures, which was taken over by Jilin Jien Nickel in March 2012 - JJN was bankrupt ~2018</t>
        </r>
      </text>
    </comment>
    <comment ref="BA447" authorId="0" shapeId="0" xr:uid="{540D06FE-A15C-4FC6-A397-F09C9C4A07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447" authorId="0" shapeId="0" xr:uid="{EE3B3248-4512-441B-A483-9CFAB29F93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J447" authorId="0" shapeId="0" xr:uid="{0A73FB5D-F08C-45B0-8A15-04FC1EDD17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A448" authorId="0" shapeId="0" xr:uid="{C62F81E8-4B7F-45E0-A1F1-5F8C35C125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I448" authorId="0" shapeId="0" xr:uid="{DCF4F675-E08E-4913-BDC3-1BC9E7D5D0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J448" authorId="0" shapeId="0" xr:uid="{999C0585-1D54-417D-964C-BD4ADF8A1A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A449" authorId="0" shapeId="0" xr:uid="{843783B2-65F5-4B3E-9E6F-8BA6BCE18D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49" authorId="0" shapeId="0" xr:uid="{10A68584-6F90-4D70-9D62-58CCDFFAC5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49" authorId="0" shapeId="0" xr:uid="{EC8F48B9-C9D0-4C0D-AB94-63C551C5CD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P449" authorId="0" shapeId="0" xr:uid="{EA6BF8A6-3AF4-4930-96D7-A0134FFB1D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449" authorId="0" shapeId="0" xr:uid="{A6A7C2CA-CC06-43B0-8CAD-273433676E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50" authorId="0" shapeId="0" xr:uid="{9D9BC955-FC43-4449-8919-80B54B643F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Bluejay Minnig Plc was formerly known as FinnAust Mining Plc, which in turn was ~79% owned by Western Areas Ltd</t>
        </r>
      </text>
    </comment>
    <comment ref="BA450" authorId="0" shapeId="0" xr:uid="{071AFEFC-6958-4D06-AFDB-C35394946E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50" authorId="0" shapeId="0" xr:uid="{D6DED28A-D093-415D-AD9C-56293AF17B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50" authorId="0" shapeId="0" xr:uid="{A071115C-7422-48E3-8CAD-18435B3D56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P450" authorId="0" shapeId="0" xr:uid="{FDDBBB8E-8657-430E-8BD6-0721F061F5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450" authorId="0" shapeId="0" xr:uid="{0FE8676A-BEF5-4090-BB8F-AB59D5277F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Q451" authorId="0" shapeId="0" xr:uid="{ADB3A68F-07DD-464B-BB7A-E880EFB09E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website data (not formally included in annual report)</t>
        </r>
      </text>
    </comment>
    <comment ref="CR451" authorId="0" shapeId="0" xr:uid="{50E6C1F2-74FE-4A8D-90A6-154263DE4F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website data (not formally included in annual report)</t>
        </r>
      </text>
    </comment>
    <comment ref="CY451" authorId="0" shapeId="0" xr:uid="{6345C696-367D-42EA-993F-8512B76328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website data (not formally included in annual report)</t>
        </r>
      </text>
    </comment>
    <comment ref="CZ451" authorId="0" shapeId="0" xr:uid="{B1654E40-9A22-475C-8A08-FAD2980860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indicated resources</t>
        </r>
      </text>
    </comment>
    <comment ref="DA451" authorId="0" shapeId="0" xr:uid="{FDB9C3A2-42AF-480E-9270-AFA0DF863A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indicated resources</t>
        </r>
      </text>
    </comment>
    <comment ref="DB451" authorId="0" shapeId="0" xr:uid="{0216C0BD-DE22-4EB5-B6D2-BE03BA82733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indicated resources</t>
        </r>
      </text>
    </comment>
    <comment ref="BA452" authorId="0" shapeId="0" xr:uid="{3276D40E-9B1F-48B0-AD2F-6EE8BD397A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B452" authorId="0" shapeId="0" xr:uid="{58D0E5C2-3707-4C2B-8DC7-EBDF9D8D5A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C452" authorId="0" shapeId="0" xr:uid="{BFAA7917-ADCF-47C5-BAE3-26636E5EED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D452" authorId="0" shapeId="0" xr:uid="{A102E44E-C0EE-445A-865D-C428B74DA1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I452" authorId="0" shapeId="0" xr:uid="{D7DD5F1E-2D43-4B5A-B814-0A270A6F0B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J452" authorId="0" shapeId="0" xr:uid="{FA00E29C-A126-48BD-BCDC-A52E2292E6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K452" authorId="0" shapeId="0" xr:uid="{6D06F8B8-C7D1-46CF-8EAD-CBDB6B2B07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A453" authorId="0" shapeId="0" xr:uid="{36F6BFFD-F725-4F7B-BFF3-A56F3334FB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I453" authorId="0" shapeId="0" xr:uid="{37F6A3C5-0050-44B4-AC08-471266F2DF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53" authorId="0" shapeId="0" xr:uid="{C9B75DF6-C417-47DB-91E3-836A0F4C2B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L453" authorId="0" shapeId="0" xr:uid="{2C8AE295-247C-42AE-8BAF-DC51DFF92A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A454" authorId="0" shapeId="0" xr:uid="{19542CCC-6966-4A23-906B-C9701B9BD2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2011 data minus 2012 mining; site closed early 2013 ...</t>
        </r>
      </text>
    </comment>
    <comment ref="BJ454" authorId="0" shapeId="0" xr:uid="{3886C7CB-6BF3-4370-A9A5-4D4E719287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Berger et al (2011)</t>
        </r>
      </text>
    </comment>
    <comment ref="BA455" authorId="0" shapeId="0" xr:uid="{67106B05-3CD8-4A93-80A1-3EAF658579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55" authorId="0" shapeId="0" xr:uid="{39D486B6-F37E-4841-9CAD-476C4DA20E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55" authorId="0" shapeId="0" xr:uid="{3C2B1C7E-97EA-47CF-BF08-4F25F82474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56" authorId="0" shapeId="0" xr:uid="{D1F1BACD-DD01-426A-A905-D4FE4F7434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56" authorId="0" shapeId="0" xr:uid="{758C4926-26A6-4CD3-8C3D-6D1D0DA0E2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56" authorId="0" shapeId="0" xr:uid="{1D00985F-4B9A-4E7F-8E47-B42C8BEA9C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57" authorId="0" shapeId="0" xr:uid="{71242B46-8AFA-4790-8B02-91F91F95C3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Pacific Northwest Capital Corp.</t>
        </r>
      </text>
    </comment>
    <comment ref="BA457" authorId="0" shapeId="0" xr:uid="{47894D88-D822-452A-8110-D7FCB9C131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57" authorId="0" shapeId="0" xr:uid="{E37B74AE-88EF-443C-953B-E6825E3D573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57" authorId="0" shapeId="0" xr:uid="{9D998627-EC45-49FB-A3E3-327C0C488F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58" authorId="0" shapeId="0" xr:uid="{8B00DEE1-D282-4816-AC79-41E1B069EE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58" authorId="0" shapeId="0" xr:uid="{1B7CA5E9-BA1C-4F43-9FCE-122E23FDC13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59" authorId="0" shapeId="0" xr:uid="{66BD01F9-BB1B-4486-BE07-D0BFF3827B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59" authorId="0" shapeId="0" xr:uid="{34935AC0-858A-42E2-A37C-9E7A430438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59" authorId="0" shapeId="0" xr:uid="{E552ABCD-8B21-4D06-9810-12B7E74612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59" authorId="0" shapeId="0" xr:uid="{2FD1B2D1-2AFE-4F6C-BEF4-6C73AFB372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60" authorId="0" shapeId="0" xr:uid="{244EAD88-D7F8-4178-8D7E-66B052D916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Pelican Resources</t>
        </r>
      </text>
    </comment>
    <comment ref="BA460" authorId="0" shapeId="0" xr:uid="{8FE1F725-4F7B-4491-9142-E2C88A02FB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0" authorId="0" shapeId="0" xr:uid="{5EEF831F-82DB-4FDB-BF53-AA7FE6B83B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61" authorId="0" shapeId="0" xr:uid="{D3BBEDFC-3AED-424D-9166-F5EF84F6BD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1" authorId="0" shapeId="0" xr:uid="{621686B9-BD35-496F-B827-DBB7AE36DA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62" authorId="0" shapeId="0" xr:uid="{7A22E826-391D-4C1F-8A38-CFB4814004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62" authorId="0" shapeId="0" xr:uid="{CF4F1BEE-E580-48DE-AFB7-95DD046765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2" authorId="0" shapeId="0" xr:uid="{8BE2A79A-B182-4803-80F9-46B45C64BB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63" authorId="0" shapeId="0" xr:uid="{CBA20695-6B05-4356-83EE-AC40D63975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3" authorId="0" shapeId="0" xr:uid="{54B40FD4-C8A1-47B3-B78D-9FCA0474AE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64" authorId="0" shapeId="0" xr:uid="{D791EC1D-5B30-492F-ADC3-DB96732B86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Caledonia Mining Corp.</t>
        </r>
      </text>
    </comment>
    <comment ref="BA464" authorId="0" shapeId="0" xr:uid="{8CCD4CFC-B6DE-44DC-9BFC-FC4277F24E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4" authorId="0" shapeId="0" xr:uid="{57A59D39-57FA-4965-905A-0556C292B6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65" authorId="0" shapeId="0" xr:uid="{02B7A3E7-CBB0-41F4-8BDB-9FA023CE60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BA465" authorId="0" shapeId="0" xr:uid="{7ADDB3DF-2FEA-427E-805B-5847594A11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5" authorId="0" shapeId="0" xr:uid="{04FB7EA9-B800-4966-B0C3-11D87A9693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66" authorId="0" shapeId="0" xr:uid="{87EA642D-9436-4CB2-A8BC-1F53C6AC38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6" authorId="0" shapeId="0" xr:uid="{7C471F11-99D6-46CE-9A2B-98000ED826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67" authorId="0" shapeId="0" xr:uid="{9AD42A59-2CD7-4644-812F-AB68D08106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67" authorId="0" shapeId="0" xr:uid="{43CC9CF1-D10C-445E-B9D7-EA5ACBAAD4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68" authorId="0" shapeId="0" xr:uid="{5D7D9DB0-2FE7-4569-A331-F3D7089620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Hathor Exploration</t>
        </r>
      </text>
    </comment>
    <comment ref="BA468" authorId="0" shapeId="0" xr:uid="{26B665E8-AC48-4A44-8995-6676D4CF95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B468" authorId="0" shapeId="0" xr:uid="{A5AF66B6-5639-4674-A01B-FBDC6E6B5B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C468" authorId="0" shapeId="0" xr:uid="{F2028CD1-AD78-498C-A96D-7EE94CB9E2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D468" authorId="0" shapeId="0" xr:uid="{75F2429D-4FF2-4A53-8B33-94F77ECD97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I468" authorId="0" shapeId="0" xr:uid="{168DFEB1-E973-4BC6-923A-F0FC6870E0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J468" authorId="0" shapeId="0" xr:uid="{83193F44-C510-4160-9DC1-EA866E4B88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K468" authorId="0" shapeId="0" xr:uid="{871D7536-41C3-42C7-8D85-FAC0C61D59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resources; 3E g/t - 40% assumed as Pt</t>
        </r>
      </text>
    </comment>
    <comment ref="BL468" authorId="0" shapeId="0" xr:uid="{B070588E-DFA4-481A-86C6-F5B4AE9654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resources; 3E g/t - 60% assumed as Pd</t>
        </r>
      </text>
    </comment>
    <comment ref="BJ469" authorId="0" shapeId="0" xr:uid="{B83890E9-96E7-43B2-8F28-98D8CB5E70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BK470" authorId="0" shapeId="0" xr:uid="{DCC24BD4-3AF8-4A43-AA28-2FC5CD6D64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equal Pt-Pd grades</t>
        </r>
      </text>
    </comment>
    <comment ref="BL470" authorId="0" shapeId="0" xr:uid="{372F5490-122E-4166-B342-C0CEFCF5D0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equal Pt-Pd grades</t>
        </r>
      </text>
    </comment>
    <comment ref="H471" authorId="0" shapeId="0" xr:uid="{1AE1606E-3D88-4699-8A75-5A4F502226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Bluejay Minnig Plc was formerly known as FinnAust Mining Plc, which in turn was ~79% owned by Western Areas Ltd</t>
        </r>
      </text>
    </comment>
    <comment ref="BA471" authorId="0" shapeId="0" xr:uid="{59F1250C-DCCF-4872-BFF6-E82F39BB58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71" authorId="0" shapeId="0" xr:uid="{7C16111B-DB97-4EA7-9DF6-E62BF3AA75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72" authorId="0" shapeId="0" xr:uid="{99C52019-A5D5-4CBE-AFBC-C61853638B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all resources assumed to be equivalent to inferred</t>
        </r>
      </text>
    </comment>
    <comment ref="C473" authorId="0" shapeId="0" xr:uid="{3F1157C2-4EAB-46AE-8B7C-4607FB06DA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Siphumelele, Khuseleka, Khomanani, Thembelani, Bathopele</t>
        </r>
      </text>
    </comment>
    <comment ref="BA473" authorId="0" shapeId="0" xr:uid="{8060641E-C5DC-45D0-BCD4-99B8BAF800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73" authorId="0" shapeId="0" xr:uid="{CB305A0D-AC2E-4790-903B-638819CECF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73" authorId="0" shapeId="0" xr:uid="{DE0C2D64-B367-4A7F-8BCD-11BC9BF44E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74" authorId="0" shapeId="0" xr:uid="{1B632739-0A3F-4B4E-904B-2CBEB572FE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74" authorId="0" shapeId="0" xr:uid="{05B076A5-9020-4C9D-836C-AFB1FEBC88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C474" authorId="0" shapeId="0" xr:uid="{3BDFC470-AD15-42D7-A5EA-F9C66F5C81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D474" authorId="0" shapeId="0" xr:uid="{5D8E4B5C-00B4-4FC3-B0EF-B5C14B9984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74" authorId="0" shapeId="0" xr:uid="{06EC3D89-43F1-478A-9BB0-237B447D04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74" authorId="0" shapeId="0" xr:uid="{653665FD-0826-4649-831B-5EB11CF176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75" authorId="0" shapeId="0" xr:uid="{7567E19C-8919-4585-9768-08A3D2DB58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75" authorId="0" shapeId="0" xr:uid="{D3104F76-BDEC-472F-ACD8-E3394D51AAD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C475" authorId="0" shapeId="0" xr:uid="{31CD5514-4C25-4AD3-856D-577361A131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D475" authorId="0" shapeId="0" xr:uid="{F073A4BA-ABD6-4776-9E8A-B4AB85F0F2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75" authorId="0" shapeId="0" xr:uid="{ED9AB407-A7D0-4A39-81CE-E1ADDA81C9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75" authorId="0" shapeId="0" xr:uid="{FFCF4AF8-A1F4-4627-8CBD-55AFE7129F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76" authorId="0" shapeId="0" xr:uid="{121B2381-F1AE-43CA-83DB-D1FB407348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76" authorId="0" shapeId="0" xr:uid="{2617A30E-8F17-4284-B0F3-941BD2512A9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76" authorId="0" shapeId="0" xr:uid="{7BDE3108-6806-4AB9-B154-217C767E86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76" authorId="0" shapeId="0" xr:uid="{B1C60DBF-D1F7-403D-86B8-557A0388B9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F477" authorId="0" shapeId="0" xr:uid="{15AC191D-3450-46AF-B7F6-7C14122442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G477" authorId="0" shapeId="0" xr:uid="{97FB286B-2FA0-445D-86D2-7F39D3AE0A3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N477" authorId="0" shapeId="0" xr:uid="{25F29FE6-247D-4297-B534-5682A580F1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P477" authorId="0" shapeId="0" xr:uid="{A4A75B20-8307-46D4-87CC-DE3541D625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- 35% assumed as Pt</t>
        </r>
      </text>
    </comment>
    <comment ref="AQ477" authorId="0" shapeId="0" xr:uid="{F434A13A-8DF0-4F5F-8502-84D7D84365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- 55% assumed as Pd</t>
        </r>
      </text>
    </comment>
    <comment ref="K478" authorId="0" shapeId="0" xr:uid="{32AB58F0-EFE7-4EF5-890E-33A2B084C8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L478" authorId="0" shapeId="0" xr:uid="{89F8EE1E-D15F-49E5-8FB2-0ED7560B14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M478" authorId="0" shapeId="0" xr:uid="{43EEBB31-A8B4-4F4D-ABD8-D2E239CA7B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S478" authorId="0" shapeId="0" xr:uid="{CE62FD2E-F41E-48E2-B9FF-06CD15C94D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U478" authorId="0" shapeId="0" xr:uid="{B81D7C78-81CE-4E64-B699-087040502A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V478" authorId="0" shapeId="0" xr:uid="{8AF99FFE-58E7-496F-AE16-E24204C352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CF478" authorId="0" shapeId="0" xr:uid="{1A4CACD1-9A3F-481C-9ED4-3FA0761F5D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CG478" authorId="0" shapeId="0" xr:uid="{99541B7E-1254-4103-92E4-A423BB0054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K479" authorId="0" shapeId="0" xr:uid="{DA7B6FF7-DF4F-475D-B455-AD17998103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L479" authorId="0" shapeId="0" xr:uid="{BEFAA500-CCC2-4CC4-ADF9-B84F411BED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M479" authorId="0" shapeId="0" xr:uid="{3F2BF5F2-47F8-4E3A-92F9-71911E6E2C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S479" authorId="0" shapeId="0" xr:uid="{C61EAA8C-6BFB-4CE2-A381-6D55019E76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U479" authorId="0" shapeId="0" xr:uid="{147A8BA8-B518-4F83-98FC-6AEC673E00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V479" authorId="0" shapeId="0" xr:uid="{5A472280-4BE6-4DBA-BE8E-A96C5A0017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CF479" authorId="0" shapeId="0" xr:uid="{EB295833-1690-4618-9CE3-42EC1508A3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CG479" authorId="0" shapeId="0" xr:uid="{0FE1FB2B-6CCE-4E1A-BD31-4A2F89AE1C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BA480" authorId="0" shapeId="0" xr:uid="{758A552E-1E97-4DE3-BE42-39131284C7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80" authorId="0" shapeId="0" xr:uid="{CE8DF17A-F385-42AC-85A9-F4A8A29FFBE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80" authorId="0" shapeId="0" xr:uid="{AFE27F51-C1DE-40DA-B8AC-1DF8BCE8A4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81" authorId="0" shapeId="0" xr:uid="{13B8133E-D408-43C2-8FD6-219C9A4E08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81" authorId="0" shapeId="0" xr:uid="{7368DC96-D043-46C2-9C12-200CDC53E0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81" authorId="0" shapeId="0" xr:uid="{A83FD70A-8628-4321-A269-D70836EB04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482" authorId="0" shapeId="0" xr:uid="{4EA523CA-39E5-4395-9280-7F3CBAF4B373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mine restarted in mid-2019</t>
        </r>
      </text>
    </comment>
    <comment ref="H482" authorId="0" shapeId="0" xr:uid="{74F26665-A583-4DF0-9AB0-49B2F28416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Mirabela Nickel - which went bankrupt in ~2013</t>
        </r>
      </text>
    </comment>
    <comment ref="K482" authorId="0" shapeId="0" xr:uid="{F84FD1FA-52D9-492B-B21F-1DDBDD58F1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F482" authorId="0" shapeId="0" xr:uid="{7E226885-FA74-400F-BCE1-E09D5B9175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O482" authorId="0" shapeId="0" xr:uid="{C18EF933-8BE2-4A98-9A84-65D331C72B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J482" authorId="0" shapeId="0" xr:uid="{9FDA62A9-F57B-488F-AFD1-58831FF7D2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CE482" authorId="0" shapeId="0" xr:uid="{5002141A-C57C-42A4-81DA-12F05CD5A9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CZ482" authorId="0" shapeId="0" xr:uid="{D87755FA-02B4-472B-BC4D-7CBEC0672AB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AF483" authorId="0" shapeId="0" xr:uid="{90AF4479-7690-40CE-82D3-81C4308839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G483" authorId="0" shapeId="0" xr:uid="{3CC7292A-901F-4916-8275-F6816E8444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H483" authorId="0" shapeId="0" xr:uid="{9CF8D712-BBAE-4612-9499-61CB1B55F0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- 10% assumed as Au</t>
        </r>
      </text>
    </comment>
    <comment ref="AN483" authorId="0" shapeId="0" xr:uid="{615DAA8C-6C6D-4FB3-A422-3955CE0D3B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P483" authorId="0" shapeId="0" xr:uid="{BA575CE2-CE44-4D93-B380-997FDF961B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AQ483" authorId="0" shapeId="0" xr:uid="{9BB9FBF6-861E-47D4-BB58-653ABF95F0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BA484" authorId="0" shapeId="0" xr:uid="{244BB910-3594-461F-B3ED-753F211B24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84" authorId="0" shapeId="0" xr:uid="{BF475F12-485E-4142-BF94-AD99C48CE7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84" authorId="0" shapeId="0" xr:uid="{F392D424-1C00-4988-A710-E653B6F6C6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485" authorId="0" shapeId="0" xr:uid="{AC170572-106F-4FAB-B5A7-5F7985D0C0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project; includes Bell Creek South, Bell Creek North, Bell Creek Northwest, Bell Creek The Neck</t>
        </r>
      </text>
    </comment>
    <comment ref="C486" authorId="0" shapeId="0" xr:uid="{4528351F-154E-41C4-8039-F5BA337E3D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C487" authorId="0" shapeId="0" xr:uid="{88BCDA39-F3BA-4965-8E82-9FAEEB26AD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C488" authorId="0" shapeId="0" xr:uid="{01E40E71-2A71-4457-97CF-1A2AB82D7D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BA488" authorId="0" shapeId="0" xr:uid="{F6D93DCA-69F8-4273-AE1B-6721A1C30C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88" authorId="0" shapeId="0" xr:uid="{E64CECA5-A98A-4AB4-B2A8-7889546F61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88" authorId="0" shapeId="0" xr:uid="{1C0B5C27-0026-4D99-B3E4-41470924F3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489" authorId="0" shapeId="0" xr:uid="{15880461-E50D-4127-9C42-5F95269F31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BA489" authorId="0" shapeId="0" xr:uid="{98525C88-F0D2-4F96-AED0-56416CFD6F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89" authorId="0" shapeId="0" xr:uid="{E4935749-199D-434F-988F-3A076677A5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89" authorId="0" shapeId="0" xr:uid="{0118448D-DAAA-44E0-BCF6-B6656F1865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90" authorId="0" shapeId="0" xr:uid="{1DC28C94-39C9-41FC-A52F-C8AF3DC958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90" authorId="0" shapeId="0" xr:uid="{421343B4-A700-48FB-A604-AEF425AC40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0" authorId="0" shapeId="0" xr:uid="{356FBCCE-A116-46DA-B8BD-632760D3FA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91" authorId="0" shapeId="0" xr:uid="{DE366A89-D528-468C-8816-79710ECCA6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K491" authorId="0" shapeId="0" xr:uid="{A710DE64-4589-4426-89A8-2E6AD70742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AF491" authorId="0" shapeId="0" xr:uid="{3F1A85DD-8FC4-41BC-BEE3-E678144AFF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BA491" authorId="0" shapeId="0" xr:uid="{737A8B78-7029-419C-BE01-551094F695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CQ491" authorId="0" shapeId="0" xr:uid="{0E5A2D6B-0237-4CAA-B69A-EDEE5A81AB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BA492" authorId="0" shapeId="0" xr:uid="{7C57B824-41E0-4E86-93B1-05320C7877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92" authorId="0" shapeId="0" xr:uid="{1C882B78-E987-4CFE-9B5B-C10C32D842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2" authorId="0" shapeId="0" xr:uid="{9858BAF8-8F6E-4BF5-B988-A3FF6679D3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93" authorId="0" shapeId="0" xr:uid="{E2FC6FA0-E400-4C93-A034-DBF955565C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BA493" authorId="0" shapeId="0" xr:uid="{8496C59F-51A3-49EB-A8D1-E6BC920825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93" authorId="0" shapeId="0" xr:uid="{527BF16A-B0E2-4D12-908A-8078112320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3" authorId="0" shapeId="0" xr:uid="{5E5B9D2B-A5B1-43C8-BC0F-50028B0C5C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494" authorId="0" shapeId="0" xr:uid="{2096A546-447A-4A00-B906-6F4F6BD8A3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K494" authorId="0" shapeId="0" xr:uid="{EE6CF5E9-A4E8-45FA-AF02-4D3FFFB1C2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F494" authorId="0" shapeId="0" xr:uid="{940B2D46-9CDA-4F0C-8E9C-7011C4DE97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O494" authorId="0" shapeId="0" xr:uid="{73ED2B33-3C75-4300-841D-EE19A99BB6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BJ494" authorId="0" shapeId="0" xr:uid="{80B4C78F-A9D3-46E4-ABA5-CED0F581A2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CE494" authorId="0" shapeId="0" xr:uid="{3DD2A60E-14F2-46EB-B550-C09CA5C72B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CZ494" authorId="0" shapeId="0" xr:uid="{49C2C7F2-672C-4781-BFCD-139CF04C7F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H495" authorId="0" shapeId="0" xr:uid="{D201CB87-59B8-4C25-BE30-5C4B639B58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BA495" authorId="0" shapeId="0" xr:uid="{48676DFD-B138-443E-A538-D1BD6DBCED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5" authorId="0" shapeId="0" xr:uid="{68F4D63F-6C11-4E52-9BD8-E3779A7641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96" authorId="0" shapeId="0" xr:uid="{3CEA7DDA-DD7A-4B8D-A7C7-7EAED87C85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96" authorId="0" shapeId="0" xr:uid="{786D6CA0-A87F-485D-A101-FFF5DEA051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6" authorId="0" shapeId="0" xr:uid="{3DAB9FF6-F7A9-4492-8D14-D52E805510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97" authorId="0" shapeId="0" xr:uid="{5F475F9B-48FA-45C0-9E55-3C4D39A0AF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97" authorId="0" shapeId="0" xr:uid="{032AD4F8-7BB6-4FD9-824A-BD484D9C35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7" authorId="0" shapeId="0" xr:uid="{74953413-AB16-4685-8186-EB0691FBA5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98" authorId="0" shapeId="0" xr:uid="{AAA79501-647F-418E-BB73-809A82CD9A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8" authorId="0" shapeId="0" xr:uid="{06B5F98D-026E-4A16-B44E-6333CF57A87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98" authorId="0" shapeId="0" xr:uid="{EE3AD54E-A295-46EA-B0CA-98FCA7B889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99" authorId="0" shapeId="0" xr:uid="{A0323543-8AE2-4320-A8E4-2699827AFC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99" authorId="0" shapeId="0" xr:uid="{90DF9277-8593-495E-960D-E510567FED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99" authorId="0" shapeId="0" xr:uid="{0FC971DF-6690-438C-8E93-90170E7624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00" authorId="0" shapeId="0" xr:uid="{925B68E8-062D-4EF7-99E2-D2AE76314E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00" authorId="0" shapeId="0" xr:uid="{C2F630F7-9801-44E2-8B0B-AB889CCA17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P500" authorId="0" shapeId="0" xr:uid="{BBF79E2E-ED14-4701-8D5D-D282FE86A2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Q500" authorId="0" shapeId="0" xr:uid="{8E84CECB-554D-4BAA-B4A2-FBF2FD0839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501" authorId="0" shapeId="0" xr:uid="{60117A43-05C6-4471-9A0E-3A9E774F82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Ursa Major Minerals Inc, then Prophecy Platinum, then Nickel Creek Platinum ...</t>
        </r>
      </text>
    </comment>
    <comment ref="BA501" authorId="0" shapeId="0" xr:uid="{8D5E19DA-42F6-480C-BD6F-9E023CC9FD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01" authorId="0" shapeId="0" xr:uid="{5503AA7F-9A62-4CBC-9266-C9423C7336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502" authorId="0" shapeId="0" xr:uid="{C64F3222-2EF9-4EFE-9CF8-D84B5208E3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Liberty Mines</t>
        </r>
      </text>
    </comment>
    <comment ref="H503" authorId="0" shapeId="0" xr:uid="{2F4343A3-A809-427C-AF5E-52CB4AAF05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Liberty Mines</t>
        </r>
      </text>
    </comment>
    <comment ref="AF503" authorId="0" shapeId="0" xr:uid="{75770962-CBC1-49F9-8A4F-136824CCCF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BA503" authorId="0" shapeId="0" xr:uid="{4A585FEA-5B15-41E1-9E8A-C694FAA96E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BI503" authorId="0" shapeId="0" xr:uid="{447C304B-B5C0-483B-81BC-079D38B572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BJ503" authorId="0" shapeId="0" xr:uid="{A73FD232-DC70-4919-AE25-3CD1B347E8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DP503" authorId="0" shapeId="0" xr:uid="{93FB7EE5-6790-4DED-9C0D-6B71B42536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Solomon Gold Plc (which became SolGold)</t>
        </r>
      </text>
    </comment>
    <comment ref="H504" authorId="0" shapeId="0" xr:uid="{350900A2-B6E3-4F71-8981-B6CEA4D56FC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Liberty Mines</t>
        </r>
      </text>
    </comment>
    <comment ref="AS505" authorId="0" shapeId="0" xr:uid="{E9B085CD-2933-42DB-A552-46F9ABC648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505" authorId="0" shapeId="0" xr:uid="{5849628B-87F7-4173-9C7B-112539C0D3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505" authorId="0" shapeId="0" xr:uid="{0F2FC60C-71FE-4061-9412-381C2B9187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505" authorId="0" shapeId="0" xr:uid="{D6037270-BF49-4958-A8AD-0417B6AAC1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H506" authorId="0" shapeId="0" xr:uid="{506DC3B2-8254-4F00-84A1-B830E2D766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note: North American Palladium was taken over by Sibanye-Stillwater in mid-2019</t>
        </r>
      </text>
    </comment>
    <comment ref="X506" authorId="0" shapeId="0" xr:uid="{D146471F-0092-4C02-A721-FB27A7DC60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506" authorId="0" shapeId="0" xr:uid="{66B6F93C-EA9A-4F9F-BD70-FC70A5DD5B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H509" authorId="0" shapeId="0" xr:uid="{8B378BBC-ACE0-4B97-BA7F-2D0C6289CB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Ursa Major Minerals Inc, then Prophecy Platinum, then Nickel Creek Platinum ...</t>
        </r>
      </text>
    </comment>
    <comment ref="DP515" authorId="0" shapeId="0" xr:uid="{BCFDFC24-B053-4DED-AB43-93CBC94835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Aquarius Platinum Ltd</t>
        </r>
      </text>
    </comment>
    <comment ref="DP520" authorId="0" shapeId="0" xr:uid="{BA8F8170-BC42-4738-A7F6-20C4D07586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2015 Aquarius Platinum data</t>
        </r>
      </text>
    </comment>
    <comment ref="X525" authorId="0" shapeId="0" xr:uid="{8924A73A-E1BD-4A53-83BC-BD0B0A7A5F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525" authorId="0" shapeId="0" xr:uid="{2ADB3077-827C-4D2F-A669-9BBFFD6DD3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525" authorId="0" shapeId="0" xr:uid="{16E5515C-29ED-48AE-BBD5-A7FA7D3DE1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525" authorId="0" shapeId="0" xr:uid="{23448616-EF03-4AD5-A097-4008033287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525" authorId="0" shapeId="0" xr:uid="{E360B4DA-0E1E-41E7-9DF6-1603969A6F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525" authorId="0" shapeId="0" xr:uid="{18380E30-0485-4EBB-940D-7F5734BFAAB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H527" authorId="0" shapeId="0" xr:uid="{2EAB6542-4204-404F-936C-6AE1532E51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X527" authorId="0" shapeId="0" xr:uid="{5F70BF05-001A-4B74-B98B-4F36118B05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527" authorId="0" shapeId="0" xr:uid="{7D131CEF-0C5F-4C0A-BE56-2C1F28AD9C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527" authorId="0" shapeId="0" xr:uid="{3124319B-F1C2-4728-988F-37DFD798F6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527" authorId="0" shapeId="0" xr:uid="{D1321AC6-2371-499A-A78B-90F859F4F3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I527" authorId="0" shapeId="0" xr:uid="{579A3CB0-1031-4551-8D89-346BF68D2F3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J527" authorId="0" shapeId="0" xr:uid="{D51B8580-D051-4C53-BB43-2E7B160495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H529" authorId="1" shapeId="0" xr:uid="{40DE93FB-1404-40B8-9313-BF85A56B6B3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Ventures, then Drake Resources</t>
        </r>
      </text>
    </comment>
    <comment ref="E530" authorId="0" shapeId="0" xr:uid="{D3471D04-AFCE-44C6-9A75-8ACB72C744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530" authorId="0" shapeId="0" xr:uid="{383FF47C-3BF8-4ED5-9B27-16BBAD259D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E531" authorId="0" shapeId="0" xr:uid="{7001B9DA-D71E-45FA-891E-5035906909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531" authorId="0" shapeId="0" xr:uid="{8E2564B2-5B6C-4FB3-9A01-B53407211ED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E532" authorId="0" shapeId="0" xr:uid="{59F07183-46B9-4854-9D65-605F8B783B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532" authorId="0" shapeId="0" xr:uid="{CCC9F9EC-E7B9-4954-93BA-5FA0201514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E533" authorId="0" shapeId="0" xr:uid="{F69544FB-562B-4D0C-A4D9-BB3E8B076B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533" authorId="0" shapeId="0" xr:uid="{A30FF662-1E17-4940-875C-F29FD03DCF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H533" authorId="0" shapeId="0" xr:uid="{B7C917EE-ED45-447A-AED7-FF43D17F580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QuadraFNX, taken over by KGHM</t>
        </r>
      </text>
    </comment>
    <comment ref="E534" authorId="0" shapeId="0" xr:uid="{835B1D65-DAF1-4BF8-8F89-CC3054601A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534" authorId="0" shapeId="0" xr:uid="{E0DA76AD-2208-4819-B937-8FF31C6D41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H534" authorId="0" shapeId="0" xr:uid="{746C9E3E-095D-4BBF-8D5F-1822660DCA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First Nickel went bankrupt in mid-2015, current status appears to be Transition Metals Corp.</t>
        </r>
      </text>
    </comment>
    <comment ref="X534" authorId="0" shapeId="0" xr:uid="{6A954A3A-D01B-4FE1-BD9F-C418A31D8F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534" authorId="0" shapeId="0" xr:uid="{1B5D9DC4-21E9-448A-89A7-55CFA91ACB8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534" authorId="0" shapeId="0" xr:uid="{6325F296-84CD-4064-A204-A83CFF22B14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534" authorId="0" shapeId="0" xr:uid="{3B1F5779-3EDF-494B-AE5F-209C116FC5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534" authorId="0" shapeId="0" xr:uid="{56F2F740-EB14-4B22-B323-9F450FEC56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534" authorId="0" shapeId="0" xr:uid="{20566F1C-42A9-4A63-813E-193FD3D784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I534" authorId="0" shapeId="0" xr:uid="{40EE1255-382D-45CB-BECF-E0272B3074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J534" authorId="0" shapeId="0" xr:uid="{7A2EA25A-D7BE-4E2A-AAC6-4581B57372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D534" authorId="0" shapeId="0" xr:uid="{86DF67D1-EF90-4131-8D7E-BF5CA399F93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E534" authorId="0" shapeId="0" xr:uid="{9C4103A7-2405-4332-A65A-6E96D078F5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E535" authorId="0" shapeId="0" xr:uid="{D94BBEED-88E7-4774-AD85-1EDFAB9260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535" authorId="0" shapeId="0" xr:uid="{C3225987-23D9-44EF-B396-BA204E75FF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E536" authorId="0" shapeId="0" xr:uid="{5AC15889-51F3-4E45-A5EA-3B80E9B206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536" authorId="0" shapeId="0" xr:uid="{0ED3C7E4-84E8-4409-9661-DE54B4AE11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X536" authorId="0" shapeId="0" xr:uid="{CF5965A6-FD53-4525-AF6A-2CC3AF2531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536" authorId="0" shapeId="0" xr:uid="{061B0062-1A41-4062-96DD-81D8AA80D5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536" authorId="0" shapeId="0" xr:uid="{34F526A4-D136-482F-8D4F-934A1CD722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536" authorId="0" shapeId="0" xr:uid="{1D5436BE-A4F1-4A0E-9131-292D3D54D9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536" authorId="0" shapeId="0" xr:uid="{EF2723C5-F8EE-4A5E-9157-CD12A99F39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536" authorId="0" shapeId="0" xr:uid="{C89EC899-9E94-4D10-A54D-91710788CA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I536" authorId="0" shapeId="0" xr:uid="{A2F1E70C-C59D-4139-A639-A5DBE57429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J536" authorId="0" shapeId="0" xr:uid="{0CF3FB95-2308-4117-858E-ED42987B01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D536" authorId="0" shapeId="0" xr:uid="{117B6F30-BF7C-4C8D-B2A5-0D10397406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E536" authorId="0" shapeId="0" xr:uid="{97E76F32-6D3F-4ADF-B704-CC19D82CC7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E537" authorId="0" shapeId="0" xr:uid="{6DE2AF07-5179-43DD-A9AA-9C8B77EE66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537" authorId="0" shapeId="0" xr:uid="{15EC0614-770A-46B6-8FBD-F4EDCF9149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P537" authorId="0" shapeId="0" xr:uid="{8BBF0B4F-BA8F-419F-981D-AAE8DA7825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Wesizwe Pt Ltd</t>
        </r>
      </text>
    </comment>
    <comment ref="E538" authorId="0" shapeId="0" xr:uid="{FF9BC25C-2C00-40A5-8C3C-3990328EE7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538" authorId="0" shapeId="0" xr:uid="{7974C177-5B70-4171-8486-C2CA19D6B0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H538" authorId="0" shapeId="0" xr:uid="{7A84314E-8A21-4B5C-AC9D-5B41922CB8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QuadraFNX, taken over by KGHM</t>
        </r>
      </text>
    </comment>
    <comment ref="DP538" authorId="0" shapeId="0" xr:uid="{81F95D9D-89F3-41A5-BED9-15C264BE42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2015 Aquarius Platinum data</t>
        </r>
      </text>
    </comment>
    <comment ref="E539" authorId="0" shapeId="0" xr:uid="{9DDE934B-9425-442D-BAFF-33346183FE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539" authorId="0" shapeId="0" xr:uid="{F30B3A5D-CA50-4DCF-BB08-395EB0B763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H539" authorId="0" shapeId="0" xr:uid="{0803D2F7-93B1-4DB0-A8D5-A7B39E5020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QuadraFNX, taken over by KGHM</t>
        </r>
      </text>
    </comment>
    <comment ref="E540" authorId="0" shapeId="0" xr:uid="{79F677C9-4B95-44E5-8DDF-48EA61DECE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(2009-01)</t>
        </r>
      </text>
    </comment>
    <comment ref="F540" authorId="0" shapeId="0" xr:uid="{6381852E-D69A-424B-8AE8-FAFFB2CAE7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(2009-01)</t>
        </r>
      </text>
    </comment>
    <comment ref="C542" authorId="0" shapeId="0" xr:uid="{D06562B1-84DF-4696-B8CD-EE90CEC62C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USGS call this site "La Sampala"</t>
        </r>
      </text>
    </comment>
    <comment ref="H542" authorId="0" shapeId="0" xr:uid="{183EDCC0-A184-4E3D-BCD0-04B285B1FE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 Rio Tinto-led joint venture</t>
        </r>
      </text>
    </comment>
    <comment ref="X544" authorId="0" shapeId="0" xr:uid="{22253514-C6FC-4824-83EE-C09E9782CA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544" authorId="0" shapeId="0" xr:uid="{034505D4-96A3-49F6-88B8-833680BB44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544" authorId="0" shapeId="0" xr:uid="{73515908-C459-4BD5-8356-9431D9DA12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544" authorId="0" shapeId="0" xr:uid="{AF8432F5-CDC8-4E7A-A12B-11B36227DB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544" authorId="0" shapeId="0" xr:uid="{3B907503-A121-4DC3-8793-4D4D167571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544" authorId="0" shapeId="0" xr:uid="{83B1F3F0-BE6E-4F95-A22E-C234991B94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P544" authorId="0" shapeId="0" xr:uid="{44C3F124-D2AF-45C3-A59F-62044A7E43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Platinum Australia</t>
        </r>
      </text>
    </comment>
    <comment ref="H546" authorId="0" shapeId="0" xr:uid="{73CB847A-4F1E-4EED-BDC1-D4841D6B38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Northern Mining Ltd; then KGHM</t>
        </r>
      </text>
    </comment>
    <comment ref="DP547" authorId="0" shapeId="0" xr:uid="{FEAB46D0-E589-45A7-B672-1E0C9B016A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including 2017 data for Merensky-UG2 ore spit</t>
        </r>
      </text>
    </comment>
    <comment ref="H552" authorId="0" shapeId="0" xr:uid="{EE961FEF-C440-4F53-9521-E567DFA495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Talvivaara Plc before its bankruptcy</t>
        </r>
      </text>
    </comment>
    <comment ref="X555" authorId="0" shapeId="0" xr:uid="{D6CF40AE-DCA7-493C-AF40-FE90BAB717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555" authorId="0" shapeId="0" xr:uid="{41324BD3-1A11-476B-9F3E-C44A61BFE0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555" authorId="0" shapeId="0" xr:uid="{4EE68A33-041F-4477-8480-EFDFC50CDD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555" authorId="0" shapeId="0" xr:uid="{BE59AAFB-4F94-4457-8F97-1830D1659E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555" authorId="0" shapeId="0" xr:uid="{F4DA072A-F6A1-4865-B0FE-8DE27FD270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555" authorId="0" shapeId="0" xr:uid="{A4D025F1-60D1-4CFE-A3F9-977E3E21C4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I555" authorId="0" shapeId="0" xr:uid="{1246686B-266D-4CB3-8CCE-CC0B9C6609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J555" authorId="0" shapeId="0" xr:uid="{07030320-E837-4DE0-A3FC-BD13DF89D5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D555" authorId="0" shapeId="0" xr:uid="{ADE3A650-9377-425F-84EC-26983B2ED6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E555" authorId="0" shapeId="0" xr:uid="{6F86BCA2-1220-4A06-AC62-E3A9020B94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P556" authorId="0" shapeId="0" xr:uid="{C357AA38-88B3-4DE0-8F14-6BD97B2CCF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Anglo American Platinum data</t>
        </r>
      </text>
    </comment>
    <comment ref="H559" authorId="0" shapeId="0" xr:uid="{5D773894-8F33-4341-B2E3-0159C34490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Magma Metals</t>
        </r>
      </text>
    </comment>
    <comment ref="C563" authorId="0" shapeId="0" xr:uid="{CCBC3048-5BA7-4798-9A63-2C10D2CC0F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also includes Sipilou, Bankouba</t>
        </r>
      </text>
    </comment>
    <comment ref="DP563" authorId="0" shapeId="0" xr:uid="{492995C5-C495-49CB-9934-D5095B7B75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Caledonia Mining Corp.</t>
        </r>
      </text>
    </comment>
    <comment ref="DP565" authorId="0" shapeId="0" xr:uid="{F5BBB67C-0959-4A45-B888-2F47923F29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Wesizwe Pt Ltd</t>
        </r>
      </text>
    </comment>
    <comment ref="BB567" authorId="0" shapeId="0" xr:uid="{6B50B977-C874-4F4A-8AC3-D8C92CE8F9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C567" authorId="0" shapeId="0" xr:uid="{A7C5836D-F8AB-4F7D-B8A9-E86B264399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I567" authorId="0" shapeId="0" xr:uid="{E7C6BF03-9EE3-4075-B171-E0FF0D89F2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K567" authorId="0" shapeId="0" xr:uid="{592A4956-2E00-4192-8983-E61BDFAA85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L567" authorId="0" shapeId="0" xr:uid="{064526DC-0E8D-40D0-B162-1CE30B0ED6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DP568" authorId="0" shapeId="0" xr:uid="{E0140E9A-C8BC-4FA2-93F4-C25C53044B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Blackthorn Resources Ltd</t>
        </r>
      </text>
    </comment>
    <comment ref="H569" authorId="0" shapeId="0" xr:uid="{DE03B521-6A75-4381-BE33-455967FE74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Hard Creek Nickel Corp</t>
        </r>
      </text>
    </comment>
    <comment ref="BB569" authorId="0" shapeId="0" xr:uid="{58120A57-7922-4295-A70C-A9D9A1C7CD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C569" authorId="0" shapeId="0" xr:uid="{D5778CAD-AFD7-4359-A5F1-2670A904AF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I569" authorId="0" shapeId="0" xr:uid="{BB3AB9C4-AF61-46E4-BB8E-044B739F7E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K569" authorId="0" shapeId="0" xr:uid="{93B60549-F15D-4639-AC41-2CE67C09C3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L569" authorId="0" shapeId="0" xr:uid="{B7AE960E-AE2B-4EE1-A80B-B34F6A1F88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M570" authorId="0" shapeId="0" xr:uid="{48C35B17-3DDD-4535-BC12-3F4C0C619B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U570" authorId="0" shapeId="0" xr:uid="{C3222088-503E-4840-B715-DCF26ADFC7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V570" authorId="0" shapeId="0" xr:uid="{FC8632B9-5956-4F00-B3BF-62043638E2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W570" authorId="0" shapeId="0" xr:uid="{16566CF5-CA80-47D0-B264-20B9991DD9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AH570" authorId="0" shapeId="0" xr:uid="{29763C78-BBF5-4345-BF4E-83089FB90A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AP570" authorId="0" shapeId="0" xr:uid="{B0474EB9-8120-4133-97A9-37E7EF0259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AQ570" authorId="0" shapeId="0" xr:uid="{AD875E7B-D485-4F75-AF14-A7EBBAA3EB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AR570" authorId="0" shapeId="0" xr:uid="{D6DB7243-95B2-46C8-907F-1977EFB131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BC570" authorId="0" shapeId="0" xr:uid="{7BDF7D18-BED0-4EF2-9989-B883D1685B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BK570" authorId="0" shapeId="0" xr:uid="{B41AC9A5-B25C-4A60-B640-BE8732E2A7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BL570" authorId="0" shapeId="0" xr:uid="{0A1E9B38-6D8C-46B1-9052-EE365250EE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BM570" authorId="0" shapeId="0" xr:uid="{64ADD4E8-3C4B-4DAB-846B-E6D03C81AD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BX570" authorId="0" shapeId="0" xr:uid="{3B4BEB57-90A3-4EDA-8928-BB76BB9D96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CF570" authorId="0" shapeId="0" xr:uid="{89A816A2-3F66-4E31-9DD5-67CFF3E540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CG570" authorId="0" shapeId="0" xr:uid="{F000099D-4152-447B-B8B0-08F8106F4A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CH570" authorId="0" shapeId="0" xr:uid="{53A70CA5-D7A3-450A-AB52-7A4CA62374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CS570" authorId="0" shapeId="0" xr:uid="{9624A0A2-E08F-46E4-92F3-209FEDC273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DA570" authorId="0" shapeId="0" xr:uid="{398F1EA4-D7F1-4A34-B276-D0699E7533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DB570" authorId="0" shapeId="0" xr:uid="{FB012683-6869-4B8F-868B-F0A252C3BF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DC570" authorId="0" shapeId="0" xr:uid="{1B8DF943-371C-4BD5-AEE5-97ACEF573C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L571" authorId="0" shapeId="0" xr:uid="{76F66E26-21BA-47C2-8B06-1ABBD8D67E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S571" authorId="0" shapeId="0" xr:uid="{EF93F9E3-AF8F-48C5-83DA-94A31FAB77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AG571" authorId="0" shapeId="0" xr:uid="{CC678CFA-D107-4CB0-B8B5-1C4A8EC395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AN571" authorId="0" shapeId="0" xr:uid="{46BBF1D7-BE51-485B-86DC-D70AC2BB47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BB571" authorId="0" shapeId="0" xr:uid="{6357BBB1-1AF4-4A5A-8661-410C2CBF88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BI571" authorId="0" shapeId="0" xr:uid="{EAB31EE1-9E88-44FD-9B0F-7DC9958AE9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DP572" authorId="0" shapeId="0" xr:uid="{CE75837C-BFD0-452C-9C45-18599005BA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Thabex</t>
        </r>
      </text>
    </comment>
    <comment ref="M573" authorId="1" shapeId="0" xr:uid="{3CDF9A5D-B80C-4E1C-9AAF-6D52AADE31D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T573" authorId="1" shapeId="0" xr:uid="{6309E10D-BA93-4327-B869-2A8CD91D5C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U573" authorId="1" shapeId="0" xr:uid="{EBD5071E-A834-4367-94DD-315C1E1CD4E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V573" authorId="1" shapeId="0" xr:uid="{AD182B4A-6085-4DA9-91AC-D61805DE84C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W573" authorId="1" shapeId="0" xr:uid="{7504E838-3609-4359-A620-D8DBBFC8C5B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H573" authorId="1" shapeId="0" xr:uid="{4651A62E-8CD6-44FB-B349-B0CF62B67EC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O573" authorId="1" shapeId="0" xr:uid="{79E9C848-C0B8-4BF7-9AE4-58B0866B3F9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P573" authorId="1" shapeId="0" xr:uid="{CA4F4E81-2BF9-4DFF-8504-A161B119819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Q573" authorId="1" shapeId="0" xr:uid="{744CE0EA-1941-4201-9D94-077803C8C05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R573" authorId="1" shapeId="0" xr:uid="{3C6FF9C9-F38F-45F7-9E3E-563F3D76521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C573" authorId="1" shapeId="0" xr:uid="{A668C163-6625-4241-98DA-17AF7DECFB7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J573" authorId="1" shapeId="0" xr:uid="{2A827849-7CBC-4ECA-BEA1-EB0871DD055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K573" authorId="1" shapeId="0" xr:uid="{B799F0C8-DB0B-4350-96E2-2D4C8A1DC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L573" authorId="1" shapeId="0" xr:uid="{99FEC395-D238-4363-B3FE-1D1241B31D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M573" authorId="1" shapeId="0" xr:uid="{B0B648B1-7124-44B5-B9AE-FD4A33A24D6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X573" authorId="1" shapeId="0" xr:uid="{4ACAFCE9-6A14-45E3-A6A1-D79F36F0BCF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E573" authorId="1" shapeId="0" xr:uid="{0F897AB2-F959-448C-872D-EF9157A3274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F573" authorId="1" shapeId="0" xr:uid="{9B57153E-46EC-41D3-AB4B-99A0F9C8F26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G573" authorId="1" shapeId="0" xr:uid="{FB698473-FDBA-4540-B098-375654D2F5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H573" authorId="1" shapeId="0" xr:uid="{3EF679DB-6BDC-40AA-B1D3-2425C99F885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S573" authorId="1" shapeId="0" xr:uid="{083A8D7B-7F3F-4E79-87F1-3189C82E1D2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Z573" authorId="1" shapeId="0" xr:uid="{55ADA359-281A-4D66-9E05-34531A26D8F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DA573" authorId="1" shapeId="0" xr:uid="{0550C7B7-F1EC-4425-BFA9-07F581786C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DB573" authorId="1" shapeId="0" xr:uid="{9A3B8B04-6A15-4D1D-B46F-24998DFF0E8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DC573" authorId="1" shapeId="0" xr:uid="{6DA5CE7F-93A9-4723-9770-1AA72CC0F7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U574" authorId="0" shapeId="0" xr:uid="{E2C28F21-F681-4C96-84CE-B34A817D55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is %V2O5</t>
        </r>
      </text>
    </comment>
    <comment ref="H575" authorId="0" shapeId="0" xr:uid="{62DB9635-06A7-4D40-8B43-60A162007C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Diamond Fields International Inc, sold to unnamed buyer in Dec. 2017</t>
        </r>
      </text>
    </comment>
    <comment ref="DP576" authorId="1" shapeId="0" xr:uid="{E7733A6B-56E2-4362-AEF4-FE7401EF098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BC577" authorId="0" shapeId="0" xr:uid="{5BC57CDB-9010-4E29-828C-41055822C8B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(2017)</t>
        </r>
      </text>
    </comment>
    <comment ref="BK577" authorId="0" shapeId="0" xr:uid="{F1FCD366-5841-48B9-8CCA-1A097B179E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(2017)</t>
        </r>
      </text>
    </comment>
    <comment ref="BL577" authorId="0" shapeId="0" xr:uid="{38B71A86-15B2-4811-877B-B1F84FCA7A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(2017)</t>
        </r>
      </text>
    </comment>
    <comment ref="DP577" authorId="1" shapeId="0" xr:uid="{18567C27-6FF1-482C-B396-C204D30152C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DP578" authorId="1" shapeId="0" xr:uid="{CCC333ED-4125-481D-919F-99CFA7559E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BA579" authorId="0" shapeId="0" xr:uid="{6523CA07-DE0C-41F3-B5E1-796F492E2B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579" authorId="0" shapeId="0" xr:uid="{769B0137-364F-4502-A8F4-0B2C45E8C8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79" authorId="0" shapeId="0" xr:uid="{12AE8B76-9297-4BE1-AFFF-456D1913F6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80" authorId="0" shapeId="0" xr:uid="{DF57959D-26CC-44E8-9F13-9FA038547B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580" authorId="0" shapeId="0" xr:uid="{9CFFDEBA-0704-40F7-8F3B-4E85695C9C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80" authorId="0" shapeId="0" xr:uid="{83E25538-F0A3-410D-B437-C438AFD49A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81" authorId="0" shapeId="0" xr:uid="{AE116471-84BD-425E-AC8E-D81634BBD7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581" authorId="0" shapeId="0" xr:uid="{647E9764-9FC3-49A0-8DC2-3AD5DC89B4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81" authorId="0" shapeId="0" xr:uid="{E476FBFE-E2AD-4647-BC3D-6740C0F600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581" authorId="0" shapeId="0" xr:uid="{22170973-E2B2-4D6A-B85B-5ED5403017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82" authorId="0" shapeId="0" xr:uid="{9372336E-9D26-40D7-9D2E-836AA8CBB6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582" authorId="0" shapeId="0" xr:uid="{FD8ECD2B-1936-4597-892A-2B753AE390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82" authorId="0" shapeId="0" xr:uid="{65ECAD2F-75F5-439D-AD61-4787BDBA3A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582" authorId="0" shapeId="0" xr:uid="{68D86E64-EED9-4B90-9013-C59E1819D7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87" authorId="0" shapeId="0" xr:uid="{F313C680-DE4D-4E76-BCC9-44C860A93F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I587" authorId="0" shapeId="0" xr:uid="{8BE4AB47-FC0E-4CCE-BA7F-81FF960A43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J587" authorId="0" shapeId="0" xr:uid="{96662FAF-5CA0-4D97-ACBA-51E801DA40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M589" authorId="0" shapeId="0" xr:uid="{90DDD35A-2A71-4553-852D-FC8159CF37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U589" authorId="0" shapeId="0" xr:uid="{AAAA5B6C-B9C6-4A4C-BC5A-FEAC633433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V589" authorId="0" shapeId="0" xr:uid="{3A594B60-CF11-4270-B637-5B69ABB5A8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AH589" authorId="0" shapeId="0" xr:uid="{1E5C216F-3FE1-4658-B5CB-141D83A471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AP589" authorId="0" shapeId="0" xr:uid="{D23E1BAC-61B6-445A-81B4-493924B881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AQ589" authorId="0" shapeId="0" xr:uid="{1ED739F0-26E9-4ACA-A497-397632187A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BC589" authorId="0" shapeId="0" xr:uid="{D99986F1-18FD-4700-81E6-AB80A208E0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BK589" authorId="0" shapeId="0" xr:uid="{8E8DFE2E-256F-4CDF-A19E-AD32F77C62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BL589" authorId="0" shapeId="0" xr:uid="{C8DC8F59-9E83-4F10-81BC-59F52016D5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BA590" authorId="0" shapeId="0" xr:uid="{97EAC3EF-CFA8-4340-9AF5-1D90AE2AC4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90" authorId="0" shapeId="0" xr:uid="{66207A38-DF1E-4EF9-966D-3D780B5212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590" authorId="0" shapeId="0" xr:uid="{CE0ECA8D-E419-4F1E-AC37-5516C61B6C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591" authorId="0" shapeId="0" xr:uid="{5CE1FEB0-1BAF-44FE-8404-27C7EAC47C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Proto Resources Ltd, then GME Resources Ltd, now no-one (apparently).</t>
        </r>
      </text>
    </comment>
    <comment ref="BA591" authorId="0" shapeId="0" xr:uid="{5B47F8E7-D30F-4C62-8D19-84B2AE7998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BI591" authorId="0" shapeId="0" xr:uid="{9BE41DB3-1B84-4E86-8486-AB9CB54BD4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DP591" authorId="0" shapeId="0" xr:uid="{C727C159-13E5-49DA-9F5C-68EBBD6414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</t>
        </r>
      </text>
    </comment>
    <comment ref="BA592" authorId="0" shapeId="0" xr:uid="{71AAC6B2-722E-4131-8662-1E8E300278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BI592" authorId="0" shapeId="0" xr:uid="{C92F9B06-8A44-4227-BB6A-3F01C376620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DP592" authorId="0" shapeId="0" xr:uid="{F8C3EB60-D167-4C83-8224-3ED951009B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</t>
        </r>
      </text>
    </comment>
    <comment ref="BA593" authorId="0" shapeId="0" xr:uid="{1DB75ABE-1473-4C09-B7ED-EC5EC9C4EF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593" authorId="0" shapeId="0" xr:uid="{FCA8B8F3-06BC-46DF-BC00-B1DF01042E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data from Singer et al (2009)</t>
        </r>
      </text>
    </comment>
    <comment ref="BG593" authorId="0" shapeId="0" xr:uid="{9200DD72-2C4A-4DA3-9755-7B060508A3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data from Singer et al (2009)</t>
        </r>
      </text>
    </comment>
    <comment ref="BI593" authorId="0" shapeId="0" xr:uid="{C1356752-BE15-4947-AA02-B0BEAC6889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593" authorId="0" shapeId="0" xr:uid="{BBAC58A5-D625-49AF-92EB-0C7A59DDED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data from Singer et al (2009)</t>
        </r>
      </text>
    </comment>
    <comment ref="BA594" authorId="0" shapeId="0" xr:uid="{3C3B7A45-8FD3-4C70-8D83-48D0529231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594" authorId="0" shapeId="0" xr:uid="{9AC15FCA-9C74-4EFB-8727-E51007E7F3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4" authorId="0" shapeId="0" xr:uid="{55C730E1-E376-4F95-B8A1-67E29D66C4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94" authorId="0" shapeId="0" xr:uid="{53C5095F-6AB6-4F53-AE45-CBFFBB39EE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94" authorId="0" shapeId="0" xr:uid="{12C1F4FA-78C1-406F-AF46-3123026C5D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594" authorId="0" shapeId="0" xr:uid="{F7194842-996C-447F-8526-A1DAAE673D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95" authorId="0" shapeId="0" xr:uid="{EC05B5F8-A7AA-4724-814B-C17331A821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95" authorId="0" shapeId="0" xr:uid="{2E027909-0A03-4C58-9FE1-71FA187C0E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595" authorId="0" shapeId="0" xr:uid="{272B578A-92E0-41DA-AF12-F8212D80E9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96" authorId="0" shapeId="0" xr:uid="{933BFEA9-6C00-4E3F-AADA-AD9D54A064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96" authorId="0" shapeId="0" xr:uid="{7506D50C-8433-47FE-BAB8-A9F3B7305C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597" authorId="0" shapeId="0" xr:uid="{CEE56CF5-3DBA-4520-872A-D9328BA604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97" authorId="0" shapeId="0" xr:uid="{58BF3D4B-FCF5-4BD9-9AD3-3FDABCE65A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L598" authorId="0" shapeId="0" xr:uid="{3423B6FE-F015-41F6-B140-59931C23F7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M598" authorId="0" shapeId="0" xr:uid="{AE473760-7C7C-4DFA-B43F-E1D7E25ECF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S598" authorId="0" shapeId="0" xr:uid="{1B0B1CEB-62B4-49B9-A4E6-9C3BC48581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W598" authorId="0" shapeId="0" xr:uid="{4996589A-7689-4A18-96FA-81EE71441A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G598" authorId="0" shapeId="0" xr:uid="{91EE9629-8AD3-4EFF-9F3A-8FFB4D0914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H598" authorId="0" shapeId="0" xr:uid="{4EEDA662-BA9E-4C21-9F35-DFC4BF26B8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N598" authorId="0" shapeId="0" xr:uid="{4454C524-EDE2-4ECA-B054-69AB125885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R598" authorId="0" shapeId="0" xr:uid="{894BE56C-C65A-46E4-AE55-1D99F90E42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B598" authorId="0" shapeId="0" xr:uid="{69E50E20-C868-454C-BC3D-072E889586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C598" authorId="0" shapeId="0" xr:uid="{9B1710AC-C20D-4DC0-89D3-6C980BB3C8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I598" authorId="0" shapeId="0" xr:uid="{D8F6A066-94BB-48DF-AA32-158E35574E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M598" authorId="0" shapeId="0" xr:uid="{3BA147B6-946C-400D-AB05-E33B896F40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W598" authorId="0" shapeId="0" xr:uid="{CFE31F5A-71CC-453D-BD24-575BC371C4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X598" authorId="0" shapeId="0" xr:uid="{1D92E216-2999-4DC6-89E1-2AFD0DA8E2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D598" authorId="0" shapeId="0" xr:uid="{7E25E9C6-DC46-400D-9301-D471B8E39A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H598" authorId="0" shapeId="0" xr:uid="{D9AF3120-D533-474E-B2B8-CBF79A4B3D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R598" authorId="0" shapeId="0" xr:uid="{740017F6-E3EC-4C5B-B14D-90EDD5BB9D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S598" authorId="0" shapeId="0" xr:uid="{FA639701-7FAD-46B7-8C3A-51C0421B95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Y598" authorId="0" shapeId="0" xr:uid="{1B989B30-31BA-4CA0-8804-9F7DC4DB55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DC598" authorId="0" shapeId="0" xr:uid="{2D5E970A-3442-4415-BE6C-0569946B35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A599" authorId="0" shapeId="0" xr:uid="{0B295127-A9C5-44C3-A897-ED07FC4A27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599" authorId="0" shapeId="0" xr:uid="{58248627-F415-4AF6-93E0-A0085F0066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599" authorId="0" shapeId="0" xr:uid="{9B954F42-A5A3-41D4-82F0-C0E4FAE550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00" authorId="0" shapeId="0" xr:uid="{CA2EC60E-1AC2-4362-858C-39BC9CE66A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00" authorId="0" shapeId="0" xr:uid="{506AD6A1-0A11-4411-8D8B-69B8EFDF1A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00" authorId="0" shapeId="0" xr:uid="{43CD804F-7F3A-4002-954B-37C2E43469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H601" authorId="0" shapeId="0" xr:uid="{79B9C46A-ACBF-4D41-97EA-23A6EF08F3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Global Cobalt Corp was formerly known as Puget Ventures Inc.</t>
        </r>
      </text>
    </comment>
    <comment ref="H602" authorId="0" shapeId="0" xr:uid="{7D510019-BA22-4DCD-B172-71BCB60AE1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Puget Ventures Inc.</t>
        </r>
      </text>
    </comment>
    <comment ref="U602" authorId="0" shapeId="0" xr:uid="{6F569191-7FE0-4BA1-B017-85258A6E58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V602" authorId="0" shapeId="0" xr:uid="{A0FD1103-FE9D-4DAD-9BF2-150C4E4421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AP602" authorId="0" shapeId="0" xr:uid="{2152421F-F085-4D84-9A2F-4412805F23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AQ602" authorId="0" shapeId="0" xr:uid="{77396ABA-0E1E-407D-9D14-D027DC2871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BJ602" authorId="1" shapeId="0" xr:uid="{297C7801-AFB7-4546-B72A-E2EC5665760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Tech Rep (2016-06)</t>
        </r>
      </text>
    </comment>
    <comment ref="BK602" authorId="0" shapeId="0" xr:uid="{88F263A4-1E60-4A91-8AD7-95E4129383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BL602" authorId="0" shapeId="0" xr:uid="{42FCE33D-6198-47EB-B3D0-8AC7B7A44C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DA602" authorId="0" shapeId="0" xr:uid="{0F9D9A6E-11CA-464B-BEF0-547410B6AA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DB602" authorId="0" shapeId="0" xr:uid="{3199DBAB-02EF-4D19-A3D7-409731BDF6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M603" authorId="0" shapeId="0" xr:uid="{3FA60EF4-8486-4333-AC84-7BC5B69CC4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N603" authorId="0" shapeId="0" xr:uid="{8709D418-2976-457B-BD1F-F19F482F8A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T603" authorId="0" shapeId="0" xr:uid="{668A9CC8-46C6-443F-BF43-D009A23BC8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U603" authorId="0" shapeId="0" xr:uid="{E5C2B3F8-BFA8-4188-8656-C6507F92BC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V603" authorId="0" shapeId="0" xr:uid="{CD4456CC-D7F3-4E39-A8FC-08B753176B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H603" authorId="0" shapeId="0" xr:uid="{61DABE85-9F5E-4319-9FDD-7DF15CC2EC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I603" authorId="0" shapeId="0" xr:uid="{158430F8-331D-45C3-A927-322456C3D2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O603" authorId="0" shapeId="0" xr:uid="{CE59FA1C-88CD-4D6E-8D18-6643927915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P603" authorId="0" shapeId="0" xr:uid="{67396B43-80BC-4F6C-9D15-BF32E50E61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Q603" authorId="0" shapeId="0" xr:uid="{32298AA1-EBB8-4608-9136-24E991B37E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C603" authorId="0" shapeId="0" xr:uid="{4FFEB036-5746-4477-BF3C-AD3028533A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D603" authorId="0" shapeId="0" xr:uid="{259A006B-6E9C-409A-B7F8-B5BF855136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J603" authorId="0" shapeId="0" xr:uid="{30D6E8C6-6947-4073-AB93-8D3A617C503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K603" authorId="0" shapeId="0" xr:uid="{4F2B3134-472D-4A98-A4EF-18BA132EBA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L603" authorId="0" shapeId="0" xr:uid="{CAB2C4E0-AC49-4836-93F3-51104842B5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H604" authorId="0" shapeId="0" xr:uid="{2B9D0C97-4838-49E4-A312-9CE41B5675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I604" authorId="0" shapeId="0" xr:uid="{4B13CCF9-4C93-4AD3-8362-E8831D91D0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O604" authorId="0" shapeId="0" xr:uid="{6C7B16BD-935D-4EE3-9324-70FC932AA9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P604" authorId="0" shapeId="0" xr:uid="{E33E8A37-D8EA-4A99-AA8B-7C83E2D5E2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Q604" authorId="0" shapeId="0" xr:uid="{C67D4B5B-4D13-48F2-96BD-671288801F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C604" authorId="0" shapeId="0" xr:uid="{45C044B1-4B86-4A5E-97EA-4D53E71ABE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D604" authorId="0" shapeId="0" xr:uid="{E787B0B6-0C93-4131-B827-5C7A9BF936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J604" authorId="0" shapeId="0" xr:uid="{10EC6D42-326F-41CA-932F-6B35C83DD8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K604" authorId="0" shapeId="0" xr:uid="{9E7332DD-2C6A-444B-95B5-66ACDB38F2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L604" authorId="0" shapeId="0" xr:uid="{6A83E34D-52D7-4F2C-A12B-E7DB12FE36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K605" authorId="0" shapeId="0" xr:uid="{27855619-5247-48FB-9056-8CAC8C3AF2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AF605" authorId="0" shapeId="0" xr:uid="{6C0225A2-2E7A-4308-A609-0A8C93420C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BA605" authorId="0" shapeId="0" xr:uid="{9B5E67A5-AAA5-4B38-82C8-2A52D1116C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BB605" authorId="0" shapeId="0" xr:uid="{0EFA9DFC-E5AC-4303-858C-CF610AF46D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BC605" authorId="0" shapeId="0" xr:uid="{5512F2BD-BFD5-4FC4-8466-93323B4F95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BI605" authorId="0" shapeId="0" xr:uid="{E5204726-C95C-4ED0-9396-91F0550E6C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BJ605" authorId="0" shapeId="0" xr:uid="{7B1E3BB4-A88B-4549-A88C-365AD58CDF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BK605" authorId="0" shapeId="0" xr:uid="{A5480224-1807-473A-B82C-D9090E2086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BL605" authorId="0" shapeId="0" xr:uid="{CBBA936F-8C0C-44AA-BF3F-2DB9D80901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BA608" authorId="0" shapeId="0" xr:uid="{E829BA0E-1E7F-40FC-B43F-745710D96D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08" authorId="0" shapeId="0" xr:uid="{E83941B1-2150-4CB0-B5F9-1F321229A4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08" authorId="1" shapeId="0" xr:uid="{494F1468-B882-4A41-A9F1-0D0F8D72709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using average ratio of 3.30:1 Cu:Ni for Duluth Complex deposits (from Miller et al 2002)</t>
        </r>
      </text>
    </comment>
    <comment ref="C609" authorId="0" shapeId="0" xr:uid="{AF9496DD-8FD8-46AC-A9D0-A9D5806257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Mount Windarra, South Windarra, Cerberus</t>
        </r>
      </text>
    </comment>
    <comment ref="BA609" authorId="0" shapeId="0" xr:uid="{4F654862-CB13-40A6-B85D-FDCEF8CA68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09" authorId="0" shapeId="0" xr:uid="{B3CF2FF0-A85C-4CDF-9740-D98474DE7E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11" authorId="0" shapeId="0" xr:uid="{8CF8F208-812E-40E8-AE08-BEB7D19DF4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1" authorId="0" shapeId="0" xr:uid="{F4C0423B-9B53-4318-8464-95251C5EE5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1" authorId="0" shapeId="0" xr:uid="{6C793991-8889-4529-95DF-297A4149D2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12" authorId="0" shapeId="0" xr:uid="{2C79D332-D792-4EE0-B3D2-318929CCF4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2" authorId="0" shapeId="0" xr:uid="{84632A4F-997F-42F0-A1EA-581E2CB749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D612" authorId="0" shapeId="0" xr:uid="{E6250A49-8A05-4261-8DB8-63CF8ACEEC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2" authorId="0" shapeId="0" xr:uid="{A955CB82-2B7E-43B7-B0C5-E6F3BB6C84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13" authorId="0" shapeId="0" xr:uid="{4A2A4F58-AAB6-41E0-AEB2-A737839331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3" authorId="0" shapeId="0" xr:uid="{7525E431-D000-4F4D-918E-7DBB59B89B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3" authorId="0" shapeId="0" xr:uid="{98933075-2249-426F-87EC-33904D6C05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14" authorId="0" shapeId="0" xr:uid="{4CE60C1E-F8D7-4DC2-8123-6434017750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4" authorId="0" shapeId="0" xr:uid="{9D7A910D-1680-4BD8-9330-F70B7E8EB3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4" authorId="0" shapeId="0" xr:uid="{8F5500A8-D954-413A-9A89-D8BA2E647B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15" authorId="0" shapeId="0" xr:uid="{489227AB-3C17-4430-9C0A-B34F93F965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5" authorId="0" shapeId="0" xr:uid="{E428FA2F-4CA4-4045-BE93-FC70682095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5" authorId="0" shapeId="0" xr:uid="{36AC7ACD-F486-4751-9469-7358DC6CEA3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16" authorId="0" shapeId="0" xr:uid="{E8D88375-FE7F-4561-8FBD-EF21FCD372C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6" authorId="0" shapeId="0" xr:uid="{869B8695-8BCC-497A-AF25-A8A40D4FDE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6" authorId="0" shapeId="0" xr:uid="{2CD84383-99F3-4C88-86D3-13DE78D461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616" authorId="0" shapeId="0" xr:uid="{74DD1EC4-7FF0-4EFA-B986-5B53F96A19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17" authorId="0" shapeId="0" xr:uid="{DAEAE416-9D81-44D4-B04C-A8E75EF99F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7" authorId="0" shapeId="0" xr:uid="{856C70B0-A779-4D68-9A07-D993FCF96C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7" authorId="0" shapeId="0" xr:uid="{7C2F1FFF-D094-49DA-83E6-1C9A1B733E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617" authorId="0" shapeId="0" xr:uid="{F67B82F6-92BE-426E-86FF-223988A7FD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618" authorId="0" shapeId="0" xr:uid="{DED590E8-82AF-4042-B0CF-02FB165369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8" authorId="0" shapeId="0" xr:uid="{6D7A9368-E0A3-478A-AEC6-0D61F10F3C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8" authorId="0" shapeId="0" xr:uid="{7C35182D-B2C7-4039-A7F2-DE802F03A8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P618" authorId="1" shapeId="0" xr:uid="{0EE7724E-75B4-429F-91A7-FD29D5C6B86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Nevoro, which became Starfield Resources - now bankrupt</t>
        </r>
      </text>
    </comment>
    <comment ref="H619" authorId="0" shapeId="0" xr:uid="{27E4A6D8-4D80-42B5-8EBE-66E41B1F2C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between European Nickel plc (40%), Rusina Mining (40%), Local Business (20%); current ownership unclear</t>
        </r>
      </text>
    </comment>
    <comment ref="BA619" authorId="0" shapeId="0" xr:uid="{7F217156-3D29-42B0-84C2-1231FEAF1D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19" authorId="0" shapeId="0" xr:uid="{2619A7C0-9AAC-4D35-A4FC-9F7FBBEE57C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19" authorId="0" shapeId="0" xr:uid="{00723B5E-1A16-4E02-9A6E-C9C1D6E305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P619" authorId="1" shapeId="0" xr:uid="{0B10F1D1-E2F0-4B53-A30F-AB8E5B0789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Nevoro, which became Starfield Resources - now bankrupt</t>
        </r>
      </text>
    </comment>
    <comment ref="H620" authorId="0" shapeId="0" xr:uid="{2F0D628A-079D-4471-BB80-659B16F228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between European Nickel plc (40%), Rusina Mining (40%), Local Business (20%); current ownership unclear</t>
        </r>
      </text>
    </comment>
    <comment ref="BA620" authorId="0" shapeId="0" xr:uid="{03191C0B-F2F0-4126-9342-95BBBEF1F3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620" authorId="0" shapeId="0" xr:uid="{8A457B55-D6E9-4F4C-9EC4-0C3526DBA1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620" authorId="0" shapeId="0" xr:uid="{278EE244-1499-41B9-85E1-7BAF9B7967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K621" authorId="0" shapeId="0" xr:uid="{B51EA654-4BD9-4066-9691-2EF9729148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AF621" authorId="0" shapeId="0" xr:uid="{697602A3-36C6-482A-9455-33FB497425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BA621" authorId="0" shapeId="0" xr:uid="{B9777E0D-431D-4341-AC20-05A63CC56C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BI621" authorId="0" shapeId="0" xr:uid="{AF6116A7-167A-43F1-9731-8E42E4A94A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BV621" authorId="0" shapeId="0" xr:uid="{6F687BF0-FA6E-4392-AC1E-65760E1ACB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CQ621" authorId="0" shapeId="0" xr:uid="{F6FA8D98-6EC5-4351-B2FF-0F8DABC7C9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K624" authorId="0" shapeId="0" xr:uid="{E03BE2B4-8919-48CA-B46F-BBCB003128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measured &amp; indicated resources reported; based on Albidon's Tech Rep (2012-10) - which shows no measured resources</t>
        </r>
      </text>
    </comment>
    <comment ref="AG624" authorId="0" shapeId="0" xr:uid="{2398AA91-67D0-44C1-B01A-79CEAC2C63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O624" authorId="0" shapeId="0" xr:uid="{9D1F60F9-146A-45C0-8802-3D7BC1AB24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P624" authorId="0" shapeId="0" xr:uid="{1DF4B027-4E3A-448F-98E5-BFA6336BFA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Q624" authorId="0" shapeId="0" xr:uid="{612A0E8C-72CF-4DDB-BDF2-64C25093E6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BB624" authorId="0" shapeId="0" xr:uid="{B30FDEE3-0E1F-431E-9FE9-6FA879B6A8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BJ624" authorId="0" shapeId="0" xr:uid="{75BD9BE5-21E3-4890-9141-A3CC2F7368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BK624" authorId="0" shapeId="0" xr:uid="{7C2764C0-75F3-4B4C-8A9A-F1CA6D1C45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BL624" authorId="0" shapeId="0" xr:uid="{23E809E7-D898-4B7A-B1C5-4E03974D65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DP625" authorId="0" shapeId="0" xr:uid="{C3A48367-FFC2-4C1E-9BD9-E400286FD8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Mwana Africa</t>
        </r>
      </text>
    </comment>
    <comment ref="DP626" authorId="0" shapeId="0" xr:uid="{AA9C1304-1EAA-4F48-8EB0-12801DFB7D9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P&amp;P reserves data combined from both Anglo American Plc and Anglo American Platinum Ltd</t>
        </r>
      </text>
    </comment>
    <comment ref="X627" authorId="0" shapeId="0" xr:uid="{F4EE5942-13EC-431E-926B-210018B703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627" authorId="0" shapeId="0" xr:uid="{21DF41EE-C369-4F2B-876C-BEB1C23587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627" authorId="0" shapeId="0" xr:uid="{28854F1A-CF82-4CA9-967C-1245AAC739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627" authorId="0" shapeId="0" xr:uid="{473F796E-267C-41F3-A200-BE4DD801F8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627" authorId="0" shapeId="0" xr:uid="{E4215549-70A2-47DD-95C2-F4BBE277BC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627" authorId="0" shapeId="0" xr:uid="{44EB4BD1-01C4-487B-81E9-C2A38354E6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I627" authorId="0" shapeId="0" xr:uid="{010E374C-5FB3-4D04-9153-6F2FEF24BA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J627" authorId="0" shapeId="0" xr:uid="{646AE69D-08D3-4D9E-9C76-46873941CF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D627" authorId="0" shapeId="0" xr:uid="{56D4B814-7510-444A-B9E1-B59AE3554F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E627" authorId="0" shapeId="0" xr:uid="{8B05C710-1DFB-4C44-9F85-8DA9A41B78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X628" authorId="0" shapeId="0" xr:uid="{5BCB7A04-2D24-4116-A348-E9CEB4BCA8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Y628" authorId="0" shapeId="0" xr:uid="{352395A9-9AD3-4685-BB34-F6D1A32F80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S628" authorId="0" shapeId="0" xr:uid="{336DA8D3-A3CA-400D-A56C-C6FE6AE699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T628" authorId="0" shapeId="0" xr:uid="{C86BC1DE-4002-4B7E-9FDC-47E96755A0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N628" authorId="0" shapeId="0" xr:uid="{3ACB2D1D-B651-4DFC-B833-B01D0A838F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O628" authorId="0" shapeId="0" xr:uid="{44A71C42-AAC9-4578-A88D-35F0B6BBA30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I628" authorId="0" shapeId="0" xr:uid="{B07ABDD2-0EA3-458B-9D5A-A76D24A8C6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J628" authorId="0" shapeId="0" xr:uid="{ACE5A11F-5FD2-4EE6-A037-CC9D5D4EA8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D628" authorId="0" shapeId="0" xr:uid="{4F333D31-59BF-40AA-8259-4492F387B8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E628" authorId="0" shapeId="0" xr:uid="{BE48650F-ED7C-4C5A-8B48-4AA3CA14E6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P629" authorId="0" shapeId="0" xr:uid="{C4817364-AD88-4CE8-B078-E3D35D34A9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CAMEC (Central African Mining &amp; Exploration Company Plc)</t>
        </r>
      </text>
    </comment>
    <comment ref="DP630" authorId="0" shapeId="0" xr:uid="{B238916F-564D-4BD0-B6E0-407ED9B232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CAMEC (Central African Mining &amp; Exploration Company Plc)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Gavin Mudd</author>
    <author>Author</author>
  </authors>
  <commentList>
    <comment ref="D11" authorId="0" shapeId="0" xr:uid="{EE831461-2DDD-3043-B1BC-21B2FF5541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Royal Nickel Corp</t>
        </r>
      </text>
    </comment>
    <comment ref="D12" authorId="0" shapeId="0" xr:uid="{B4A2CC23-047F-0046-B2DB-F678806074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Hanking satte they owj 52.5% of the joint venture but do not state partners</t>
        </r>
      </text>
    </comment>
    <comment ref="D13" authorId="0" shapeId="0" xr:uid="{A2D8793C-6BB8-174B-9660-A00D83EE89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recently filed for bankruptcy protection</t>
        </r>
      </text>
    </comment>
    <comment ref="C14" authorId="0" shapeId="0" xr:uid="{27526110-4EC8-F443-B748-60C5945441A1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Pakal Island, Tanjung Buli, Mornopo, Sangaji</t>
        </r>
      </text>
    </comment>
    <comment ref="D15" authorId="0" shapeId="0" xr:uid="{DF98118C-31BD-954F-8BFC-77B4BEB2AE76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formerly known as Hard Creek Nickel Corp</t>
        </r>
      </text>
    </comment>
    <comment ref="C19" authorId="0" shapeId="0" xr:uid="{6A3D8F01-92F1-644C-978C-34E782F50176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possibly also includes Sipilou, Bankouba</t>
        </r>
      </text>
    </comment>
    <comment ref="D21" authorId="0" shapeId="0" xr:uid="{493C3AC8-ACD6-C540-9318-0A8358EBB65B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owned by Talvivaara Plc before its bankruptcy</t>
        </r>
      </text>
    </comment>
    <comment ref="C25" authorId="0" shapeId="0" xr:uid="{072389F4-88A2-F249-A277-34A00D2F3898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includes Kotselvaara-Kammikivi, Semiletka,
</t>
        </r>
        <r>
          <rPr>
            <sz val="9"/>
            <color rgb="FF000000"/>
            <rFont val="Tahoma"/>
            <family val="2"/>
          </rPr>
          <t>Zhdanovskoye, Zapolyarnoye, Bystrinskoye, Tundrovoye, Sputnik and Verkhneye fields</t>
        </r>
      </text>
    </comment>
    <comment ref="D29" authorId="0" shapeId="0" xr:uid="{AEEC422A-0F7C-2149-BD89-E6F74BF0B6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First Point Minerals Corp</t>
        </r>
      </text>
    </comment>
    <comment ref="C30" authorId="0" shapeId="0" xr:uid="{CBFC549B-DD3E-2247-869A-C5DCDAB0EADB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Lasolo Lalindu, Bahubulu, Tapunopaka, Mandiodo</t>
        </r>
      </text>
    </comment>
    <comment ref="C34" authorId="0" shapeId="0" xr:uid="{56656EBE-B0D1-6F4E-91FE-A957C81CB898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USGS call this site "La Sampala"</t>
        </r>
      </text>
    </comment>
    <comment ref="D34" authorId="0" shapeId="0" xr:uid="{D9661372-4123-804A-8608-41F47AE26198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held by a Rio Tinto-led joint venture</t>
        </r>
      </text>
    </comment>
    <comment ref="D43" authorId="0" shapeId="0" xr:uid="{111EA493-559C-3A47-86DC-889B441ABE1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Minara Resources (Anaconda Nickel), now part of Glencore</t>
        </r>
      </text>
    </comment>
    <comment ref="D46" authorId="0" shapeId="0" xr:uid="{926F5AA3-D150-BD4E-872B-83DF74F3C2F6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long variable corporate history - most recently owned by HudBay Minerals; sold to Solway Group in Sept. 2011</t>
        </r>
      </text>
    </comment>
    <comment ref="C54" authorId="0" shapeId="0" xr:uid="{E2260F6F-AB27-B247-A7CA-1EFF2AE07975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Lasolo Lalindu, Bahubulu, Tapunopaka, Mandiodo</t>
        </r>
      </text>
    </comment>
    <comment ref="C61" authorId="0" shapeId="0" xr:uid="{4CDA9130-65A8-4447-BAE5-6C6C281F5AC0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South: Pequizeiro, Baião, Pequizeiro West, Jacutinga, Vila Oito East, Vila Oito West, Vila Oito; North: Vale do Sonhos</t>
        </r>
      </text>
    </comment>
    <comment ref="D62" authorId="0" shapeId="0" xr:uid="{2946995B-FE6F-9346-B295-4ACBFC1C8D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Anfield Nickel Corp</t>
        </r>
      </text>
    </comment>
    <comment ref="C71" authorId="0" shapeId="0" xr:uid="{4662E3EE-8EC9-FF46-808B-4855178890E8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Bitinckës, Trenit, Kokogllaves, Serpentine, Kapshticës</t>
        </r>
      </text>
    </comment>
    <comment ref="D71" authorId="0" shapeId="0" xr:uid="{32FDB52C-C005-CE46-9390-D8D3FB24C1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Balkan Resources, which became Arian Resources</t>
        </r>
      </text>
    </comment>
    <comment ref="C77" authorId="0" shapeId="0" xr:uid="{A17E26C8-9520-A649-B5E5-DBF6776F4887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Corella, Hannibals, Harrier, Harakka, Wedgetail</t>
        </r>
      </text>
    </comment>
    <comment ref="C78" authorId="0" shapeId="0" xr:uid="{9B92FF79-B701-DF4A-8831-D601373788CA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Pakal Island, Tanjung Buli, Mornopo, Sangaji</t>
        </r>
      </text>
    </comment>
    <comment ref="C84" authorId="1" shapeId="0" xr:uid="{9B94C3A9-301D-9644-B1C5-60A6CDB0F808}">
      <text>
        <r>
          <rPr>
            <b/>
            <sz val="9"/>
            <color rgb="FF000000"/>
            <rFont val="Tahoma"/>
            <family val="2"/>
          </rPr>
          <t>Author: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Kubuk, Gorny, Ikenskoe / Sobolevsky, Vodorazdelny, Maly Kurumkon / Flangovy</t>
        </r>
      </text>
    </comment>
    <comment ref="D86" authorId="0" shapeId="0" xr:uid="{9A7BFFDF-E387-4146-8045-2ABFD22E243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merged in 2013 with Mercator Minerals Ltd, which went bankrupt in 2014</t>
        </r>
      </text>
    </comment>
    <comment ref="D88" authorId="0" shapeId="0" xr:uid="{B6FB9077-0E93-5F4D-B138-E13D9EF9006A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held by Balkan Resources, which became Arian Resources</t>
        </r>
      </text>
    </comment>
    <comment ref="D89" authorId="0" shapeId="0" xr:uid="{7861B393-22F0-454E-89AF-4107F875BE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Americano Nickel Ltd is a private equity holding company; Falcondo previously owned by Falconbridge Ltd, then Xstrata Plc, then Glencore Plc till August 2015 …</t>
        </r>
      </text>
    </comment>
    <comment ref="E89" authorId="0" shapeId="0" xr:uid="{F4D2A750-44A2-4A45-B824-171C51712F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atfer closure in 2013, Americano Nickel has apprently restarted but no information is published.</t>
        </r>
      </text>
    </comment>
    <comment ref="D92" authorId="0" shapeId="0" xr:uid="{A1C18797-9CC9-7B48-A5DF-04D6D7A121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current (late 2019) ownership remains unclear</t>
        </r>
      </text>
    </comment>
    <comment ref="D93" authorId="0" shapeId="0" xr:uid="{E7205E8B-CECD-0F40-846A-DBF09E8ED8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Lithic Metals &amp; Energy</t>
        </r>
      </text>
    </comment>
    <comment ref="D97" authorId="0" shapeId="0" xr:uid="{3AAB4510-1F63-3A40-9BDD-F469F5B51D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part of Sibanye-Stillwater</t>
        </r>
      </text>
    </comment>
    <comment ref="C113" authorId="0" shapeId="0" xr:uid="{E44A50F0-5045-4D42-875F-FA718D1B0206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Trull-Surroj, Mamez, Namen (Nome)-Arren</t>
        </r>
      </text>
    </comment>
    <comment ref="D113" authorId="0" shapeId="0" xr:uid="{C40D3CD8-85CD-1340-A4EA-F3B4505C8DC8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held by Balkan Resources, which became Arian Resources</t>
        </r>
      </text>
    </comment>
    <comment ref="D119" authorId="0" shapeId="0" xr:uid="{F62F9E69-F8A2-7C4C-B289-A0976DCCD8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merged in 2013 with Mercator Minerals Ltd, which went bankrupt in 2014</t>
        </r>
      </text>
    </comment>
    <comment ref="C126" authorId="0" shapeId="0" xr:uid="{05CCE1B7-5884-1A4E-9A6A-9E99E822DF5D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Siphumelele, Khuseleka, Khomanani, Thembelani, Bathopele</t>
        </r>
      </text>
    </comment>
    <comment ref="D144" authorId="0" shapeId="0" xr:uid="{FD293774-D8E8-C247-A94C-F7C56BF4A4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Wesizwe Pt Ltd</t>
        </r>
      </text>
    </comment>
    <comment ref="D155" authorId="0" shapeId="0" xr:uid="{1C735B7F-FEDF-5149-AF63-7E2EAEE314F7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74% interest held by Village Main Reef, but they appear to be bankrupt ...</t>
        </r>
      </text>
    </comment>
    <comment ref="C156" authorId="0" shapeId="0" xr:uid="{24D60835-B0CC-AA47-A8A7-6BA044C0F7DC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includes Oriental, Yagrumaje Oeste, Playa La Vaca y Zona Septentrional, Zona Central, Zona A, Zona A Oeste, Sector 11 Bloques (Yamanigüey Ferroniquel), Sector 5 Bloques (Yamanigüey Ferroniquel), Slurry Plant Road, Zona Sur FerroNi I and II
</t>
        </r>
      </text>
    </comment>
    <comment ref="D157" authorId="0" shapeId="0" xr:uid="{76D81435-69D6-E041-9892-06F6F5832DCF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held by Graynic Metals Plc</t>
        </r>
      </text>
    </comment>
    <comment ref="D161" authorId="0" shapeId="0" xr:uid="{639BAB20-00E1-8644-8E42-CAF17E6F9D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Toledo Mining Corp, which was taken over by DMCI Holdings</t>
        </r>
      </text>
    </comment>
    <comment ref="D162" authorId="0" shapeId="0" xr:uid="{CAF657FB-EE62-E94E-9DD2-77919411DE76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now part of Sibanye-Stillwater</t>
        </r>
      </text>
    </comment>
    <comment ref="D166" authorId="0" shapeId="0" xr:uid="{1922425B-CFE7-1D43-8367-0BA035597173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merged in 2013 with Mercator Minerals Ltd, which went bankrupt in 2014</t>
        </r>
      </text>
    </comment>
    <comment ref="C170" authorId="0" shapeId="0" xr:uid="{36F2EDE2-2631-324F-B267-ECE171B3526F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Bolobolo, Karihatag, Agat South, Agata North</t>
        </r>
      </text>
    </comment>
    <comment ref="C174" authorId="0" shapeId="0" xr:uid="{BC9AD860-87CA-704D-9320-5CF101CDA0AE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La Delta, Centarrana, Santa Teresita</t>
        </r>
      </text>
    </comment>
    <comment ref="D178" authorId="0" shapeId="0" xr:uid="{ADAD9F8F-5E6B-9E43-8C13-E37BE0CAA9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First Quantum Minerals</t>
        </r>
      </text>
    </comment>
    <comment ref="D183" authorId="1" shapeId="0" xr:uid="{38A1551D-4FE5-AA43-85CA-1CEF4124CE1A}">
      <text>
        <r>
          <rPr>
            <b/>
            <sz val="9"/>
            <color rgb="FF000000"/>
            <rFont val="Tahoma"/>
            <family val="2"/>
          </rPr>
          <t>Author: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formerly Nevoro, which became Starfield Resources - now bankrupt</t>
        </r>
      </text>
    </comment>
    <comment ref="D188" authorId="0" shapeId="0" xr:uid="{C2C45053-D800-CB49-ADBB-2425DD52F0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between European Nickel plc (40%), Rusina Mining (40%), Local Business (20%); current ownership unclear</t>
        </r>
      </text>
    </comment>
    <comment ref="C192" authorId="0" shapeId="0" xr:uid="{5C9BFEB6-39AC-4A49-802A-0F6D8CE5ECF1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MMDC - Marcventures Mining &amp; Development Corp</t>
        </r>
      </text>
    </comment>
    <comment ref="D194" authorId="0" shapeId="0" xr:uid="{D50B29D6-DF71-2841-A975-F802567615A1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held by European Nickel Plc</t>
        </r>
      </text>
    </comment>
    <comment ref="D200" authorId="0" shapeId="0" xr:uid="{8FFCFF9D-F33E-E947-9947-5660EB6FC3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QuadraFNX, taken over by KGHM</t>
        </r>
      </text>
    </comment>
    <comment ref="C201" authorId="0" shapeId="0" xr:uid="{CA8C87C8-67F5-0B4E-B96B-2D7C28B59FFD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also reported to contain rare earths, vanadium, lithium and scandium</t>
        </r>
      </text>
    </comment>
    <comment ref="D204" authorId="0" shapeId="0" xr:uid="{AE2C35D9-74D3-F44F-8B41-0E64AE2D294D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a joint venture between European Nickel plc (40%), Rusina Mining (40%), Local Business (20%); current ownership unclear</t>
        </r>
      </text>
    </comment>
    <comment ref="D205" authorId="0" shapeId="0" xr:uid="{C3DA1FA1-955A-8749-81A6-352F29D6ACC7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held by Toledo Mining Corp, which was taken over by DMCI Holdings</t>
        </r>
      </text>
    </comment>
    <comment ref="D211" authorId="1" shapeId="0" xr:uid="{2AA8ED43-44B3-7742-B8B1-E5DCC3CC071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D216" authorId="0" shapeId="0" xr:uid="{C704479B-BC80-9C4A-96F8-C1D29ED4415C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held by Mwana Africa Plc, which was taken over by Asa Resource Group; Asa Resource Group bankrupt, Bindura complex sold to Sotic International Ltd in Oct. 2019</t>
        </r>
      </text>
    </comment>
    <comment ref="D219" authorId="0" shapeId="0" xr:uid="{D427678C-8070-414D-9CCD-F2D7BC7E83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Starfield Resources Ltd (now bankrupt)</t>
        </r>
      </text>
    </comment>
    <comment ref="D225" authorId="0" shapeId="0" xr:uid="{821457EB-2012-1B40-8690-274AA7B7CB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Thabex Ltd</t>
        </r>
      </text>
    </comment>
    <comment ref="D228" authorId="0" shapeId="0" xr:uid="{69611B23-4E4B-0A4B-8F2C-1A5AF74CBCE1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a joint venture between European Nickel plc (40%), Rusina Mining (40%), Local Business (20%); current ownership unclear</t>
        </r>
      </text>
    </comment>
    <comment ref="C229" authorId="0" shapeId="0" xr:uid="{F00C553C-8573-B145-8490-775EC545555D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John Ellis, Merv Daw</t>
        </r>
      </text>
    </comment>
    <comment ref="D239" authorId="0" shapeId="0" xr:uid="{5C58F5CB-11ED-DF42-A5AD-FFDC534F49F6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held by Allegiance Mining, then then Zinifex, then OZ Minerals, then MMG, now Dundas Mining</t>
        </r>
      </text>
    </comment>
    <comment ref="C241" authorId="0" shapeId="0" xr:uid="{60875897-A3B3-C44C-B9B1-CC6336CAF149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Expo, Mesamax, Mequillon, Ivakkak, Allammaq, Puimajuq deposits</t>
        </r>
      </text>
    </comment>
    <comment ref="D241" authorId="0" shapeId="0" xr:uid="{0374AA1E-C982-124C-BBAC-AC212662BE84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held by Goldbrook Ventures, which was taken over by Jilin Jien Nickel in March 2012 - JJN was bankrupt ~2018</t>
        </r>
      </text>
    </comment>
    <comment ref="D250" authorId="0" shapeId="0" xr:uid="{3AF19F87-D01F-4C41-80F8-280AA88509BB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commonly known as Bamangwato Concessions Ltd - but specific corporate name is BCL Ltd</t>
        </r>
      </text>
    </comment>
    <comment ref="C258" authorId="1" shapeId="0" xr:uid="{BDB5C1DF-33F0-C941-8E4A-7C0CD16F8768}">
      <text>
        <r>
          <rPr>
            <b/>
            <sz val="9"/>
            <color rgb="FF000000"/>
            <rFont val="Tahoma"/>
            <family val="2"/>
          </rPr>
          <t>Author: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includes Kilvenjärvi, Ahmavaara, Suhanko
</t>
        </r>
        <r>
          <rPr>
            <sz val="9"/>
            <color rgb="FF000000"/>
            <rFont val="Tahoma"/>
            <family val="2"/>
          </rPr>
          <t>North, Siika-Kämä, Konttijärvi</t>
        </r>
      </text>
    </comment>
    <comment ref="D258" authorId="0" shapeId="0" xr:uid="{4E5CEE92-A658-2042-9C2F-D436CD5407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Gold Fields Ltd</t>
        </r>
      </text>
    </comment>
    <comment ref="D263" authorId="0" shapeId="0" xr:uid="{6E0E5D90-04F9-D34C-AB8A-C23A447AA4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CaNickel Mining Corp.</t>
        </r>
      </text>
    </comment>
    <comment ref="C265" authorId="0" shapeId="0" xr:uid="{126A1932-63CF-D540-9319-D987AA089BC0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now includes Schietfontein, Zilkaatsnek</t>
        </r>
      </text>
    </comment>
    <comment ref="C269" authorId="0" shapeId="0" xr:uid="{67422265-6DBA-BD41-AF48-25D1A90392A2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Cassini, Burnett, Miitel, Wannaway, Carnilya, Otter Juan, McMahon/Ken, Durkin North, Gellatly, Voyce, Cameron, Stockwell</t>
        </r>
      </text>
    </comment>
    <comment ref="D279" authorId="0" shapeId="0" xr:uid="{3B1ACC21-58CA-A74B-935D-C357C5678F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First Nickel went bankrupt in mid-2015, current status appears to be Transition Metals Corp.</t>
        </r>
      </text>
    </comment>
    <comment ref="D282" authorId="0" shapeId="0" xr:uid="{7EF8AA24-099E-AE4B-8FBE-80F3B86DA7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taken over by Sibanye-Stillwater in mid-2019</t>
        </r>
      </text>
    </comment>
    <comment ref="D283" authorId="0" shapeId="0" xr:uid="{B1F30AF0-654D-AF47-8356-4169F2C505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Ursa Major Minerals Inc, then Prophecy Platinum, then Nickel Creek Platinum ...</t>
        </r>
      </text>
    </comment>
    <comment ref="D291" authorId="0" shapeId="0" xr:uid="{A60FBC19-1493-D94D-B516-229FED701C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Belevedere Resources Ltd, which declared bankruptcy in Dec. 2015</t>
        </r>
      </text>
    </comment>
    <comment ref="D293" authorId="0" shapeId="0" xr:uid="{2CFDA0F5-6D50-A946-BA54-2C47B96226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295" authorId="0" shapeId="0" xr:uid="{CD7A025F-494B-E746-8B2B-F6B4162051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Liberty Mines</t>
        </r>
      </text>
    </comment>
    <comment ref="D296" authorId="0" shapeId="0" xr:uid="{226934DB-B5BC-0640-91B5-04D3FFB482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CTT is Compagnie de Tifnout Tighanimine, a subsidiary of Managem</t>
        </r>
      </text>
    </comment>
    <comment ref="D314" authorId="0" shapeId="0" xr:uid="{FF58FB5D-3FAA-F942-BDE6-067181564E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CAMEC (Central African Mining &amp; Exploration Company Plc)</t>
        </r>
      </text>
    </comment>
    <comment ref="D315" authorId="0" shapeId="0" xr:uid="{91AAD226-1457-2A44-B689-A55F69CA13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C321" authorId="0" shapeId="0" xr:uid="{85335ABA-7782-6E40-A003-42E51134DA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D325" authorId="0" shapeId="0" xr:uid="{AC50DFFA-A942-C745-A515-92693433EF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Anglo American Plc</t>
        </r>
      </text>
    </comment>
    <comment ref="C329" authorId="0" shapeId="0" xr:uid="{9E695E29-10D4-E442-8E12-92CE74CFDA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Mount Windarra, South Windarra, Cerberus</t>
        </r>
      </text>
    </comment>
    <comment ref="C332" authorId="0" shapeId="0" xr:uid="{282C983D-B108-714C-BE1C-109383B8FB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D335" authorId="0" shapeId="0" xr:uid="{7BF60485-4A4F-1E4C-BBE8-EC54CB9BAF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Toledo Mining Corp, which was taken over by DMCI Holdings</t>
        </r>
      </text>
    </comment>
    <comment ref="C337" authorId="0" shapeId="0" xr:uid="{5AEAB4DE-0C6D-E94D-ADF4-C631873176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BRC - Brightgreen Resources Corp</t>
        </r>
      </text>
    </comment>
    <comment ref="D340" authorId="0" shapeId="0" xr:uid="{0A3C794F-E02F-F945-82BD-8B99394DDC2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D344" authorId="0" shapeId="0" xr:uid="{29F6F83F-061E-AA44-A886-B8968AD49215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held by Mirabela Nickel - which went bankrupt in ~2013</t>
        </r>
      </text>
    </comment>
    <comment ref="E344" authorId="0" shapeId="0" xr:uid="{E106449C-1AB0-5741-B203-E26AD9A9F35A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mine restarted in mid-2019</t>
        </r>
      </text>
    </comment>
    <comment ref="D346" authorId="0" shapeId="0" xr:uid="{ED4BCB82-36B3-3041-81AA-1797F3A631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Realm Resources Ltd</t>
        </r>
      </text>
    </comment>
    <comment ref="D348" authorId="0" shapeId="0" xr:uid="{985E4970-DED8-7E4C-B178-B446CCF7E8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various owners previously</t>
        </r>
      </text>
    </comment>
    <comment ref="C351" authorId="0" shapeId="0" xr:uid="{0F7C0AD7-1C72-6F4E-82BC-31EAA4D52B17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formerly known as the "Nornico" project; includes Bell Creek South, Bell Creek North, Bell Creek Northwest, Bell Creek The Neck</t>
        </r>
      </text>
    </comment>
    <comment ref="D352" authorId="0" shapeId="0" xr:uid="{E05B9606-F9E6-F24F-9D55-C2D4CDF7CB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Pelican Resources</t>
        </r>
      </text>
    </comment>
    <comment ref="D356" authorId="0" shapeId="0" xr:uid="{7C45EFCB-C818-5347-9F0B-6E159B0FDA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Lithic Metals &amp; Energy</t>
        </r>
      </text>
    </comment>
    <comment ref="D358" authorId="0" shapeId="0" xr:uid="{F17B524B-6898-BA43-BD9D-A64BA275C9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Northern Mining Ltd; then KGHM</t>
        </r>
      </text>
    </comment>
    <comment ref="D368" authorId="0" shapeId="0" xr:uid="{3E8D4AF1-C622-6546-B585-A6E969ED353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Perilya Mines were taken over by Zhongjin Lingnan Nonfemet Company in Dec. 2013 ...</t>
        </r>
      </text>
    </comment>
    <comment ref="D371" authorId="0" shapeId="0" xr:uid="{AC01955C-0D8D-DD4C-AD34-7C52247C08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Blackthorn Resources; data from BR 2009 AnnRep</t>
        </r>
      </text>
    </comment>
    <comment ref="D375" authorId="0" shapeId="0" xr:uid="{DF7AB8A1-E4C2-3E49-9198-057EFC1FF3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African Nickel Plc</t>
        </r>
      </text>
    </comment>
    <comment ref="D381" authorId="0" shapeId="0" xr:uid="{118431D6-5520-6543-92CC-F1C5CEFE65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D382" authorId="0" shapeId="0" xr:uid="{7CCD3C04-0E6C-5A43-AF72-EBBED4A284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Bluejay Minnig Plc was formerly known as FinnAust Mining Plc, which in turn was ~79% owned by Western Areas Ltd</t>
        </r>
      </text>
    </comment>
    <comment ref="D383" authorId="0" shapeId="0" xr:uid="{F95D6565-E377-4449-BE14-2EFA532E14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D384" authorId="0" shapeId="0" xr:uid="{E406F71B-A07C-CF42-A43D-5C2D29643A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Diamond Fields International Inc, sold to unnamed buyer in Dec. 2017</t>
        </r>
      </text>
    </comment>
    <comment ref="D387" authorId="0" shapeId="0" xr:uid="{C37CC94B-4B28-2742-A657-396ECCD940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interests include Albidon Ltd, Intrepid Mines Ltd, then Consolidated Mining &amp; Investments Plc</t>
        </r>
      </text>
    </comment>
    <comment ref="E387" authorId="0" shapeId="0" xr:uid="{4BAFFFCA-4E90-0B45-BAB1-C15D6AC102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restarted early 2019</t>
        </r>
      </text>
    </comment>
    <comment ref="D389" authorId="0" shapeId="0" xr:uid="{791F0C42-D90F-844B-9C02-F614B1FA21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Mustang Minerals Corp</t>
        </r>
      </text>
    </comment>
    <comment ref="D392" authorId="0" shapeId="0" xr:uid="{D707EF50-711B-FD42-8E29-B9C528D354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Hunnan Australia Resources, which was recently taken over by China Minmetals; before this the project was owned by Compass Resources</t>
        </r>
      </text>
    </comment>
    <comment ref="D394" authorId="0" shapeId="0" xr:uid="{DC3AECEB-11BA-4A4B-8A03-4424F59B49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Proto Resources Ltd (now bankrupt)</t>
        </r>
      </text>
    </comment>
    <comment ref="D399" authorId="0" shapeId="0" xr:uid="{C2BD02E1-EAFD-9348-94F3-30A415DDAC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QuadraFNX, taken over by KGHM</t>
        </r>
      </text>
    </comment>
    <comment ref="D403" authorId="0" shapeId="0" xr:uid="{F9B5F4F3-5A48-1347-89E6-88A5EF3B0C93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held by an Anglo Am Pt / Solitario joint venture; then Jaganda Mines, now ValOre</t>
        </r>
      </text>
    </comment>
    <comment ref="D408" authorId="0" shapeId="0" xr:uid="{75679E6E-3AB0-5345-A129-E12496A847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Canadian Arrow Mines</t>
        </r>
      </text>
    </comment>
    <comment ref="D410" authorId="0" shapeId="0" xr:uid="{42CCB8DA-86A0-1C4A-AF18-A82FC8C9A5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Mustang Minerals Corp</t>
        </r>
      </text>
    </comment>
    <comment ref="C411" authorId="0" shapeId="0" xr:uid="{1BE89D94-2301-5744-B4EE-C29D2708AA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C415" authorId="0" shapeId="0" xr:uid="{2DEDA964-06E6-1348-99CD-00A54B5B32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D415" authorId="0" shapeId="0" xr:uid="{1DC61DDA-BA85-F440-8EF8-58895F0BFC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Goldbrook Ventures, which was taken over by Jilin Jien Nickel in March 2012 - JJN was bankrupt ~2018</t>
        </r>
      </text>
    </comment>
    <comment ref="C416" authorId="0" shapeId="0" xr:uid="{E68BD9E9-DD0C-5744-B889-043591470A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D419" authorId="0" shapeId="0" xr:uid="{67408244-8B9A-B140-891A-C3AEB2BBB70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Proto Resources Ltd, then GME Resources Ltd, now no-one (apparently).</t>
        </r>
      </text>
    </comment>
    <comment ref="D424" authorId="0" shapeId="0" xr:uid="{9F18F3E2-C58E-4C45-B52E-9618836288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Caledonia Mining Corp</t>
        </r>
      </text>
    </comment>
    <comment ref="D426" authorId="0" shapeId="0" xr:uid="{053BF3B1-2B63-3940-B559-5130FABA7E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Mbmi Resources, but later sold to DMCI after legal battles</t>
        </r>
      </text>
    </comment>
    <comment ref="D428" authorId="0" shapeId="0" xr:uid="{35AEBD2A-6389-2946-9B88-41C5054F1728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exact ownership not certain ...</t>
        </r>
      </text>
    </comment>
    <comment ref="D431" authorId="0" shapeId="0" xr:uid="{955CCD90-6B0B-2C4D-83E5-6CD4416860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Caledonia Mining Corp.</t>
        </r>
      </text>
    </comment>
    <comment ref="D433" authorId="1" shapeId="0" xr:uid="{E4333D05-4B70-DD4A-8356-C9686CE13E6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</t>
        </r>
      </text>
    </comment>
    <comment ref="D439" authorId="0" shapeId="0" xr:uid="{7B825566-50BF-1E4A-80E9-DAD87858AE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Lisungwe Resources Plc</t>
        </r>
      </text>
    </comment>
    <comment ref="D440" authorId="0" shapeId="0" xr:uid="{9EE9BB79-21E1-0343-95AF-190B88B681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Pacific Northwest Capital Corp.</t>
        </r>
      </text>
    </comment>
    <comment ref="D441" authorId="0" shapeId="0" xr:uid="{653A2720-2AA1-0A47-8633-C80CE9B3E0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initially held by Nemaska Exploration, which apparently became Monarques Resources, but is now Nemasaka Lithium</t>
        </r>
      </text>
    </comment>
    <comment ref="D442" authorId="0" shapeId="0" xr:uid="{1BF47A3B-F2EB-8E4D-AF25-6FF16F6F97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Liberty Mines</t>
        </r>
      </text>
    </comment>
    <comment ref="D446" authorId="0" shapeId="0" xr:uid="{83636F0F-1BB6-3248-BD99-2DB8169558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led by Discovery Metals Ltd, which is now bankrupt, butr other partners included JOGMEC, Xstrata</t>
        </r>
      </text>
    </comment>
    <comment ref="D448" authorId="0" shapeId="0" xr:uid="{855A094D-F1EF-084E-A776-FDF3239044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note: North American Palladium was taken over by Sibanye-Stillwater in mid-2019</t>
        </r>
      </text>
    </comment>
    <comment ref="D449" authorId="1" shapeId="0" xr:uid="{62D816CC-7ECF-CA4A-9A52-6AAFFDD9C7D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Ventures, then Drake Resources</t>
        </r>
      </text>
    </comment>
    <comment ref="D450" authorId="0" shapeId="0" xr:uid="{6EA68E1B-5DD1-B443-A9E4-26D061689B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QuadraFNX, taken over by KGHM</t>
        </r>
      </text>
    </comment>
    <comment ref="D451" authorId="0" shapeId="0" xr:uid="{3CA14FA6-4470-1C4E-986D-35A02688F8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Platfields Ltd went bankrupt; current owner unclear</t>
        </r>
      </text>
    </comment>
    <comment ref="D452" authorId="0" shapeId="0" xr:uid="{92D2027B-60C6-0E4A-A1BC-02DBE2CEABD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454" authorId="0" shapeId="0" xr:uid="{70A15791-BD24-2F44-B1A7-590020C914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Liberty Mines</t>
        </r>
      </text>
    </comment>
    <comment ref="D458" authorId="0" shapeId="0" xr:uid="{F785512F-5E8E-CD47-BEE5-53DABB1528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Hunnan Australia Resources, which was recently taken over by China Minmetals; before this the project was owned by Compass Resources</t>
        </r>
      </text>
    </comment>
    <comment ref="D459" authorId="1" shapeId="0" xr:uid="{F1898300-822E-8646-9804-F85613E9B6D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D462" authorId="0" shapeId="0" xr:uid="{BF9FEEE3-0142-934F-AB1D-30CF487436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Royal Nickel Corp.</t>
        </r>
      </text>
    </comment>
    <comment ref="D464" authorId="0" shapeId="0" xr:uid="{27BBBABB-F928-454F-A115-D4443DB19B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Rockland Minerals Corp.</t>
        </r>
      </text>
    </comment>
    <comment ref="D465" authorId="1" shapeId="0" xr:uid="{80BCBF41-C728-D746-B6D7-3EBCD8D6CF6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</t>
        </r>
      </text>
    </comment>
    <comment ref="D466" authorId="0" shapeId="0" xr:uid="{D764CCB2-D26C-DC45-845F-389BB2FE5F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C474" authorId="0" shapeId="0" xr:uid="{4052DBB2-F6B3-0F41-BF8B-A0EE803532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note these leases lapsed in 2018 and were not renewed - 2017 data assumed</t>
        </r>
      </text>
    </comment>
    <comment ref="D478" authorId="0" shapeId="0" xr:uid="{19C0DE69-6618-5A4A-B573-50B470BCD3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Aquiarius Platinum Ltd, now part of Sibanye-Stillwater Ltd</t>
        </r>
      </text>
    </comment>
    <comment ref="D479" authorId="0" shapeId="0" xr:uid="{D898EF25-0382-1A49-9FCD-C237E6F260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Magma Metals</t>
        </r>
      </text>
    </comment>
    <comment ref="D480" authorId="1" shapeId="0" xr:uid="{10F897E5-B59C-1143-AB2B-145C73CA4DC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</t>
        </r>
      </text>
    </comment>
    <comment ref="D483" authorId="0" shapeId="0" xr:uid="{C77BB1B7-6A59-9A41-BC3C-DD06507A07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Nortec Minerals Corp, Finore Mining (note: Palladium One was formerly Nickel On Resources)</t>
        </r>
      </text>
    </comment>
    <comment ref="D487" authorId="0" shapeId="0" xr:uid="{1221F96B-72EB-1D43-9391-D1D196E086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Ursa Major Minerals Inc, then Prophecy Platinum, then Nickel Creek Platinum ...</t>
        </r>
      </text>
    </comment>
    <comment ref="D496" authorId="0" shapeId="0" xr:uid="{6D21C691-DB16-6F45-A195-A51F1B5198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Platfields Ltd went bankrupt; current owner unclear</t>
        </r>
      </text>
    </comment>
    <comment ref="D499" authorId="0" shapeId="0" xr:uid="{2B02D8BF-A42A-F74B-865D-1C441DD95C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CAMEC (Central African Mining &amp; Exploration Company Plc)</t>
        </r>
      </text>
    </comment>
    <comment ref="D502" authorId="0" shapeId="0" xr:uid="{72AF1CC2-9CD6-1746-ACAF-F49CFCB47A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507" authorId="0" shapeId="0" xr:uid="{A6D40183-E467-9E47-B3B2-E21130B906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Puget Ventures Inc.</t>
        </r>
      </text>
    </comment>
    <comment ref="D511" authorId="0" shapeId="0" xr:uid="{9D978150-77EC-9140-A803-859B23089C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Bluejay Minnig Plc was formerly known as FinnAust Mining Plc, which in turn was ~79% owned by Western Areas Ltd</t>
        </r>
      </text>
    </comment>
    <comment ref="D513" authorId="1" shapeId="0" xr:uid="{829F24D5-F8F6-3742-A054-773B6E06A44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Ventures, then Drake Resources</t>
        </r>
      </text>
    </comment>
    <comment ref="D514" authorId="0" shapeId="0" xr:uid="{7CB810AB-4EFF-CE4D-840B-8B8EC7D0F9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516" authorId="0" shapeId="0" xr:uid="{D41C0B5A-6AD5-D94E-952C-0840134313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D517" authorId="0" shapeId="0" xr:uid="{42B169C5-C362-3742-AD68-A186EFB230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Solomon Gold Plc (which became SolGold)</t>
        </r>
      </text>
    </comment>
    <comment ref="D529" authorId="0" shapeId="0" xr:uid="{4AD6B344-B648-2549-8A4A-130EC97CA4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530" authorId="0" shapeId="0" xr:uid="{C342242E-05F0-A349-A701-30575087E3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D543" authorId="0" shapeId="0" xr:uid="{B4CABAE5-9DAE-CE4E-BA27-69C8D00DA2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547" authorId="0" shapeId="0" xr:uid="{1D0698AD-5B30-7047-958C-797101E04E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Hunnan Australia Resources, which was recently taken over by China Minmetals; before this the project was owned by Compass Resources</t>
        </r>
      </text>
    </comment>
    <comment ref="D548" authorId="0" shapeId="0" xr:uid="{82B93C84-3AA7-0C4B-AC53-D25664994B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Clifton Star Resources</t>
        </r>
      </text>
    </comment>
    <comment ref="D550" authorId="0" shapeId="0" xr:uid="{BE1FE8DA-CF9F-8544-8566-EF9B35E48E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D552" authorId="0" shapeId="0" xr:uid="{1A3470F0-7239-B448-A837-683D1A9D86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D559" authorId="0" shapeId="0" xr:uid="{FD7192F2-4A26-B146-A58B-71980D7798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D561" authorId="0" shapeId="0" xr:uid="{0CD2ABA4-F24F-4B4D-B9F5-38CFCC9B54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Canadian Arrow Mines (which went bankrupt and was transformed into Tartisan Nickel); Tartisan Nickel sold the project to VaniCom Resources Ltd in early 2019 - which is now Class 1 Nickel Ltd</t>
        </r>
      </text>
    </comment>
    <comment ref="D563" authorId="0" shapeId="0" xr:uid="{3823C0B2-67BE-2C47-8B2F-486C5751AD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part of Sibanye-Stillwater</t>
        </r>
      </text>
    </comment>
    <comment ref="D571" authorId="0" shapeId="0" xr:uid="{6C6D1365-26DD-744F-81E8-93E6B54BB8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D573" authorId="0" shapeId="0" xr:uid="{948CF481-3246-6241-98E2-D2F3FD262465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First Nickel went bankrupt in mid-2015, then sold to Transition Metals Corp.; sold to VaniCom Ltd in August 2018 - which is now Class 1 Nickel Ltd</t>
        </r>
      </text>
    </comment>
    <comment ref="D578" authorId="0" shapeId="0" xr:uid="{2870C782-1E99-1041-92E7-505EF37AF5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579" authorId="0" shapeId="0" xr:uid="{D82759D8-36E3-1E40-82C0-A25D178F08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D588" authorId="0" shapeId="0" xr:uid="{7A56DE40-FDBF-EF4B-8BC9-605F947C10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589" authorId="0" shapeId="0" xr:uid="{37D38182-F511-2549-8728-640B9E438BE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591" authorId="0" shapeId="0" xr:uid="{9B06D71B-1F92-2048-8010-A32BDC952C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Royal Nickel Corp (which is now RNC Minerals)</t>
        </r>
      </text>
    </comment>
    <comment ref="D599" authorId="0" shapeId="0" xr:uid="{8FD630ED-A931-7A41-A2AD-AC4FF539BE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Global Cobalt Corp was formerly known as Puget Ventures Inc.</t>
        </r>
      </text>
    </comment>
    <comment ref="D600" authorId="0" shapeId="0" xr:uid="{B3801FED-2653-D14B-9E73-7D8B9375BE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601" authorId="0" shapeId="0" xr:uid="{C1743502-4384-014C-9619-4B7725BD0E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602" authorId="1" shapeId="0" xr:uid="{D1919ED2-E988-4240-85F1-EABD274C4C2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D604" authorId="0" shapeId="0" xr:uid="{BD60E996-A8F7-3741-A83F-194769698D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Allegiance Mining, then then Zinifex, then OZ Minerals, then MMG, now Dundas Mining</t>
        </r>
      </text>
    </comment>
    <comment ref="D606" authorId="0" shapeId="0" xr:uid="{6503C9D8-7FD7-3F48-9789-FF8671B169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612" authorId="0" shapeId="0" xr:uid="{073BCAED-631E-3F48-AB69-BFA01926C7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Alberta Star Development Corp (which is now Elysee Development Corp)</t>
        </r>
      </text>
    </comment>
    <comment ref="D613" authorId="0" shapeId="0" xr:uid="{1503FD31-A2D2-5547-943D-7D6BF0F4DDF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616" authorId="0" shapeId="0" xr:uid="{71FC724F-B63D-2444-936C-FCC87098E3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Hathor Exploration</t>
        </r>
      </text>
    </comment>
    <comment ref="D620" authorId="0" shapeId="0" xr:uid="{9C5541BA-5BE9-0240-92F6-6CB402ADFE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D625" authorId="0" shapeId="0" xr:uid="{28B2B1E2-3757-6A42-8A4A-177649A9DE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Central West Gold NL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Gavin Mudd</author>
    <author>Author</author>
  </authors>
  <commentList>
    <comment ref="EW1" authorId="0" shapeId="0" xr:uid="{C8B1CCB4-43BF-4EED-AD8B-F514ECD3AB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chromite ore</t>
        </r>
      </text>
    </comment>
    <comment ref="EX1" authorId="0" shapeId="0" xr:uid="{45A3C0E8-410C-48E8-9FEA-6126AD8564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for iron ore</t>
        </r>
      </text>
    </comment>
    <comment ref="EZ1" authorId="0" shapeId="0" xr:uid="{EDD5C397-73B0-463B-9BE2-1DFA3C36B67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for Al-Sc alloy</t>
        </r>
      </text>
    </comment>
    <comment ref="FA1" authorId="0" shapeId="0" xr:uid="{BD2F18D6-82E3-4AE6-8866-7CBBCDCEBD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for 44% Mn ore</t>
        </r>
      </text>
    </comment>
    <comment ref="GI1" authorId="0" shapeId="0" xr:uid="{61D9D033-D2B3-4D52-BF49-FDDA387A7A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chromite ore</t>
        </r>
      </text>
    </comment>
    <comment ref="GJ1" authorId="0" shapeId="0" xr:uid="{258CC4A1-F22C-45DE-B8C4-4C529D7CBE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for iron ore</t>
        </r>
      </text>
    </comment>
    <comment ref="GL1" authorId="0" shapeId="0" xr:uid="{8CFD4545-2469-4443-9149-4AA0E90BDA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for Al-Sc alloy</t>
        </r>
      </text>
    </comment>
    <comment ref="GM1" authorId="0" shapeId="0" xr:uid="{30760E06-B582-4EE5-BA6C-8960B2FACF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price for 44% Mn ore</t>
        </r>
      </text>
    </comment>
    <comment ref="F5" authorId="0" shapeId="0" xr:uid="{81C59C47-9CDC-4080-809D-5157294031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First Point Minerals Corp</t>
        </r>
      </text>
    </comment>
    <comment ref="AY7" authorId="0" shapeId="0" xr:uid="{09F3B1C6-E220-4D4D-8660-CDB5348C6967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historic resources (non-compliant with NI43-101) - hence all data allocated as inferred resources only</t>
        </r>
      </text>
    </comment>
    <comment ref="AZ7" authorId="0" shapeId="0" xr:uid="{EBA62704-5B33-4631-91B5-8D82ADC14E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F7" authorId="0" shapeId="0" xr:uid="{E441D511-85AC-4338-BB85-4B8829F9AC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7" authorId="0" shapeId="0" xr:uid="{7F1A8CC0-B4FC-4FF8-9286-73B313EA65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7" authorId="0" shapeId="0" xr:uid="{ADD8B770-F911-4DF6-AE09-AF51ABE2E4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8" authorId="0" shapeId="0" xr:uid="{16E74CA8-C8F9-40E7-B5C9-5CD7C374F2D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F9" authorId="0" shapeId="0" xr:uid="{735E84A1-8A8A-4FB4-85EB-C521C45B4C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AN9" authorId="0" shapeId="0" xr:uid="{1346B58E-9374-4333-AA5E-21D34C7D3A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O9" authorId="0" shapeId="0" xr:uid="{4D727B97-3788-4374-AE73-D6E19D680D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I9" authorId="0" shapeId="0" xr:uid="{87E67DF5-1906-443B-A759-67B407B3BE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J9" authorId="0" shapeId="0" xr:uid="{7BF75CF5-8618-4DA0-81FA-C99E171564D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Y10" authorId="0" shapeId="0" xr:uid="{3A2E2AA2-89EE-459A-8160-B41A638353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0" authorId="0" shapeId="0" xr:uid="{DD601603-8632-4F1E-B4CC-6B4EA60407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11" authorId="0" shapeId="0" xr:uid="{E3986268-2B8B-4E8A-AA99-9D3DAA5BF0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AN11" authorId="0" shapeId="0" xr:uid="{12EB3F7A-E912-4851-B2AC-F6E3762E1E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O11" authorId="0" shapeId="0" xr:uid="{EEFE0304-CE95-4411-98A0-1E5B278415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I11" authorId="0" shapeId="0" xr:uid="{160D0284-2AC4-44DF-86AB-77CC760393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J11" authorId="0" shapeId="0" xr:uid="{EE951096-0920-4C9A-9E8E-ACB7CCD013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F12" authorId="0" shapeId="0" xr:uid="{93501743-E9FF-4A0B-838E-16495865CB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F13" authorId="0" shapeId="0" xr:uid="{117C54D0-3DC4-4D7F-B3EA-F40F980F1C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DN13" authorId="0" shapeId="0" xr:uid="{33A56303-FC27-4279-B053-08ACB84EFA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Vulcan Resources</t>
        </r>
      </text>
    </comment>
    <comment ref="F14" authorId="0" shapeId="0" xr:uid="{59E3C217-9631-404F-9B44-F3DAD91611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Bluejay Minnig Plc was formerly known as FinnAust Mining Plc, which in turn was ~79% owned by Western Areas Ltd</t>
        </r>
      </text>
    </comment>
    <comment ref="DN14" authorId="0" shapeId="0" xr:uid="{F534C110-DF80-4AAD-BABF-28A612CFC5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Western Areas Ltd</t>
        </r>
      </text>
    </comment>
    <comment ref="F15" authorId="0" shapeId="0" xr:uid="{83B89266-6BAD-4AA5-82B0-86942B77FC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recently filed for bankruptcy protection</t>
        </r>
      </text>
    </comment>
    <comment ref="I15" authorId="0" shapeId="0" xr:uid="{0E077EEE-3785-45C9-8B21-A03D0C6DE48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uses nodule wet moisture content of 44% (from Tech. Rep.)</t>
        </r>
      </text>
    </comment>
    <comment ref="AD15" authorId="0" shapeId="0" xr:uid="{238B5C64-7FCE-451E-9159-C06D256EDD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uses nodule wet moisture content of 44% (from Tech. Rep.)</t>
        </r>
      </text>
    </comment>
    <comment ref="AY15" authorId="0" shapeId="0" xr:uid="{60B70CCE-952C-4B1F-9A40-92BCBF9F23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uses nodule wet moisture content of 44% (from Tech. Rep.)</t>
        </r>
      </text>
    </comment>
    <comment ref="I16" authorId="0" shapeId="0" xr:uid="{D0546B15-E5B2-4B51-BB01-D7EF4C4A9B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approximate average moisture content of 20% (from Tech Rep)</t>
        </r>
      </text>
    </comment>
    <comment ref="AD16" authorId="0" shapeId="0" xr:uid="{B33E8F06-0367-4947-8BBC-8CA0E021F7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approximate average moisture content of 20% (from Tech Rep)</t>
        </r>
      </text>
    </comment>
    <comment ref="AY16" authorId="0" shapeId="0" xr:uid="{FD9E4B09-00AD-47DF-A1CC-EB225AC370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approximate average moisture content of 20% (from Tech Rep)</t>
        </r>
      </text>
    </comment>
    <comment ref="AY20" authorId="0" shapeId="0" xr:uid="{2A07CBF3-5922-4F14-A893-807AD5F7E7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20" authorId="0" shapeId="0" xr:uid="{CB529C27-D1E2-42DA-833E-81CD7ED4DE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data from Singer et al (2009)</t>
        </r>
      </text>
    </comment>
    <comment ref="BE20" authorId="0" shapeId="0" xr:uid="{7FA9F65D-BCA3-4724-A687-BC95374271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data from Singer et al (2009)</t>
        </r>
      </text>
    </comment>
    <comment ref="BG20" authorId="0" shapeId="0" xr:uid="{7C94B7D9-AD23-457E-BBEA-0F17F70681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0" authorId="0" shapeId="0" xr:uid="{400C3FB8-50CB-4673-9C0B-AC95DBC4D8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data from Singer et al (2009)</t>
        </r>
      </text>
    </comment>
    <comment ref="AY21" authorId="0" shapeId="0" xr:uid="{E9CF19AD-92BF-488C-A402-C6B2D82629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21" authorId="0" shapeId="0" xr:uid="{FBC9F607-30CF-4625-B849-57F6153450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E21" authorId="0" shapeId="0" xr:uid="{520CC364-AC96-4165-BC60-7B1BE5D59F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F21" authorId="0" shapeId="0" xr:uid="{9652265A-788E-4833-A3B3-E31F3F9A40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1" authorId="0" shapeId="0" xr:uid="{6F1BD8EC-B7D7-44BA-BE8E-468DF190B9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1" authorId="0" shapeId="0" xr:uid="{1F7D7BD9-7165-46B5-9145-09A5B3F2E5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24" authorId="0" shapeId="0" xr:uid="{4200028A-5838-49A8-9069-EF0D7DB1C7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Talvivaara Plc before its bankruptcy</t>
        </r>
      </text>
    </comment>
    <comment ref="AY24" authorId="0" shapeId="0" xr:uid="{538510EE-07F0-4AAD-A969-D22827CA08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AZ24" authorId="0" shapeId="0" xr:uid="{42238895-A783-4058-A292-6CC2B3C5F0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B24" authorId="0" shapeId="0" xr:uid="{1A46FCF1-EE6D-4B24-9AAB-DBBD3795C3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C24" authorId="0" shapeId="0" xr:uid="{FFC14EE9-9E7B-458C-90FE-C583B38A1F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D24" authorId="0" shapeId="0" xr:uid="{24E43A41-F056-40AF-A3CD-F92F994583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E24" authorId="0" shapeId="0" xr:uid="{B50C34AB-387E-49BB-A921-9CE998E61E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F24" authorId="0" shapeId="0" xr:uid="{55EA3980-4FEB-4130-93D0-37C620CA3B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G24" authorId="0" shapeId="0" xr:uid="{683508E8-2B28-4736-A35D-9C7E4FBBD8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H24" authorId="0" shapeId="0" xr:uid="{FFBCC565-CF8B-44DF-997A-EA8D205503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I24" authorId="0" shapeId="0" xr:uid="{299AC20A-F7B4-48C9-A8AF-A6184A225D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J24" authorId="0" shapeId="0" xr:uid="{90B54B2B-7460-43FD-9E5A-529BE00519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F26" authorId="0" shapeId="0" xr:uid="{5ACF3F8F-C6EB-42C2-8097-170E037041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Caledonia Mining Corp</t>
        </r>
      </text>
    </comment>
    <comment ref="A27" authorId="0" shapeId="0" xr:uid="{AA777536-3FEB-4877-B0BD-58CB9E4464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also reported to contain rare earths, vanadium, lithium and scandium</t>
        </r>
      </text>
    </comment>
    <comment ref="BS28" authorId="0" shapeId="0" xr:uid="{B91F748F-1970-402C-8D86-340B4E848F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is %V2O5</t>
        </r>
      </text>
    </comment>
    <comment ref="F30" authorId="0" shapeId="0" xr:uid="{1F7B8B51-DF88-4EA0-B461-DCCA72C8AE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Hunnan Australia Resources, which was recently taken over by China Minmetals; before this the project was owned by Compass Resources</t>
        </r>
      </text>
    </comment>
    <comment ref="DN30" authorId="0" shapeId="0" xr:uid="{0D80ECEC-CB87-487D-9573-546F5DB2AB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earlier owner Compass Resources</t>
        </r>
      </text>
    </comment>
    <comment ref="F31" authorId="0" shapeId="0" xr:uid="{E60995F6-88E8-44A3-96C2-D5B2E67D02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Hathor Exploration</t>
        </r>
      </text>
    </comment>
    <comment ref="DN31" authorId="0" shapeId="0" xr:uid="{F4028DB8-2BF3-43A7-95EF-4BD8507452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Hathor Exploration</t>
        </r>
      </text>
    </comment>
    <comment ref="AV32" authorId="0" shapeId="0" xr:uid="{03DE7A1D-B7F8-4F5F-B358-DD2EB4AA09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ASX announcement, 17 Sept. 2015</t>
        </r>
      </text>
    </comment>
    <comment ref="BQ32" authorId="0" shapeId="0" xr:uid="{D620FDEF-1E6A-4D36-B871-2BC501D26D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ASX announcement, 17 Sept. 2015</t>
        </r>
      </text>
    </comment>
    <comment ref="F34" authorId="0" shapeId="0" xr:uid="{205404B9-44EA-47E1-99B6-922FB13C27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I34" authorId="0" shapeId="0" xr:uid="{850EB4B6-1145-4FFB-9E89-BCFD87651F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J34" authorId="0" shapeId="0" xr:uid="{B3C2244D-6D73-46BB-95B8-C0F43C6FD4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K34" authorId="0" shapeId="0" xr:uid="{1A3D7AFC-3C12-4A16-998B-CD2E088072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Q34" authorId="0" shapeId="0" xr:uid="{7700072E-45ED-4EF0-935E-243CBF65FB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R34" authorId="0" shapeId="0" xr:uid="{D2866B49-D97B-4275-9C76-873500581C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D34" authorId="0" shapeId="0" xr:uid="{8F7BEDD1-B810-4F7F-8572-7C6D6962A7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E34" authorId="0" shapeId="0" xr:uid="{D1F0600E-7B1A-46CA-BB95-A51F49F18F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F34" authorId="0" shapeId="0" xr:uid="{41CCC35C-DAA8-493F-B1A0-12EAD4BF48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L34" authorId="0" shapeId="0" xr:uid="{2EFA46A4-611B-4FC3-946E-9E6237366D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M34" authorId="0" shapeId="0" xr:uid="{9034E1B7-31E4-4D15-A60F-0DE9867173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F35" authorId="0" shapeId="0" xr:uid="{CA1703BC-AEB6-467E-A2F7-3C093BA400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I35" authorId="0" shapeId="0" xr:uid="{553E901D-066D-47AE-AC17-0E7981D7E5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J35" authorId="0" shapeId="0" xr:uid="{1E8A577D-46AD-4D87-843C-F27FC7DA14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P35" authorId="0" shapeId="0" xr:uid="{EA3F5418-44CB-40BB-A2E3-AF2E7B8927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Q35" authorId="0" shapeId="0" xr:uid="{2960E428-5867-469A-B1F0-5C5307189C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R35" authorId="0" shapeId="0" xr:uid="{2CB987AC-A0CF-4A52-AB11-0CC4BECC80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D35" authorId="0" shapeId="0" xr:uid="{DE96BBCD-F403-4A04-BB0B-F3604F69C9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E35" authorId="0" shapeId="0" xr:uid="{59EAC57C-45AF-47AF-8222-0C594C7162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K35" authorId="0" shapeId="0" xr:uid="{6FB9EFFB-6591-459A-B0D4-8F3BFD407E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L35" authorId="0" shapeId="0" xr:uid="{52054028-4FF9-4906-A6AD-6227EC962D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M35" authorId="0" shapeId="0" xr:uid="{C4892B74-AEBD-4BE6-AE36-1688EDE012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Y35" authorId="0" shapeId="0" xr:uid="{0689244A-0AED-40F7-A4E8-C9461B3AAB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AZ35" authorId="0" shapeId="0" xr:uid="{DF26DD3B-5B5A-4A00-BD64-4ED71C7D0E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F35" authorId="0" shapeId="0" xr:uid="{62F7D792-A0F1-4FB2-B290-EEDF71A4F40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G35" authorId="0" shapeId="0" xr:uid="{0A1598AA-E0E8-4D9F-8514-C2903FC6B8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BH35" authorId="0" shapeId="0" xr:uid="{E1C7BB1D-E2B7-4503-8B3D-B312212668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Altona Mining Ltd, Annual Report 2013</t>
        </r>
      </text>
    </comment>
    <comment ref="F36" authorId="0" shapeId="0" xr:uid="{9EA2522B-B2B5-4D26-BF0F-5EDF82F9D6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AY36" authorId="0" shapeId="0" xr:uid="{0B1ADD59-8043-4933-91CF-C3B7385518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AZ36" authorId="0" shapeId="0" xr:uid="{1FB74903-08ED-4148-871F-4E09215754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A36" authorId="0" shapeId="0" xr:uid="{33F8A96D-5429-413F-A50A-C88848BC7F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B36" authorId="0" shapeId="0" xr:uid="{1587B796-97A6-43EF-B63D-48E8197915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G36" authorId="0" shapeId="0" xr:uid="{E6557125-D745-4D0F-B7B5-EE0938B2BB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H36" authorId="0" shapeId="0" xr:uid="{3F08079B-9789-4A1E-B41B-53CB3F1968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F37" authorId="0" shapeId="0" xr:uid="{434B91D3-2802-4BEF-B9AD-36B894C7F0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F38" authorId="0" shapeId="0" xr:uid="{B57D8E96-08F9-4F57-959E-77748AE322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BH38" authorId="0" shapeId="0" xr:uid="{A443F098-B36B-4CB1-84B3-2EEE91AE4B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F39" authorId="0" shapeId="0" xr:uid="{395B8F25-9296-4603-B78E-99CE062F1C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F40" authorId="0" shapeId="0" xr:uid="{F656BA09-16CD-4E71-9799-E5FD15616C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Altona Mining</t>
        </r>
      </text>
    </comment>
    <comment ref="F41" authorId="0" shapeId="0" xr:uid="{9B912399-3328-4EF7-9B52-B9377B01D338}">
      <text>
        <r>
          <rPr>
            <b/>
            <sz val="9"/>
            <color rgb="FF000000"/>
            <rFont val="Tahoma"/>
            <family val="2"/>
          </rPr>
          <t>Gavin Mudd: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previously owned by Altona Mining</t>
        </r>
      </text>
    </comment>
    <comment ref="BA41" authorId="0" shapeId="0" xr:uid="{BC30086E-C133-4780-84E0-B214ACFC5B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B41" authorId="0" shapeId="0" xr:uid="{CC15A3BD-B9B7-447C-866A-8FC9EBDA45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BG41" authorId="0" shapeId="0" xr:uid="{4E475769-BAF7-48E0-8C02-4532A219BF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 edition) (GTK, 2018)</t>
        </r>
      </text>
    </comment>
    <comment ref="AY42" authorId="0" shapeId="0" xr:uid="{0F6114ED-4DB7-49B6-BFCF-3C5409518F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2" authorId="0" shapeId="0" xr:uid="{8BFAB8F9-076B-466D-8637-4C6354DC10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2" authorId="0" shapeId="0" xr:uid="{EA82FA11-A836-4FCE-B985-C7D370BEF2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2" authorId="0" shapeId="0" xr:uid="{7437DC0F-E3E3-49B7-BEED-85698EBBEA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3" authorId="0" shapeId="0" xr:uid="{EF92A461-1D7D-4D5B-AC56-D039D4C4D3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3" authorId="0" shapeId="0" xr:uid="{3B5E6FEE-00EE-4430-BF16-C3BBB2F5AA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F43" authorId="0" shapeId="0" xr:uid="{BC293AC1-DAB5-4F34-AC8B-ED0AA3FF4C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3" authorId="0" shapeId="0" xr:uid="{4C567B98-4B39-432D-905B-6BC734FDA0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3" authorId="0" shapeId="0" xr:uid="{F4422F49-6BDE-43B2-8D89-83AA573478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4" authorId="0" shapeId="0" xr:uid="{3CA1C3C5-D1E7-436F-BAE0-E547A9280D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4" authorId="0" shapeId="0" xr:uid="{435EF429-6C06-4951-BA53-42D5856E4D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4" authorId="0" shapeId="0" xr:uid="{A8E95E03-1B7D-46FF-B70F-BFC3DECF13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4" authorId="0" shapeId="0" xr:uid="{BEAFE630-2B66-47DF-8172-544AFF2F07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F44" authorId="0" shapeId="0" xr:uid="{A9D8A255-38D6-4857-8229-5FB971D9EB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4" authorId="0" shapeId="0" xr:uid="{FC617F29-56D5-44DE-AA2D-11DFAABCEB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4" authorId="0" shapeId="0" xr:uid="{2C1EEDD7-50D7-476C-B22A-186DF5395B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5" authorId="0" shapeId="0" xr:uid="{99C7610D-7AFB-4113-9E20-D891D57E2A9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5" authorId="0" shapeId="0" xr:uid="{223783F7-699C-4918-A09E-C225E3DACA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5" authorId="0" shapeId="0" xr:uid="{413F4551-59C9-436B-85D9-CA8E45755E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5" authorId="0" shapeId="0" xr:uid="{54135F3A-BBF5-48B2-B16E-FC64B13495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45" authorId="0" shapeId="0" xr:uid="{EDEF6F6B-0A33-4C89-8548-062574C030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6" authorId="0" shapeId="0" xr:uid="{613CD001-2A6B-4D0A-8C08-DA88BFD706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AZ46" authorId="0" shapeId="0" xr:uid="{72A07256-7DEA-4CF5-BC4F-09351B1426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A46" authorId="0" shapeId="0" xr:uid="{F6B6EC77-5B89-4427-824A-52F6E90376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B46" authorId="0" shapeId="0" xr:uid="{E86C9CD8-C7B6-42F1-A47F-ED8B498C97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G46" authorId="0" shapeId="0" xr:uid="{2F238EC2-8490-4318-84D0-B4ED57937B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H46" authorId="0" shapeId="0" xr:uid="{1CF20734-42D1-4E73-9F1E-1BEBB83C87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I46" authorId="0" shapeId="0" xr:uid="{00120FE3-AB3F-46E7-A2C7-491C437494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AY47" authorId="0" shapeId="0" xr:uid="{4EF3B742-3439-4C45-8030-6BD69C322D9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7" authorId="0" shapeId="0" xr:uid="{27577B22-ED7A-4372-97CC-91F35B0512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" authorId="0" shapeId="0" xr:uid="{E1D612F2-69AF-4B76-AE40-FE9AAB9F79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48" authorId="1" shapeId="0" xr:uid="{660D6ADD-DA71-43C2-92E6-A2D09147D90F}">
      <text>
        <r>
          <rPr>
            <b/>
            <sz val="9"/>
            <color rgb="FF000000"/>
            <rFont val="Tahoma"/>
            <family val="2"/>
          </rPr>
          <t>Author: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includes Kubuk, Gorny, Ikenskoe / Sobolevsky, Vodorazdelny, Maly Kurumkon / Flangovy</t>
        </r>
      </text>
    </comment>
    <comment ref="CO48" authorId="0" shapeId="0" xr:uid="{4FDB686F-1183-4FAF-9134-C87BF2DE20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website data (not formally included in annual report)</t>
        </r>
      </text>
    </comment>
    <comment ref="CP48" authorId="0" shapeId="0" xr:uid="{2BFD65D1-DACC-4A8E-BAEA-09FB6ACACA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website data (not formally included in annual report)</t>
        </r>
      </text>
    </comment>
    <comment ref="CW48" authorId="0" shapeId="0" xr:uid="{8E4B7C2B-70D1-41C9-A2F4-E81B6F847F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website data (not formally included in annual report)</t>
        </r>
      </text>
    </comment>
    <comment ref="CX48" authorId="0" shapeId="0" xr:uid="{BA11788F-BFFE-49AC-B9CC-2CFA57EA8C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indicated resources</t>
        </r>
      </text>
    </comment>
    <comment ref="CY48" authorId="0" shapeId="0" xr:uid="{20564DEA-1B47-44BD-9150-2FFC39445A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indicated resources</t>
        </r>
      </text>
    </comment>
    <comment ref="CZ48" authorId="0" shapeId="0" xr:uid="{3AB7D879-5497-491D-8C62-7C929124B3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indicated resources</t>
        </r>
      </text>
    </comment>
    <comment ref="F49" authorId="0" shapeId="0" xr:uid="{D3E048D1-01CC-4CAA-AB5B-BBE6AFF40E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Allegiance Mining, then then Zinifex, then OZ Minerals, then MMG, now Dundas Mining</t>
        </r>
      </text>
    </comment>
    <comment ref="DN49" authorId="0" shapeId="0" xr:uid="{DCF26050-A5A4-4A76-84DC-C64B4BACA8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previous owner MMG</t>
        </r>
      </text>
    </comment>
    <comment ref="F74" authorId="0" shapeId="0" xr:uid="{89B1E510-19EA-4841-AE10-ED78AD17F7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Proto Resources Ltd (now bankrupt)</t>
        </r>
      </text>
    </comment>
    <comment ref="AY81" authorId="0" shapeId="0" xr:uid="{EEC1D602-0FE7-4BAA-985E-BB7FC6A32F9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BG81" authorId="0" shapeId="0" xr:uid="{6DBB94E0-88F9-4180-A10F-2950D451B1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AY82" authorId="0" shapeId="0" xr:uid="{923269E5-877C-4B99-A407-93336F3423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82" authorId="0" shapeId="0" xr:uid="{C0D991CE-4C42-4BCB-9404-687D016962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82" authorId="0" shapeId="0" xr:uid="{BF99D9ED-E6C9-43C7-8CFB-2B371BC6F6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83" authorId="0" shapeId="0" xr:uid="{F5190F71-18D7-4AF1-A9D6-A4E0A05B01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83" authorId="0" shapeId="0" xr:uid="{A25D2ED5-7A37-460E-8180-4803ACB4F8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AY84" authorId="0" shapeId="0" xr:uid="{FFC58059-9E34-4B44-AB57-893BBBC553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G84" authorId="0" shapeId="0" xr:uid="{B43A8ADA-E766-41A1-A1BE-D83739C81A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84" authorId="0" shapeId="0" xr:uid="{A9F88C0E-7376-4FA4-A295-5666C9716C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85" authorId="0" shapeId="0" xr:uid="{E5BEA850-F28F-47F6-AD32-640034BE62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G85" authorId="0" shapeId="0" xr:uid="{EE23AD4E-61D7-4D01-98B8-1E1B23490B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86" authorId="0" shapeId="0" xr:uid="{2149685D-DBFC-4B96-BEBB-B9F36CD713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86" authorId="0" shapeId="0" xr:uid="{56C0E297-EF02-4EAE-AE50-B5D6F81846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86" authorId="0" shapeId="0" xr:uid="{16AF4171-5D44-43D3-9D22-A86D962F12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Prof. Sokol Mati</t>
        </r>
      </text>
    </comment>
    <comment ref="AY87" authorId="0" shapeId="0" xr:uid="{DB391FA4-D6F5-43AD-B591-00A36B6BC1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87" authorId="0" shapeId="0" xr:uid="{F0E31F85-2A1E-49D5-96AE-AAB5CD801E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87" authorId="0" shapeId="0" xr:uid="{D17B024E-6E5B-4294-B16B-389296C551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88" authorId="0" shapeId="0" xr:uid="{ADE36A58-3C11-4172-9681-F46F38D7DC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Graynic Metals Plc</t>
        </r>
      </text>
    </comment>
    <comment ref="AY88" authorId="0" shapeId="0" xr:uid="{C135DB9A-DB10-40EA-A96B-39B3FCF12F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G88" authorId="0" shapeId="0" xr:uid="{126275A5-25A4-4156-9334-EDB5DFEDDF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88" authorId="0" shapeId="0" xr:uid="{DC69A556-523C-4AA7-91B4-E368083939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89" authorId="0" shapeId="0" xr:uid="{CF3951B3-8CA9-4623-ACA4-BE5B8BDD99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various owners previously</t>
        </r>
      </text>
    </comment>
    <comment ref="A90" authorId="0" shapeId="0" xr:uid="{47FE021A-51E4-4749-BD49-1820A92250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Trull-Surroj, Mamez, Namen (Nome)-Arren</t>
        </r>
      </text>
    </comment>
    <comment ref="F90" authorId="0" shapeId="0" xr:uid="{C507EBF4-78A7-431B-B112-B67AB4341B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Balkan Resources, which became Arian Resources</t>
        </r>
      </text>
    </comment>
    <comment ref="AY90" authorId="0" shapeId="0" xr:uid="{AEFC0308-A711-4BE5-8D29-6F10E97B53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90" authorId="0" shapeId="0" xr:uid="{B2C3821B-9A5C-44EE-95F0-66A64DC8CE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90" authorId="0" shapeId="0" xr:uid="{BDAA7C57-DDAB-4C00-BFCD-929FCD1699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N90" authorId="0" shapeId="0" xr:uid="{329E9C40-D4A2-4EC7-BECA-EF4EB157E7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90" authorId="0" shapeId="0" xr:uid="{51ABDB0D-FBBA-4FC2-80BB-C098D6A485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91" authorId="0" shapeId="0" xr:uid="{EF6FCCF4-6077-4D5E-B555-A746884F32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Balkan Resources, which became Arian Resources</t>
        </r>
      </text>
    </comment>
    <comment ref="AY91" authorId="0" shapeId="0" xr:uid="{0FED9CB5-24DD-4A2C-A711-F2EA8329A4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91" authorId="0" shapeId="0" xr:uid="{3946B9DD-B83E-4ECC-897A-DC6084725D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91" authorId="0" shapeId="0" xr:uid="{A00DD807-F2A5-49E0-8F95-C9BA7943D7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N91" authorId="0" shapeId="0" xr:uid="{C41200DC-E689-484F-957D-3A76A3627C8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91" authorId="0" shapeId="0" xr:uid="{75399F68-F4D2-4813-B53F-5156F4A25B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92" authorId="0" shapeId="0" xr:uid="{7DA1F2A0-1200-4631-BA81-5F4EF50041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Bitinckës, Trenit, Kokogllaves, Serpentine, Kapshticës</t>
        </r>
      </text>
    </comment>
    <comment ref="F92" authorId="0" shapeId="0" xr:uid="{11F0034F-1E77-4508-B03C-AE6F5B5905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Balkan Resources, which became Arian Resources</t>
        </r>
      </text>
    </comment>
    <comment ref="AY92" authorId="0" shapeId="0" xr:uid="{20A51E54-25E5-484A-9D17-F1CEDBC803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92" authorId="0" shapeId="0" xr:uid="{95C468F5-0994-42A5-A55D-3FDFE7AFF8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92" authorId="0" shapeId="0" xr:uid="{A73F0144-A359-4858-9E9E-6C67B34A10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N92" authorId="0" shapeId="0" xr:uid="{BBB80E45-3B0D-4A9A-ABA0-5490E69CD7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92" authorId="0" shapeId="0" xr:uid="{EF90B085-3202-4517-A883-1F6CB55EBD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I93" authorId="0" shapeId="0" xr:uid="{43E24477-49D2-4723-955E-1232B7D6D9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Q93" authorId="0" shapeId="0" xr:uid="{8E36127E-E861-4F33-B30B-38AF9F0866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D93" authorId="0" shapeId="0" xr:uid="{12B943E3-0FAB-48FD-89C2-50F52AA8CB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L93" authorId="0" shapeId="0" xr:uid="{442D6B90-E745-4356-9FA7-8722B67909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F94" authorId="0" shapeId="0" xr:uid="{65C7F08E-1209-416A-9D5D-D29EF24A9F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Lisungwe Resources Plc</t>
        </r>
      </text>
    </comment>
    <comment ref="DN94" authorId="0" shapeId="0" xr:uid="{8D61E974-3ABC-4777-BB51-1314E89F90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Lisungwe Resources Plc</t>
        </r>
      </text>
    </comment>
    <comment ref="F95" authorId="0" shapeId="0" xr:uid="{E31B5ACE-2B6C-453A-B86A-4AE8280DC0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Northern Mining Ltd; then KGHM</t>
        </r>
      </text>
    </comment>
    <comment ref="DN95" authorId="0" shapeId="0" xr:uid="{5902467E-FC54-4B8C-8186-C017A31A60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Northern Mining Ltd</t>
        </r>
      </text>
    </comment>
    <comment ref="I96" authorId="0" shapeId="0" xr:uid="{CD2737FD-FC56-4757-8CE4-37EA321680F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D96" authorId="0" shapeId="0" xr:uid="{777C886B-6FFE-4C8A-931C-CC5C6F09A60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L96" authorId="0" shapeId="0" xr:uid="{BE672EFD-B520-4EA8-BCE1-5725183CC8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F97" authorId="0" shapeId="0" xr:uid="{4FF30D27-2EB7-45E7-908C-5855F56FE3D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Perilya Mines were taken over by Zhongjin Lingnan Nonfemet Company in Dec. 2013 ...</t>
        </r>
      </text>
    </comment>
    <comment ref="A98" authorId="0" shapeId="0" xr:uid="{15D76912-E525-4A3A-A5A5-2E416403FD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South: Pequizeiro, Baião, Pequizeiro West, Jacutinga, Vila Oito East, Vila Oito West, Vila Oito; North: Vale do Sonhos</t>
        </r>
      </text>
    </comment>
    <comment ref="I99" authorId="0" shapeId="0" xr:uid="{360A40AA-32A5-412D-9A25-E0F45EFED1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oer reserves assumed same as measured resources (due to lack of total mineral resources data)</t>
        </r>
      </text>
    </comment>
    <comment ref="Q99" authorId="0" shapeId="0" xr:uid="{A2DD15DF-E50E-41D6-82A8-081DFA6016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oer reserves assumed same as measured resources (due to lack of total mineral resources data)</t>
        </r>
      </text>
    </comment>
    <comment ref="R99" authorId="0" shapeId="0" xr:uid="{243E0C5D-E6F8-46BB-90E1-F3A2AEA8CC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oer reserves assumed same as measured resources (due to lack of total mineral resources data)</t>
        </r>
      </text>
    </comment>
    <comment ref="AD99" authorId="0" shapeId="0" xr:uid="{69B64A74-3AA7-4CEB-AC11-52BE3C3074E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oer reserves assumed same as indicated resources (due to lack of total mineral resources data)</t>
        </r>
      </text>
    </comment>
    <comment ref="AL99" authorId="0" shapeId="0" xr:uid="{46D4DC68-6D92-4191-8563-810C1BD459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oer reserves assumed same as indicated resources (due to lack of total mineral resources data)</t>
        </r>
      </text>
    </comment>
    <comment ref="AM99" authorId="0" shapeId="0" xr:uid="{D01C794F-1602-48F5-9CA2-7E024E6EF0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oer reserves assumed same as indicated resources (due to lack of total mineral resources data)</t>
        </r>
      </text>
    </comment>
    <comment ref="AY100" authorId="0" shapeId="0" xr:uid="{544E4882-6DC6-430D-91F6-E1E0CAFD10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G100" authorId="0" shapeId="0" xr:uid="{59A2524C-E6B9-4EAB-B334-3BA6441B5A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H100" authorId="0" shapeId="0" xr:uid="{285F14FB-93D7-4D2B-A903-0A6125F616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Berger et al (2011)</t>
        </r>
      </text>
    </comment>
    <comment ref="AY101" authorId="0" shapeId="0" xr:uid="{D87376A6-A022-4BE8-9DC3-D24ABBAD06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G101" authorId="0" shapeId="0" xr:uid="{34844498-A83B-4023-949C-E7577A649B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H101" authorId="0" shapeId="0" xr:uid="{58A73356-003A-496F-B24F-740B87D310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Berger et al (2011)</t>
        </r>
      </text>
    </comment>
    <comment ref="B102" authorId="0" shapeId="0" xr:uid="{D3AACD66-8616-49EA-B8FB-CD5598B2A2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atfer closure in 2013, Americano Nickel has apprently restarted but no information is published.</t>
        </r>
      </text>
    </comment>
    <comment ref="F102" authorId="0" shapeId="0" xr:uid="{856FC4EE-BC91-41FC-B0BA-0329F5C81B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Americano Nickel Ltd is a private equity holding company; Falcondo previously owned by Falconbridge Ltd, then Xstrata Plc, then Glencore Plc till August 2015 …</t>
        </r>
      </text>
    </comment>
    <comment ref="DN102" authorId="0" shapeId="0" xr:uid="{AC4A4A37-C849-4F9C-A5FA-0625BB3229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Franco-Nevada - the minority 4.1% shareholder of the Falcondo mine. Data is 2014 Glencore reporting.</t>
        </r>
      </text>
    </comment>
    <comment ref="I103" authorId="0" shapeId="0" xr:uid="{AC090E44-C37C-476C-9656-A942E74EDF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Q103" authorId="0" shapeId="0" xr:uid="{8B7EA556-8A93-4841-B1BE-EC9C955073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AD103" authorId="0" shapeId="0" xr:uid="{02A2A760-A1D8-40E4-A4B5-C5CC75E39D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AL103" authorId="0" shapeId="0" xr:uid="{DEA4CB1A-043D-4CD5-BDB4-1FC6AB71B1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same as reserves since no resources reported</t>
        </r>
      </text>
    </comment>
    <comment ref="F106" authorId="0" shapeId="0" xr:uid="{93BA2EED-6F5C-4956-ABBD-9ED04CA482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Toledo Mining Corp, which was taken over by DMCI Holdings</t>
        </r>
      </text>
    </comment>
    <comment ref="AY106" authorId="0" shapeId="0" xr:uid="{265E5138-14E8-453C-8B66-5161D88097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G106" authorId="0" shapeId="0" xr:uid="{2FD3EF2B-2438-434D-8560-CBC3C6A67B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H106" authorId="0" shapeId="0" xr:uid="{7DC27BC3-FEF8-46CD-AE5F-EA05D4AD15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Berger et al (2011)</t>
        </r>
      </text>
    </comment>
    <comment ref="DN106" authorId="0" shapeId="0" xr:uid="{FEB2D6C8-4FA2-49F5-A560-0995950538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Toledo Mining Corp.</t>
        </r>
      </text>
    </comment>
    <comment ref="F107" authorId="0" shapeId="0" xr:uid="{9BC734FF-CC68-4A31-A7D1-DC866FC7C0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Toledo Mining Corp, which was taken over by DMCI Holdings</t>
        </r>
      </text>
    </comment>
    <comment ref="AY107" authorId="0" shapeId="0" xr:uid="{632DCE57-C82C-4402-981E-51F601EFB7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G107" authorId="0" shapeId="0" xr:uid="{F26AA23C-278C-495C-BAE1-D58F2E5062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DN107" authorId="0" shapeId="0" xr:uid="{4A2D8846-1FEF-4B76-ADA6-42D5730D7A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Toledo Mining Corp.</t>
        </r>
      </text>
    </comment>
    <comment ref="I108" authorId="0" shapeId="0" xr:uid="{BBC4BF9B-3764-4F8B-A5A4-B392B3542A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108" authorId="0" shapeId="0" xr:uid="{7F342C62-670B-4AFE-BF1F-74B329FF8C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L108" authorId="0" shapeId="0" xr:uid="{D03B01DA-D7FF-4B03-937C-6AE8DC9BBE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108" authorId="0" shapeId="0" xr:uid="{4460955D-8F4B-4932-8611-3E7C84AE83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108" authorId="0" shapeId="0" xr:uid="{43E20D67-AF0E-4D72-BEA5-F8B789A8EC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G108" authorId="0" shapeId="0" xr:uid="{F9980F47-97F7-4933-8060-854421EFD4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O108" authorId="0" shapeId="0" xr:uid="{077BFF39-0D4C-4387-B38F-40A2C13DDC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O108" authorId="0" shapeId="0" xr:uid="{8F795519-6D1F-4565-81A6-74D26D7D80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W108" authorId="0" shapeId="0" xr:uid="{8AA081C3-4CBA-4B79-842D-C335D9D65D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E108" authorId="0" shapeId="0" xr:uid="{A5CCCB6D-5B1F-4175-A06A-31EEFDA3B2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A109" authorId="0" shapeId="0" xr:uid="{1DCAAB23-3C07-493B-A376-6B4C237ED2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Bolobolo, Karihatag, Agat South, Agata North</t>
        </r>
      </text>
    </comment>
    <comment ref="F110" authorId="0" shapeId="0" xr:uid="{D7E7212A-258B-463B-9C41-22275317D8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Mbmi Resources, but later sold to DMCI after legal battles</t>
        </r>
      </text>
    </comment>
    <comment ref="DN110" authorId="0" shapeId="0" xr:uid="{5B6C2C8D-309E-4271-8549-1E669A40F7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Mbmi Resources</t>
        </r>
      </text>
    </comment>
    <comment ref="I111" authorId="0" shapeId="0" xr:uid="{726750FA-1588-4758-B02A-A33169D19E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111" authorId="0" shapeId="0" xr:uid="{A657C1CE-6C62-4F7E-A8B8-ECB378F8F3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
- this is the original 2010 estimate and does not account for mining since this time</t>
        </r>
      </text>
    </comment>
    <comment ref="AL111" authorId="0" shapeId="0" xr:uid="{F4FFDF0A-7FB6-47FB-869D-D9E8A4AC39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111" authorId="0" shapeId="0" xr:uid="{747571B7-12A6-49B5-80BF-E9B3AEBD4F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111" authorId="0" shapeId="0" xr:uid="{AA14D371-4FE7-47B1-98E8-CD961F5F2B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T111" authorId="0" shapeId="0" xr:uid="{0187B902-44C0-47A5-B480-4ACCADB790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O111" authorId="0" shapeId="0" xr:uid="{5C097B8C-55DF-4CC6-99E5-2EBC1723B1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I112" authorId="0" shapeId="0" xr:uid="{09C7C55A-5855-4162-9465-10EEAA8F86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112" authorId="0" shapeId="0" xr:uid="{92A5F3C8-529D-4EA0-9963-1C30B2444C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L112" authorId="0" shapeId="0" xr:uid="{75E6499D-2692-4BFE-A2B4-8BA771AE1A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112" authorId="0" shapeId="0" xr:uid="{F2E53913-B768-428D-ACD8-15FC822B86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112" authorId="0" shapeId="0" xr:uid="{06266639-BFB3-49BF-A607-3A44FA12DE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G112" authorId="0" shapeId="0" xr:uid="{088C2570-B60A-4FBE-B636-DF7B084644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O112" authorId="0" shapeId="0" xr:uid="{5BC5CC12-679C-48CD-B4CE-BA9B7A59C1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O112" authorId="0" shapeId="0" xr:uid="{4E4D465D-D56B-4B29-B829-21AFC34EFD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W112" authorId="0" shapeId="0" xr:uid="{0EF323A0-AC6C-485E-B9F2-61D35F3B9D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E112" authorId="0" shapeId="0" xr:uid="{8B3A76F2-BAF5-41C0-8841-F7B38D677F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A116" authorId="0" shapeId="0" xr:uid="{CEE22986-9EB8-4E6D-9D97-4528ACC766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Pakal Island, Tanjung Buli, Mornopo, Sangaji</t>
        </r>
      </text>
    </comment>
    <comment ref="A117" authorId="0" shapeId="0" xr:uid="{DB91017C-81D3-4854-9D05-83BB5574D2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Lasolo Lalindu, Bahubulu, Tapunopaka, Mandiodo</t>
        </r>
      </text>
    </comment>
    <comment ref="AM122" authorId="0" shapeId="0" xr:uid="{E6992ABD-B1C5-4345-830F-E538AA686C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H122" authorId="0" shapeId="0" xr:uid="{AB023741-2726-46F2-92A7-74F954ED2E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AY123" authorId="0" shapeId="0" xr:uid="{7AEF6D60-19B5-406F-9567-9A0146E5BC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123" authorId="0" shapeId="0" xr:uid="{06236009-CEB8-4A1F-AFD0-892DED67E0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AY124" authorId="0" shapeId="0" xr:uid="{3DEB6D59-2F82-43AC-AA46-2F0ACAEC048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124" authorId="0" shapeId="0" xr:uid="{63D8ABF7-5A6E-4398-8998-F1477319BB7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H124" authorId="0" shapeId="0" xr:uid="{3B701A2F-ED9F-4879-B781-799FB63FAF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Berger et al (2011)</t>
        </r>
      </text>
    </comment>
    <comment ref="AY125" authorId="0" shapeId="0" xr:uid="{4767181F-1CBE-46F6-90EF-E9B2644E54F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G125" authorId="0" shapeId="0" xr:uid="{55771EB4-D18B-49FC-AC4B-ABF266D75E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AY126" authorId="0" shapeId="0" xr:uid="{2E64F548-A60C-478E-A1CE-4A363E76A2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26" authorId="0" shapeId="0" xr:uid="{A42D9842-D59D-4ABF-AF52-CDAEB00417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27" authorId="0" shapeId="0" xr:uid="{A3C42795-19FC-4775-9B13-6B770846A58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27" authorId="0" shapeId="0" xr:uid="{CB98860F-D820-4701-812A-473A4869DF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28" authorId="0" shapeId="0" xr:uid="{2FA35BEC-29BC-4098-8B14-56CDBCB18D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BG128" authorId="0" shapeId="0" xr:uid="{7A750E1E-3934-4159-93A4-62F9E4EA26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128" authorId="0" shapeId="0" xr:uid="{203FAA34-E1D9-455A-B14E-830E665355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128" authorId="0" shapeId="0" xr:uid="{91F07881-ACB2-4718-ADB2-AFC9291C97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 resources only</t>
        </r>
      </text>
    </comment>
    <comment ref="AY129" authorId="0" shapeId="0" xr:uid="{A53925F9-8DE5-4ED9-AB54-FAD604E31A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29" authorId="0" shapeId="0" xr:uid="{85E01215-9B07-43AE-BB80-1E79832449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30" authorId="0" shapeId="0" xr:uid="{ED15FD2E-8A06-4A94-8704-EF1E6D5936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130" authorId="0" shapeId="0" xr:uid="{D27360B3-1479-4A23-831B-C91EEFC91A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A131" authorId="0" shapeId="0" xr:uid="{C1932285-A8C6-4268-9F11-F46B8357C3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also includes Sipilou, Bankouba</t>
        </r>
      </text>
    </comment>
    <comment ref="AY131" authorId="0" shapeId="0" xr:uid="{37C004A8-6A1D-4308-B87C-79C4B0F393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31" authorId="0" shapeId="0" xr:uid="{AEE2B51A-6BAE-448E-9D97-881C34FFE3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131" authorId="0" shapeId="0" xr:uid="{9FB94C97-90CC-458E-9CC8-8C8C2F3EB4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32" authorId="0" shapeId="0" xr:uid="{DDF10B0B-4A30-4818-A086-18497C95E5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estimated from Figure 6 in Dalvi &amp; Bacon (2004)</t>
        </r>
      </text>
    </comment>
    <comment ref="BG132" authorId="0" shapeId="0" xr:uid="{7CE2EC1C-8163-4E80-8B4E-AE715905A1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SEG Newsleter No. 54, July 2003 (Gleeson et al, 2003)</t>
        </r>
      </text>
    </comment>
    <comment ref="AY133" authorId="0" shapeId="0" xr:uid="{54187E42-41AD-4DA9-AEA5-3AB61F254E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G133" authorId="0" shapeId="0" xr:uid="{D638CDA6-4D39-4C89-9AB9-B17D2EA2FC0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F134" authorId="0" shapeId="0" xr:uid="{8F5BAD33-A267-4B41-B7F8-3FD3A38A1F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Lithic Metals &amp; Energy</t>
        </r>
      </text>
    </comment>
    <comment ref="AY134" authorId="0" shapeId="0" xr:uid="{C39E51DF-B5FA-4BE7-889F-E877DE5731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34" authorId="0" shapeId="0" xr:uid="{140A333C-15B8-46C1-892A-7606C6DD55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134" authorId="0" shapeId="0" xr:uid="{DA05F45F-746E-495F-8038-42D13EB393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35" authorId="0" shapeId="0" xr:uid="{163B6141-0547-40AA-8CC4-C72D322EAB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35" authorId="0" shapeId="0" xr:uid="{F6F091E9-27D7-4260-8F1F-444BF6D0DA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135" authorId="0" shapeId="0" xr:uid="{B2BE5C52-DBF5-4862-A131-A9716FC12C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36" authorId="0" shapeId="0" xr:uid="{4229F7B3-1C42-438A-925D-061C3BE532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36" authorId="0" shapeId="0" xr:uid="{AF11DEB1-5F42-4BF9-A109-56C28297BC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37" authorId="0" shapeId="0" xr:uid="{1714AB0B-1B21-4BB2-AE8C-436F79C920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37" authorId="0" shapeId="0" xr:uid="{3D67C03B-8CFD-40F3-8EC6-DDEFBDCF1D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138" authorId="0" shapeId="0" xr:uid="{4A5EBA4B-046F-4B13-AC02-ACF04C8CC4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Anglo American Plc</t>
        </r>
      </text>
    </comment>
    <comment ref="I138" authorId="0" shapeId="0" xr:uid="{002DA73D-DED3-4426-A235-87A0C20FF8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AD138" authorId="0" shapeId="0" xr:uid="{D71CA77B-5D25-4F86-89EB-505E342022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AY138" authorId="0" shapeId="0" xr:uid="{72E25582-31F6-4FBE-8C69-205EDE038B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BG138" authorId="0" shapeId="0" xr:uid="{BAF7D9D9-4A15-4833-9AFA-2F67733030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BT138" authorId="0" shapeId="0" xr:uid="{7BE01D87-DC2C-47E0-91B3-06D448BADC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CO138" authorId="0" shapeId="0" xr:uid="{55A3351C-253E-4FF3-86A3-BCD0386075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 reserves formally reported; assumes left-over mineralisation</t>
        </r>
      </text>
    </comment>
    <comment ref="AY139" authorId="0" shapeId="0" xr:uid="{602E64B8-F122-4546-B944-9C52DB0C34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139" authorId="0" shapeId="0" xr:uid="{1A8D0C6A-6A76-402F-92B8-D438B5EC8C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AY140" authorId="0" shapeId="0" xr:uid="{01C9D03F-77BA-40AD-A404-EFF7FB0C9A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G140" authorId="0" shapeId="0" xr:uid="{EB923575-6238-42FA-9214-1C86F2EEE6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AY141" authorId="0" shapeId="0" xr:uid="{E591846E-6EA1-445E-B757-319EB982D7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G141" authorId="0" shapeId="0" xr:uid="{7B7AD447-AC83-4641-8DEA-B00330212C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AY142" authorId="0" shapeId="0" xr:uid="{B708112A-8B57-437C-B45A-3AEA7CEE40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G142" authorId="0" shapeId="0" xr:uid="{B8D99A37-2617-45FF-903C-19C5D96B62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AY143" authorId="0" shapeId="0" xr:uid="{911DF9E0-A464-467C-B269-05096C015C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G143" authorId="0" shapeId="0" xr:uid="{675C0CB4-EDFD-4E6C-909E-643B30AFB3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AY144" authorId="0" shapeId="0" xr:uid="{CA27070F-234C-48DE-9758-2067B5CBEE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BG144" authorId="0" shapeId="0" xr:uid="{CDD2B4CA-4792-4CF0-9663-C6A548B941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resources, assumed as inferred</t>
        </r>
      </text>
    </comment>
    <comment ref="AY145" authorId="0" shapeId="0" xr:uid="{5F75A6B7-78D1-47CE-8CF3-C63EF6F163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2011 data minus 2012 mining; site closed early 2013 ...</t>
        </r>
      </text>
    </comment>
    <comment ref="BH145" authorId="0" shapeId="0" xr:uid="{AA5E895F-575C-472F-B9AF-F58F387465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Berger et al (2011)</t>
        </r>
      </text>
    </comment>
    <comment ref="AY146" authorId="0" shapeId="0" xr:uid="{C85437B5-A31B-461B-BB75-5D67C4919A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46" authorId="0" shapeId="0" xr:uid="{85BA5551-6719-4BF5-A048-081A1EF538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146" authorId="0" shapeId="0" xr:uid="{CD3C2EA1-66A2-4B6D-8471-F4E387329C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47" authorId="0" shapeId="0" xr:uid="{1507311E-8136-4879-BC10-7BE18C2873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47" authorId="0" shapeId="0" xr:uid="{FEC901B3-8D53-46CE-829D-796E89AB85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147" authorId="0" shapeId="0" xr:uid="{6890D34B-C289-4BAC-965A-1E935C0A43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148" authorId="0" shapeId="0" xr:uid="{F6F6F3AA-1BD6-4FCF-9714-D9EA1EE7A9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148" authorId="0" shapeId="0" xr:uid="{8B960043-E525-4598-9DF9-E3ECEA14F2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148" authorId="0" shapeId="0" xr:uid="{20A0533C-2B67-4EF3-9D98-84CE9FD94A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155" authorId="0" shapeId="0" xr:uid="{4A980517-5960-49D2-B523-468EA98983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AM156" authorId="0" shapeId="0" xr:uid="{2BB88FB4-EA6D-448B-81B7-CB81D85BD1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Barnes (2006)</t>
        </r>
      </text>
    </comment>
    <comment ref="A159" authorId="0" shapeId="0" xr:uid="{C4545369-4D03-4558-9CD3-49B6751FD4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John Ellis, Merv Daw</t>
        </r>
      </text>
    </comment>
    <comment ref="A160" authorId="0" shapeId="0" xr:uid="{318BBB8B-8E6C-4E11-A6F0-53A17E155C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project; includes Bell Creek South, Bell Creek North, Bell Creek Northwest, Bell Creek The Neck</t>
        </r>
      </text>
    </comment>
    <comment ref="DN160" authorId="0" shapeId="0" xr:uid="{774F0796-1872-4665-8214-DCB6643F8F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A161" authorId="0" shapeId="0" xr:uid="{A6C23B3E-BB33-42E0-8BA4-A572B2D7A8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DN161" authorId="0" shapeId="0" xr:uid="{97CDC775-56B5-4A0E-8E99-8E6565885A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A162" authorId="0" shapeId="0" xr:uid="{5CD6454E-F77D-46CD-8556-2D45F6D33F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DN162" authorId="0" shapeId="0" xr:uid="{8D68FEAC-F3F4-4DAA-B211-F6A7D27107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A163" authorId="0" shapeId="0" xr:uid="{C747D321-FEFF-406D-BFB5-410CF999DC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DN163" authorId="0" shapeId="0" xr:uid="{549766AB-149A-4B20-A3AB-2F2B2F81E7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F166" authorId="0" shapeId="0" xr:uid="{F4D0B2BF-EFBA-4277-8921-37D7211A58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Minara Resources (Anaconda Nickel), now part of Glencore</t>
        </r>
      </text>
    </comment>
    <comment ref="I169" authorId="0" shapeId="0" xr:uid="{46909220-2211-4255-BE24-52B963A65F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169" authorId="0" shapeId="0" xr:uid="{030DCC41-858E-4447-86A3-F6B58BAC07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L169" authorId="0" shapeId="0" xr:uid="{BB60C100-6A86-4F3F-8074-37047FAB7C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169" authorId="0" shapeId="0" xr:uid="{6AD672F0-4C31-4CDE-9167-E95B7BB1CA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169" authorId="0" shapeId="0" xr:uid="{864B8B3D-6EC5-4A48-A7C0-3415A07ADB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G169" authorId="0" shapeId="0" xr:uid="{13AACE5D-A068-4566-BCC6-A0E402B1E4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O169" authorId="0" shapeId="0" xr:uid="{37955A5E-4B7B-4A1C-88E1-E8E732F73B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O169" authorId="0" shapeId="0" xr:uid="{A506C48B-E604-41CB-9FBC-FD2EFD8C72E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W169" authorId="0" shapeId="0" xr:uid="{AC8E5E4E-84E8-481F-8CA3-1682CA907E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E169" authorId="0" shapeId="0" xr:uid="{481A7444-8789-4DA1-B64A-DCAB8935BF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AD170" authorId="0" shapeId="0" xr:uid="{2AD7175D-916E-4CBD-B9D5-1C36F04791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AY170" authorId="0" shapeId="0" xr:uid="{5ED510AA-AB6E-4025-BDDB-E1CC4FED49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BG170" authorId="0" shapeId="0" xr:uid="{C1552102-9EC2-473D-B2AB-EBFE64E87E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BH170" authorId="0" shapeId="0" xr:uid="{443B0F70-D14D-45A8-B65D-FC6CE250B9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indicaed &amp; inferred resources are reported</t>
        </r>
      </text>
    </comment>
    <comment ref="DN170" authorId="0" shapeId="0" xr:uid="{E0BBC38E-562E-4FCE-AE16-3746FC3D49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Regency Mines plc</t>
        </r>
      </text>
    </comment>
    <comment ref="F173" authorId="0" shapeId="0" xr:uid="{3D93B06B-7DE7-4BD5-A504-557A98D2B6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between European Nickel plc (40%), Rusina Mining (40%), Local Business (20%); current ownership unclear</t>
        </r>
      </text>
    </comment>
    <comment ref="DN173" authorId="0" shapeId="0" xr:uid="{D9FFB04C-B054-42BD-B3F0-E6C68456A6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 (ENK)</t>
        </r>
      </text>
    </comment>
    <comment ref="BH176" authorId="0" shapeId="0" xr:uid="{904B6870-52C2-48ED-B048-79C2F9FDB3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H179" authorId="0" shapeId="0" xr:uid="{E22C7D84-57A7-49A6-BAB7-52A04E1172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Barnes (2006)</t>
        </r>
      </text>
    </comment>
    <comment ref="F186" authorId="0" shapeId="0" xr:uid="{4671E3EA-A6C0-48BE-BD55-5A343A56D6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Proto Resources Ltd, then GME Resources Ltd, now no-one (apparently).</t>
        </r>
      </text>
    </comment>
    <comment ref="BT190" authorId="0" shapeId="0" xr:uid="{083F9F67-C90A-47EB-8350-2E10489666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O190" authorId="0" shapeId="0" xr:uid="{BD399C23-9B74-469F-941D-E955CFCCAB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W190" authorId="0" shapeId="0" xr:uid="{7D3FA777-635E-417F-831F-9F9875826B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X190" authorId="0" shapeId="0" xr:uid="{885CE871-E31E-4907-ACB3-8965531C69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F191" authorId="0" shapeId="0" xr:uid="{2FA2D6BD-37F5-4068-88EF-97DB5F7899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between European Nickel plc (40%), Rusina Mining (40%), Local Business (20%); current ownership unclear</t>
        </r>
      </text>
    </comment>
    <comment ref="DN191" authorId="0" shapeId="0" xr:uid="{C8D31589-34CB-4432-82FB-747E4E7869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 (ENK)</t>
        </r>
      </text>
    </comment>
    <comment ref="BI197" authorId="0" shapeId="0" xr:uid="{F6EAED58-011E-42F9-9175-5800040009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Dec. 2017 quarterly report</t>
        </r>
      </text>
    </comment>
    <comment ref="BJ197" authorId="0" shapeId="0" xr:uid="{AECC9DB6-FBC2-4698-9783-FDF1AE89CD2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Dec. 2017 quarterly report</t>
        </r>
      </text>
    </comment>
    <comment ref="BQ197" authorId="0" shapeId="0" xr:uid="{AE8B7E95-1D3B-4362-8E9B-9BA98AA418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Dec. 2017 quarterly report</t>
        </r>
      </text>
    </comment>
    <comment ref="BQ199" authorId="0" shapeId="0" xr:uid="{BB8E84E5-17C4-48D4-938D-A229B6F2A8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BQ200" authorId="0" shapeId="0" xr:uid="{61C4ABB7-A44D-44A7-BB3A-94EB13044D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 JORC-code compliant</t>
        </r>
      </text>
    </comment>
    <comment ref="I201" authorId="0" shapeId="0" xr:uid="{5C23CFE1-8A0D-49B0-ADAE-A60C479C93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from 2013 resources minus cumulative production to 2018 (assuming all production is from measured resources)</t>
        </r>
      </text>
    </comment>
    <comment ref="Q201" authorId="0" shapeId="0" xr:uid="{A482A39A-43C9-44FA-9528-09AD1F44AE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from 2013 resources minus cumulative production to 2018 (assuming all production is from measured resources)</t>
        </r>
      </text>
    </comment>
    <comment ref="AL201" authorId="0" shapeId="0" xr:uid="{BA6AFD22-A83E-431E-85E8-2A8B5B1AB0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ore grade by category not given, only total average grade</t>
        </r>
      </text>
    </comment>
    <comment ref="BG201" authorId="0" shapeId="0" xr:uid="{BD9E9317-AA2D-41BE-B957-2A9E3277C7D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ore grade by category not given, only total average grade</t>
        </r>
      </text>
    </comment>
    <comment ref="BH203" authorId="0" shapeId="0" xr:uid="{CCE4FA86-7B1E-4E7F-8F00-04DAEBBC7B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Barnes (2006)</t>
        </r>
      </text>
    </comment>
    <comment ref="A205" authorId="0" shapeId="0" xr:uid="{45E1ADD8-E5E2-442D-8827-6B52679121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the "Nornico" project</t>
        </r>
      </text>
    </comment>
    <comment ref="DN205" authorId="0" shapeId="0" xr:uid="{24D089A5-53F2-423E-BF33-7ACC5810A9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media release (ASX) from former owner Metallica Minerals Ltd</t>
        </r>
      </text>
    </comment>
    <comment ref="A208" authorId="0" shapeId="0" xr:uid="{CD66B3CA-AE89-4C2F-93D4-BEDE82D0A44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Oriental, Yagrumaje Oeste, Playa La Vaca y Zona Septentrional, Zona Central, Zona A, Zona A Oeste, Sector 11 Bloques (Yamanigüey Ferroniquel), Sector 5 Bloques (Yamanigüey Ferroniquel), Slurry Plant Road, Zona Sur FerroNi I and II
</t>
        </r>
      </text>
    </comment>
    <comment ref="A210" authorId="0" shapeId="0" xr:uid="{D6D7B7D8-1298-4464-865D-E6115F9426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La Delta, Centarrana, Santa Teresita</t>
        </r>
      </text>
    </comment>
    <comment ref="F211" authorId="0" shapeId="0" xr:uid="{D96DD764-1950-42FF-ABB6-877C502B45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long variable corporate history - most recently owned by HudBay Minerals; sold to Solway Group in Sept. 2011</t>
        </r>
      </text>
    </comment>
    <comment ref="I211" authorId="0" shapeId="0" xr:uid="{D878527B-2F97-4A7F-A5C4-2229F11F03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Q211" authorId="0" shapeId="0" xr:uid="{75A26FB3-5912-4385-9B79-0C86AFD0F2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R211" authorId="0" shapeId="0" xr:uid="{AD33FE3B-E4AD-440D-B835-139C04FFFE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AD211" authorId="0" shapeId="0" xr:uid="{74E1E05F-078C-4250-AAEC-9F86B9A2CE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AL211" authorId="0" shapeId="0" xr:uid="{FFC3F594-D942-4BD1-9CA5-94BA95702A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AM211" authorId="0" shapeId="0" xr:uid="{E033F5EF-2D49-4ACC-92DB-D1592728C4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AY211" authorId="0" shapeId="0" xr:uid="{B9127A12-2A42-46F7-84F6-A2B12EF8CD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BG211" authorId="0" shapeId="0" xr:uid="{5CAB44FD-68FD-4055-BE8B-4658D22E72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BH211" authorId="0" shapeId="0" xr:uid="{4E35D7BF-0362-4902-BFA0-36ECAF3867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some data from HudBay Minerals</t>
        </r>
      </text>
    </comment>
    <comment ref="DN211" authorId="0" shapeId="0" xr:uid="{AB7FD71C-CCD7-4380-8C30-7DA054E1B7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HudBay Minerals; AIF 2010</t>
        </r>
      </text>
    </comment>
    <comment ref="F212" authorId="0" shapeId="0" xr:uid="{31DC7A21-5270-444B-A3CA-F2753C93D1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Anfield Nickel Corp</t>
        </r>
      </text>
    </comment>
    <comment ref="A214" authorId="0" shapeId="0" xr:uid="{AFCE7BAC-6E8D-456D-9D58-42A7D46BB3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USGS call this site "La Sampala"</t>
        </r>
      </text>
    </comment>
    <comment ref="F214" authorId="0" shapeId="0" xr:uid="{23C5D68B-553B-4E01-AEF1-A0ABBD63D4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 Rio Tinto-led joint venture</t>
        </r>
      </text>
    </comment>
    <comment ref="AY214" authorId="0" shapeId="0" xr:uid="{1A74815F-A6F0-48C5-9713-C8CE371869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2014 data (Rio Tinto Annual Report 2014)</t>
        </r>
      </text>
    </comment>
    <comment ref="BG214" authorId="0" shapeId="0" xr:uid="{65F9E451-DD4D-414D-A528-6350F8B26A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2014 data (Rio Tinto Annual Report 2014)</t>
        </r>
      </text>
    </comment>
    <comment ref="BH214" authorId="0" shapeId="0" xr:uid="{A9409447-23B4-4AA6-9AD4-E0FA6E82C9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Rio Tinto media release 28 May 2008</t>
        </r>
      </text>
    </comment>
    <comment ref="DN214" authorId="0" shapeId="0" xr:uid="{EAC6F40A-0614-4DC4-84C1-46CDF107644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2014 data (Rio Tinto Annual Report 2014)</t>
        </r>
      </text>
    </comment>
    <comment ref="I215" authorId="0" shapeId="0" xr:uid="{0B9881AE-3BA5-48FD-9446-A75715D5B0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reserves added to exclsuive measured resources</t>
        </r>
      </text>
    </comment>
    <comment ref="Q215" authorId="0" shapeId="0" xr:uid="{E4CED6DD-D27F-4E7A-9547-D89C7DBBA7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reserves added to exclsuive measured resources</t>
        </r>
      </text>
    </comment>
    <comment ref="R215" authorId="0" shapeId="0" xr:uid="{C1333095-D9F7-448A-9627-70B239A3E4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reserves added to exclsuive measured resources</t>
        </r>
      </text>
    </comment>
    <comment ref="AD215" authorId="0" shapeId="0" xr:uid="{DCB57004-37AF-4F9B-926F-2BC1C9EDC8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reserves added to exlusive indicated resources</t>
        </r>
      </text>
    </comment>
    <comment ref="AL215" authorId="0" shapeId="0" xr:uid="{49D576D6-1937-4241-9D02-EC5A4B18B5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reserves added to exlusive indicated resources</t>
        </r>
      </text>
    </comment>
    <comment ref="AM215" authorId="0" shapeId="0" xr:uid="{1DCC42CF-C67C-4A6C-A788-794F466F18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reserves added to exlusive indicated resources</t>
        </r>
      </text>
    </comment>
    <comment ref="DN215" authorId="0" shapeId="0" xr:uid="{5D637AC7-7DA2-4F3C-8BC0-68BC40D3684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Sherritt</t>
        </r>
      </text>
    </comment>
    <comment ref="I216" authorId="0" shapeId="0" xr:uid="{FBAD07B6-C4BB-4D5D-BDFE-A703EC00C7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AD216" authorId="0" shapeId="0" xr:uid="{52818297-CDD5-4762-BAD8-58A19448E8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AY216" authorId="0" shapeId="0" xr:uid="{7D83F7BA-100B-41C1-957B-F65A2967C3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
- this estimate base on 2014 reserves minus production 2015 to 2018</t>
        </r>
      </text>
    </comment>
    <comment ref="BG216" authorId="0" shapeId="0" xr:uid="{9CEFC05C-60E5-4D03-8710-6037D841C1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
- this estimate base on 2014 reserves minus production 2015 to 2018</t>
        </r>
      </text>
    </comment>
    <comment ref="BH216" authorId="0" shapeId="0" xr:uid="{FCEDF103-8C03-4BF0-8BDE-330AB52782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
- this estimate base on 2014 reserves minus production 2015 to 2018
- cobalt grades not reported for production, so constant reserves value assumed</t>
        </r>
      </text>
    </comment>
    <comment ref="BT216" authorId="0" shapeId="0" xr:uid="{0DA85200-2782-4F3A-ADFF-17E59A79B7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CO216" authorId="0" shapeId="0" xr:uid="{625CDDE4-C2D1-4305-8033-FA9FF0DBB5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Vale only reports reserves, but has from 2015 has not reported any reserves for Goro due to low nickel prices</t>
        </r>
      </text>
    </comment>
    <comment ref="I217" authorId="0" shapeId="0" xr:uid="{09AC14B1-5666-49D1-AAF3-42E909DEF1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217" authorId="0" shapeId="0" xr:uid="{4D2E46FB-BA52-46F1-9391-3E901111E3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L217" authorId="0" shapeId="0" xr:uid="{37A1E990-DE2D-4BF8-9B52-05629959AF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217" authorId="0" shapeId="0" xr:uid="{2A3A0B3F-036C-42D0-B93A-EF7F23A902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217" authorId="0" shapeId="0" xr:uid="{D4E40ABB-DA7D-4BCB-B37C-8DD2D3C887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G217" authorId="0" shapeId="0" xr:uid="{DCF0D84D-326B-4AE1-959C-4A897E3A34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O217" authorId="0" shapeId="0" xr:uid="{59144F1B-6C93-49CD-A8F4-7431464B42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O217" authorId="0" shapeId="0" xr:uid="{6C59254D-79F3-485A-8F08-350E7B4FE4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W217" authorId="0" shapeId="0" xr:uid="{E8C9972A-059B-4F43-A7E1-FD506FA1DE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E217" authorId="0" shapeId="0" xr:uid="{6C38493D-3CD8-4653-A5BE-51CC69203F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I218" authorId="0" shapeId="0" xr:uid="{019A8C33-1699-4270-B69E-3FA5401D8E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218" authorId="0" shapeId="0" xr:uid="{389AC2EA-6B28-442E-A886-B7996BE3DC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L218" authorId="0" shapeId="0" xr:uid="{0FBAF4D7-7A88-401C-9B7C-18D366058E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218" authorId="0" shapeId="0" xr:uid="{9BAA0F57-3FDC-4C7E-AF0D-FC4615DA88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218" authorId="0" shapeId="0" xr:uid="{0521B02B-EDDD-4ADA-A10C-A3EDD895A4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G218" authorId="0" shapeId="0" xr:uid="{2C99F357-DE87-4385-8BEC-511332274A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O218" authorId="0" shapeId="0" xr:uid="{F5FC8710-2D7C-4F25-B11F-E8719596E1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O218" authorId="0" shapeId="0" xr:uid="{EC948F56-F2FF-4A84-B48F-A58BEC2460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CW218" authorId="0" shapeId="0" xr:uid="{D4B4F38E-519A-4CE3-B1E4-30C7C81432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DE218" authorId="0" shapeId="0" xr:uid="{0F10C9A2-E679-4BEA-9589-12FAFCB72C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total of proved and probable reserves</t>
        </r>
      </text>
    </comment>
    <comment ref="I219" authorId="0" shapeId="0" xr:uid="{09F8D593-C523-4817-B885-80A903E688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219" authorId="0" shapeId="0" xr:uid="{328B4391-2B0A-42D7-8A56-B2B5C19990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
- this is the original 2010 estimate and does not account for mining since this time</t>
        </r>
      </text>
    </comment>
    <comment ref="AL219" authorId="0" shapeId="0" xr:uid="{F08FFCB8-B0F1-4C10-83BF-232E3E09B1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219" authorId="0" shapeId="0" xr:uid="{2D452D22-92C0-4C75-82C5-FDF4050A0E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219" authorId="0" shapeId="0" xr:uid="{BD8CAB4B-5122-4E79-98F3-571C87F296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T219" authorId="0" shapeId="0" xr:uid="{1A9CAC1F-6501-4BD0-BED3-4B33743A8F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CO219" authorId="0" shapeId="0" xr:uid="{59C50E55-4BBE-4AC9-B25D-04D0D72CEB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I220" authorId="0" shapeId="0" xr:uid="{0C76B4CD-99A5-4071-90C3-AD68A73066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220" authorId="0" shapeId="0" xr:uid="{C79D198D-3569-4267-85C4-C0F60971D7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Y220" authorId="0" shapeId="0" xr:uid="{D908187B-9BAA-43FF-B5DD-A68F1A536C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BT220" authorId="0" shapeId="0" xr:uid="{051AFDF6-A451-4950-8861-5033AD9615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proved &amp; probable reserves reported</t>
        </r>
      </text>
    </comment>
    <comment ref="CO220" authorId="0" shapeId="0" xr:uid="{E1060000-B74B-4A6E-BA44-FA1557DE79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proved &amp; probable reserves reported</t>
        </r>
      </text>
    </comment>
    <comment ref="F221" authorId="0" shapeId="0" xr:uid="{D9A4BE46-C57E-494F-AB49-5F2DBA0C0A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Toledo Mining Corp, which was taken over by DMCI Holdings</t>
        </r>
      </text>
    </comment>
    <comment ref="AY221" authorId="0" shapeId="0" xr:uid="{39511ACE-58A8-41AF-B759-4668BC03D5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G221" authorId="0" shapeId="0" xr:uid="{4A6BF985-DDF3-48E6-8414-8270762F83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DN221" authorId="0" shapeId="0" xr:uid="{2198F924-404A-4C7D-89DE-EE47A390FE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Toledo Mining Corp.</t>
        </r>
      </text>
    </comment>
    <comment ref="F222" authorId="0" shapeId="0" xr:uid="{017766A3-3BD1-4A52-A50E-8E62B90432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Pelican Resources</t>
        </r>
      </text>
    </comment>
    <comment ref="DN222" authorId="0" shapeId="0" xr:uid="{1CF0ED32-2840-48E7-A221-34E1E7EE82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Pelican Resources</t>
        </r>
      </text>
    </comment>
    <comment ref="AY227" authorId="0" shapeId="0" xr:uid="{A790C551-37FC-47CF-9641-FA40C191F8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227" authorId="0" shapeId="0" xr:uid="{0AB97A7B-61E9-4838-9594-20778DA1323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DN227" authorId="0" shapeId="0" xr:uid="{067D983D-D806-479F-A5A7-D647DF35A6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Lara Exploration - report on Aragauaia project (plus Berger et al, 2011)</t>
        </r>
      </text>
    </comment>
    <comment ref="A229" authorId="0" shapeId="0" xr:uid="{BBB8CB1A-15F0-4807-95D1-D755C19DBF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Pakal Island, Tanjung Buli, Mornopo, Sangaji</t>
        </r>
      </text>
    </comment>
    <comment ref="A230" authorId="0" shapeId="0" xr:uid="{DD810D1F-2A69-4B97-BB69-4370E3C71F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Lasolo Lalindu, Bahubulu, Tapunopaka, Mandiodo</t>
        </r>
      </text>
    </comment>
    <comment ref="F231" authorId="0" shapeId="0" xr:uid="{A916D11E-2068-4265-8046-6CEED97733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Hanking satte they owj 52.5% of the joint venture but do not state partners</t>
        </r>
      </text>
    </comment>
    <comment ref="AY231" authorId="0" shapeId="0" xr:uid="{4BAE0D7A-0C19-4F21-B759-36973B66E71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low grade ore targetted for nickel pig iron (NPI)</t>
        </r>
      </text>
    </comment>
    <comment ref="BG231" authorId="0" shapeId="0" xr:uid="{9A001168-8130-44B9-A93A-87AF915F4F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low grade ore targetted for nickel pig iron (NPI)</t>
        </r>
      </text>
    </comment>
    <comment ref="DN231" authorId="0" shapeId="0" xr:uid="{230E6B43-E897-4A2C-AA0C-68F279F830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China Hanking sold to Tuochuan Capital in July 2018</t>
        </r>
      </text>
    </comment>
    <comment ref="A236" authorId="0" shapeId="0" xr:uid="{E8EC8A81-D29C-4A0C-B774-5701FE01B0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MMDC - Marcventures Mining &amp; Development Corp</t>
        </r>
      </text>
    </comment>
    <comment ref="I236" authorId="0" shapeId="0" xr:uid="{7404D98E-9046-4876-9AAB-0EDB9C49DB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D236" authorId="0" shapeId="0" xr:uid="{C0745E9E-7147-4612-9174-0BD6DFBB37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L236" authorId="0" shapeId="0" xr:uid="{12F13AE9-4FDD-46EC-A729-2403B47085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T236" authorId="0" shapeId="0" xr:uid="{11BFD5B4-B57E-4972-B078-0B09C9DF52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measured &amp; indicated resources reported</t>
        </r>
      </text>
    </comment>
    <comment ref="A237" authorId="0" shapeId="0" xr:uid="{BD68DF2A-9620-4E5D-9668-3462F99E31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BRC - Brightgreen Resources Corp</t>
        </r>
      </text>
    </comment>
    <comment ref="F238" authorId="0" shapeId="0" xr:uid="{EA3D2463-6A07-4E89-829E-698A6491A2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DN238" authorId="0" shapeId="0" xr:uid="{6CAFD520-78C9-477C-AEBE-BDDA99550B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"Final Report On Exploration Licences 4964, 5185, 5315 Lake Innes, N.S.W.  Nickel/Cobalt/Scandium Laterite Project for Jervois Mining"</t>
        </r>
      </text>
    </comment>
    <comment ref="F239" authorId="0" shapeId="0" xr:uid="{8DB6E510-4A0F-400B-86B9-F3BE942C0E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DN239" authorId="0" shapeId="0" xr:uid="{AED6345C-58BA-4BA4-BC40-0D3A6493C0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"Final Report On Exploration Licences 4964, 5185, 5315 Lake Innes, N.S.W.  Nickel/Cobalt/Scandium Laterite Project for Jervois Mining"</t>
        </r>
      </text>
    </comment>
    <comment ref="F240" authorId="0" shapeId="0" xr:uid="{C0BBBEB5-E239-4C45-81BF-1A7058CC16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possibly Clean Power Pty Ltd, then MinRex Resources Ltd - but current ownwer unknown</t>
        </r>
      </text>
    </comment>
    <comment ref="DN240" authorId="0" shapeId="0" xr:uid="{CC3F5FB0-283C-4C2D-8593-CBC0E605D0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"Final Report On Exploration Licences 4964, 5185, 5315 Lake Innes, N.S.W.  Nickel/Cobalt/Scandium Laterite Project for Jervois Mining"</t>
        </r>
      </text>
    </comment>
    <comment ref="AY241" authorId="0" shapeId="0" xr:uid="{2213BF39-C7AB-4A7F-971E-55D48BAAE7C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41" authorId="0" shapeId="0" xr:uid="{DC4210EB-9DFD-4B16-A489-22534911E6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41" authorId="0" shapeId="0" xr:uid="{7339A069-88F3-4DE5-B9E6-67CA1E4E8D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only. Co value from Cabri et al (2017)</t>
        </r>
      </text>
    </comment>
    <comment ref="AY242" authorId="0" shapeId="0" xr:uid="{6F956F10-6DEE-48A2-8ACE-570BC8DEA1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42" authorId="0" shapeId="0" xr:uid="{CCB9484C-7B8A-466F-A001-F99A40D8BC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43" authorId="0" shapeId="0" xr:uid="{786D427C-DC34-48D9-88B2-13FE34DBAE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G243" authorId="0" shapeId="0" xr:uid="{C536AE14-435B-42FE-A715-6D1782C5B4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44" authorId="0" shapeId="0" xr:uid="{E33DDB5F-8781-4F50-BD18-8AA411F25C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~1.35 Mt ore/yr since 2005</t>
        </r>
      </text>
    </comment>
    <comment ref="BG244" authorId="0" shapeId="0" xr:uid="{34613789-440E-4855-91F2-A4BEA2423D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45" authorId="0" shapeId="0" xr:uid="{E15A2688-82C5-4678-9963-1534A3CBD6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G245" authorId="0" shapeId="0" xr:uid="{71790EDC-5567-4438-8795-AB4CE8E12F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45" authorId="0" shapeId="0" xr:uid="{AD306AF8-473F-4834-979D-CE30B1DBA5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246" authorId="0" shapeId="0" xr:uid="{42BAAB17-A0EE-419C-894A-2FFF3F65D7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Lithic Metals &amp; Energy</t>
        </r>
      </text>
    </comment>
    <comment ref="AY246" authorId="0" shapeId="0" xr:uid="{8383E804-904F-475A-9AAA-B7B284957B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46" authorId="0" shapeId="0" xr:uid="{2CB26CA1-ADD2-4AF0-AA76-BF29AF1745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247" authorId="0" shapeId="0" xr:uid="{D3271A7B-4D32-405C-945A-B8FA625A64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between European Nickel plc (40%), Rusina Mining (40%), Local Business (20%); current ownership unclear</t>
        </r>
      </text>
    </comment>
    <comment ref="AY247" authorId="0" shapeId="0" xr:uid="{CA2789DC-8286-4DB7-AC52-CFDCE6F0C8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47" authorId="0" shapeId="0" xr:uid="{E5584365-1212-4BC3-BF63-625ECFBA37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AY248" authorId="0" shapeId="0" xr:uid="{535BB0D2-A5E8-44C4-A5AB-C5503BF6C0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48" authorId="0" shapeId="0" xr:uid="{3D9E2D7B-2480-4F22-BA44-009E9557F0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F249" authorId="0" shapeId="0" xr:uid="{75DF4558-E930-4A29-993D-8A3880EBD1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European Nickel Plc</t>
        </r>
      </text>
    </comment>
    <comment ref="AY249" authorId="0" shapeId="0" xr:uid="{54EE88C9-0511-4737-9795-49458F83DD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BG249" authorId="0" shapeId="0" xr:uid="{2BDFD385-2668-4C3E-850A-83D927ED1C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DN249" authorId="0" shapeId="0" xr:uid="{972223C8-AC73-4B0D-AA2B-08391D779D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</t>
        </r>
      </text>
    </comment>
    <comment ref="AY250" authorId="0" shapeId="0" xr:uid="{760BB672-24C3-4F9E-9834-2A3AAD02DC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BG250" authorId="0" shapeId="0" xr:uid="{FE7D8651-E3DE-4094-A00C-B69D2EFF9F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originally reported as probable reserves, but assued as inferred resources due to failure of project</t>
        </r>
      </text>
    </comment>
    <comment ref="DN250" authorId="0" shapeId="0" xr:uid="{074F7854-8F5E-47DA-90D2-1C7C70DC16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European Nickel Plc</t>
        </r>
      </text>
    </comment>
    <comment ref="AY251" authorId="0" shapeId="0" xr:uid="{D7B4F0F3-3974-4F28-AA6A-6373293EEE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51" authorId="0" shapeId="0" xr:uid="{FB53FC74-D638-40F1-B785-374D984305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52" authorId="0" shapeId="0" xr:uid="{18995D58-331D-45FA-8DA0-75913F8D34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G252" authorId="0" shapeId="0" xr:uid="{0A93119E-5AE0-496B-93D4-7ADE2072E4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53" authorId="0" shapeId="0" xr:uid="{1D6D6177-D347-406A-90F1-F8C9F34D5E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G253" authorId="0" shapeId="0" xr:uid="{BEC7E8BD-9610-4564-BC7C-4804968CAA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BH253" authorId="0" shapeId="0" xr:uid="{AFED6B90-2A80-447B-990F-674D65A2C6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resourcs, assumed as inferred resources</t>
        </r>
      </text>
    </comment>
    <comment ref="F254" authorId="0" shapeId="0" xr:uid="{8B605C05-330F-4CE3-8B3E-D7A8521AF7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Central West Gold NL</t>
        </r>
      </text>
    </comment>
    <comment ref="AY254" authorId="0" shapeId="0" xr:uid="{14C47FFB-61D0-4304-AAC0-E957EB05AD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 only, assumed as inferred resources</t>
        </r>
      </text>
    </comment>
    <comment ref="BG254" authorId="0" shapeId="0" xr:uid="{8CFA4874-B296-4884-BA5E-3D60F5B471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 only, assumed as inferred resourcesvalue from 2007 Annual Report</t>
        </r>
      </text>
    </comment>
    <comment ref="BH254" authorId="0" shapeId="0" xr:uid="{0C8F61DA-4069-46F1-9D26-FAA0AF64D8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 only, assumed as inferred resources</t>
        </r>
      </text>
    </comment>
    <comment ref="DN254" authorId="0" shapeId="0" xr:uid="{B1E09E37-B692-436E-83AC-DC56C86A6C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Central West Gold NL</t>
        </r>
      </text>
    </comment>
    <comment ref="AY255" authorId="0" shapeId="0" xr:uid="{1EEADC8C-1811-4175-A535-43BEDA2C8E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55" authorId="0" shapeId="0" xr:uid="{FA2D5333-5ED9-47BB-B05E-1C921C1B76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55" authorId="0" shapeId="0" xr:uid="{B3F169CB-3EFE-42AF-A172-0957914922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56" authorId="0" shapeId="0" xr:uid="{D9C3446E-552E-4AAA-884F-30F0562346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56" authorId="0" shapeId="0" xr:uid="{C6E7AFA6-1A3A-46DB-9E3F-0986B5A0E8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56" authorId="0" shapeId="0" xr:uid="{080E34EB-5D51-445E-8DE6-D4C27D73D7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N256" authorId="0" shapeId="0" xr:uid="{4D8AA3B4-F59B-42E0-A18E-A61F4F2D23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256" authorId="0" shapeId="0" xr:uid="{995746F0-0E0E-44FF-B3E9-084427316F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57" authorId="0" shapeId="0" xr:uid="{44ADB144-B905-4E87-8DA8-6DD4143F01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57" authorId="0" shapeId="0" xr:uid="{597F3180-1828-4DDE-84A5-77E9F208E9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H257" authorId="0" shapeId="0" xr:uid="{641B585C-2040-4503-8275-4F0DB48E1E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AY258" authorId="0" shapeId="0" xr:uid="{EBB481FF-5DEC-4A82-A8D6-6FDF7E6B78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58" authorId="0" shapeId="0" xr:uid="{36B0D36A-0AFA-4194-9F66-629F312724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58" authorId="0" shapeId="0" xr:uid="{0F7D8ACE-10EF-4F77-A0DB-D9425D2FED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59" authorId="0" shapeId="0" xr:uid="{81F43288-A0AF-439E-A460-E1B3F2FA5F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59" authorId="0" shapeId="0" xr:uid="{068DDE23-CB5A-40B4-9AE6-A2475D7611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60" authorId="0" shapeId="0" xr:uid="{D25688A6-3F5C-4BB1-A786-6329E04230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G260" authorId="0" shapeId="0" xr:uid="{DFB453F4-16FB-4393-B671-757C3803E5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61" authorId="0" shapeId="0" xr:uid="{0439A97C-2A4C-4501-926B-E063F6EC66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G261" authorId="0" shapeId="0" xr:uid="{1AAF159F-3511-45EE-9FF9-D4A648F577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61" authorId="0" shapeId="0" xr:uid="{662C59D6-D59C-43BA-A1CC-55778750FD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62" authorId="0" shapeId="0" xr:uid="{AED0882D-BC2F-426D-BAAC-C4A376AC071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G262" authorId="0" shapeId="0" xr:uid="{ACDC69F0-53EE-487A-9801-219276D9DA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63" authorId="0" shapeId="0" xr:uid="{70713476-682A-4C06-BBCA-F26ECBD58A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~0.7 Mt ore/yr since 2005</t>
        </r>
      </text>
    </comment>
    <comment ref="BG263" authorId="0" shapeId="0" xr:uid="{4805425F-E04D-48F3-9B92-E55699A3BD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63" authorId="0" shapeId="0" xr:uid="{8927CB8C-4634-4DAE-AD8F-33880817AC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264" authorId="0" shapeId="0" xr:uid="{255EA6BC-58A0-49EC-9402-FD2D39530C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current (late 2019) ownership remains unclear</t>
        </r>
      </text>
    </comment>
    <comment ref="AY264" authorId="0" shapeId="0" xr:uid="{59F0E9DF-D4E2-4964-93D5-33DA40C2B6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G264" authorId="0" shapeId="0" xr:uid="{213ACD36-084C-44DB-A7F0-17781C44C1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AY265" authorId="0" shapeId="0" xr:uid="{AF992AAB-250E-490C-9B2A-ABFCC4FF3E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only; adjusted for 13 years mining @ ~0.3 Mt ore/yr since 2005</t>
        </r>
      </text>
    </comment>
    <comment ref="BG265" authorId="0" shapeId="0" xr:uid="{4D9EFD2F-1FEA-4350-B48B-0993DB5F46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266" authorId="0" shapeId="0" xr:uid="{108A8D39-CC8E-4645-BC8C-DD77DD02A5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Diamond Fields International Inc, sold to unnamed buyer in Dec. 2017</t>
        </r>
      </text>
    </comment>
    <comment ref="AY266" authorId="0" shapeId="0" xr:uid="{4EB1776C-A26E-462A-9FA8-3EC3E24299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66" authorId="0" shapeId="0" xr:uid="{BD4F54CD-DA93-4D68-8D3E-999B0650FE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67" authorId="0" shapeId="0" xr:uid="{999B001C-75FE-4F44-96D5-1239FC8C23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67" authorId="0" shapeId="0" xr:uid="{3C3802BD-9E8F-4E18-A686-F20BBFC500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68" authorId="0" shapeId="0" xr:uid="{83E62C9F-455E-49AB-B05E-D37F01BCBE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68" authorId="0" shapeId="0" xr:uid="{1B27F70B-637E-41EC-99D7-810B019AD3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69" authorId="0" shapeId="0" xr:uid="{A79906D3-F0D8-4C4C-AE37-2DC321EE1C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69" authorId="0" shapeId="0" xr:uid="{8DB3F0E6-DB82-43F7-8AF3-252F1CBE94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H269" authorId="0" shapeId="0" xr:uid="{AD77072B-14AF-46F6-9919-7BFC30F388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Co value from Cabri et al (2017)</t>
        </r>
      </text>
    </comment>
    <comment ref="AY270" authorId="0" shapeId="0" xr:uid="{8A993FCE-498A-4BC1-B371-72AD3B1A19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BG270" authorId="0" shapeId="0" xr:uid="{CB63D30A-9B8B-445B-AFB3-EEC8D7313A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older data, but only data available</t>
        </r>
      </text>
    </comment>
    <comment ref="AY271" authorId="0" shapeId="0" xr:uid="{ABA84B43-BAC0-4924-B112-FD138E79A8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71" authorId="0" shapeId="0" xr:uid="{9F61CB34-EDC6-4E77-B218-7060376305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AY273" authorId="0" shapeId="0" xr:uid="{F8F18257-BA80-41A4-904E-DA3E68969A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ASSUMED; based on reported 210 kt Ni in Mosusu (2014)</t>
        </r>
      </text>
    </comment>
    <comment ref="BG273" authorId="0" shapeId="0" xr:uid="{D0D34DB5-85C8-47D6-AD81-470D0D7378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ASSUMED; based on reported 210 kt Ni in Mosusu (2014)</t>
        </r>
      </text>
    </comment>
    <comment ref="AY275" authorId="0" shapeId="0" xr:uid="{B2AC1BE6-CC1A-4FE6-8E7F-0CD33D2F61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275" authorId="0" shapeId="0" xr:uid="{5A14391B-FECD-4778-87D8-8F0D4666EB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H275" authorId="0" shapeId="0" xr:uid="{572E94CA-BD5B-4D10-9C8E-5EE44C4B4E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AY276" authorId="0" shapeId="0" xr:uid="{E14C99EA-3925-4840-922E-0C3C2874CB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G276" authorId="0" shapeId="0" xr:uid="{3DE8E828-0FC4-4A95-BDB1-B981044E12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BH276" authorId="0" shapeId="0" xr:uid="{85059339-E10D-46D4-8721-E4DDE8B738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AY277" authorId="0" shapeId="0" xr:uid="{00A455E7-6F80-45DB-AFCC-D45211C679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77" authorId="0" shapeId="0" xr:uid="{1CC36F12-3643-4629-A559-6D6F908E8F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77" authorId="0" shapeId="0" xr:uid="{2B2D2F53-2CD3-41DB-8016-6C94151CADB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N277" authorId="0" shapeId="0" xr:uid="{B1994D53-7A84-40E1-988D-0B2EC53880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277" authorId="0" shapeId="0" xr:uid="{7A424C43-C596-4A14-B36A-E2DB8B9E03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78" authorId="0" shapeId="0" xr:uid="{B0F173B2-DD09-4009-801C-1699649B57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78" authorId="0" shapeId="0" xr:uid="{CF026716-C26D-4911-BF4B-C68F9EE65F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278" authorId="0" shapeId="0" xr:uid="{1DA0A33E-47DE-4C13-8F49-E6B96DA311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N278" authorId="0" shapeId="0" xr:uid="{E8ED0001-8C5B-4954-9268-F8C264865E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278" authorId="0" shapeId="0" xr:uid="{3D7486DC-1858-4AB2-9A06-CB86291AE4C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279" authorId="0" shapeId="0" xr:uid="{1C486D51-BE76-4A78-B3B9-2EC9DC5166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279" authorId="0" shapeId="0" xr:uid="{487EA36D-01AC-4A19-9A9B-91C577110C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N279" authorId="0" shapeId="0" xr:uid="{02E3BD0A-C66F-4109-9385-94FBE1C94A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O279" authorId="0" shapeId="0" xr:uid="{79F9ED07-3D9E-499D-B6F8-35A1138BC2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280" authorId="0" shapeId="0" xr:uid="{1B9AE061-8709-46C1-8570-BB437BF94B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Solomon Gold Plc (which became SolGold)</t>
        </r>
      </text>
    </comment>
    <comment ref="AD280" authorId="0" shapeId="0" xr:uid="{BAF1C408-A22F-45FE-9638-5CC15EC939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AY280" authorId="0" shapeId="0" xr:uid="{152E0611-B6EF-4166-994E-9DCE7DB1DB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BG280" authorId="0" shapeId="0" xr:uid="{9269A67D-6D42-4640-ABBE-8A3428F560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BH280" authorId="0" shapeId="0" xr:uid="{E3C1DD23-05E5-43DF-A848-14EF05AABA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although stated as 'indicate and inferred' resources, no split provided - assumed all as inferred</t>
        </r>
      </text>
    </comment>
    <comment ref="DN280" authorId="0" shapeId="0" xr:uid="{0E3F9083-B03D-446C-9843-3CC3A18B49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Solomon Gold Plc (which became SolGold)</t>
        </r>
      </text>
    </comment>
    <comment ref="AY281" authorId="0" shapeId="0" xr:uid="{DA3D4596-A57D-4AEC-AC4E-BE8C788513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G281" authorId="0" shapeId="0" xr:uid="{5629DD07-74A4-498B-8F27-32FAE3AC3E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AY282" authorId="0" shapeId="0" xr:uid="{1C20424C-E7B9-40D4-A858-12F04C21CC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BG282" authorId="0" shapeId="0" xr:uid="{A79EFC47-B7AF-4EAE-9C3B-CD38D13F7C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data, not code-compliant</t>
        </r>
      </text>
    </comment>
    <comment ref="AY283" authorId="0" shapeId="0" xr:uid="{A47E2C97-ADEF-4A8A-8280-CC4775F217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83" authorId="0" shapeId="0" xr:uid="{826B4DCF-4942-494E-BD88-DFC79E020C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AY284" authorId="0" shapeId="0" xr:uid="{242B83A5-0477-4C30-8648-D8BABF254A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84" authorId="0" shapeId="0" xr:uid="{04AAE70C-8287-4ED6-B312-8E6EF80F3D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AY285" authorId="0" shapeId="0" xr:uid="{77F2A7C9-191C-4B3F-BB73-0DDA032F8C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BG285" authorId="0" shapeId="0" xr:uid="{74F7F702-9CE7-4D28-A5E7-59783E1889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code basis unclear, assumed as inferred, non-code compliant</t>
        </r>
      </text>
    </comment>
    <comment ref="A292" authorId="0" shapeId="0" xr:uid="{2E905D63-4304-467D-AECC-AE5548D665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Corella, Hannibals, Harrier, Harakka, Wedgetail</t>
        </r>
      </text>
    </comment>
    <comment ref="AD292" authorId="0" shapeId="0" xr:uid="{780085A2-2E8B-4C39-A789-EF268DFB97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measured and indicated</t>
        </r>
      </text>
    </comment>
    <comment ref="AL292" authorId="0" shapeId="0" xr:uid="{8CB460B8-9F24-4B77-BBB4-CF9FCD0955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measured and indicated</t>
        </r>
      </text>
    </comment>
    <comment ref="AE294" authorId="1" shapeId="0" xr:uid="{D938DA06-8FD2-493D-B89E-7D825ECDB0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294" authorId="1" shapeId="0" xr:uid="{18BB564E-2C63-4EA9-901D-6F9AB279797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Z294" authorId="1" shapeId="0" xr:uid="{645158AC-B992-4605-9E97-149A7BCAB8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H294" authorId="1" shapeId="0" xr:uid="{8A6D85BA-D670-4EB7-BDDC-1F0CC44134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297" authorId="0" shapeId="0" xr:uid="{80968F97-84FF-45E1-9300-0B51315455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Cassini, Burnett, Miitel, Wannaway, Carnilya, Otter Juan, McMahon/Ken, Durkin North, Gellatly, Voyce, Cameron, Stockwell</t>
        </r>
      </text>
    </comment>
    <comment ref="J297" authorId="1" shapeId="0" xr:uid="{261572E8-457C-4656-A0C8-E5A9E7512B3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R297" authorId="1" shapeId="0" xr:uid="{B6E061AA-2729-4F0F-8456-885F078F791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E297" authorId="1" shapeId="0" xr:uid="{B05B305F-E0BC-4FF3-8D91-663F444DDBD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297" authorId="1" shapeId="0" xr:uid="{41F99956-B894-4393-8F39-17124570D00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Y297" authorId="0" shapeId="0" xr:uid="{B3662945-2CC7-4FF9-BC02-F1F49FA33A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Grimsby from WA MINEDEX</t>
        </r>
      </text>
    </comment>
    <comment ref="AZ297" authorId="1" shapeId="0" xr:uid="{88A94D4B-0CC0-4016-B5FD-DCFB968E587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G297" authorId="0" shapeId="0" xr:uid="{91063433-DD5C-457D-BBC5-8015ABAF6D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Grimsby from WA MINEDEX</t>
        </r>
      </text>
    </comment>
    <comment ref="BH297" authorId="1" shapeId="0" xr:uid="{D15C4829-B95F-45F5-AD17-A94A6F387B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U297" authorId="1" shapeId="0" xr:uid="{D7AEE50C-51A6-4881-998D-75F1CAE7981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C297" authorId="1" shapeId="0" xr:uid="{5FBD1636-B06C-4931-B317-80DF713EE87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P297" authorId="1" shapeId="0" xr:uid="{F3365FF3-4A42-404C-A962-A1A1927E48D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X297" authorId="1" shapeId="0" xr:uid="{33F2EE9F-F254-4AC2-A298-D434F1E5C58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J298" authorId="1" shapeId="0" xr:uid="{0E21F6E0-E418-4E07-BA44-313B20A2AF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R298" authorId="1" shapeId="0" xr:uid="{28C75163-42E8-4695-9DFA-9F2D2E527D5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E298" authorId="1" shapeId="0" xr:uid="{5A8D3341-48A6-4574-A232-66C8D84D15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298" authorId="1" shapeId="0" xr:uid="{13D8CB3B-8332-48E9-867C-E4B3650B137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Z298" authorId="1" shapeId="0" xr:uid="{6A8E053B-B344-480B-9822-036FC9D8EB7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H298" authorId="1" shapeId="0" xr:uid="{C38DC6F2-CAEA-4DCF-9A7C-09B63FC9401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P298" authorId="1" shapeId="0" xr:uid="{24AE6DBF-D999-4D4C-BD7A-C8335ED4147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CX298" authorId="1" shapeId="0" xr:uid="{71B6F033-6D6F-47F2-9C44-B7243BC9350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F299" authorId="0" shapeId="0" xr:uid="{B663A8D6-E552-45BB-893A-528363E3A5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Royal Nickel Corp.</t>
        </r>
      </text>
    </comment>
    <comment ref="J299" authorId="1" shapeId="0" xr:uid="{8E9C1705-5DCA-4F18-94B8-041FF5313FC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R299" authorId="1" shapeId="0" xr:uid="{2DE797A0-8618-49F5-B6C4-8E5481045F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E299" authorId="1" shapeId="0" xr:uid="{61E27367-8115-4EB5-8E10-6B0848552F2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299" authorId="1" shapeId="0" xr:uid="{81F8F8DF-7625-451E-9585-3E6CB53086B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Z299" authorId="1" shapeId="0" xr:uid="{B24FA791-2628-42F1-9EA4-A5882B37131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H299" authorId="1" shapeId="0" xr:uid="{1D0666DD-5FD5-4F70-95C4-60596CB9D3E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E302" authorId="1" shapeId="0" xr:uid="{97110562-3729-4B90-A537-5AD734604A8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302" authorId="1" shapeId="0" xr:uid="{1D78A7D4-2368-41E3-B4FE-70C03AF7804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Z302" authorId="1" shapeId="0" xr:uid="{73F62476-9A90-4217-BAA9-BCCB7F80857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H302" authorId="1" shapeId="0" xr:uid="{CA2929B4-F12B-44E0-9072-36BB4FE310E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303" authorId="0" shapeId="0" xr:uid="{48223E0A-4F0E-4882-9505-EE2F49ABE6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older WA MINEDEX data for %Co in the Lounge Lizard resource</t>
        </r>
      </text>
    </comment>
    <comment ref="BH303" authorId="0" shapeId="0" xr:uid="{2C535FFF-DB08-47E8-AC9A-F37C2058D8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older WA MINEDEX data for %Co in the Lounge Lizard resource</t>
        </r>
      </text>
    </comment>
    <comment ref="CX303" authorId="0" shapeId="0" xr:uid="{76793740-735B-4B6B-80DA-463EEFA53F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older WA MINEDEX data for %Co in the Lounge Lizard resource</t>
        </r>
      </text>
    </comment>
    <comment ref="A304" authorId="0" shapeId="0" xr:uid="{B58894D1-9528-4386-B720-0A87C43891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Mount Windarra, South Windarra, Cerberus</t>
        </r>
      </text>
    </comment>
    <comment ref="AE304" authorId="0" shapeId="0" xr:uid="{0303E332-14DE-4D24-B7B7-1A5AC77006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M304" authorId="0" shapeId="0" xr:uid="{99A2474A-C4F3-41AC-97AC-231B5E03814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Z304" authorId="0" shapeId="0" xr:uid="{916E7D7D-670E-4E0D-8B69-56989FA58C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H304" authorId="0" shapeId="0" xr:uid="{8DF3CE6F-B8C8-4D97-A087-B50AC21CD3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M305" authorId="0" shapeId="0" xr:uid="{4A0E2034-D345-41CE-A79E-B3ACBB4D30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AO305" authorId="0" shapeId="0" xr:uid="{8505F6AB-4EE2-4F2C-9FEC-54B4FF8281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H305" authorId="0" shapeId="0" xr:uid="{FD6EFCC5-D60A-4E06-8CE2-88135C853B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BJ305" authorId="0" shapeId="0" xr:uid="{2DE56AA3-6F0E-4D23-8AA6-91ABAAC20B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AE306" authorId="0" shapeId="0" xr:uid="{7ECBFA9E-7ED7-45BF-A698-B0D809B657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M306" authorId="0" shapeId="0" xr:uid="{1C303BBA-FED7-40DA-95EA-019E6D82E8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Z306" authorId="0" shapeId="0" xr:uid="{9126896C-CAFB-4D03-8AAD-9CB4550908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H306" authorId="0" shapeId="0" xr:uid="{C2ED3F92-9949-49EC-B62D-A5CA402A10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E307" authorId="0" shapeId="0" xr:uid="{82939247-F8E0-4291-A154-41A904EC91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M307" authorId="0" shapeId="0" xr:uid="{492CAA92-31AF-449C-9886-29B41555CE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AZ307" authorId="0" shapeId="0" xr:uid="{EB795F3A-AF56-4E44-BDB9-DD7BFFD081C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H307" authorId="0" shapeId="0" xr:uid="{7FE341D1-4DBA-4378-94CE-135D507A56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grade for indicated &amp; inferred only</t>
        </r>
      </text>
    </comment>
    <comment ref="BI311" authorId="0" shapeId="0" xr:uid="{20E47CC7-00A8-45E4-B589-94460693EB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greade reported as 0.5 g/t PGEs, assumes 30% Pt split</t>
        </r>
      </text>
    </comment>
    <comment ref="BJ311" authorId="0" shapeId="0" xr:uid="{6CFABDCA-7AC3-41D9-B9AC-569B2183B64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greade reported as 0.5 g/t PGEs, assumes 60% Pd split</t>
        </r>
      </text>
    </comment>
    <comment ref="BK311" authorId="0" shapeId="0" xr:uid="{D878E1B4-84E9-4C4E-B952-D5D648D128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greade reported as 0.5 g/t PGEs, assumes 10% Rh split</t>
        </r>
      </text>
    </comment>
    <comment ref="AE317" authorId="1" shapeId="0" xr:uid="{6F6CC839-9CF3-4D3A-8925-DC9509E2ED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317" authorId="0" shapeId="0" xr:uid="{3517F67E-D784-4C63-8469-86F0FADC81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AZ317" authorId="1" shapeId="0" xr:uid="{2B4142B4-D5AC-4340-B8C5-A799D8B6C12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H317" authorId="0" shapeId="0" xr:uid="{312490F9-059E-4095-9CB5-3BDAA68C44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 MINEDEX</t>
        </r>
      </text>
    </comment>
    <comment ref="AE322" authorId="1" shapeId="0" xr:uid="{7C853804-732F-4261-8552-82F1C9B5848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322" authorId="1" shapeId="0" xr:uid="{BA7155CD-A2DF-481F-B9B4-1DD511CBFA5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Z322" authorId="1" shapeId="0" xr:uid="{AF7A5E6F-2563-4F38-BE73-BCB03010774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H322" authorId="1" shapeId="0" xr:uid="{9EE436EF-53EB-4316-8325-375F06AB539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E326" authorId="1" shapeId="0" xr:uid="{E507AEE2-4A5D-4A40-BBEB-FA795014449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M326" authorId="1" shapeId="0" xr:uid="{5881D72B-5C7D-457E-A174-3C207E01A9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Z326" authorId="1" shapeId="0" xr:uid="{3DC69E45-0AA5-43B6-8ECD-0941F7D0659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BH326" authorId="1" shapeId="0" xr:uid="{AFD91825-EF6F-4D94-8622-4C9E3684006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F332" authorId="0" shapeId="0" xr:uid="{4590C845-38F2-4A0D-A216-71CF2925C0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Canadian Arrow Mines (which went bankrupt and was transformed into Tartisan Nickel); Tartisan Nickel sold the project to VaniCom Resources Ltd in early 2019 - which is now Class 1 Nickel Ltd</t>
        </r>
      </text>
    </comment>
    <comment ref="DN332" authorId="0" shapeId="0" xr:uid="{0F6B0BAA-7E3A-4F5F-A1F7-F60A2FD088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First Nickel</t>
        </r>
      </text>
    </comment>
    <comment ref="F334" authorId="0" shapeId="0" xr:uid="{8A62B6FD-A207-41BC-A33A-1E41633B118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Royal Nickel Corp</t>
        </r>
      </text>
    </comment>
    <comment ref="F335" authorId="0" shapeId="0" xr:uid="{B71DD543-6025-4082-BB7B-6F664EEE74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First Nickel went bankrupt in mid-2015, then sold to Transition Metals Corp.; sold to VaniCom Ltd in August 2018 - which is now Class 1 Nickel Ltd</t>
        </r>
      </text>
    </comment>
    <comment ref="DN335" authorId="0" shapeId="0" xr:uid="{17C213ED-D791-43DA-BAC8-BF1DAD1A27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First Nickel</t>
        </r>
      </text>
    </comment>
    <comment ref="F339" authorId="0" shapeId="0" xr:uid="{D7DB1AA3-2975-488C-8ACD-4F85AE64A7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Liberty Mines</t>
        </r>
      </text>
    </comment>
    <comment ref="F340" authorId="0" shapeId="0" xr:uid="{BD908B25-6A9C-403F-BE44-7BA289AC12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Liberty Mines</t>
        </r>
      </text>
    </comment>
    <comment ref="F341" authorId="0" shapeId="0" xr:uid="{DC639558-58DD-45EA-AE12-1C127140A1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known as Liberty Mines</t>
        </r>
      </text>
    </comment>
    <comment ref="AY342" authorId="0" shapeId="0" xr:uid="{D940D6AD-60C4-487C-B502-DA1E70E5B50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42" authorId="0" shapeId="0" xr:uid="{48B29873-6089-426A-A268-3B6D8ECE2D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342" authorId="0" shapeId="0" xr:uid="{909E8539-CC78-4D15-B560-27315DA3B2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Sandstad et al (2012)</t>
        </r>
      </text>
    </comment>
    <comment ref="AY343" authorId="0" shapeId="0" xr:uid="{8D462C7A-1025-4EFF-9B5D-1E6FD63239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343" authorId="0" shapeId="0" xr:uid="{3EBF57C3-5ADC-40C2-B14B-6A56F4ED81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43" authorId="0" shapeId="0" xr:uid="{D5AD646F-DC15-4D0A-93F4-A1244569E0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343" authorId="0" shapeId="0" xr:uid="{967B165F-E53A-4325-AB72-EE198EA358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344" authorId="0" shapeId="0" xr:uid="{3A2CD5F6-8751-4027-8EFA-A1ED74D5A5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African Nickel Plc</t>
        </r>
      </text>
    </comment>
    <comment ref="F345" authorId="0" shapeId="0" xr:uid="{D7457B02-D393-4845-8FDD-1D97ED1FBF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Mwana Africa Plc, which was taken over by Asa Resource Group; Asa Resource Group bankrupt, Bindura complex sold to Sotic International Ltd in Oct. 2019</t>
        </r>
      </text>
    </comment>
    <comment ref="DN345" authorId="0" shapeId="0" xr:uid="{167AADD5-2594-4B39-A2B3-D4508A5EF4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Mwana Africa</t>
        </r>
      </text>
    </comment>
    <comment ref="AY346" authorId="0" shapeId="0" xr:uid="{D4B2FC75-972C-4C33-9277-8EE6427F1B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resource, not NI43-101 compliant</t>
        </r>
      </text>
    </comment>
    <comment ref="BG346" authorId="0" shapeId="0" xr:uid="{D5C2E297-5D46-4D17-ABA2-23344BCC52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resource, not NI43-101 compliant</t>
        </r>
      </text>
    </comment>
    <comment ref="F347" authorId="0" shapeId="0" xr:uid="{321249AF-DA38-4610-98E4-A9F53A9677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Royal Nickel Corp (which is now RNC Minerals)</t>
        </r>
      </text>
    </comment>
    <comment ref="I347" authorId="0" shapeId="0" xr:uid="{B1BF0F6A-611E-434C-85F0-3618591457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D347" authorId="0" shapeId="0" xr:uid="{12B3D393-8247-4620-9441-95FD71EF57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47" authorId="0" shapeId="0" xr:uid="{B54D00DB-8B38-467B-B6BD-09C3C22187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47" authorId="0" shapeId="0" xr:uid="{E560CA3E-4D5D-488C-902F-1BCD7C7366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N347" authorId="0" shapeId="0" xr:uid="{D8595BBD-422A-47AB-9061-93BA1576ED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Royal Nickel Corp</t>
        </r>
      </text>
    </comment>
    <comment ref="AY348" authorId="0" shapeId="0" xr:uid="{CF5D210C-85D6-4F8C-AAD5-627FED826D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348" authorId="0" shapeId="0" xr:uid="{A989A7DF-BC10-4FE0-AC6E-D882CB36C2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F348" authorId="0" shapeId="0" xr:uid="{6FE50C3B-EBF1-49A4-966C-C52C021013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48" authorId="0" shapeId="0" xr:uid="{538332C6-C0B9-4C61-B1B6-5A63EBD575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49" authorId="0" shapeId="0" xr:uid="{562502F7-E444-4E36-98F9-03279D696B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49" authorId="0" shapeId="0" xr:uid="{98BC2502-79FD-469A-BE74-5C0E7607F9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50" authorId="0" shapeId="0" xr:uid="{0F0CA737-13AD-4B7B-970C-3B18A54DAB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50" authorId="0" shapeId="0" xr:uid="{9A8CBC9D-E4CF-4D54-94B4-E79385C525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51" authorId="0" shapeId="0" xr:uid="{5E2536BA-AC60-478C-9AFB-5185393D1F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351" authorId="0" shapeId="0" xr:uid="{B95EC482-1CDD-41D0-BA67-9EA4E55AAC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51" authorId="0" shapeId="0" xr:uid="{5DFDE146-E4B9-408A-8DC8-8D78FDF52A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52" authorId="0" shapeId="0" xr:uid="{8DB629DB-C680-4D46-86C9-832165499F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52" authorId="0" shapeId="0" xr:uid="{0FA83B94-BFDC-42EB-B3A7-2EAA5F9781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53" authorId="0" shapeId="0" xr:uid="{6F7B2A3C-F6CA-4FC1-8535-DAB3A2611D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53" authorId="0" shapeId="0" xr:uid="{04411A20-76AE-4440-A8C2-E7434B564C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54" authorId="0" shapeId="0" xr:uid="{D59FE793-2F0D-4812-B722-CE9D6932FD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54" authorId="0" shapeId="0" xr:uid="{7D51C9E3-F92A-4716-A0BA-FB30D9C9BC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55" authorId="0" shapeId="0" xr:uid="{C5C4D360-E1F5-4AFE-AE28-94385B621C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55" authorId="0" shapeId="0" xr:uid="{AD3DE6BD-98AF-42A3-945F-85B01AF0A9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356" authorId="0" shapeId="0" xr:uid="{4E61F24D-CC00-4FF5-92EC-89F644368C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56" authorId="0" shapeId="0" xr:uid="{0DCC1BBD-2028-4721-A1A8-A1F92120E3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357" authorId="0" shapeId="0" xr:uid="{8E846A28-2AC7-47A8-8172-415716B530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57" authorId="0" shapeId="0" xr:uid="{813563CB-94CC-490D-B1ED-D857BD14A7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C358" authorId="0" shapeId="0" xr:uid="{01C1818C-37A5-4B30-B8F9-6344C1B24E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58" authorId="0" shapeId="0" xr:uid="{B18E8475-9F12-424E-A7D2-A6DAFC66B5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I358" authorId="0" shapeId="0" xr:uid="{C3AEF77A-ABED-4CF3-A4C7-C058D2CAB8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J358" authorId="0" shapeId="0" xr:uid="{B4C7522F-9BF3-4A67-A6B4-56F58029FB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K358" authorId="0" shapeId="0" xr:uid="{BC44502C-B63A-47A2-8DCA-BBDFC2BCBD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Q358" authorId="0" shapeId="0" xr:uid="{96D436BA-0BB5-426C-A7FC-87308E199F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R358" authorId="0" shapeId="0" xr:uid="{64394E1B-ED11-473C-8390-9579C4510D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S358" authorId="0" shapeId="0" xr:uid="{8328B0C8-5428-406E-99C0-D943277FCF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T358" authorId="0" shapeId="0" xr:uid="{5F6E9C05-084B-486C-B268-95B377C82E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AD358" authorId="0" shapeId="0" xr:uid="{68669383-0933-4B3F-8862-1A33BCF530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E358" authorId="0" shapeId="0" xr:uid="{FDBE6CBA-A256-4364-B7A8-0B0E15A8D9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F358" authorId="0" shapeId="0" xr:uid="{D3C7E910-6EFE-42AA-B26B-8923DC8A86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L358" authorId="0" shapeId="0" xr:uid="{1466DD11-4461-43A2-B17C-C22445B309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M358" authorId="0" shapeId="0" xr:uid="{A67E5830-14F2-47AB-B2D4-5A84C466B5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N358" authorId="0" shapeId="0" xr:uid="{D43B0F07-B28F-489A-9BF7-4C213D4EFB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O358" authorId="0" shapeId="0" xr:uid="{44528410-D3CA-4AC3-9D1F-4CC434A9300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C359" authorId="0" shapeId="0" xr:uid="{83235204-B532-4C49-8EAE-4BDE0E5B61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59" authorId="0" shapeId="0" xr:uid="{3353B422-2266-4FD1-87B8-DD1E4D2F38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359" authorId="0" shapeId="0" xr:uid="{BEBCD10E-75FD-49BF-8FEE-94F35BB208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First Nickel went bankrupt in mid-2015, current status appears to be Transition Metals Corp.</t>
        </r>
      </text>
    </comment>
    <comment ref="AD359" authorId="0" shapeId="0" xr:uid="{70D58330-DC51-4EB2-A512-86E24DE0F3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AE359" authorId="0" shapeId="0" xr:uid="{76F7E982-2EE8-4370-BF16-120FA945E5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AL359" authorId="0" shapeId="0" xr:uid="{E3DC983D-76B7-4B9C-9165-91546C3B46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AM359" authorId="0" shapeId="0" xr:uid="{98546FE2-E88A-4A34-B040-F11C2AAEB7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BT359" authorId="0" shapeId="0" xr:uid="{EE66B0DA-31F3-422A-AF72-FE2C2605A5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BU359" authorId="0" shapeId="0" xr:uid="{BD41ED6C-048F-4503-A4B3-78462CC84B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CB359" authorId="0" shapeId="0" xr:uid="{BBEB3CD1-4225-49B8-857C-A56CE182AF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minnig from mid-2012 to 2015 deducted from reserves</t>
        </r>
      </text>
    </comment>
    <comment ref="CC359" authorId="0" shapeId="0" xr:uid="{01D611B5-DFA2-44A7-8F9B-9C33B28FB1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Cobalt grade assumed same for all mined ore as reserves</t>
        </r>
      </text>
    </comment>
    <comment ref="C360" authorId="0" shapeId="0" xr:uid="{16C4379D-A81C-44EB-82AC-A97D514A82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60" authorId="0" shapeId="0" xr:uid="{1A693762-2878-4F72-A007-BD2D0594283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AM360" authorId="0" shapeId="0" xr:uid="{4FD18681-D834-49B8-8935-37997BF885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(2011-12)</t>
        </r>
      </text>
    </comment>
    <comment ref="BH360" authorId="0" shapeId="0" xr:uid="{E606C688-2E4A-4C2D-A71E-D2F184BC2E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(2011-12)</t>
        </r>
      </text>
    </comment>
    <comment ref="C361" authorId="0" shapeId="0" xr:uid="{4A5C44EF-72D8-4F34-8F32-B310FC7A3D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61" authorId="0" shapeId="0" xr:uid="{C39C8940-75A5-47A5-A77C-06C726934B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361" authorId="0" shapeId="0" xr:uid="{48E91F8D-28BE-49C0-980E-E0F360F1C4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QuadraFNX, taken over by KGHM</t>
        </r>
      </text>
    </comment>
    <comment ref="S361" authorId="0" shapeId="0" xr:uid="{3D6DE088-1976-4EE8-8322-4AE3BA292E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40% as Pt</t>
        </r>
      </text>
    </comment>
    <comment ref="T361" authorId="0" shapeId="0" xr:uid="{7A2FF8BB-392C-407B-8E3E-54CCEF0D6C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60% as Pd</t>
        </r>
      </text>
    </comment>
    <comment ref="AN361" authorId="0" shapeId="0" xr:uid="{00B0E3BF-0AB1-462E-8530-2967D25681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40% as Pt</t>
        </r>
      </text>
    </comment>
    <comment ref="AO361" authorId="0" shapeId="0" xr:uid="{83156BB4-ADDE-4AE6-A911-241A6CBDD2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60% as Pd</t>
        </r>
      </text>
    </comment>
    <comment ref="BI361" authorId="0" shapeId="0" xr:uid="{75B05A17-1493-43AB-8D23-59F624F468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40% as Pt</t>
        </r>
      </text>
    </comment>
    <comment ref="BJ361" authorId="0" shapeId="0" xr:uid="{BD4EB4C8-FC39-4F4D-80AB-94A52BA860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60% as Pd</t>
        </r>
      </text>
    </comment>
    <comment ref="DN361" authorId="0" shapeId="0" xr:uid="{6BB99D14-6E10-41CB-A0A0-F7C662E1C7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QuadraFNX Mining</t>
        </r>
      </text>
    </comment>
    <comment ref="C362" authorId="0" shapeId="0" xr:uid="{60B72A1A-ABD9-4C68-96EC-18FBCDDCFA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62" authorId="0" shapeId="0" xr:uid="{AB4F5FAD-86CD-4615-BB8F-1D6998864C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C363" authorId="0" shapeId="0" xr:uid="{15CC64FF-FDF1-4BBE-A9F5-977B6B56C4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63" authorId="0" shapeId="0" xr:uid="{5A7ADBC3-9F86-452C-99E1-59A74CEC3C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AD363" authorId="0" shapeId="0" xr:uid="{2600AC82-CA4D-4A39-9146-832EFB6C41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combined measured &amp; indicated resources stated</t>
        </r>
      </text>
    </comment>
    <comment ref="AE363" authorId="0" shapeId="0" xr:uid="{80FEF551-FA22-4F39-A47C-0D13CE1E72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combined measured &amp; indicated resources stated</t>
        </r>
      </text>
    </comment>
    <comment ref="AL363" authorId="0" shapeId="0" xr:uid="{DBA5D445-47DB-4654-9C8F-34E354828E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combined measured &amp; indicated resources stated</t>
        </r>
      </text>
    </comment>
    <comment ref="DN363" authorId="0" shapeId="0" xr:uid="{F8430A16-D928-49F5-9193-168DF51568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FNX Mining Company</t>
        </r>
      </text>
    </comment>
    <comment ref="C364" authorId="0" shapeId="0" xr:uid="{DD4BF802-1D92-4F4C-9B8F-4A64D6345A8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64" authorId="0" shapeId="0" xr:uid="{AA5CBF83-C4CE-431A-8EB5-433FF4D2C7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364" authorId="0" shapeId="0" xr:uid="{12B4906D-49CA-4D29-BF47-68AC2CA2FD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QuadraFNX, taken over by KGHM</t>
        </r>
      </text>
    </comment>
    <comment ref="C365" authorId="0" shapeId="0" xr:uid="{964510D1-9C6C-4D1A-AC19-0A30CC4AAA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65" authorId="0" shapeId="0" xr:uid="{E22EADEC-F582-4E3A-A691-E12D02C6B9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F365" authorId="0" shapeId="0" xr:uid="{A027DF30-EA99-42CF-ABA5-A39325CF00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QuadraFNX, taken over by KGHM</t>
        </r>
      </text>
    </comment>
    <comment ref="DN365" authorId="0" shapeId="0" xr:uid="{8B45B013-B68D-4374-8FBE-E3564136A04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QuadraFNX Mining</t>
        </r>
      </text>
    </comment>
    <comment ref="C366" authorId="0" shapeId="0" xr:uid="{D036ED72-2FF9-437A-838E-2A8DC93FB0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(2009-01)</t>
        </r>
      </text>
    </comment>
    <comment ref="D366" authorId="0" shapeId="0" xr:uid="{C28223BF-0C4D-45E6-9DAB-E978DF53EE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(2009-01)</t>
        </r>
      </text>
    </comment>
    <comment ref="F367" authorId="0" shapeId="0" xr:uid="{C312F051-BD38-4854-9549-84427856FB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part of Sibanye-Stillwater</t>
        </r>
      </text>
    </comment>
    <comment ref="AD367" authorId="0" shapeId="0" xr:uid="{8DF7CF31-3D4B-4C7C-9F43-6D3986D9603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E367" authorId="0" shapeId="0" xr:uid="{6E40A5A5-EF1B-4B79-8EFB-7C06CBFBCF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F367" authorId="0" shapeId="0" xr:uid="{654AB01A-83B1-445C-8AD2-CC4C2E3362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L367" authorId="0" shapeId="0" xr:uid="{1D7A2812-442F-42C6-8D66-47303B5846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M367" authorId="0" shapeId="0" xr:uid="{E2827FCA-371B-44CB-9167-1D79BCCFE7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N367" authorId="0" shapeId="0" xr:uid="{3356DA9B-34F4-4B4A-9D07-D6725EEDBDF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O367" authorId="0" shapeId="0" xr:uid="{F48F4DC8-E297-4A60-92DD-0C51027457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Y367" authorId="0" shapeId="0" xr:uid="{BF5C8486-4912-4644-B0D2-FF83BDA9F1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AZ367" authorId="0" shapeId="0" xr:uid="{E88D93E7-FD65-4FD0-9788-0958A00C39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A367" authorId="0" shapeId="0" xr:uid="{9C4479F2-14BA-4DC8-A2A4-69EFD95911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G367" authorId="0" shapeId="0" xr:uid="{FB3DBC2E-4B7E-4469-ADA2-9D69FA0ABE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H367" authorId="0" shapeId="0" xr:uid="{FAA6981B-57D3-4629-A5A9-C67BDDF3D5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I367" authorId="0" shapeId="0" xr:uid="{2F9088F6-60CC-4C9B-85AE-63D0D94327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BJ367" authorId="0" shapeId="0" xr:uid="{7C186D8D-0C71-424F-B34F-628BA6F4EC8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Wallbridge Mining</t>
        </r>
      </text>
    </comment>
    <comment ref="C369" authorId="0" shapeId="0" xr:uid="{C6F18C2C-7471-454D-8092-E0E0A7A836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D369" authorId="0" shapeId="0" xr:uid="{9FE6B016-98A2-4ED5-816E-7F4244284A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Ontario Mineral Deposit Inventory database</t>
        </r>
      </text>
    </comment>
    <comment ref="AY369" authorId="1" shapeId="0" xr:uid="{358AF793-5E80-4347-8BD0-ED7038C47C7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estimated from historic reserve minus mine production; historical resource assumed as inferred</t>
        </r>
      </text>
    </comment>
    <comment ref="AY370" authorId="0" shapeId="0" xr:uid="{CE6F9DA4-E112-4AF7-A44A-B26A0CBA9F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370" authorId="0" shapeId="0" xr:uid="{8BFFEC4D-A92D-47CB-9807-6741483EB0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370" authorId="0" shapeId="0" xr:uid="{624D250B-3145-49A3-931F-CE0A3A1047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371" authorId="0" shapeId="0" xr:uid="{5E75B37F-F80F-4400-BBA8-D8363A6F0E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taken over by Sibanye-Stillwater in mid-2019</t>
        </r>
      </text>
    </comment>
    <comment ref="R371" authorId="0" shapeId="0" xr:uid="{7545E241-8A60-48F5-AC5A-053849EF09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AM371" authorId="0" shapeId="0" xr:uid="{B5968C3F-2C2F-4ADA-82C5-5A078ED89D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BH371" authorId="0" shapeId="0" xr:uid="{176FCA6D-5251-4FBB-BFB7-70108590CF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CC371" authorId="0" shapeId="0" xr:uid="{FD67908B-FC11-4DB4-841E-18C7BD8ED4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CX371" authorId="0" shapeId="0" xr:uid="{85ADD870-10EA-4FEB-99FE-D02226D33E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(2014-03)</t>
        </r>
      </text>
    </comment>
    <comment ref="A373" authorId="1" shapeId="0" xr:uid="{26720C4E-1305-4544-98B0-96859C499D6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includes Kilvenjärvi, Ahmavaara, Suhanko
North, Siika-Kämä, Konttijärvi</t>
        </r>
      </text>
    </comment>
    <comment ref="F373" authorId="0" shapeId="0" xr:uid="{99A08A9C-F6DE-40B8-92F8-BF52809848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Gold Fields Ltd</t>
        </r>
      </text>
    </comment>
    <comment ref="I373" authorId="0" shapeId="0" xr:uid="{4DA96E2A-0B84-4674-BB80-95B2090ACE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J373" authorId="0" shapeId="0" xr:uid="{35E1869F-3DC2-460D-AB34-D71DEE9A56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K373" authorId="0" shapeId="0" xr:uid="{081CD983-2A4F-4C30-913B-DE2F9784F6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Q373" authorId="0" shapeId="0" xr:uid="{527EA664-5562-491E-ADE0-C5D4D35B93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S373" authorId="0" shapeId="0" xr:uid="{A9CDC9AA-9D55-4DC0-8A39-04538AA1A1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T373" authorId="0" shapeId="0" xr:uid="{E16DB492-C0D5-42BE-8C8A-637EC7B31D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D373" authorId="0" shapeId="0" xr:uid="{CA070407-8001-45A4-8DBE-EBC6E2BC37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E373" authorId="0" shapeId="0" xr:uid="{2E293E0D-4557-4FCA-A280-E5D73E87DD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F373" authorId="0" shapeId="0" xr:uid="{E76C525D-B42C-4F31-8D50-1BAEB74DC7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L373" authorId="0" shapeId="0" xr:uid="{A352DC42-1421-4F30-951F-CED8BE38B2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N373" authorId="0" shapeId="0" xr:uid="{8197D038-513A-4FFE-9FE4-F414D2D6E5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O373" authorId="0" shapeId="0" xr:uid="{7A67D2D1-5275-48D1-B26B-9D1485331D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Y373" authorId="0" shapeId="0" xr:uid="{FC0CE2B9-EE73-4484-B641-E2A3E81F32F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AZ373" authorId="0" shapeId="0" xr:uid="{83FC2993-4A04-4172-9FCC-138FEA26FE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A373" authorId="0" shapeId="0" xr:uid="{DBFC7E54-7A42-48A0-A046-DD4348D709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G373" authorId="0" shapeId="0" xr:uid="{F806DF6C-42A4-4432-ACFD-BCC11FB4901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I373" authorId="0" shapeId="0" xr:uid="{16A6C51E-4101-45CD-83FB-BBB566B1E8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BJ373" authorId="0" shapeId="0" xr:uid="{44010AF9-B913-456B-AD23-18AD769E90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DN373" authorId="0" shapeId="0" xr:uid="{B0847449-3461-4379-A04C-5CFA918CBA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2016 Gold Fields data</t>
        </r>
      </text>
    </comment>
    <comment ref="F374" authorId="0" shapeId="0" xr:uid="{D4F7FFF3-B8D3-4C4F-934B-13F7BB042F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Nortec Minerals Corp, Finore Mining (note: Palladium One was formerly Nickel On Resources)</t>
        </r>
      </text>
    </comment>
    <comment ref="AM374" authorId="0" shapeId="0" xr:uid="{658D2503-2F53-4936-A468-94C2AFCF70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(2011-03)</t>
        </r>
      </text>
    </comment>
    <comment ref="BH374" authorId="0" shapeId="0" xr:uid="{E804BE40-634A-40F0-883A-6A9C3DEAAD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(2011-03)</t>
        </r>
      </text>
    </comment>
    <comment ref="F375" authorId="0" shapeId="0" xr:uid="{8F6B7270-08BB-4538-9452-7EE69E36A0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owned by First Quantum Minerals</t>
        </r>
      </text>
    </comment>
    <comment ref="I375" authorId="0" shapeId="0" xr:uid="{3B7811F5-C344-4F8F-8746-86E7AA465B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J375" authorId="0" shapeId="0" xr:uid="{4019B334-38FD-4A97-B80C-74420D0321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K375" authorId="0" shapeId="0" xr:uid="{1C90A613-56FE-4827-8BC0-6FC5A6B57A0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Q375" authorId="0" shapeId="0" xr:uid="{E34C9B1E-1C84-49D6-AFD7-152F86EC18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R375" authorId="0" shapeId="0" xr:uid="{9FCF2A7F-5BF4-476A-B157-45CEFAC590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S375" authorId="0" shapeId="0" xr:uid="{067DE59A-24A6-4181-B332-B1B426F63C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T375" authorId="0" shapeId="0" xr:uid="{C1D8DC87-6587-4E59-834F-1D9D674CE6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AD375" authorId="0" shapeId="0" xr:uid="{E4E1F419-48CE-4179-AA83-9F3F768F0B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E375" authorId="0" shapeId="0" xr:uid="{8081EF42-E108-4E15-A806-569E75C7D9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F375" authorId="0" shapeId="0" xr:uid="{DE2FF213-7486-4883-94B9-7A3CABEB42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L375" authorId="0" shapeId="0" xr:uid="{623C8370-E4A0-460F-BE63-BC33C43EC5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M375" authorId="0" shapeId="0" xr:uid="{620A2F37-76E2-457B-BF45-511F2748B1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N375" authorId="0" shapeId="0" xr:uid="{C2C837F9-B1A9-4DD7-AED2-AA68F111DB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O375" authorId="0" shapeId="0" xr:uid="{721466CF-34B7-44E1-86B1-C267CCA373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F383" authorId="0" shapeId="0" xr:uid="{6605E107-DB2C-4D62-A2C8-8B41731DCD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Blackthorn Resources; data from BR 2009 AnnRep</t>
        </r>
      </text>
    </comment>
    <comment ref="DN383" authorId="0" shapeId="0" xr:uid="{8068D4DC-FF00-4B96-A399-C38C94C2B8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Blackthorn Resources Ltd</t>
        </r>
      </text>
    </comment>
    <comment ref="J384" authorId="0" shapeId="0" xr:uid="{C7A1D423-0776-4386-B001-B72923B380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Q384" authorId="0" shapeId="0" xr:uid="{688DBACB-C176-43B7-9856-11EB738B6F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AE384" authorId="0" shapeId="0" xr:uid="{F4B48CB9-6D3F-4BF7-BEE5-F3BBA379A0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AL384" authorId="0" shapeId="0" xr:uid="{BA25D47F-0764-4F0E-B262-10ECEE6DCC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AZ384" authorId="0" shapeId="0" xr:uid="{116FAC65-B425-42B6-BE45-6549111CF0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BG384" authorId="0" shapeId="0" xr:uid="{4B39FA5D-CDA2-4342-A120-2AE770A570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data</t>
        </r>
      </text>
    </comment>
    <comment ref="B385" authorId="0" shapeId="0" xr:uid="{FAD805E1-8285-44F5-835D-E46423764A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mine restarted in mid-2019</t>
        </r>
      </text>
    </comment>
    <comment ref="F385" authorId="0" shapeId="0" xr:uid="{7F1830F8-A31A-4770-847D-5AFD17A529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Mirabela Nickel - which went bankrupt in ~2013</t>
        </r>
      </text>
    </comment>
    <comment ref="F386" authorId="0" shapeId="0" xr:uid="{9C32D5D6-E258-41AE-A31B-7ABEFFFB5A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an Anglo Am Pt / Solitario joint venture; then Jaganda Mines, now ValOre</t>
        </r>
      </text>
    </comment>
    <comment ref="AZ386" authorId="0" shapeId="0" xr:uid="{41F775EA-50FE-4345-ACF2-02E908D314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BG386" authorId="0" shapeId="0" xr:uid="{212BDB8A-17AF-4716-9AF3-6B423F0F29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BH386" authorId="0" shapeId="0" xr:uid="{1FA87ECF-D659-440D-AA82-85B8AF8EBA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BN386" authorId="0" shapeId="0" xr:uid="{8D263493-8A80-4C0E-8AF2-530B762613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Jangada Mines presentation (Q4 2018)</t>
        </r>
      </text>
    </comment>
    <comment ref="AD387" authorId="0" shapeId="0" xr:uid="{93D132E5-F2F1-4F50-8BBA-87F6163132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E387" authorId="0" shapeId="0" xr:uid="{5F9C6950-96A8-46E0-BA5B-72956C696B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L387" authorId="0" shapeId="0" xr:uid="{2CFC7F2F-9867-4F8C-BD9D-897C46386C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N387" authorId="0" shapeId="0" xr:uid="{4782274A-7D66-4D32-86D9-935775AF4B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- 35% assumed as Pt</t>
        </r>
      </text>
    </comment>
    <comment ref="AO387" authorId="0" shapeId="0" xr:uid="{C578E35A-ABEC-405D-B522-CE2D84A7BA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- 55% assumed as Pd</t>
        </r>
      </text>
    </comment>
    <comment ref="AQ388" authorId="0" shapeId="0" xr:uid="{F2C3187C-DFE9-4DFE-A61E-3CAFB41EBC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388" authorId="0" shapeId="0" xr:uid="{C3586F81-2F27-432A-92D3-F5AFB1478F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388" authorId="0" shapeId="0" xr:uid="{F6483804-C025-475B-9AF6-A10C8515C3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388" authorId="0" shapeId="0" xr:uid="{8DDF5400-B1D4-4BE4-BA72-698EF77617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V389" authorId="0" shapeId="0" xr:uid="{11C0688F-76CE-49B7-A269-F3098D2530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389" authorId="0" shapeId="0" xr:uid="{13E853B5-07E2-4929-BBC7-6F34D00088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F393" authorId="0" shapeId="0" xr:uid="{474364C7-4771-47DA-97F8-1356C60D9D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Platfields Ltd went bankrupt; current owner unclear</t>
        </r>
      </text>
    </comment>
    <comment ref="DN395" authorId="0" shapeId="0" xr:uid="{9395F562-6437-4ADC-A810-D91135BABF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Aquarius Platinum Ltd</t>
        </r>
      </text>
    </comment>
    <comment ref="A398" authorId="0" shapeId="0" xr:uid="{5B085096-456C-4D3F-9A2D-2E50A168E5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includes Schietfontein, Zilkaatsnek</t>
        </r>
      </text>
    </comment>
    <comment ref="DN400" authorId="0" shapeId="0" xr:uid="{A9AA149F-3B11-4AEC-8D7A-3EA5A675F2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2015 Aquarius Platinum data</t>
        </r>
      </text>
    </comment>
    <comment ref="A405" authorId="0" shapeId="0" xr:uid="{866E154C-22B2-42F3-B5FB-9FCC1C4B40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note these leases lapsed in 2018 and were not renewed - 2017 data assumed</t>
        </r>
      </text>
    </comment>
    <comment ref="V405" authorId="0" shapeId="0" xr:uid="{5A148440-06A1-4B10-A0D7-4136701A646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05" authorId="0" shapeId="0" xr:uid="{D0796EA5-3291-48B4-8BAB-4833D8F1162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05" authorId="0" shapeId="0" xr:uid="{54847CE9-9920-490A-AA97-70CD6092F3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05" authorId="0" shapeId="0" xr:uid="{9743E22E-D810-4EB6-858F-535F95001A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405" authorId="0" shapeId="0" xr:uid="{32235763-32BC-4B98-BEDF-DDC6C56153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405" authorId="0" shapeId="0" xr:uid="{46375EDD-1A82-4B83-9590-C53DE46D49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F406" authorId="0" shapeId="0" xr:uid="{D9573467-D1EA-43DA-9791-A9042511C3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Realm Resources Ltd</t>
        </r>
      </text>
    </comment>
    <comment ref="V407" authorId="0" shapeId="0" xr:uid="{620733A6-0701-434A-9442-ADC9113D52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07" authorId="0" shapeId="0" xr:uid="{D3E7B06B-24CF-4285-A57B-B2AA6A5547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07" authorId="0" shapeId="0" xr:uid="{95E89299-5EA1-4774-B07C-82C703DD87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07" authorId="0" shapeId="0" xr:uid="{815A090E-A995-4692-97A8-798499FCFB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G407" authorId="0" shapeId="0" xr:uid="{F354ABAC-80CE-4B4A-A5EB-3FA4817841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H407" authorId="0" shapeId="0" xr:uid="{ABE4E3C5-4063-483F-8F2E-074F7CA4BB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F409" authorId="0" shapeId="0" xr:uid="{B032469D-F7EF-48AA-B5C9-B23DFF3DA0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74% interest held by Village Main Reef, but they appear to be bankrupt ...</t>
        </r>
      </text>
    </comment>
    <comment ref="F410" authorId="0" shapeId="0" xr:uid="{D6304857-67B6-4863-A9F7-24E7FEC72A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Platfields Ltd went bankrupt; current owner unclear</t>
        </r>
      </text>
    </comment>
    <comment ref="F413" authorId="0" shapeId="0" xr:uid="{E398B3B2-CA2B-483B-822D-2657DFA358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part of Sibanye-Stillwater</t>
        </r>
      </text>
    </comment>
    <comment ref="V413" authorId="0" shapeId="0" xr:uid="{8F7D8532-C57B-475A-99FF-0FAA5D8457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13" authorId="0" shapeId="0" xr:uid="{76F0FB2E-A277-40D8-A2E6-82853CF130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13" authorId="0" shapeId="0" xr:uid="{1106C7AE-3977-45EC-B58B-DDC9FA63DB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13" authorId="0" shapeId="0" xr:uid="{F13CFA2A-37FC-4682-8BCE-7430F315BE4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413" authorId="0" shapeId="0" xr:uid="{63768299-8018-4C37-A7C7-123D962C02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413" authorId="0" shapeId="0" xr:uid="{8CB06A3C-2F41-41F0-B837-0C7B0BC86C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G413" authorId="0" shapeId="0" xr:uid="{9D1A47A2-583E-4D33-835F-CB51C23FEC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H413" authorId="0" shapeId="0" xr:uid="{927CDF05-659C-4655-8B8B-450990C24E2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B413" authorId="0" shapeId="0" xr:uid="{76FF2109-0567-46F0-BC17-14569E8391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C413" authorId="0" shapeId="0" xr:uid="{201034D0-63CD-4471-BC84-893A0CFDEE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V415" authorId="0" shapeId="0" xr:uid="{2732082C-0587-4DBE-AD87-9989797C1A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15" authorId="0" shapeId="0" xr:uid="{7D46E869-84F0-4F8E-96C5-7FC0CF7070E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15" authorId="0" shapeId="0" xr:uid="{B643EDBE-E612-43E8-A1D7-EB40683459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15" authorId="0" shapeId="0" xr:uid="{2FDF397D-437D-4BD8-9F85-1776547A95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415" authorId="0" shapeId="0" xr:uid="{631B6E05-1239-41E3-AF7F-2AFAFF3961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415" authorId="0" shapeId="0" xr:uid="{6665A75F-0106-4456-98C7-35D3416E58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G415" authorId="0" shapeId="0" xr:uid="{A4429C9A-CA7D-4C64-BD6B-6EB1ED03B5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H415" authorId="0" shapeId="0" xr:uid="{12122413-1AB0-47B3-A491-7CFECD8967F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B415" authorId="0" shapeId="0" xr:uid="{CF120B3E-3FC7-4AAC-BA7E-CB3659C6AA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C415" authorId="0" shapeId="0" xr:uid="{CBA766EF-21D4-4341-8DA7-9B0A29201D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F416" authorId="0" shapeId="0" xr:uid="{EEA24E72-A7C2-4E8C-903B-98C38FCE75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Wesizwe Pt Ltd</t>
        </r>
      </text>
    </comment>
    <comment ref="DN416" authorId="0" shapeId="0" xr:uid="{6A8AAB73-5FB9-494B-A63B-5A1C6B236C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Wesizwe Pt Ltd</t>
        </r>
      </text>
    </comment>
    <comment ref="F417" authorId="0" shapeId="0" xr:uid="{B9314FB0-A437-4078-AC21-4D33E881FA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Aquiarius Platinum Ltd, now part of Sibanye-Stillwater Ltd</t>
        </r>
      </text>
    </comment>
    <comment ref="DN417" authorId="0" shapeId="0" xr:uid="{2C2153A9-1DF2-47B0-9781-6E80655F54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2015 Aquarius Platinum data</t>
        </r>
      </text>
    </comment>
    <comment ref="V422" authorId="0" shapeId="0" xr:uid="{7D91452D-4A21-4FE0-8AD4-A72E43A536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22" authorId="0" shapeId="0" xr:uid="{CEE90BD4-167C-4C33-9EC5-824E0DF861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22" authorId="0" shapeId="0" xr:uid="{7E996EF5-96AE-4FCB-B908-5FA81A5D4A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22" authorId="0" shapeId="0" xr:uid="{0F4B6C28-AF89-46F3-88A6-0D04812D3C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422" authorId="0" shapeId="0" xr:uid="{BE154909-4935-46AA-A9D8-FC35AC0ECB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422" authorId="0" shapeId="0" xr:uid="{9BFA796D-9536-4F4C-9B4A-62DB7967C2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N422" authorId="0" shapeId="0" xr:uid="{9AC8997E-8FD6-48BE-992F-D38E0C4AC8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Platinum Australia</t>
        </r>
      </text>
    </comment>
    <comment ref="A425" authorId="0" shapeId="0" xr:uid="{21619895-74A1-4AE6-80D8-38A4347001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Siphumelele, Khuseleka, Khomanani, Thembelani, Bathopele</t>
        </r>
      </text>
    </comment>
    <comment ref="DN425" authorId="0" shapeId="0" xr:uid="{06B6B1B2-DF14-47FB-B53B-F0DB6F47D7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including 2017 data for Merensky-UG2 ore spit</t>
        </r>
      </text>
    </comment>
    <comment ref="V433" authorId="0" shapeId="0" xr:uid="{D1C8EBDC-9400-40B7-BC9C-440C16A58C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33" authorId="0" shapeId="0" xr:uid="{E2342A86-0C33-4731-B6EF-F05C633D8A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33" authorId="0" shapeId="0" xr:uid="{7C92B96C-D358-44E8-BB41-2598376162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33" authorId="0" shapeId="0" xr:uid="{57EC3403-5C8D-4292-9A84-BF9CFFE645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433" authorId="0" shapeId="0" xr:uid="{1E96449A-D7B9-4335-9903-06E4BC9F17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433" authorId="0" shapeId="0" xr:uid="{35AEA214-2E71-462F-A946-94BF14E69B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G433" authorId="0" shapeId="0" xr:uid="{0C7DB650-8A25-434A-8778-7C23A72FC0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H433" authorId="0" shapeId="0" xr:uid="{FFCB9EFF-7592-43E1-9F97-77CEE4D0A4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B433" authorId="0" shapeId="0" xr:uid="{4A3BB02D-651B-49CD-8A9B-12199E0F53E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C433" authorId="0" shapeId="0" xr:uid="{2C54D16E-7D50-44FB-AFF5-26C3E342DA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N434" authorId="0" shapeId="0" xr:uid="{1D0EABDA-1537-44C8-ABE5-853CCB8243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2017 Anglo American Platinum data</t>
        </r>
      </text>
    </comment>
    <comment ref="F439" authorId="0" shapeId="0" xr:uid="{E544AE1C-7A59-4562-8C6F-89344130C5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now part of Sibanye-Stillwater</t>
        </r>
      </text>
    </comment>
    <comment ref="F440" authorId="0" shapeId="0" xr:uid="{2BD91CB3-597F-4791-B300-88C8FC78E6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Caledonia Mining Corp.</t>
        </r>
      </text>
    </comment>
    <comment ref="DN440" authorId="0" shapeId="0" xr:uid="{D0D8DF33-BB24-4EE2-8384-7F1924EBE4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Caledonia Mining Corp.</t>
        </r>
      </text>
    </comment>
    <comment ref="DN441" authorId="0" shapeId="0" xr:uid="{1438A226-55DE-4047-9DF3-D8309ABC88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Wesizwe Pt Ltd</t>
        </r>
      </text>
    </comment>
    <comment ref="AZ442" authorId="0" shapeId="0" xr:uid="{7B20FA1B-7C66-4AEC-B76F-2CC2DA63C5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A442" authorId="0" shapeId="0" xr:uid="{E3577B01-093E-4782-9975-C43B3DC0EA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G442" authorId="0" shapeId="0" xr:uid="{CE0CECB9-00C2-474B-A5A3-565384F104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I442" authorId="0" shapeId="0" xr:uid="{B6E74398-AD71-49C5-AA5A-6BB58ABA69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BJ442" authorId="0" shapeId="0" xr:uid="{00E94DB2-57D5-4722-8C63-A26C82E6FC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Sedibelo</t>
        </r>
      </text>
    </comment>
    <comment ref="K443" authorId="0" shapeId="0" xr:uid="{ED3951CE-23D0-4AEC-9D84-C67BD698E7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S443" authorId="0" shapeId="0" xr:uid="{33A8257C-C817-4502-A052-9C0568C482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T443" authorId="0" shapeId="0" xr:uid="{46658F0A-9DBB-40BA-A36E-2A0E5BC125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U443" authorId="0" shapeId="0" xr:uid="{B5389EFC-CACC-4DF2-971D-D61E107BC0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AF443" authorId="0" shapeId="0" xr:uid="{D3F11A32-5EFE-43ED-903B-F771190E90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AN443" authorId="0" shapeId="0" xr:uid="{AED89056-8E7F-4805-AC29-932B1AAA12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AO443" authorId="0" shapeId="0" xr:uid="{D6E51887-CB7A-45B9-8B31-67BC88C3657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AP443" authorId="0" shapeId="0" xr:uid="{D6D5BEC2-77B3-4D89-96A0-717B3973DA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BA443" authorId="0" shapeId="0" xr:uid="{9F76B163-4FB2-4F90-BE7C-B0EEC9CBB19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BI443" authorId="0" shapeId="0" xr:uid="{78E7313E-D566-4C1F-93E5-1B540A3880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BJ443" authorId="0" shapeId="0" xr:uid="{70BCA45A-747C-4569-B994-C9B62534A5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BK443" authorId="0" shapeId="0" xr:uid="{DA27722D-33FF-4119-AB14-18B7F3004C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BV443" authorId="0" shapeId="0" xr:uid="{0CCBD262-2032-42D8-BF53-C0149F49E5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CD443" authorId="0" shapeId="0" xr:uid="{E5174740-AB24-4116-ADBD-07398301A8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CE443" authorId="0" shapeId="0" xr:uid="{F5F06C61-7E0F-49B2-A2C4-85436910FC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CF443" authorId="0" shapeId="0" xr:uid="{5E6565C4-8783-4145-B34A-ED6DA303BE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CQ443" authorId="0" shapeId="0" xr:uid="{6A11D83E-65DD-499C-8041-6FF452F040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CY443" authorId="0" shapeId="0" xr:uid="{284F9940-017D-453C-B980-5B1C5B5C23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Pt recovery from recent processing data</t>
        </r>
      </text>
    </comment>
    <comment ref="CZ443" authorId="0" shapeId="0" xr:uid="{B90F26D5-A4EA-44F6-BFE8-F65F60DC10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75% Pd recovery from recent processing data</t>
        </r>
      </text>
    </comment>
    <comment ref="DA443" authorId="0" shapeId="0" xr:uid="{3808F1A2-98D1-4594-9634-2C20EF2757F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difference in 4E prill split is 50% Au, 50% Rh</t>
        </r>
      </text>
    </comment>
    <comment ref="J444" authorId="0" shapeId="0" xr:uid="{5DE7A5F9-6E09-40E9-A42E-FAE3E407E5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K444" authorId="0" shapeId="0" xr:uid="{8BAA2151-90A1-4DEB-98E3-B76D8DC668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Q444" authorId="0" shapeId="0" xr:uid="{3E7FC1C7-BF68-4B23-BBAE-12E4B0B26D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U444" authorId="0" shapeId="0" xr:uid="{1B473F7E-F0A3-4F03-9EED-E195230D93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E444" authorId="0" shapeId="0" xr:uid="{2F33D9E4-D48C-4AE3-B24A-780F3C8E66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F444" authorId="0" shapeId="0" xr:uid="{8BEACE52-F872-4CF0-B17D-1DBA92F3BC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L444" authorId="0" shapeId="0" xr:uid="{01BC6E0C-7FAB-4FA7-9D0A-CCC210DBAC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P444" authorId="0" shapeId="0" xr:uid="{E36CD43B-D1C8-44C2-9E8E-99AA5B6392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AZ444" authorId="0" shapeId="0" xr:uid="{B3409B18-B0E5-4ACE-A504-7D7DFC05CB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A444" authorId="0" shapeId="0" xr:uid="{6679D083-8FB5-4D51-BD80-0D77195373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G444" authorId="0" shapeId="0" xr:uid="{8C339240-960B-44A2-9EF0-BC1AFBD44D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K444" authorId="0" shapeId="0" xr:uid="{8B8A8195-844A-4B8E-BA5A-C9AA674877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U444" authorId="0" shapeId="0" xr:uid="{5716EEC5-5E46-40DB-9AB7-60F9EC78D6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BV444" authorId="0" shapeId="0" xr:uid="{8811D3E7-D701-481D-8BF5-B3FCA98938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B444" authorId="0" shapeId="0" xr:uid="{3B55E7D9-CDFD-4760-8CFD-B8BD92546B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F444" authorId="0" shapeId="0" xr:uid="{615BCA37-51A5-423E-B121-9CB97415D9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P444" authorId="0" shapeId="0" xr:uid="{0A4462C9-86B4-4993-8B26-2F1DA24F9E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Q444" authorId="0" shapeId="0" xr:uid="{955383F5-EB19-41C3-B9C6-BF517C0225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CW444" authorId="0" shapeId="0" xr:uid="{B4EBAF50-DE42-4F31-A232-75EBC8F6C0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DA444" authorId="0" shapeId="0" xr:uid="{FE5618A7-A309-44DD-B111-14B84B7328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estimated based on 90% recovery during ore processing</t>
        </r>
      </text>
    </comment>
    <comment ref="DN445" authorId="0" shapeId="0" xr:uid="{06FBF0C7-27C5-48F1-8A2E-4C36A62604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P&amp;P reserves data combined from both Anglo American Plc and Anglo American Platinum Ltd</t>
        </r>
      </text>
    </comment>
    <comment ref="V446" authorId="0" shapeId="0" xr:uid="{9C275F5B-475E-4409-AA8B-E568932071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46" authorId="0" shapeId="0" xr:uid="{A514318E-5561-409E-AB1D-DC99F1A0CB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46" authorId="0" shapeId="0" xr:uid="{247A0DC1-74A4-4A22-AEE6-8C9600C179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46" authorId="0" shapeId="0" xr:uid="{19E35DB0-CD29-4D7A-9E1A-F89CEED2A6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446" authorId="0" shapeId="0" xr:uid="{3BB52B47-AF01-4E14-87E1-425FD6A569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446" authorId="0" shapeId="0" xr:uid="{45B707F7-8E63-410D-A6B5-03BAD13AE2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G446" authorId="0" shapeId="0" xr:uid="{96ADA1CA-0132-4163-834A-C5D8DC6255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H446" authorId="0" shapeId="0" xr:uid="{B4D0AAEE-7CDD-4DCD-B4DF-3DCE7229A8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B446" authorId="0" shapeId="0" xr:uid="{C5096765-7918-4957-AE39-8B389BC02D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C446" authorId="0" shapeId="0" xr:uid="{64030D46-9C2B-41B2-AE52-A498B5EFF6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V447" authorId="0" shapeId="0" xr:uid="{9AB8A34D-2E81-47EB-BD59-150E33BC1F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W447" authorId="0" shapeId="0" xr:uid="{D638CD74-8BBE-4DF9-8D8A-EDE2C86D65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AQ447" authorId="0" shapeId="0" xr:uid="{93CFDCA5-3984-4A7A-9123-3EEDF3F9679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AR447" authorId="0" shapeId="0" xr:uid="{87693F3D-6B95-44EF-B17B-CA785D784E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BL447" authorId="0" shapeId="0" xr:uid="{4B4F1E28-CC89-4210-BE2F-A866658286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BM447" authorId="0" shapeId="0" xr:uid="{E3AF1E43-EDFD-4A34-B772-5DB8C2C76C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CG447" authorId="0" shapeId="0" xr:uid="{04E648B7-9305-4A00-80F4-4A48BF20CF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CH447" authorId="0" shapeId="0" xr:uid="{1D70FD66-DA14-41BB-B68C-9E99F4419F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DB447" authorId="0" shapeId="0" xr:uid="{21D346B9-C42A-4A6B-A42D-68CA5286281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Ru</t>
        </r>
      </text>
    </comment>
    <comment ref="DC447" authorId="0" shapeId="0" xr:uid="{3EB8E46C-8AD7-4313-A482-8B989FA2EF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g/t Ir</t>
        </r>
      </text>
    </comment>
    <comment ref="F448" authorId="0" shapeId="0" xr:uid="{FB6F76A7-C175-4CC4-B336-B6F2A6E450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CAMEC (Central African Mining &amp; Exploration Company Plc)</t>
        </r>
      </text>
    </comment>
    <comment ref="DN448" authorId="0" shapeId="0" xr:uid="{E771D6D5-3BB5-41C7-8773-FACEE59610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CAMEC (Central African Mining &amp; Exploration Company Plc)</t>
        </r>
      </text>
    </comment>
    <comment ref="F449" authorId="0" shapeId="0" xr:uid="{4E322BE6-D673-4287-AA0D-DE0D931A10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CAMEC (Central African Mining &amp; Exploration Company Plc)</t>
        </r>
      </text>
    </comment>
    <comment ref="DN449" authorId="0" shapeId="0" xr:uid="{33BA2C29-3C89-4461-AC8C-FA508EA978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CAMEC (Central African Mining &amp; Exploration Company Plc)</t>
        </r>
      </text>
    </comment>
    <comment ref="DN455" authorId="0" shapeId="0" xr:uid="{313A9003-D46F-40F2-8E11-5B6FDA1C51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Platina Resources</t>
        </r>
      </text>
    </comment>
    <comment ref="I459" authorId="0" shapeId="0" xr:uid="{2222A8E8-A990-481D-8CD2-3492531DDD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D459" authorId="0" shapeId="0" xr:uid="{CFB6DAAD-E9D4-4672-9BCB-5943CC3A44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E459" authorId="0" shapeId="0" xr:uid="{6E8B8419-6BC4-48B2-930C-F996F734AA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L459" authorId="0" shapeId="0" xr:uid="{190D91D4-EBFD-48EF-99F7-4CE6AAD3D8E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F460" authorId="0" shapeId="0" xr:uid="{2CF7D8C7-D75F-4DE8-947E-1DA23FB380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Canadian Arrow Mines</t>
        </r>
      </text>
    </comment>
    <comment ref="DN460" authorId="0" shapeId="0" xr:uid="{9A98E310-1702-43B9-AFC7-21805C9117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Canadian Arrow Mines</t>
        </r>
      </text>
    </comment>
    <comment ref="BH462" authorId="0" shapeId="0" xr:uid="{91A58538-73B1-4299-9798-E155E75932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BI463" authorId="0" shapeId="0" xr:uid="{8CEC5E86-6925-40BF-9ACB-E908D2D704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equal Pt-Pd grades</t>
        </r>
      </text>
    </comment>
    <comment ref="BJ463" authorId="0" shapeId="0" xr:uid="{53704DEC-A761-4FB1-8C85-DBBB050E15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equal Pt-Pd grades</t>
        </r>
      </text>
    </comment>
    <comment ref="I464" authorId="0" shapeId="0" xr:uid="{0C200BB8-4A74-4E02-947E-562CB2EFF8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J464" authorId="0" shapeId="0" xr:uid="{37A50464-442E-4D7A-BDED-AE7CBBC155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K464" authorId="0" shapeId="0" xr:uid="{56AA2965-1CE0-476F-94A2-CA9B5709EB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Q464" authorId="0" shapeId="0" xr:uid="{6BE92FDB-43CC-404D-9552-6195516963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S464" authorId="0" shapeId="0" xr:uid="{BD2040C2-C3EC-4A87-AA34-40917C834D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T464" authorId="0" shapeId="0" xr:uid="{4430622A-1A56-42C7-A10B-9A715674D9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CD464" authorId="0" shapeId="0" xr:uid="{0889C13F-639E-43E3-84ED-50E54278D5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CE464" authorId="0" shapeId="0" xr:uid="{36D57185-54D8-4142-A081-C0AD0EE9AF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I465" authorId="0" shapeId="0" xr:uid="{336BE40A-2AEB-490A-8F3F-D3AA9127A6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J465" authorId="0" shapeId="0" xr:uid="{4DAEA590-26B2-4A75-9E4D-34BC44B61B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K465" authorId="0" shapeId="0" xr:uid="{C980EB7B-EDC9-4EF8-A371-85079CA409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Q465" authorId="0" shapeId="0" xr:uid="{77266194-4C73-4B0D-92AC-9E088C2DE5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stated as reserves only with no additional resources, hece assumed as measured resources</t>
        </r>
      </text>
    </comment>
    <comment ref="S465" authorId="0" shapeId="0" xr:uid="{E7BF5F57-3F15-46DD-BD35-86B3C557BE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T465" authorId="0" shapeId="0" xr:uid="{368A146F-5887-4047-8464-012F81B32D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CD465" authorId="0" shapeId="0" xr:uid="{FBA243FA-BA83-4D3B-A0CE-C855199F05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CE465" authorId="0" shapeId="0" xr:uid="{74823727-A5B6-46C6-A183-8903EDCCEC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F466" authorId="0" shapeId="0" xr:uid="{C109827F-AA34-40A5-BB8D-AE643BB198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Allegiance Mining, then then Zinifex, then OZ Minerals, then MMG, now Dundas Mining</t>
        </r>
      </text>
    </comment>
    <comment ref="DN466" authorId="0" shapeId="0" xr:uid="{D8FDA762-1D15-42C5-ACB0-434A43880F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former owner Allegiance Mining</t>
        </r>
      </text>
    </comment>
    <comment ref="AZ467" authorId="0" shapeId="0" xr:uid="{F0338887-5256-4877-B696-8AE3C9D85C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A467" authorId="0" shapeId="0" xr:uid="{9EE6F2FD-AC01-49C7-94F1-59160D2EE54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G467" authorId="0" shapeId="0" xr:uid="{9A10BA3A-83A7-4ACB-A69D-DCD21F23C8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I467" authorId="0" shapeId="0" xr:uid="{21C27165-A594-42D1-9334-A7C7D1BBE7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BJ467" authorId="0" shapeId="0" xr:uid="{E3D64516-2CCE-437B-8D4F-42711A2A5C3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Northern Bushveld average grades and prill split</t>
        </r>
      </text>
    </comment>
    <comment ref="AY468" authorId="0" shapeId="0" xr:uid="{88DC5058-9055-4732-9A83-CF4AE913D1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68" authorId="0" shapeId="0" xr:uid="{E152617C-AE27-4C34-B9DB-86DE489611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69" authorId="0" shapeId="0" xr:uid="{94E55805-1E3D-4EE7-ABEA-05936A60A5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all resources assumed to be equivalent to inferred</t>
        </r>
      </text>
    </comment>
    <comment ref="F470" authorId="1" shapeId="0" xr:uid="{17D678FC-8D7E-4E87-A8E7-720A4BAAD76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AY470" authorId="0" shapeId="0" xr:uid="{603D16A5-C113-4AFD-8791-A041A5E046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70" authorId="0" shapeId="0" xr:uid="{BAD0F26C-71F2-44C7-9DD4-81E805967F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0" authorId="0" shapeId="0" xr:uid="{FDD1176E-657C-4986-A849-725E16B13A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471" authorId="1" shapeId="0" xr:uid="{C3E80212-15E8-4B34-BFD4-218B94B4080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AY471" authorId="0" shapeId="0" xr:uid="{1DBFBA9A-7371-47AE-83EA-98AE48509E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71" authorId="0" shapeId="0" xr:uid="{85B0D410-3177-42E0-811A-6185D67079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1" authorId="0" shapeId="0" xr:uid="{8FF800B9-99A7-4EE8-B052-7C8BED8E17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72" authorId="0" shapeId="0" xr:uid="{D58BB520-DEF4-4D9F-BB0F-5A0AB8AF79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reported, assumed as inferred</t>
        </r>
      </text>
    </comment>
    <comment ref="F473" authorId="0" shapeId="0" xr:uid="{195C0D7C-FD43-486E-9B7A-3C931A10B0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exact ownership not certain ...</t>
        </r>
      </text>
    </comment>
    <comment ref="F474" authorId="0" shapeId="0" xr:uid="{34D4537D-B56B-4662-9A38-2F262DDB62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Clifton Star Resources</t>
        </r>
      </text>
    </comment>
    <comment ref="AY474" authorId="0" shapeId="0" xr:uid="{FDEF936C-76E0-4F4A-A160-1186F52B8A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475" authorId="0" shapeId="0" xr:uid="{04429951-9480-447C-A79B-AFECF66591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Puget Ventures Inc.</t>
        </r>
      </text>
    </comment>
    <comment ref="AY475" authorId="0" shapeId="0" xr:uid="{4B6995FC-E5D6-429D-A447-4D90869E61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75" authorId="0" shapeId="0" xr:uid="{C9C0E1B2-C7A3-4B06-B0F0-0CA3412AA59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5" authorId="0" shapeId="0" xr:uid="{86A3A416-B8A1-4968-96F8-83477D3291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476" authorId="0" shapeId="0" xr:uid="{BE144F1B-9AF4-4981-810E-2115F8B019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Global Cobalt Corp was formerly known as Puget Ventures Inc.</t>
        </r>
      </text>
    </comment>
    <comment ref="I476" authorId="0" shapeId="0" xr:uid="{8C8D5811-B137-4503-AC2A-E86E24D453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D476" authorId="0" shapeId="0" xr:uid="{00A76016-A13A-4501-AAA0-E1512B70EB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76" authorId="0" shapeId="0" xr:uid="{7D253D59-39C7-4BE7-9F17-D29CC94CCF8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76" authorId="0" shapeId="0" xr:uid="{E65357D9-D9EF-43EA-AD63-BFA901B194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6" authorId="0" shapeId="0" xr:uid="{086165C5-C4E4-407A-9E72-4E07F4D289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76" authorId="0" shapeId="0" xr:uid="{A9B23E99-97AF-4E43-806E-EA04555BFD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I476" authorId="0" shapeId="0" xr:uid="{07B68DB1-CCB3-4473-A3BB-783816F30F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J476" authorId="0" shapeId="0" xr:uid="{EA6925F3-18C7-4C8F-A3FE-2214213BE5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CO476" authorId="0" shapeId="0" xr:uid="{24993D0B-2F6C-4A24-ABB6-A1D1672D3B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77" authorId="0" shapeId="0" xr:uid="{A04F7D15-2D2D-4C25-AE60-A82D99CE20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7" authorId="0" shapeId="0" xr:uid="{EC966235-E6FD-48EA-81E6-8F793C4008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78" authorId="0" shapeId="0" xr:uid="{BBAC1430-CABC-4A2C-A830-6C8CBB337C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78" authorId="0" shapeId="0" xr:uid="{7A63A51F-BE4C-420C-8B65-13B201420E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8" authorId="0" shapeId="0" xr:uid="{46A3ED69-C6E5-4F1F-9B3F-8F657809BDB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79" authorId="0" shapeId="0" xr:uid="{02109616-9344-498A-AACB-677C925F6B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79" authorId="0" shapeId="0" xr:uid="{86EBAA0A-E4B4-4F75-90CE-86ABEB549D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79" authorId="0" shapeId="0" xr:uid="{19B51219-0254-490C-84B2-E5897CFE72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79" authorId="0" shapeId="0" xr:uid="{BA5E3722-4848-4B88-85C3-36BFF21709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79" authorId="0" shapeId="0" xr:uid="{A0C8A84D-4C18-4DF3-9A8F-2A452CA661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79" authorId="0" shapeId="0" xr:uid="{AFCDC867-97ED-4A8D-9170-8038CFC1C9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80" authorId="0" shapeId="0" xr:uid="{C4E8BBB7-88CD-4965-865D-3155E9C270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80" authorId="0" shapeId="0" xr:uid="{13AD7ACF-56FC-47EF-BBB6-03400BCAF3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A480" authorId="0" shapeId="0" xr:uid="{387DE12B-2CB8-49F5-83DE-7A7790E8F1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480" authorId="0" shapeId="0" xr:uid="{C922296C-EB88-494C-80D9-0DEB20C2E5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80" authorId="0" shapeId="0" xr:uid="{F26826A0-9555-4CFF-9EF7-5E112BB93E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80" authorId="0" shapeId="0" xr:uid="{DBA9D859-ED5A-40BE-B340-192283E1115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81" authorId="0" shapeId="0" xr:uid="{026C5E03-3313-4FF2-AEBC-06BACA7FEF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81" authorId="0" shapeId="0" xr:uid="{81CCCD2C-6D77-4B65-B034-D8269EE271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81" authorId="0" shapeId="0" xr:uid="{67A8667E-EC15-43E4-94AD-6889FEFAB7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481" authorId="0" shapeId="0" xr:uid="{44DF14A3-9353-4160-A6BA-A8CA0AB3649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482" authorId="0" shapeId="0" xr:uid="{1758E153-ED10-4588-B7AB-37DBD03EBD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482" authorId="0" shapeId="0" xr:uid="{8B1D51F7-500D-489F-9B8E-7190FC4C99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482" authorId="0" shapeId="0" xr:uid="{35EF56B7-4DD1-40BE-A08F-4E3844C2FA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483" authorId="0" shapeId="0" xr:uid="{F78AA600-B29B-46A5-86CF-9F534526940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Kotselvaara-Kammikivi, Semiletka,
Zhdanovskoye, Zapolyarnoye, Bystrinskoye, Tundrovoye, Sputnik and Verkhneye fields</t>
        </r>
      </text>
    </comment>
    <comment ref="I483" authorId="0" shapeId="0" xr:uid="{72609B39-219E-4F76-BFB5-3150353E4B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D483" authorId="0" shapeId="0" xr:uid="{FE86501F-05E8-4132-84BD-E24CE3506B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M483" authorId="0" shapeId="0" xr:uid="{928990D1-3FCA-407E-8B0C-164CCC3A6E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BH483" authorId="0" shapeId="0" xr:uid="{1DB30D33-2BA8-4A3C-AF8A-46D4A95DE3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CC483" authorId="0" shapeId="0" xr:uid="{CEBB9F7D-50E5-40F2-A37F-255783B0B3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CX483" authorId="0" shapeId="0" xr:uid="{A457A96C-C125-4979-A3B6-F5C24EF3272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FODD (2017)</t>
        </r>
      </text>
    </comment>
    <comment ref="AD484" authorId="0" shapeId="0" xr:uid="{5C6A93C0-81B5-48EC-91B9-7F282F8886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E484" authorId="0" shapeId="0" xr:uid="{693BC7DB-0997-4334-92A4-0A9CBC56E4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F484" authorId="0" shapeId="0" xr:uid="{6A89D939-90C0-478C-BBD1-F9A0F9A257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- 10% assumed as Au</t>
        </r>
      </text>
    </comment>
    <comment ref="AL484" authorId="0" shapeId="0" xr:uid="{35BC8C3F-C110-41CC-96A6-261F62EA5E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</t>
        </r>
      </text>
    </comment>
    <comment ref="AN484" authorId="0" shapeId="0" xr:uid="{9EC40625-72D4-4C8F-92FF-824C611602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- 40% assumed as Pt</t>
        </r>
      </text>
    </comment>
    <comment ref="AO484" authorId="0" shapeId="0" xr:uid="{680736B4-2F35-4C35-8D63-6D36FD1DB30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indicated resources; 3E g/t - 60% assumed as Pd</t>
        </r>
      </text>
    </comment>
    <comment ref="I485" authorId="0" shapeId="0" xr:uid="{B00617D5-82D9-4CA9-80EF-86692BE211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J485" authorId="0" shapeId="0" xr:uid="{A6ACDF0F-042E-49F8-9ADB-0E4615DB09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K485" authorId="0" shapeId="0" xr:uid="{0A5684A5-8F37-4F32-9553-75D1805A5C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L485" authorId="0" shapeId="0" xr:uid="{49DEF29A-73F2-425B-B9F2-1FE355B68D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Q485" authorId="0" shapeId="0" xr:uid="{A434899F-3566-4181-8525-B4831BA25D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R485" authorId="0" shapeId="0" xr:uid="{6580A0F0-A26F-461E-A5F7-2D6E341216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E485" authorId="0" shapeId="0" xr:uid="{2D561471-8BD1-4255-9B94-2A1E0AA62EB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F485" authorId="0" shapeId="0" xr:uid="{B2E11F89-4E61-4BAE-BFC3-6772DF0E490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G485" authorId="0" shapeId="0" xr:uid="{B65B6044-547B-4CDD-B794-8AB0869E19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AM485" authorId="0" shapeId="0" xr:uid="{5DCA0FE4-5FC0-4A23-875F-B150A95211A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BT485" authorId="0" shapeId="0" xr:uid="{D7268EEA-613E-4F4A-B29C-3A507DCB92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BU485" authorId="0" shapeId="0" xr:uid="{11A56E30-2DA1-4E65-9C47-B2FE4ADF9F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BV485" authorId="0" shapeId="0" xr:uid="{92AC839A-B047-453C-AD81-319CB46776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BW485" authorId="0" shapeId="0" xr:uid="{00A526FE-FC7B-4FEB-9715-7A9921E1D3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B485" authorId="0" shapeId="0" xr:uid="{A6649293-8740-40CD-949F-517734D343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all active mining 2016-18 depletes proven reserves only</t>
        </r>
      </text>
    </comment>
    <comment ref="CC485" authorId="0" shapeId="0" xr:uid="{BF0E94B8-F416-479F-A2EB-27FCE7BCBC1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P485" authorId="0" shapeId="0" xr:uid="{FF4EEBF1-7DE3-4FE5-802A-BE850F6FD7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Q485" authorId="0" shapeId="0" xr:uid="{E58125E3-41EA-40B1-9284-1E007BC64B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R485" authorId="0" shapeId="0" xr:uid="{8CFE3959-9E2D-4262-A3DC-7F4559054E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CX485" authorId="0" shapeId="0" xr:uid="{83C867A3-9D8F-4A0A-B6D1-F73DAA66C9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assumed from milling data</t>
        </r>
      </text>
    </comment>
    <comment ref="F495" authorId="0" shapeId="0" xr:uid="{78A9E048-1639-404C-8630-D7C4613B7D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BA495" authorId="0" shapeId="0" xr:uid="{816D098E-B544-4A3C-B7F4-CADE689B51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(2017)</t>
        </r>
      </text>
    </comment>
    <comment ref="BI495" authorId="0" shapeId="0" xr:uid="{90C8E44B-6106-45F7-BAFC-B4D01A6A13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(2017)</t>
        </r>
      </text>
    </comment>
    <comment ref="BJ495" authorId="0" shapeId="0" xr:uid="{1D9FE998-0E2C-4038-90F2-7182C502E75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FODD (2017)</t>
        </r>
      </text>
    </comment>
    <comment ref="DN495" authorId="1" shapeId="0" xr:uid="{5810A92D-79F7-48E6-94CD-AF6CBDC5123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F496" authorId="0" shapeId="0" xr:uid="{9D10AF6A-8808-46E9-A6AE-F2E10421C06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DN496" authorId="1" shapeId="0" xr:uid="{E691FB62-69AF-4F2A-9AB3-275B4DACCBA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F497" authorId="0" shapeId="0" xr:uid="{2D5F22D0-EE56-45FB-8FB5-2A53520BFB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CaNickel Mining Corp.</t>
        </r>
      </text>
    </comment>
    <comment ref="I497" authorId="0" shapeId="0" xr:uid="{7B99E8BB-2829-4921-81E9-05C2D59529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K497" authorId="0" shapeId="0" xr:uid="{B9ADF5EB-FBD7-413C-AE11-E461C8488C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R497" authorId="0" shapeId="0" xr:uid="{DE704860-6895-49B1-9F65-B2E3C39B31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S497" authorId="0" shapeId="0" xr:uid="{58E04A5D-D0B6-4CD0-A99B-7FDDDC60967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T497" authorId="0" shapeId="0" xr:uid="{31FABEFA-CCE0-441A-AC0D-37B655F551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F497" authorId="0" shapeId="0" xr:uid="{7D39D9BD-0E24-4007-ACCB-6E620E6D94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M497" authorId="0" shapeId="0" xr:uid="{52C83A64-C719-430D-B607-E078CFB9129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N497" authorId="0" shapeId="0" xr:uid="{B6ACC34E-724B-4C69-84AE-D71F2F9EF8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O497" authorId="0" shapeId="0" xr:uid="{888EAD29-EA73-49B8-AE91-CDC92A71F9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A497" authorId="0" shapeId="0" xr:uid="{0878CA25-8AD7-4659-BC07-C74E9677CF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H497" authorId="0" shapeId="0" xr:uid="{2F5F9BBA-31B4-4C1A-AA0C-817134F120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I497" authorId="0" shapeId="0" xr:uid="{659B1B86-630F-465E-ABBF-6860A9FB33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BJ497" authorId="0" shapeId="0" xr:uid="{83C105F3-4CC9-40C7-885A-637B699718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P497" authorId="0" shapeId="0" xr:uid="{5AB8923D-3825-4CFC-AC5F-398D80029E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Q497" authorId="0" shapeId="0" xr:uid="{3CE4DBAB-A6DA-41DC-A52A-E2CCB61E0BF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X497" authorId="0" shapeId="0" xr:uid="{FCA40748-08B8-4A7D-B135-0D8B80F786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Y497" authorId="0" shapeId="0" xr:uid="{9B16A6F6-A97B-4EB8-9E5D-50C9FB87CC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CZ497" authorId="0" shapeId="0" xr:uid="{6B385CF5-3AF1-4F74-8F92-606C5EDE7A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average for proved &amp; probable reserves</t>
        </r>
      </text>
    </comment>
    <comment ref="A499" authorId="0" shapeId="0" xr:uid="{EC3629F3-6ED0-4700-836C-3BF839854E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F499" authorId="0" shapeId="0" xr:uid="{9A245502-0533-4BFB-861A-FB8C9FD4EC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Goldbrook Ventures, which was taken over by Jilin Jien Nickel in March 2012 - JJN was bankrupt ~2018</t>
        </r>
      </text>
    </comment>
    <comment ref="I499" authorId="0" shapeId="0" xr:uid="{DB575958-AE95-4BB0-B1CA-5F21ED2B99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J499" authorId="0" shapeId="0" xr:uid="{C7BF52A6-4D20-4E61-BD14-1649892736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K499" authorId="0" shapeId="0" xr:uid="{1D0A849D-A5A6-44F1-A0BE-FBB449FA9E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Q499" authorId="0" shapeId="0" xr:uid="{A8E98F72-6B59-419C-BF61-87C4A65D10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R499" authorId="0" shapeId="0" xr:uid="{D4CD3319-3EAD-4072-B7E7-4E96F36F02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S499" authorId="0" shapeId="0" xr:uid="{63636FB6-47A0-45DE-B5FC-1BAA11F831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T499" authorId="0" shapeId="0" xr:uid="{D2CA5274-691A-4C25-A913-ACD33786F6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D499" authorId="0" shapeId="0" xr:uid="{7C67BDF7-4A7A-4C5B-A914-6DAA4FD89EA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E499" authorId="0" shapeId="0" xr:uid="{3D426170-7AD0-48B1-BCF9-C79079210F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F499" authorId="0" shapeId="0" xr:uid="{804EDFB2-1707-4877-B539-3484AC01FA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L499" authorId="0" shapeId="0" xr:uid="{16C59CD9-193D-49A5-81ED-41724CE000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M499" authorId="0" shapeId="0" xr:uid="{FA9EE9E7-0391-4F90-8953-954FF63496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N499" authorId="0" shapeId="0" xr:uid="{F5422BCB-0F06-4C1B-955E-11372C0B1C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O499" authorId="0" shapeId="0" xr:uid="{62B62199-FBD2-46DB-A5AC-0A51AFCF40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Y499" authorId="0" shapeId="0" xr:uid="{BF2D233D-C228-4020-8B5A-8930A2592C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AZ499" authorId="0" shapeId="0" xr:uid="{B5710B4E-4285-43E3-8CF7-AF3E1BAE47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A499" authorId="0" shapeId="0" xr:uid="{A0481BFD-89C4-4103-B755-56BA9B2A47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G499" authorId="0" shapeId="0" xr:uid="{3519BD8D-8EC9-4F0C-BA5C-6A03C809AD7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H499" authorId="0" shapeId="0" xr:uid="{18D63DEF-AB7C-4BC6-B343-9AE02A669D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I499" authorId="0" shapeId="0" xr:uid="{40D5BFB8-0DDC-45CB-BE70-7C6D23A52C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BJ499" authorId="0" shapeId="0" xr:uid="{ABDEDDDC-8413-442B-93FB-5E187FEC8B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Expo, Mesamax, Mequillon, Ivakkak, Allammaq, Puimajuq deposits</t>
        </r>
      </text>
    </comment>
    <comment ref="DN499" authorId="1" shapeId="0" xr:uid="{528D13B8-4A7A-4171-9903-D59C32CE39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Goldbrook Ventures (taken over by Jilin Jien Nickel)</t>
        </r>
      </text>
    </comment>
    <comment ref="A500" authorId="0" shapeId="0" xr:uid="{AA1A594C-D975-4B8B-B7B7-E64D805C2B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F500" authorId="0" shapeId="0" xr:uid="{82BD5DA0-2132-41DA-B8C1-DCABF508FB4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Goldbrook Ventures, which was taken over by Jilin Jien Nickel in March 2012 - JJN was bankrupt ~2018</t>
        </r>
      </text>
    </comment>
    <comment ref="AD500" authorId="0" shapeId="0" xr:uid="{295E2FB4-AE0C-498E-8354-9E2F74BFE0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E500" authorId="0" shapeId="0" xr:uid="{D1A5665E-1BF6-4C45-84C0-6E5E02EC2F2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F500" authorId="0" shapeId="0" xr:uid="{FAC77C88-ACBF-4560-9B08-701BDB832A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L500" authorId="0" shapeId="0" xr:uid="{A91CF09A-CB67-4185-B8FD-16C2D39DF5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M500" authorId="0" shapeId="0" xr:uid="{F4F94702-241D-4DE8-B6CB-ABBA18665A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N500" authorId="0" shapeId="0" xr:uid="{4743A1BB-4366-4633-B032-697662A79C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O500" authorId="0" shapeId="0" xr:uid="{50DEE4A2-68DF-4248-B07C-5EE917A72D3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Y500" authorId="0" shapeId="0" xr:uid="{9715EFBE-0183-4BA3-8544-AA4992D875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AZ500" authorId="0" shapeId="0" xr:uid="{63AC7B30-561C-4197-9042-3D0DB6C7FB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A500" authorId="0" shapeId="0" xr:uid="{461C9689-9F91-4DD5-9489-8982273724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G500" authorId="0" shapeId="0" xr:uid="{8F96AC8E-4F55-4DBB-BE7E-42E2B1DD49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H500" authorId="0" shapeId="0" xr:uid="{5483E98B-91D3-455F-988A-8DCCF27C56C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I500" authorId="0" shapeId="0" xr:uid="{6EFDF760-F801-496D-8711-E61D0139B2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BJ500" authorId="0" shapeId="0" xr:uid="{CDD328E5-D74E-477B-B54C-E8711525EA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includes Bravo, Getty, Mystery, Pad, Timtu, Sylvie deposits</t>
        </r>
      </text>
    </comment>
    <comment ref="DN500" authorId="1" shapeId="0" xr:uid="{CC79307B-942A-4122-8130-F14DEB4B1F2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Goldbrook Ventures (taken over by Jilin Jien Nickel)</t>
        </r>
      </text>
    </comment>
    <comment ref="AY501" authorId="0" shapeId="0" xr:uid="{03CADE09-9F10-48E1-8F85-AFBA28B680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01" authorId="0" shapeId="0" xr:uid="{84F41060-FA78-4B2A-AC01-783A45E1C68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01" authorId="0" shapeId="0" xr:uid="{0F42C872-531E-4E0D-9654-9D19ABC5AF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502" authorId="0" shapeId="0" xr:uid="{F5DBB6B4-BF85-4D9F-944D-7E62EDFA66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DN502" authorId="1" shapeId="0" xr:uid="{C163EA33-6FAC-416A-85B1-5DEDAF2DBCE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K504" authorId="0" shapeId="0" xr:uid="{67D47D07-833A-4D73-AEEF-3A4DC97A1A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L504" authorId="0" shapeId="0" xr:uid="{E30B6F4E-3852-4ED4-B857-996079F251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R504" authorId="0" shapeId="0" xr:uid="{B7F07D5A-9BAE-4444-83DE-8007EAED7C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S504" authorId="0" shapeId="0" xr:uid="{7FA8723E-C26A-401D-8F3A-71CE6C5DC4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T504" authorId="0" shapeId="0" xr:uid="{263FE2A5-60EC-42D0-9EB9-1049D2B355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F504" authorId="0" shapeId="0" xr:uid="{6EB0BC47-FADD-44CE-A0CA-F6BE246192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G504" authorId="0" shapeId="0" xr:uid="{6677318D-76DD-4157-B0AD-BA8BDF0574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M504" authorId="0" shapeId="0" xr:uid="{AC8DBC03-1DB8-4CB3-8499-0B06F85056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N504" authorId="0" shapeId="0" xr:uid="{841FC476-5E98-4C69-BBD6-FFD0F85AD5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O504" authorId="0" shapeId="0" xr:uid="{EFD4A9A3-ACFD-4380-8067-66898760F5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A504" authorId="0" shapeId="0" xr:uid="{6FB70B61-BEE4-4D77-B852-31BF104AA1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B504" authorId="0" shapeId="0" xr:uid="{0BBAF9B1-292E-4402-AA3B-CED46928F5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H504" authorId="0" shapeId="0" xr:uid="{0BBA50FB-A4EE-4E01-B06B-7A4C076B15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I504" authorId="0" shapeId="0" xr:uid="{E027AE33-AE44-4865-8B32-A2E1F086CED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J504" authorId="0" shapeId="0" xr:uid="{2229E140-7C07-42DF-80D5-95E4A3E600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F505" authorId="0" shapeId="0" xr:uid="{FC85F39F-0A02-4344-9999-DCE2B3023C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G505" authorId="0" shapeId="0" xr:uid="{4232BDFD-E3C8-409F-AE35-9E8A0A1E4F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M505" authorId="0" shapeId="0" xr:uid="{541739F6-3061-4056-986A-561656B452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N505" authorId="0" shapeId="0" xr:uid="{07A1CA90-1EBD-44F7-888D-E203648C73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AO505" authorId="0" shapeId="0" xr:uid="{E62A4BE2-2B2E-4936-BD0C-47F61D7F0B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A505" authorId="0" shapeId="0" xr:uid="{B36B9224-2111-4F88-8EFF-BA03AB53FD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B505" authorId="0" shapeId="0" xr:uid="{6EA32055-49BF-4825-83B1-6BA1935D13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H505" authorId="0" shapeId="0" xr:uid="{92F25D8A-9706-40B7-A368-E080B9B461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I505" authorId="0" shapeId="0" xr:uid="{61930F37-5AFF-4018-A8CD-1FFBA9B7F2D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BJ505" authorId="0" shapeId="0" xr:uid="{78CAF00E-782E-48FE-8216-48E766F8AB8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Tech Rep (2014-10)</t>
        </r>
      </text>
    </comment>
    <comment ref="F509" authorId="0" shapeId="0" xr:uid="{654D19AF-274B-494A-9ED3-51355AE430F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merged in 2013 with Mercator Minerals Ltd, which went bankrupt in 2014</t>
        </r>
      </text>
    </comment>
    <comment ref="F510" authorId="0" shapeId="0" xr:uid="{C491A5D6-3980-4DE0-B3F1-724C6BAA9D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merged in 2013 with Mercator Minerals Ltd, which went bankrupt in 2014</t>
        </r>
      </text>
    </comment>
    <comment ref="F511" authorId="0" shapeId="0" xr:uid="{EF200599-9EA2-4029-BC31-1530B0F5BB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merged in 2013 with Mercator Minerals Ltd, which went bankrupt in 2014</t>
        </r>
      </text>
    </comment>
    <comment ref="I512" authorId="0" shapeId="0" xr:uid="{1ABBA8B8-FBD0-4537-8888-01DE91A148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AD512" authorId="0" shapeId="0" xr:uid="{C8573285-022C-464D-99AB-4DB4F2FA491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AY512" authorId="0" shapeId="0" xr:uid="{44473339-BD62-4422-80EC-D050F5CDF3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CO512" authorId="0" shapeId="0" xr:uid="{F522EF31-AAA4-49C7-89CF-E315C583AB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given, no categories assigned - all assumed as indicated resources</t>
        </r>
      </text>
    </comment>
    <comment ref="I513" authorId="0" shapeId="0" xr:uid="{F0EA8B92-DD13-4485-BB60-235B0244A2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D513" authorId="0" shapeId="0" xr:uid="{AA13F363-0996-4C92-AAED-EB97516AEC3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resources reported together</t>
        </r>
      </text>
    </comment>
    <comment ref="AM513" authorId="0" shapeId="0" xr:uid="{A3D74A12-2813-4FA0-8A5C-A55062B173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BH513" authorId="0" shapeId="0" xr:uid="{1850AD08-39A2-4E7F-8B38-928A3B3F1E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CC513" authorId="0" shapeId="0" xr:uid="{FC1761E2-14FD-4E1E-B879-388CBF1E33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CX513" authorId="0" shapeId="0" xr:uid="{7485C503-ACEC-4853-A3B9-AD027F8720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Boyd et al (2016)</t>
        </r>
      </text>
    </comment>
    <comment ref="F514" authorId="0" shapeId="0" xr:uid="{F5C6F0F5-0B4E-45D3-92B0-A02D64F4D3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Ursa Major Minerals Inc, then Prophecy Platinum, then Nickel Creek Platinum ...</t>
        </r>
      </text>
    </comment>
    <comment ref="DN514" authorId="0" shapeId="0" xr:uid="{B89E59E7-6BC9-4EB8-97D3-F33EE5C742E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Ursa Major Minerals</t>
        </r>
      </text>
    </comment>
    <comment ref="F515" authorId="0" shapeId="0" xr:uid="{35391D6C-2638-4362-8928-910B4661FC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note: North American Palladium was taken over by Sibanye-Stillwater in mid-2019</t>
        </r>
      </text>
    </comment>
    <comment ref="F516" authorId="0" shapeId="0" xr:uid="{ADCB46C3-981A-42E1-A39B-99F9C0FDEF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Ursa Major Minerals Inc, then Prophecy Platinum, then Nickel Creek Platinum ...</t>
        </r>
      </text>
    </comment>
    <comment ref="AM516" authorId="0" shapeId="0" xr:uid="{48775D71-33DF-4458-BC41-CB38D9FE18A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2011 Annual Report, Ursa Major Minerals</t>
        </r>
      </text>
    </comment>
    <comment ref="BH516" authorId="0" shapeId="0" xr:uid="{D9E25EA9-A5B2-445C-99E3-8F5EDA5F81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2011 Annual Report, Ursa Major Minerals</t>
        </r>
      </text>
    </comment>
    <comment ref="F517" authorId="0" shapeId="0" xr:uid="{932C1BC4-A47C-49FD-8047-3CB345931E0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Magma Metals</t>
        </r>
      </text>
    </comment>
    <comment ref="I518" authorId="0" shapeId="0" xr:uid="{2336184E-56F9-49FF-82F8-A9FADCAD60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J518" authorId="0" shapeId="0" xr:uid="{5242B370-2637-4B4A-BFD7-63982A28D0C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Q518" authorId="0" shapeId="0" xr:uid="{441666B1-5A7B-4098-A74A-25EB098A2D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R518" authorId="0" shapeId="0" xr:uid="{5FA84D3E-EB37-4073-9C71-3AB010ACAD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proved ore reserves assumed same as measured resources (due to lack of total mineral resources data)</t>
        </r>
      </text>
    </comment>
    <comment ref="AD518" authorId="0" shapeId="0" xr:uid="{A21C4A56-93E5-445E-BD5D-0041A1DB8F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E518" authorId="0" shapeId="0" xr:uid="{389633BA-9453-4232-B8E0-C44814B275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L518" authorId="0" shapeId="0" xr:uid="{4B35D8AE-9AD9-4976-9D27-2103435347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AM518" authorId="0" shapeId="0" xr:uid="{E92D3203-E9B8-419E-9C9C-EB582E2229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probable ore reserves assumed same as indicated resources (due to lack of total mineral resources data)</t>
        </r>
      </text>
    </comment>
    <comment ref="F522" authorId="0" shapeId="0" xr:uid="{68E4B98B-E46B-434C-B60D-8D1FB7CA84A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a joint venture led by Discovery Metals Ltd, which is now bankrupt, butr other partners included JOGMEC, Xstrata</t>
        </r>
      </text>
    </comment>
    <comment ref="DN522" authorId="0" shapeId="0" xr:uid="{B2DAADBF-FE0D-4CD5-9572-BE4E356EBA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Discovery Metals</t>
        </r>
      </text>
    </comment>
    <comment ref="I523" authorId="0" shapeId="0" xr:uid="{F325271E-839F-4AB6-8C7C-56747B0D09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D523" authorId="0" shapeId="0" xr:uid="{0231FFB7-2DE5-4D19-9C91-C2AFE86B41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E523" authorId="0" shapeId="0" xr:uid="{890D5AC0-88D2-4F32-8669-F5622F0C58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AL523" authorId="0" shapeId="0" xr:uid="{316BDDCA-C3FE-43F9-B165-4DC004D530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measured &amp; indicated reported, assumed as indicated given closure; 2014 Norilsk Nickel data</t>
        </r>
      </text>
    </comment>
    <comment ref="F524" authorId="0" shapeId="0" xr:uid="{27DF3DBC-95D3-48B5-B1BB-AA0DEE51931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I524" authorId="0" shapeId="0" xr:uid="{4303D2D8-EFC1-41EF-AC48-E3450DBB58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D524" authorId="0" shapeId="0" xr:uid="{C8727ED9-4FF7-4667-B8C9-9B6AECDF49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Y524" authorId="0" shapeId="0" xr:uid="{06C35578-B395-4A48-845D-840CBF7CEC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Z524" authorId="0" shapeId="0" xr:uid="{A62A6052-3FBE-44EF-BDC4-9F80143402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G524" authorId="0" shapeId="0" xr:uid="{01980A98-F73A-4D4D-9E37-B047823382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T524" authorId="0" shapeId="0" xr:uid="{4AD6A960-BB83-435D-8158-575AF37AA31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O524" authorId="0" shapeId="0" xr:uid="{11FEDD17-D137-40D4-9F43-C3DDD52736A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F525" authorId="0" shapeId="0" xr:uid="{23B705A5-1FB8-4E2D-9142-48D05920BC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I525" authorId="0" shapeId="0" xr:uid="{7695D779-48F3-4B33-8DD4-CC0C2C0FF73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D525" authorId="0" shapeId="0" xr:uid="{444A3D1B-2C36-4D92-B197-17F033C2406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Y525" authorId="0" shapeId="0" xr:uid="{85F049FA-6616-406F-921F-7AB3A152D3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Z525" authorId="0" shapeId="0" xr:uid="{4E618D64-8BFB-400A-B069-5E699316F7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G525" authorId="0" shapeId="0" xr:uid="{0EE34443-9C64-452E-A9BA-C91BE745DFD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T525" authorId="0" shapeId="0" xr:uid="{189D661F-694B-445E-8099-D3B80DCD1A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O525" authorId="0" shapeId="0" xr:uid="{3432F3CB-B672-4239-9762-DE4E03C7AEE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F526" authorId="0" shapeId="0" xr:uid="{49C0D239-F708-430E-8E17-9B30BDAE18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I526" authorId="0" shapeId="0" xr:uid="{F7400A91-37D8-437B-9DBC-24E5B57283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D526" authorId="0" shapeId="0" xr:uid="{9A62A147-91FD-49B7-BB54-7D09A5BB60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Y526" authorId="0" shapeId="0" xr:uid="{D6154F36-CD1C-4185-A0C2-6B38614B27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Z526" authorId="0" shapeId="0" xr:uid="{091864DE-580B-42A5-B249-D973CFB225C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G526" authorId="0" shapeId="0" xr:uid="{F149410D-AEED-4478-A775-B55ECDB43E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T526" authorId="0" shapeId="0" xr:uid="{4CD16338-FE9C-43A7-BB28-3891B51DE5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O526" authorId="0" shapeId="0" xr:uid="{6A210D4C-0F0A-47D5-A703-364FE34864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F527" authorId="0" shapeId="0" xr:uid="{6E8B85B2-9BC1-4C3B-BFA6-E18F46192C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I527" authorId="0" shapeId="0" xr:uid="{E4B18969-2B2A-4AB6-9F81-79177835720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D527" authorId="0" shapeId="0" xr:uid="{60CE4FAD-BCDA-4810-8DD4-42580836E7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Y527" authorId="0" shapeId="0" xr:uid="{69E646CE-6388-4719-AC1D-0CBD6C443B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Z527" authorId="0" shapeId="0" xr:uid="{B39707E6-F131-49B8-A909-3D2CD44C31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G527" authorId="0" shapeId="0" xr:uid="{82981ED3-0DA4-4EAC-A977-C4C5AF92C5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T527" authorId="0" shapeId="0" xr:uid="{24566690-2C73-492E-979B-8D108D3CD3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O527" authorId="0" shapeId="0" xr:uid="{0BCA64CC-2F6F-413D-857A-407D2B7FD7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F528" authorId="0" shapeId="0" xr:uid="{207A3DCC-9C72-4267-90E5-27F9E3616AF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commonly known as Bamangwato Concessions Ltd - but specific corporate name is BCL Ltd</t>
        </r>
      </text>
    </comment>
    <comment ref="I528" authorId="0" shapeId="0" xr:uid="{AE00FF9A-B4E6-439B-B9F7-22FFC93D4A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D528" authorId="0" shapeId="0" xr:uid="{7FF65931-9C22-4984-A295-613A118B5DA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Y528" authorId="0" shapeId="0" xr:uid="{204674DC-77BB-4C9A-8FFF-A3563FF153E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AZ528" authorId="0" shapeId="0" xr:uid="{00283DA6-3AF9-410B-AE63-43F9C917E5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G528" authorId="0" shapeId="0" xr:uid="{187B56B0-B308-4BEA-B6FF-62430C3137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BT528" authorId="0" shapeId="0" xr:uid="{02BBEA2E-B091-48AC-9665-16E25D01098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CO528" authorId="0" shapeId="0" xr:uid="{CFD19C52-081C-46C7-A8A0-1403813E78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given old nature and uncertainty around BCL's status, all resources allocated as inferred resources only - with the data for reserves excluded (given the closed / bankrupt status of BCL)</t>
        </r>
      </text>
    </comment>
    <comment ref="F529" authorId="0" shapeId="0" xr:uid="{F719662E-2FAF-495F-AB07-639A429104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Rockland Minerals Corp.</t>
        </r>
      </text>
    </comment>
    <comment ref="F531" authorId="0" shapeId="0" xr:uid="{FECB3483-0098-4C26-8E54-61D0BE62D4D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Starfield Resources Ltd (now bankrupt)</t>
        </r>
      </text>
    </comment>
    <comment ref="F533" authorId="0" shapeId="0" xr:uid="{C0BF4295-A866-4EEF-BBCD-C835E8CFA1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initially held by Nemaska Exploration, which apparently became Monarques Resources, but is now Nemasaka Lithium</t>
        </r>
      </text>
    </comment>
    <comment ref="F535" authorId="0" shapeId="0" xr:uid="{96F817D0-127B-4EBD-9E8E-0D58C00799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Mustang Minerals Corp</t>
        </r>
      </text>
    </comment>
    <comment ref="F536" authorId="0" shapeId="0" xr:uid="{9CA8491E-7834-4D5C-AA0D-56896AB3DE6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Mustang Minerals Corp</t>
        </r>
      </text>
    </comment>
    <comment ref="F538" authorId="0" shapeId="0" xr:uid="{A63F069D-4B17-4637-B325-24DDB1D8B1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Pacific Northwest Capital Corp.</t>
        </r>
      </text>
    </comment>
    <comment ref="I540" authorId="0" shapeId="0" xr:uid="{399F28C3-05C7-4F61-9B5D-D0B1389C37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40" authorId="0" shapeId="0" xr:uid="{D5653D47-140A-4B67-ABD3-2374DFC2F2F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AY540" authorId="0" shapeId="0" xr:uid="{16758A06-90F6-42B7-919E-80B4965E27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40" authorId="0" shapeId="0" xr:uid="{8872F102-3DE5-4F4E-8B09-5184A52FA63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G540" authorId="0" shapeId="0" xr:uid="{A7752CFC-3F66-4BD5-B839-C0C27A028F0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T540" authorId="0" shapeId="0" xr:uid="{DE8B6B51-81EF-4B5E-B9DD-220310A40A2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O540" authorId="0" shapeId="0" xr:uid="{F1538E39-0950-4EC9-9EB4-EF1DD97E17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P540" authorId="0" shapeId="0" xr:uid="{285B4458-0C01-4EEB-AD7F-D3CCB4F98FD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W540" authorId="0" shapeId="0" xr:uid="{2A225A93-C33F-4A18-B118-CAE5BE1CC56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I541" authorId="0" shapeId="0" xr:uid="{7FD8D75A-809B-4842-A54A-4F4B251B7C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41" authorId="0" shapeId="0" xr:uid="{A1C3FFA2-A678-428B-B132-815E66CDCC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AY541" authorId="0" shapeId="0" xr:uid="{D28C8BDA-9249-490D-8074-99C2431E4A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41" authorId="0" shapeId="0" xr:uid="{CD2E270C-AAFA-4EDB-BAE1-DCF0CB3392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G541" authorId="0" shapeId="0" xr:uid="{A686C506-0CFA-4231-A961-53C03280A8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reported; all assumed to be indicated level</t>
        </r>
      </text>
    </comment>
    <comment ref="BT541" authorId="0" shapeId="0" xr:uid="{8D087F01-C8D2-442B-B2FD-79267BBBEA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O541" authorId="0" shapeId="0" xr:uid="{ED31CD72-8546-43C4-AC13-B14DDE05BF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P541" authorId="0" shapeId="0" xr:uid="{8C616DA4-8937-4C95-A13A-3F9A79944BE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CW541" authorId="0" shapeId="0" xr:uid="{F90E1273-8094-4F75-976C-A01EFF53C2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proven &amp; probable reserves given</t>
        </r>
      </text>
    </comment>
    <comment ref="BH542" authorId="0" shapeId="0" xr:uid="{18392BC4-5912-404A-AF88-8D9FB64671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(2011-03)</t>
        </r>
      </text>
    </comment>
    <comment ref="F543" authorId="0" shapeId="0" xr:uid="{6B3A0096-A978-44EE-9E01-F1099115153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Belevedere Resources Ltd, which declared bankruptcy in Dec. 2015</t>
        </r>
      </text>
    </comment>
    <comment ref="I543" authorId="0" shapeId="0" xr:uid="{07947D69-63E0-4B5C-9E82-B86944F6FE7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J543" authorId="0" shapeId="0" xr:uid="{C4DD49AB-EC01-44FE-85A8-EA76F06E79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Q543" authorId="0" shapeId="0" xr:uid="{747EDCDB-7592-46DF-80D3-B52C8B3F919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proved reserves plus measured resources</t>
        </r>
      </text>
    </comment>
    <comment ref="R543" authorId="0" shapeId="0" xr:uid="{69BE6643-FCC5-4EF5-8C58-A8E2532BA2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S543" authorId="0" shapeId="0" xr:uid="{3F081DA2-CEF8-4A3E-B35E-3977A1C242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T543" authorId="0" shapeId="0" xr:uid="{7A755A6E-AD24-425B-B594-0BEB5C046F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AD543" authorId="0" shapeId="0" xr:uid="{29327091-7E21-4F7B-B0F5-E5ECA51876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E543" authorId="0" shapeId="0" xr:uid="{E2F9AE79-AC6B-4500-93CB-EA88A4812D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L543" authorId="0" shapeId="0" xr:uid="{6ACF4496-CC54-48DD-805F-03319B416B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assumes probable reserves plus indicated resources</t>
        </r>
      </text>
    </comment>
    <comment ref="AM543" authorId="0" shapeId="0" xr:uid="{69E3251C-925F-4A1E-9EEA-AEBFC2E7B54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AN543" authorId="0" shapeId="0" xr:uid="{A423F65C-C204-43E0-AA53-74CD1BFD15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AO543" authorId="0" shapeId="0" xr:uid="{8C5BA291-81C7-405F-834C-5B0D4B3918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BH543" authorId="0" shapeId="0" xr:uid="{76267975-FC70-4989-A601-22518A2661C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BI543" authorId="0" shapeId="0" xr:uid="{1C88BA26-459C-46FA-9B58-106F6D32636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BJ543" authorId="0" shapeId="0" xr:uid="{B3B9E9B4-F0CF-4ED5-BE43-220E681D469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CC543" authorId="0" shapeId="0" xr:uid="{642A6A74-A6C4-4129-B2C5-BA56C8C0B71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CD543" authorId="0" shapeId="0" xr:uid="{A59C8229-D891-4912-9BEC-3809A91D8B7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CE543" authorId="0" shapeId="0" xr:uid="{6B3156F9-2AC2-454E-A39C-65F2586092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CX543" authorId="0" shapeId="0" xr:uid="{25F4FEA2-9147-4697-A3BF-82A14C5367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FODD (2017) data</t>
        </r>
      </text>
    </comment>
    <comment ref="CY543" authorId="0" shapeId="0" xr:uid="{0E3E4D28-304D-41F8-AA70-0ABA7A996B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CZ543" authorId="0" shapeId="0" xr:uid="{A9D4A164-1D95-489D-84A6-2F9708B7933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Eilu (2012)</t>
        </r>
      </text>
    </comment>
    <comment ref="AY544" authorId="0" shapeId="0" xr:uid="{6223CA49-EA2B-4AC3-8D2B-F80719F6F9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44" authorId="0" shapeId="0" xr:uid="{724D427E-D8FA-4C87-AA99-80AEB72A062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44" authorId="0" shapeId="0" xr:uid="{E409B129-1273-4A6C-B93C-D02D943C3D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44" authorId="0" shapeId="0" xr:uid="{8E1A631A-613B-4F0F-8132-7B36C65B0F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45" authorId="0" shapeId="0" xr:uid="{9EF5652A-09DD-4DF2-B052-9F86FF42EDD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45" authorId="0" shapeId="0" xr:uid="{3E08885C-EF0D-4261-BD16-9B129BF0E67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45" authorId="0" shapeId="0" xr:uid="{851F89A5-7FFD-40C3-84FD-89191F999C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45" authorId="0" shapeId="0" xr:uid="{2358D25C-F05F-4392-971C-3536AD6795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46" authorId="0" shapeId="0" xr:uid="{18F12E65-3789-40A5-BFDD-20AE522AB9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46" authorId="0" shapeId="0" xr:uid="{35C63F1C-D3A6-41B8-819C-46EE5D8905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46" authorId="0" shapeId="0" xr:uid="{D7B0D9C2-9BE3-4D3F-B2CD-37508308A3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47" authorId="0" shapeId="0" xr:uid="{1E10B916-3995-4C90-80ED-E079CE7881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47" authorId="0" shapeId="0" xr:uid="{50463F54-29A0-4B2F-B7E2-50983B4DE3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47" authorId="0" shapeId="0" xr:uid="{6DE8CA67-DD10-4976-93ED-5110F9DA8C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47" authorId="0" shapeId="0" xr:uid="{002C34A9-74FD-4BCD-BDB5-2AF481BC1D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550" authorId="1" shapeId="0" xr:uid="{6041B5B6-2B4E-4FE5-9DD6-DAEE39C67F1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Ventures, then Drake Resources</t>
        </r>
      </text>
    </comment>
    <comment ref="DN550" authorId="1" shapeId="0" xr:uid="{CAA0CA33-132C-4DE0-ABAE-DCC193BDE2D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F551" authorId="1" shapeId="0" xr:uid="{09CA4F1C-F827-4F59-8094-934832087C5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Ventures, then Drake Resources</t>
        </r>
      </text>
    </comment>
    <comment ref="DN551" authorId="1" shapeId="0" xr:uid="{AC07B4BA-DFB4-4BD3-93CE-2ADD33DCA18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AY552" authorId="0" shapeId="0" xr:uid="{21B7D8CA-CAD4-4140-A8F7-1E3E05EB8C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52" authorId="0" shapeId="0" xr:uid="{1D6C82EC-6D62-4E72-B582-104D6D8287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52" authorId="0" shapeId="0" xr:uid="{56CE20A0-8270-4B9E-8D26-3A4C5F0CD21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553" authorId="0" shapeId="0" xr:uid="{8215778A-D333-4D62-B524-92B1096F2D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Thabex Ltd</t>
        </r>
      </text>
    </comment>
    <comment ref="DN553" authorId="0" shapeId="0" xr:uid="{70050882-5BB1-45C2-B7CF-84DF79C0F2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Thabex</t>
        </r>
      </text>
    </comment>
    <comment ref="K554" authorId="1" shapeId="0" xr:uid="{A63ABB5F-0472-439E-B56A-59971B77235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R554" authorId="1" shapeId="0" xr:uid="{60B78F53-1140-49F7-A630-4879B684B1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S554" authorId="1" shapeId="0" xr:uid="{86A685A8-446C-41C8-A363-EFC8E11167E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T554" authorId="1" shapeId="0" xr:uid="{BC2D58E8-F58E-4650-9DF5-8F3B80289F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U554" authorId="1" shapeId="0" xr:uid="{68F18253-A47C-4E7F-8110-B36A868645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F554" authorId="1" shapeId="0" xr:uid="{53646063-D278-419C-8CFA-EDBA4576D2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M554" authorId="1" shapeId="0" xr:uid="{2098A1BD-8817-4D43-B2B2-40E8BD9FD4F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N554" authorId="1" shapeId="0" xr:uid="{64BB6504-64A3-4020-8104-9DE2AA8160C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O554" authorId="1" shapeId="0" xr:uid="{64FF0214-ABC2-4212-84E8-211E2A0A65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AP554" authorId="1" shapeId="0" xr:uid="{F57E74C3-393B-4201-ADB4-76A381311E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A554" authorId="1" shapeId="0" xr:uid="{CB52BBDB-22CA-4B27-9268-49E5471450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H554" authorId="1" shapeId="0" xr:uid="{30E7BD7F-CF89-4E34-BE19-292F0F4B26A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I554" authorId="1" shapeId="0" xr:uid="{EAB95CE2-2E6A-4126-8ADE-C0A1CE0274C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J554" authorId="1" shapeId="0" xr:uid="{789F1935-C72A-45BE-8E1D-588528320C2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K554" authorId="1" shapeId="0" xr:uid="{60E655B3-DAE9-4308-88A5-0113C03DD7A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BV554" authorId="1" shapeId="0" xr:uid="{A8006DFB-3C56-4A41-9DF1-E3C3BB5A06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C554" authorId="1" shapeId="0" xr:uid="{FDC7FCA1-784C-4840-B7B5-D5DA6C2BF1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D554" authorId="1" shapeId="0" xr:uid="{698FBB65-4840-413C-91CC-078B100BA4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E554" authorId="1" shapeId="0" xr:uid="{9C4362B9-4601-4131-B5E5-B05A094D606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F554" authorId="1" shapeId="0" xr:uid="{C026DF2A-992D-4BC9-8716-82C45CF31D5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Q554" authorId="1" shapeId="0" xr:uid="{83EBE628-D528-49CB-9CE4-1F8FF9BEA4C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X554" authorId="1" shapeId="0" xr:uid="{F34BCD05-1971-4199-9650-E18669F2A9A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Y554" authorId="1" shapeId="0" xr:uid="{F772D715-0C71-4226-968A-DE5A03373A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CZ554" authorId="1" shapeId="0" xr:uid="{0BEB1AED-8A99-47D8-A270-46AD80E232F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DA554" authorId="1" shapeId="0" xr:uid="{D9C3AAC2-41AC-4257-A8BE-83510CEDE4D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Lips (2006)</t>
        </r>
      </text>
    </comment>
    <comment ref="K559" authorId="0" shapeId="0" xr:uid="{76AD96F1-A9D5-444B-A730-8B0138716A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S559" authorId="0" shapeId="0" xr:uid="{8759C5AC-8644-4238-B092-187F15CD8E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T559" authorId="0" shapeId="0" xr:uid="{30B2AE06-6EB6-4F1F-81C8-1A08CFD54E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AF559" authorId="0" shapeId="0" xr:uid="{A3560DAC-5DFA-489D-A82E-AD5FC7D6D3A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AN559" authorId="0" shapeId="0" xr:uid="{7F7ED3EA-2017-41C6-8A11-E924A2CF6B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AO559" authorId="0" shapeId="0" xr:uid="{2F6D001D-A8C5-4B56-BACB-B4784FA683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BA559" authorId="0" shapeId="0" xr:uid="{02894EBA-C081-4C9E-8D57-3DF8A89DF99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BI559" authorId="0" shapeId="0" xr:uid="{92E75A76-FA49-42D0-A691-B793207EC7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BJ559" authorId="0" shapeId="0" xr:uid="{DD635D10-2314-46E9-BA3C-53F2D16F85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Tech Rep (2012-11)</t>
        </r>
      </text>
    </comment>
    <comment ref="S560" authorId="0" shapeId="0" xr:uid="{DE306757-1611-4056-AC79-F7DA7A98CF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T560" authorId="0" shapeId="0" xr:uid="{16CF4763-7458-4354-B370-1CB3AC963C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AN560" authorId="0" shapeId="0" xr:uid="{901882ED-CB99-4FC9-8DFF-EFA2CEAE83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AO560" authorId="0" shapeId="0" xr:uid="{7555AECF-C0E9-43BD-B698-3D9456EFB3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BH560" authorId="1" shapeId="0" xr:uid="{8D4CEA49-0DBE-4524-8927-6F39C908C16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from Tech Rep (2016-06)</t>
        </r>
      </text>
    </comment>
    <comment ref="BI560" authorId="0" shapeId="0" xr:uid="{FE37C884-2D3D-447A-A89D-B93CF5FDCE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BJ560" authorId="0" shapeId="0" xr:uid="{8BDBD548-9A5F-4295-9442-C3FB27C6FB3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CY560" authorId="0" shapeId="0" xr:uid="{AE429BCC-4123-46A0-BCCF-2E12A1B769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CZ560" authorId="0" shapeId="0" xr:uid="{5C9FB2F9-3675-4B70-BD9E-488A694AF3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Tech Rep (2016-08)</t>
        </r>
      </text>
    </comment>
    <comment ref="B561" authorId="0" shapeId="0" xr:uid="{D48B22EF-50C0-428F-BC70-31A8415E55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restarted early 2019</t>
        </r>
      </text>
    </comment>
    <comment ref="F561" authorId="0" shapeId="0" xr:uid="{9E8128EE-21A3-471C-B2FF-BE1F6850959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interests include Albidon Ltd, Intrepid Mines Ltd, then Consolidated Mining &amp; Investments Plc</t>
        </r>
      </text>
    </comment>
    <comment ref="I561" authorId="0" shapeId="0" xr:uid="{41B12A2E-55A6-4B38-80DF-257AFD1714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measured &amp; indicated resources reported; based on Albidon's Tech Rep (2012-10) - which shows no measured resources</t>
        </r>
      </text>
    </comment>
    <comment ref="AE561" authorId="0" shapeId="0" xr:uid="{169CF916-BD6B-41BA-9EF7-321084AD484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M561" authorId="0" shapeId="0" xr:uid="{70F06EC4-650D-47CF-9CC5-1C8C1C7CCA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N561" authorId="0" shapeId="0" xr:uid="{4E5F98FB-197D-437F-BBC8-33215195FE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O561" authorId="0" shapeId="0" xr:uid="{DEB37ADD-91E4-404F-8DDE-5B4377DC88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Z561" authorId="0" shapeId="0" xr:uid="{4049C1E8-40D3-4D5A-8B14-98CC8D7784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BH561" authorId="0" shapeId="0" xr:uid="{50EDDF9C-0D5C-4011-8109-9D8A567C611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BI561" authorId="0" shapeId="0" xr:uid="{2454D403-A11B-4941-8E83-0C8828F6168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BJ561" authorId="0" shapeId="0" xr:uid="{9BC8FE29-A740-4614-810C-36CD208DAE3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Haldar (2017)</t>
        </r>
      </text>
    </comment>
    <comment ref="AY562" authorId="0" shapeId="0" xr:uid="{73402E1D-121D-4568-A32A-097AF5BEBC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62" authorId="0" shapeId="0" xr:uid="{8B970F07-AADB-4014-A35B-E4F7C7F17B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B562" authorId="0" shapeId="0" xr:uid="{D092C8AA-A359-4491-92CB-83313253A2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62" authorId="0" shapeId="0" xr:uid="{8D3C04ED-747A-41BF-9BB8-FB3A72BCE1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63" authorId="0" shapeId="0" xr:uid="{29F75B82-BB87-4730-9D6D-5F5F47CD2A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63" authorId="0" shapeId="0" xr:uid="{862ABC98-AF65-4F86-AFC2-BEE5B3804B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63" authorId="0" shapeId="0" xr:uid="{6DC86D73-9D56-4154-9808-7BC8DFBB8B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64" authorId="0" shapeId="0" xr:uid="{7FAE95D5-A493-426B-BA38-332538FB929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64" authorId="0" shapeId="0" xr:uid="{84A19365-FBAC-4981-8F1F-40B3ABDFB4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64" authorId="0" shapeId="0" xr:uid="{3C847E59-F518-4AB1-9ED2-9E2EB584B8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64" authorId="0" shapeId="0" xr:uid="{E152F380-3DB1-4EB5-B038-ADEBC6B580F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I565" authorId="0" shapeId="0" xr:uid="{2F535651-E88C-4168-BEF9-EC70EFB758E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AD565" authorId="0" shapeId="0" xr:uid="{09EFB63E-9F4F-453C-AB2E-70ED657E684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AY565" authorId="0" shapeId="0" xr:uid="{07551988-694F-4F8F-8D84-8748D32B893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AZ565" authorId="0" shapeId="0" xr:uid="{095BA80F-2131-4717-99C1-9DBE094B09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BA565" authorId="0" shapeId="0" xr:uid="{6576C74D-148D-4ADD-B41D-CAAE52D590C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BG565" authorId="0" shapeId="0" xr:uid="{E0C36E20-1175-4BFA-9D8D-EA04A17ADD3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 data, assumed all as inferred</t>
        </r>
      </text>
    </comment>
    <comment ref="BH565" authorId="0" shapeId="0" xr:uid="{CC0748D9-ED6D-485A-86F7-7C4F8DD718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BI565" authorId="0" shapeId="0" xr:uid="{85F93FE2-33BC-4063-8F47-52D0B8B835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BJ565" authorId="0" shapeId="0" xr:uid="{D4E9CB39-4A77-4285-92F5-F921F44C588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based on metallurgical test work</t>
        </r>
      </text>
    </comment>
    <comment ref="AY566" authorId="0" shapeId="0" xr:uid="{F7357603-9408-4392-8DD5-DE869A6E4B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66" authorId="0" shapeId="0" xr:uid="{645C5CDA-DC42-4003-8672-748AF4884F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66" authorId="1" shapeId="0" xr:uid="{017FB0F6-0E7E-4805-964D-363E740CFA4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using average ratio of 3.30:1 Cu:Ni for Duluth Complex deposits (from Miller et al 2002)</t>
        </r>
      </text>
    </comment>
    <comment ref="AY567" authorId="0" shapeId="0" xr:uid="{E1B06B32-CE22-4B0B-BFDD-C14031EA0B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67" authorId="0" shapeId="0" xr:uid="{017CD12B-0C25-47D1-B36F-7E62B67F1E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67" authorId="0" shapeId="0" xr:uid="{7E32860D-F99A-402C-8202-AB46909AA7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68" authorId="0" shapeId="0" xr:uid="{6DB30467-22F4-421A-9474-E370F829E2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68" authorId="0" shapeId="0" xr:uid="{FB6F1402-5250-4440-9470-C9F27878E4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68" authorId="0" shapeId="0" xr:uid="{6FEFA8EB-0F9B-4071-BFAE-EF16A71A21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69" authorId="0" shapeId="0" xr:uid="{895D89B1-D413-4D4D-BFDF-474D42411A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69" authorId="0" shapeId="0" xr:uid="{89CD054B-850B-4D47-8D23-399389F314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69" authorId="0" shapeId="0" xr:uid="{FF2D591A-BEF8-47D5-93E6-6E3FD489E3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I570" authorId="0" shapeId="0" xr:uid="{B075C9F3-DE08-4E18-97AB-FAB8892C36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70" authorId="0" shapeId="0" xr:uid="{F9004C71-6556-43EE-B4CF-217CFEF25A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70" authorId="0" shapeId="0" xr:uid="{36ED10A9-2FC7-4BF5-A527-E04ED562BC9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70" authorId="0" shapeId="0" xr:uid="{214B59CB-83F3-40B5-A1FB-35BBF01FF0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70" authorId="0" shapeId="0" xr:uid="{29D4BEF7-859A-408D-B6BC-9F87392236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71" authorId="0" shapeId="0" xr:uid="{F1C2FF6C-FB9A-4AE3-85E2-11873466A9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71" authorId="0" shapeId="0" xr:uid="{7EA03E98-A183-4AC8-AAFE-AF054C50EF7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71" authorId="0" shapeId="0" xr:uid="{DB4534FD-ECDE-4683-A983-AFC71D6064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71" authorId="0" shapeId="0" xr:uid="{9AE7938A-E7B6-471B-BD71-FA7FE239A1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71" authorId="0" shapeId="0" xr:uid="{2C26E58D-455D-4362-863A-10CC0A63A5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72" authorId="0" shapeId="0" xr:uid="{6877A863-18DE-4970-B956-2CD75D3DD62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72" authorId="0" shapeId="0" xr:uid="{20C4062B-90E7-44F5-81AB-56C3AFD619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72" authorId="0" shapeId="0" xr:uid="{782424C5-A1A8-43AC-B7AF-69FE309AD8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72" authorId="0" shapeId="0" xr:uid="{C4AC414C-2D32-4843-A87B-E66A018531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72" authorId="0" shapeId="0" xr:uid="{7137E550-4BA0-4CD8-8C38-8230C07959C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73" authorId="0" shapeId="0" xr:uid="{44C26FEB-12C8-4BA8-B7D8-49D693B4E5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73" authorId="0" shapeId="0" xr:uid="{B6D54585-37E2-41BF-BAC7-5B5123B537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73" authorId="0" shapeId="0" xr:uid="{E8679905-C9CC-4924-A034-06F01CDAA4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73" authorId="0" shapeId="0" xr:uid="{EAB2BEC8-F196-488C-941C-A4AC1F05CBA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73" authorId="0" shapeId="0" xr:uid="{B0EF34C4-ABC6-470A-8E0A-3E97CCFDCD4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74" authorId="0" shapeId="0" xr:uid="{0176FCA3-C178-48E8-9A51-9AB349CCE55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74" authorId="0" shapeId="0" xr:uid="{48F5617D-7BB5-4679-A97B-3B82BAC8BA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74" authorId="0" shapeId="0" xr:uid="{561C6FD3-FDF5-4C9F-8DBF-77904B08708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74" authorId="0" shapeId="0" xr:uid="{2B849F64-2A15-4200-9B73-EF91D44BF3A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74" authorId="0" shapeId="0" xr:uid="{43B5A7E9-04A7-437E-B346-64BC3262012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75" authorId="0" shapeId="0" xr:uid="{A85252FB-B024-4780-9D47-7E85A3A242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75" authorId="0" shapeId="0" xr:uid="{04FA8DDD-50E5-4C8C-859C-B6D93C086C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75" authorId="0" shapeId="0" xr:uid="{BA22C518-6B3E-437B-86E1-61FCDB2726F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75" authorId="0" shapeId="0" xr:uid="{8241DC16-C5B4-4D46-9DF1-DB2E0F33F2B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N576" authorId="0" shapeId="0" xr:uid="{959D747E-4FED-4156-B188-9E6F79ACE7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former owner Goldstake Explorations Inc.</t>
        </r>
      </text>
    </comment>
    <comment ref="AY578" authorId="0" shapeId="0" xr:uid="{89BB63CC-0FDA-4A47-AF70-5C7C118EA2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79" authorId="0" shapeId="0" xr:uid="{14B6F327-F2F5-4B94-9A00-70C24807DE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AZ579" authorId="0" shapeId="0" xr:uid="{1A2886E7-DA00-4A7F-80D2-EF8E255AFA5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BG579" authorId="0" shapeId="0" xr:uid="{BE3F6AB8-1221-45D9-AB74-6A51C461879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BI579" authorId="0" shapeId="0" xr:uid="{31A5A3E7-9913-44A3-B8CE-CE4E14CC230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BJ579" authorId="0" shapeId="0" xr:uid="{5A84D735-1274-4465-9FB2-2AF9A093DB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resource, non-code compliant</t>
        </r>
      </text>
    </comment>
    <comment ref="AY580" authorId="0" shapeId="0" xr:uid="{A288DD70-AD35-4C6A-9D25-96E8F14E9C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80" authorId="0" shapeId="0" xr:uid="{4E53FD7B-9C26-458D-A2E8-1B8DC9D1366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80" authorId="0" shapeId="0" xr:uid="{CBD6035C-1CC8-410D-8966-F4741F06F5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I581" authorId="0" shapeId="0" xr:uid="{CF3AC4AC-0BE6-4605-9E97-E7F923BD227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D581" authorId="0" shapeId="0" xr:uid="{09B6BD26-A822-4250-A466-A59066713EB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81" authorId="0" shapeId="0" xr:uid="{0F36CEB5-C7ED-48B4-AF8A-F92E129B9C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81" authorId="0" shapeId="0" xr:uid="{7AFE883D-3A6E-48C5-A2A1-1FF2463AF1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81" authorId="0" shapeId="0" xr:uid="{FEA7CC4E-DF49-4ACD-8A41-6295FF3692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82" authorId="0" shapeId="0" xr:uid="{2FC699D3-5848-4BA7-A17D-9167ADBCB8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best estimate</t>
        </r>
      </text>
    </comment>
    <comment ref="AZ582" authorId="0" shapeId="0" xr:uid="{3BBBF547-AF20-41C5-BB18-BABAC9749D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A582" authorId="0" shapeId="0" xr:uid="{4A59B0DF-E0AE-4771-B746-4B8F306CF9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G582" authorId="0" shapeId="0" xr:uid="{1B14A9CB-4A50-40A3-9BB4-8E707393A5E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best estimate</t>
        </r>
      </text>
    </comment>
    <comment ref="BH582" authorId="0" shapeId="0" xr:uid="{80DC6461-C13F-4CBB-86D2-785F7E50D5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I582" authorId="0" shapeId="0" xr:uid="{567E4E79-3B05-45A0-932E-901942E5DE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J582" authorId="0" shapeId="0" xr:uid="{16163853-96CF-44AA-B384-5E6107E5B34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BK582" authorId="0" shapeId="0" xr:uid="{A94319D6-B9AA-4EF8-AC85-31E7C6236AA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Porter (2016)</t>
        </r>
      </text>
    </comment>
    <comment ref="I583" authorId="0" shapeId="0" xr:uid="{3A7D40B7-AE4C-4FA1-A63B-13FA2B4A7A2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83" authorId="0" shapeId="0" xr:uid="{1DE2D089-ADB3-44C8-8DD5-9959C5005D7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83" authorId="0" shapeId="0" xr:uid="{F603B459-2C46-4351-A12A-39E8A20847B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83" authorId="0" shapeId="0" xr:uid="{1A9A89A6-AD45-45DA-947D-6592FB9A04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83" authorId="0" shapeId="0" xr:uid="{DBC944AE-8BA3-4DF8-8DCA-43C1BC89F38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84" authorId="0" shapeId="0" xr:uid="{5B1F1725-66DE-4740-B6DF-19ACEE6302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84" authorId="0" shapeId="0" xr:uid="{0A61DF96-A67C-4ED3-9D3A-485ADF67690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84" authorId="0" shapeId="0" xr:uid="{336A80CE-8852-41BD-8812-FE889D1511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84" authorId="0" shapeId="0" xr:uid="{276F7949-AB94-4797-9D6F-4B7252C9392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84" authorId="0" shapeId="0" xr:uid="{43EEE3DC-E48B-4FA4-A3A2-C951E34C87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85" authorId="0" shapeId="0" xr:uid="{626F80C8-23BF-47B7-9F9A-DBFD1171F1C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85" authorId="0" shapeId="0" xr:uid="{357E6526-3B9B-4EB2-9FE6-5218295143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85" authorId="0" shapeId="0" xr:uid="{CA5D1DEB-57B6-4FE9-9D90-C8B0B16DDC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85" authorId="0" shapeId="0" xr:uid="{D52929ED-C4DA-41CF-A0E9-CBFCB6208B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85" authorId="0" shapeId="0" xr:uid="{73636CB5-94BB-4E47-8236-274050487E7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86" authorId="0" shapeId="0" xr:uid="{FEB2604F-FCF6-401B-86A9-3126A1E23C6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86" authorId="0" shapeId="0" xr:uid="{95F2C52C-A3D2-444C-AB2A-7295D3CA441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86" authorId="0" shapeId="0" xr:uid="{D898AAD2-45AD-42E8-AF85-CDC315E9EF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86" authorId="0" shapeId="0" xr:uid="{9E88B03F-7C23-4D67-AB78-1041CA0E0B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86" authorId="0" shapeId="0" xr:uid="{80B17E61-0D90-45F3-9E36-7A5D3B5FBB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87" authorId="0" shapeId="0" xr:uid="{243F55BC-E045-4886-96C5-CFCBC866C6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87" authorId="0" shapeId="0" xr:uid="{5DADC22D-1166-4894-8209-DE5F39B8D8C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87" authorId="0" shapeId="0" xr:uid="{3CC81404-A522-489A-94F6-90D157E90B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87" authorId="0" shapeId="0" xr:uid="{40031EAA-72A5-4023-96B3-53CB7D16DE6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87" authorId="0" shapeId="0" xr:uid="{D105C85C-8585-4126-A2F0-077D7B29565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88" authorId="0" shapeId="0" xr:uid="{79CC8B81-93FC-4F39-A57A-5B31EED59C5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88" authorId="0" shapeId="0" xr:uid="{998EEF1C-546C-4A2C-94D2-92821245C4E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88" authorId="0" shapeId="0" xr:uid="{EAE405AB-718F-42C1-A31D-150186E0B1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88" authorId="0" shapeId="0" xr:uid="{C9A288EB-2F2B-4ED8-93B8-94E30F153D6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88" authorId="0" shapeId="0" xr:uid="{A91162C3-C200-4F9A-9BA9-529EA2EEFA8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I589" authorId="0" shapeId="0" xr:uid="{620CDD8A-0379-4902-819C-807F41B6ECF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D589" authorId="0" shapeId="0" xr:uid="{965E8B90-6C27-40E5-84A1-5717897125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89" authorId="0" shapeId="0" xr:uid="{42FE6B45-00A7-4D58-8672-46A2D49A4F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Z589" authorId="0" shapeId="0" xr:uid="{0AC35FE8-07A1-4B08-B386-85590F4C02D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BG589" authorId="0" shapeId="0" xr:uid="{491A7262-9064-47EB-AD8D-5F1D19834F3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are reported</t>
        </r>
      </text>
    </comment>
    <comment ref="AY590" authorId="0" shapeId="0" xr:uid="{26D9BCC3-3027-409A-B1E6-08F191C4803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0" authorId="0" shapeId="0" xr:uid="{6D84D18D-A5BA-4BF3-A2F6-3A4900EE193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0" authorId="0" shapeId="0" xr:uid="{2B7464BD-2D9E-4D99-AD2E-08D01D24778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91" authorId="0" shapeId="0" xr:uid="{7DD609D5-D60B-4E05-8C98-62F4A73D412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1" authorId="0" shapeId="0" xr:uid="{29F684E5-52A7-450D-AAD3-5A6777AD10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1" authorId="0" shapeId="0" xr:uid="{F2E8B474-3A29-4A47-AFD4-AE8F7C3D37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92" authorId="0" shapeId="0" xr:uid="{D0E8E1BF-1D49-4D4D-8102-2B24EF8C6EF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2" authorId="0" shapeId="0" xr:uid="{2B0ABB33-10B6-4EF9-867D-B9F8A612D84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2" authorId="0" shapeId="0" xr:uid="{3D7F3850-5B04-4686-919E-35433C31F72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93" authorId="0" shapeId="0" xr:uid="{9A6EEDEF-1599-4FD7-A0F1-D6D1FE7B986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3" authorId="0" shapeId="0" xr:uid="{26798288-601C-4B31-A149-A188389A8CB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3" authorId="0" shapeId="0" xr:uid="{3AD7263D-4E98-4A7E-A3C7-6F68AC5C95E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93" authorId="0" shapeId="0" xr:uid="{0DDEF642-B30A-4983-9241-954FA439207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94" authorId="0" shapeId="0" xr:uid="{3984C398-7305-451C-B145-CF4E76E8F7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4" authorId="0" shapeId="0" xr:uid="{13120E54-C940-44BD-A747-6C47E557FDB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4" authorId="0" shapeId="0" xr:uid="{0D47087E-25CB-4C1E-B9D5-935B5EB07A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595" authorId="0" shapeId="0" xr:uid="{2A70E6AF-59F7-4DDC-91BC-1E00B341DD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Bluejay Minnig Plc was formerly known as FinnAust Mining Plc, which in turn was ~79% owned by Western Areas Ltd</t>
        </r>
      </text>
    </comment>
    <comment ref="AY595" authorId="0" shapeId="0" xr:uid="{C0CA9098-1913-4F22-9BD0-7212326BB21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5" authorId="0" shapeId="0" xr:uid="{509FC3D5-9997-48EC-8710-31E7E27F756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5" authorId="0" shapeId="0" xr:uid="{27513207-C496-4CFC-A53B-C8736390A2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95" authorId="0" shapeId="0" xr:uid="{38DC8412-1C07-4618-891A-C6483951405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N595" authorId="0" shapeId="0" xr:uid="{01F1D484-BF8A-4A07-8643-5ABD17CD723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Western Areas</t>
        </r>
      </text>
    </comment>
    <comment ref="AY596" authorId="0" shapeId="0" xr:uid="{4D2AB326-DDBE-4AE7-8099-62F32E2E70E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6" authorId="0" shapeId="0" xr:uid="{6BF35DF1-4F64-4454-A143-F07816BB595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6" authorId="0" shapeId="0" xr:uid="{26E7C3A8-CEA8-4FD5-A5CE-2D1B06BD6E2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97" authorId="0" shapeId="0" xr:uid="{E75571F6-4C84-4068-9797-68FEA6DD18D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7" authorId="0" shapeId="0" xr:uid="{CDDBCA76-BC57-401F-880F-10DF9B8853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7" authorId="0" shapeId="0" xr:uid="{36C50A27-7625-4268-8381-C0DC9878E1D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98" authorId="0" shapeId="0" xr:uid="{CDDA5FAD-F71E-4000-B280-02E0C490A62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8" authorId="0" shapeId="0" xr:uid="{4140C0FF-29A9-4662-9297-942D12B06B7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8" authorId="0" shapeId="0" xr:uid="{9F4839EF-EA07-4FC8-95A8-E83C02A3EF8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598" authorId="0" shapeId="0" xr:uid="{3567A185-9EA1-4B12-92C9-96A3D94B4BC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599" authorId="0" shapeId="0" xr:uid="{8F32521E-0C0B-4DD1-8C4C-A7199C985D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599" authorId="0" shapeId="0" xr:uid="{8FDFFE25-4B65-480E-B6DC-409FA4ECC30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599" authorId="0" shapeId="0" xr:uid="{23DE1D44-538F-4B53-8172-48F99894B0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00" authorId="0" shapeId="0" xr:uid="{A23B7A80-8E27-4F17-85CA-270FB04F5EB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0" authorId="0" shapeId="0" xr:uid="{4123B403-2578-4DD4-8ED3-D4A4301BAB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0" authorId="0" shapeId="0" xr:uid="{F24775B4-A6AE-483C-9C94-3EC3CAF84F0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600" authorId="0" shapeId="0" xr:uid="{4F8E2F2F-FA46-4029-A494-2EA4BF7AA95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601" authorId="0" shapeId="0" xr:uid="{A183F651-870C-4CFD-A3A7-25C573C2550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CTT is Compagnie de Tifnout Tighanimine, a subsidiary of Managem</t>
        </r>
      </text>
    </comment>
    <comment ref="I601" authorId="0" shapeId="0" xr:uid="{E0BADD0A-67A7-4EAF-8E2F-5A98A2AE5FB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AD601" authorId="0" shapeId="0" xr:uid="{098ECAF3-D23E-4064-B889-5BF1A7E468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AY601" authorId="0" shapeId="0" xr:uid="{45451871-1145-4E12-82BC-B72E66D24AA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reported</t>
        </r>
      </text>
    </comment>
    <comment ref="BA601" authorId="0" shapeId="0" xr:uid="{B07E5849-CA72-486E-8F70-CCDEAE45278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BG601" authorId="0" shapeId="0" xr:uid="{195EEE2A-B7FA-419F-8A81-2FB7C47BFA9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BH601" authorId="0" shapeId="0" xr:uid="{1072F711-1F32-4AEF-BE8C-7B7DE5D6451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BT601" authorId="0" shapeId="0" xr:uid="{600B9C4A-120F-4CCD-A639-B37E34E8451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reserves reported</t>
        </r>
      </text>
    </comment>
    <comment ref="CO601" authorId="0" shapeId="0" xr:uid="{86C04064-4558-4612-87CA-1D2C4D0229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reserves reported</t>
        </r>
      </text>
    </comment>
    <comment ref="CQ601" authorId="0" shapeId="0" xr:uid="{06A85D79-1087-4A3C-9AF0-2D51A224DC7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CW601" authorId="0" shapeId="0" xr:uid="{177769C6-BEC1-4814-9350-B2ED443A3DF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CX601" authorId="0" shapeId="0" xr:uid="{94CDFE34-447E-4625-8517-2784630F14B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value from Oberthür et al (2009)</t>
        </r>
      </text>
    </comment>
    <comment ref="F602" authorId="1" shapeId="0" xr:uid="{B07E6DEA-FC6C-443E-BB14-506BB33DCB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</t>
        </r>
      </text>
    </comment>
    <comment ref="DN602" authorId="1" shapeId="0" xr:uid="{7F699296-6BC4-439C-B456-A5D924CEB4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Blackstone Ventures</t>
        </r>
      </text>
    </comment>
    <comment ref="AY603" authorId="0" shapeId="0" xr:uid="{09D50A65-A488-4E82-8E21-5A0087C935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3" authorId="0" shapeId="0" xr:uid="{3581BF92-C7AC-45FE-AFE8-2348EB87C45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3" authorId="0" shapeId="0" xr:uid="{EB5192BC-DF66-4E58-8F14-79AE9E9808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603" authorId="0" shapeId="0" xr:uid="{158FA973-9974-46EF-9E00-2C6A99F0076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604" authorId="1" shapeId="0" xr:uid="{DFD7287F-C0AB-4EA3-859B-19DE5ACA883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</t>
        </r>
      </text>
    </comment>
    <comment ref="AY604" authorId="0" shapeId="0" xr:uid="{9E4A9C5E-04B1-4D7F-97C1-8FCCDE96DA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4" authorId="0" shapeId="0" xr:uid="{0278D7B8-D430-4020-ACC9-941FB83E8A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4" authorId="0" shapeId="0" xr:uid="{366B7E4E-1C39-4774-A1A2-2068232BD82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604" authorId="0" shapeId="0" xr:uid="{7E5574FF-7988-4E0A-AB89-8190E13FBAC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605" authorId="1" shapeId="0" xr:uid="{4F44195C-3BA7-4876-95E7-536AB52082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Blackstone Ventures</t>
        </r>
      </text>
    </comment>
    <comment ref="AY605" authorId="0" shapeId="0" xr:uid="{70A3160A-D3F9-421F-9903-61538722330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5" authorId="0" shapeId="0" xr:uid="{68E6806B-3A4C-4594-B98C-40A9B303783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5" authorId="0" shapeId="0" xr:uid="{DFD4EE77-932A-41C5-B6D5-2015CF6A3C5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605" authorId="0" shapeId="0" xr:uid="{B28DA0D7-5E31-4C09-876F-7B7A026071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06" authorId="0" shapeId="0" xr:uid="{7C0C995D-1464-4700-BDE1-7D5019924A8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6" authorId="0" shapeId="0" xr:uid="{8D8ECC1B-F24F-4AF2-97B0-ED93863890B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6" authorId="0" shapeId="0" xr:uid="{864466D5-4227-4D2B-94B5-BE8925D4134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07" authorId="0" shapeId="0" xr:uid="{E3508FB8-1736-47A1-B142-9D82B99FCCD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7" authorId="0" shapeId="0" xr:uid="{32FD0F3A-4F8A-4238-A6D0-1492B346BEC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7" authorId="0" shapeId="0" xr:uid="{40C0E11B-0DAC-4C93-A8DB-90B7072C077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08" authorId="0" shapeId="0" xr:uid="{26CA1626-95C3-45F5-91E0-602DFE12CD4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8" authorId="0" shapeId="0" xr:uid="{2DD9BA2E-667A-41D0-8AE4-8CE8F9DF59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8" authorId="0" shapeId="0" xr:uid="{D383A206-DF43-456D-936E-35F6C676735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09" authorId="0" shapeId="0" xr:uid="{15E34C9B-8BCD-4E8A-8F29-F95EB0A09D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09" authorId="0" shapeId="0" xr:uid="{6A5E290D-20F9-4F33-84A8-2DBEAA60064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09" authorId="0" shapeId="0" xr:uid="{FB523D09-C499-4769-9091-A0E10FD5A83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0" authorId="0" shapeId="0" xr:uid="{F7ACC565-77B2-43C0-8BDD-E3540DA6C5D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0" authorId="0" shapeId="0" xr:uid="{63D123D3-08F4-49A0-B337-748308054CD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0" authorId="0" shapeId="0" xr:uid="{172C87AB-6E4D-450A-8926-FCBA80F17A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1" authorId="0" shapeId="0" xr:uid="{C34CFFED-356D-4EC7-AFA5-AE3CE8D225E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1" authorId="0" shapeId="0" xr:uid="{F8997D46-83C3-4D73-9F1E-E25A356E0B7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2" authorId="0" shapeId="0" xr:uid="{99E8CB8E-CB64-41A1-AE06-4CCE86AFC2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2" authorId="0" shapeId="0" xr:uid="{FC42F6A5-AC0D-4BE0-992A-9BDA86C97B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2" authorId="0" shapeId="0" xr:uid="{E239E780-060D-4340-B726-AE7EFC14D9E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3" authorId="0" shapeId="0" xr:uid="{5E54C997-F7CA-4011-BE6F-519213242AE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3" authorId="0" shapeId="0" xr:uid="{BD511195-84A6-47B2-9B14-3C20D8A1FC3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3" authorId="0" shapeId="0" xr:uid="{A80730F1-5AFF-44A5-9F59-3B30F6D726B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614" authorId="0" shapeId="0" xr:uid="{8880DFAB-A775-436B-9BF0-DD9100AF44B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AY614" authorId="0" shapeId="0" xr:uid="{AC77D340-2AEE-4D6E-818C-BA639F31AEB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4" authorId="0" shapeId="0" xr:uid="{46A37AB5-0992-43A2-8AE7-E293CF70BD5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4" authorId="0" shapeId="0" xr:uid="{409604B6-33E0-4739-83D3-D50A681A366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615" authorId="0" shapeId="0" xr:uid="{0A9C6FAC-A455-4046-A989-305814EF24C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Blackstone Ventures</t>
        </r>
      </text>
    </comment>
    <comment ref="AY615" authorId="0" shapeId="0" xr:uid="{A5339A88-8C41-4770-B96D-116ACC6E1CD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5" authorId="0" shapeId="0" xr:uid="{40BF1C99-A1E8-4601-8AEB-4849436FE3A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5" authorId="0" shapeId="0" xr:uid="{837799E2-89C3-4FCA-965F-206403F7635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6" authorId="0" shapeId="0" xr:uid="{599067F9-94C5-493D-A8C9-3ACD14110A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6" authorId="0" shapeId="0" xr:uid="{1F994BD8-7507-4D94-A889-A4D47AA52B8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6" authorId="0" shapeId="0" xr:uid="{4BF32BE2-2174-4192-ACF9-AE0FFD919BA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616" authorId="0" shapeId="0" xr:uid="{56A71CE8-A34B-4177-B4DD-76E69CEFA3E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7" authorId="0" shapeId="0" xr:uid="{C3F96447-2545-4E6E-9DA3-F1E9DE71BDD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7" authorId="0" shapeId="0" xr:uid="{F20A951C-45B4-492F-9F9B-2E783A16C5F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7" authorId="0" shapeId="0" xr:uid="{62293574-4415-42D6-A6FD-54B3C8D4CC9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H617" authorId="0" shapeId="0" xr:uid="{A21D6C60-6FB8-4A43-B430-DBE664B1C6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8" authorId="0" shapeId="0" xr:uid="{FA66A0FC-3977-43D0-887E-A95C3C21419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8" authorId="0" shapeId="0" xr:uid="{70B7E558-FA7F-46A0-BF5C-6EA677F5D2A8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Y619" authorId="0" shapeId="0" xr:uid="{BDA901DF-4FF3-4001-86E7-D0A56740151C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19" authorId="0" shapeId="0" xr:uid="{2B6AE843-A0F7-4AD5-9A66-29113E24190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19" authorId="0" shapeId="0" xr:uid="{3A8B67BF-84D6-4583-B3CA-99053F249EC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F620" authorId="0" shapeId="0" xr:uid="{9821BC27-BCBA-41BA-BBD1-B305DC200B6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formerly known as Hard Creek Nickel Corp</t>
        </r>
      </text>
    </comment>
    <comment ref="AY621" authorId="0" shapeId="0" xr:uid="{30029BBD-7F50-44A9-8B14-01DE3DB4FE03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AZ621" authorId="0" shapeId="0" xr:uid="{567246A5-FD9E-4601-BB3A-B5BE596F60C9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A621" authorId="0" shapeId="0" xr:uid="{07439D71-C200-4EEE-B319-8B79FAF2CEE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B621" authorId="0" shapeId="0" xr:uid="{1F2C7385-DFFD-48E3-84C5-68167D295DF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G621" authorId="0" shapeId="0" xr:uid="{78A62CDA-106D-4751-BA5A-84426A799A9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H621" authorId="0" shapeId="0" xr:uid="{B74878AF-165C-4A4B-8906-3482B23F31F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</t>
        </r>
      </text>
    </comment>
    <comment ref="BI621" authorId="0" shapeId="0" xr:uid="{116C3314-E72A-42B9-A29B-3FEAB950AF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resources; 3E g/t - 40% assumed as Pt</t>
        </r>
      </text>
    </comment>
    <comment ref="BJ621" authorId="0" shapeId="0" xr:uid="{F9966140-4C29-4650-AF29-D349A90050CD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only total resources presented, assumed as inferred resources; 3E g/t - 60% assumed as Pd</t>
        </r>
      </text>
    </comment>
    <comment ref="F622" authorId="0" shapeId="0" xr:uid="{40AD19F2-DBD4-4B73-ACFE-31D3C064896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Hunnan Australia Resources, which was recently taken over by China Minmetals; before this the project was owned by Compass Resources</t>
        </r>
      </text>
    </comment>
    <comment ref="L622" authorId="0" shapeId="0" xr:uid="{015BF062-CE84-4869-B351-115DD1B96694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indicative, based on resource reported in 2007 Annual Report</t>
        </r>
      </text>
    </comment>
    <comment ref="AG622" authorId="0" shapeId="0" xr:uid="{57648E58-DBF8-4167-AD16-1B2583E2D21B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indicative, based on resource reported in 2007 Annual Report</t>
        </r>
      </text>
    </comment>
    <comment ref="BB622" authorId="0" shapeId="0" xr:uid="{51B70830-4210-41AE-8521-3AA99DDE07A0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indicative, based on resource reported in 2007 Annual Report</t>
        </r>
      </text>
    </comment>
    <comment ref="DN622" authorId="0" shapeId="0" xr:uid="{D3BA79CE-3EBC-45B4-ABA3-567901C5861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earlier owner Compass Resources</t>
        </r>
      </text>
    </comment>
    <comment ref="F623" authorId="0" shapeId="0" xr:uid="{E072B78A-81EE-42C5-AB76-780BA0219A05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Hunnan Australia Resources, which was recently taken over by China Minmetals; before this the project was owned by Compass Resources</t>
        </r>
      </text>
    </comment>
    <comment ref="DN623" authorId="0" shapeId="0" xr:uid="{B448C117-AB80-4353-8875-966C187185D7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from earlier owner Compass Resources</t>
        </r>
      </text>
    </comment>
    <comment ref="F625" authorId="1" shapeId="0" xr:uid="{7DC71DDE-F7B1-4779-8BBE-3BDF2D9D42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AY625" authorId="0" shapeId="0" xr:uid="{AEFC7E58-AD60-4F15-B349-C82A94D92A4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25" authorId="0" shapeId="0" xr:uid="{F43DB514-4FDE-4381-BBA0-1FD4C5B780B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25" authorId="0" shapeId="0" xr:uid="{6C913599-2722-4116-A7E3-3D8DCEE8892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N625" authorId="1" shapeId="0" xr:uid="{23C022C2-AD37-4E06-A209-012B834372E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Nevoro, which became Starfield Resources - now bankrupt</t>
        </r>
      </text>
    </comment>
    <comment ref="F626" authorId="1" shapeId="0" xr:uid="{D604816B-7CBA-4407-A002-AC9BC2F73C6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formerly Nevoro, which became Starfield Resources - now bankrupt</t>
        </r>
      </text>
    </comment>
    <comment ref="AY626" authorId="0" shapeId="0" xr:uid="{A91D3156-4EDC-4CD6-B4CF-6468044BEF82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AZ626" authorId="0" shapeId="0" xr:uid="{205BDA2F-D83E-4E10-B60A-6A818B2ECEB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BG626" authorId="0" shapeId="0" xr:uid="{571A40F2-9BCC-4F71-A374-C102D400C471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N626" authorId="1" shapeId="0" xr:uid="{FB682BFA-1AEE-4E1C-A614-EC0C8A63438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data from Nevoro, which became Starfield Resources - now bankrupt</t>
        </r>
      </text>
    </comment>
    <comment ref="AZ628" authorId="1" shapeId="0" xr:uid="{72DB5FDA-0587-4C0B-A085-B5727BCC4C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assumed based on historic milling data</t>
        </r>
      </text>
    </comment>
    <comment ref="AY630" authorId="0" shapeId="0" xr:uid="{A9847973-9BC3-4514-AF1A-7953D89A03AF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historical resource, not NI43-101 compliant</t>
        </r>
      </text>
    </comment>
    <comment ref="F631" authorId="0" shapeId="0" xr:uid="{3722C5DE-EB9A-4D68-A0C4-C02290B3E48E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previously held by Alberta Star Development Corp (which is now Elysee Development Corp)</t>
        </r>
      </text>
    </comment>
    <comment ref="AY631" authorId="0" shapeId="0" xr:uid="{26434020-20E6-45EC-AC48-63DDF94E7E5A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historic resources (non-compliant with NI43-101) - hence all data allocated as inferred resources only</t>
        </r>
      </text>
    </comment>
    <comment ref="DN631" authorId="0" shapeId="0" xr:uid="{44E925BD-9A6B-41AF-86D0-87B6B46E1556}">
      <text>
        <r>
          <rPr>
            <b/>
            <sz val="9"/>
            <color indexed="81"/>
            <rFont val="Tahoma"/>
            <family val="2"/>
          </rPr>
          <t>Gavin Mudd:</t>
        </r>
        <r>
          <rPr>
            <sz val="9"/>
            <color indexed="81"/>
            <rFont val="Tahoma"/>
            <family val="2"/>
          </rPr>
          <t xml:space="preserve">
data from Alberta Star Development Corp (which is now Elysee Development Corp)</t>
        </r>
      </text>
    </comment>
  </commentList>
</comments>
</file>

<file path=xl/sharedStrings.xml><?xml version="1.0" encoding="utf-8"?>
<sst xmlns="http://schemas.openxmlformats.org/spreadsheetml/2006/main" count="24894" uniqueCount="1392">
  <si>
    <t>Ni basis</t>
  </si>
  <si>
    <t>Co basis</t>
  </si>
  <si>
    <t>#</t>
  </si>
  <si>
    <t>Commodity</t>
  </si>
  <si>
    <t>Country</t>
  </si>
  <si>
    <t>Project</t>
  </si>
  <si>
    <t>Status</t>
  </si>
  <si>
    <t>Location</t>
  </si>
  <si>
    <t>Mine</t>
  </si>
  <si>
    <t>Company</t>
  </si>
  <si>
    <t>Economic</t>
  </si>
  <si>
    <t>Principal</t>
  </si>
  <si>
    <t>Mineral Resources (including reserves)</t>
  </si>
  <si>
    <t>Ore Reserves</t>
  </si>
  <si>
    <t>Source</t>
  </si>
  <si>
    <t>Resources</t>
  </si>
  <si>
    <t>Reserves</t>
  </si>
  <si>
    <t>Mineral</t>
  </si>
  <si>
    <t>Group</t>
  </si>
  <si>
    <t>Lat</t>
  </si>
  <si>
    <t>Long</t>
  </si>
  <si>
    <t>Type</t>
  </si>
  <si>
    <t>Mineralogy</t>
  </si>
  <si>
    <t>Process</t>
  </si>
  <si>
    <t>Measured</t>
  </si>
  <si>
    <t>Indicated</t>
  </si>
  <si>
    <t>Inferred</t>
  </si>
  <si>
    <t>Proven</t>
  </si>
  <si>
    <t>Probable</t>
  </si>
  <si>
    <t>Proved</t>
  </si>
  <si>
    <t>Sulfide</t>
  </si>
  <si>
    <t>Laterite</t>
  </si>
  <si>
    <t>TOTAL</t>
  </si>
  <si>
    <t>Deposit Type</t>
  </si>
  <si>
    <t>Mt</t>
  </si>
  <si>
    <t>%Cu</t>
  </si>
  <si>
    <t>g/t Au</t>
  </si>
  <si>
    <t>g/t Ag</t>
  </si>
  <si>
    <t>%U</t>
  </si>
  <si>
    <t>%Mo</t>
  </si>
  <si>
    <t>%Pb</t>
  </si>
  <si>
    <t>%Zn</t>
  </si>
  <si>
    <t>%Ni</t>
  </si>
  <si>
    <t>%Co</t>
  </si>
  <si>
    <t>g/t Pt</t>
  </si>
  <si>
    <t>g/t Pd</t>
  </si>
  <si>
    <t>g/t Rh</t>
  </si>
  <si>
    <t>%Cr</t>
  </si>
  <si>
    <t>%Fe</t>
  </si>
  <si>
    <r>
      <t>%SiO</t>
    </r>
    <r>
      <rPr>
        <vertAlign val="subscript"/>
        <sz val="10"/>
        <color theme="1"/>
        <rFont val="Arial"/>
        <family val="2"/>
      </rPr>
      <t>2</t>
    </r>
  </si>
  <si>
    <t>g/t Sc</t>
  </si>
  <si>
    <t>Mt Cu</t>
  </si>
  <si>
    <t>t Au</t>
  </si>
  <si>
    <t>t Ag</t>
  </si>
  <si>
    <t>kt Ni</t>
  </si>
  <si>
    <t>t Pt</t>
  </si>
  <si>
    <t>t Pd</t>
  </si>
  <si>
    <t>t Rh</t>
  </si>
  <si>
    <t>t Sc</t>
  </si>
  <si>
    <t>Mt ore</t>
  </si>
  <si>
    <t>Primary</t>
  </si>
  <si>
    <t>Secondary</t>
  </si>
  <si>
    <t>Other Notes</t>
  </si>
  <si>
    <t>Australia</t>
  </si>
  <si>
    <t>Operating</t>
  </si>
  <si>
    <t>UG</t>
  </si>
  <si>
    <t>BHP Group</t>
  </si>
  <si>
    <t>AR 2018</t>
  </si>
  <si>
    <t>IOCG</t>
  </si>
  <si>
    <t>Deposit</t>
  </si>
  <si>
    <t>F</t>
  </si>
  <si>
    <t>C&amp;M</t>
  </si>
  <si>
    <t>OC</t>
  </si>
  <si>
    <t>ResV-ResC 2018</t>
  </si>
  <si>
    <t>Indonesia</t>
  </si>
  <si>
    <t>Philippines</t>
  </si>
  <si>
    <t>Myanmar</t>
  </si>
  <si>
    <t>New Caledonia</t>
  </si>
  <si>
    <t>Argentina</t>
  </si>
  <si>
    <t>Brazil</t>
  </si>
  <si>
    <t>Guinea</t>
  </si>
  <si>
    <t>Glencore</t>
  </si>
  <si>
    <t>Canada</t>
  </si>
  <si>
    <t>Sediment-hosted Pb-Zn</t>
  </si>
  <si>
    <t>Côte d'Ivoire</t>
  </si>
  <si>
    <t>Russia</t>
  </si>
  <si>
    <t>Puerto Rico</t>
  </si>
  <si>
    <t>Turkey</t>
  </si>
  <si>
    <t>Cu</t>
  </si>
  <si>
    <t>Metals X</t>
  </si>
  <si>
    <t>QR 2018-06</t>
  </si>
  <si>
    <t>Albania</t>
  </si>
  <si>
    <t>HL</t>
  </si>
  <si>
    <t>Serbia</t>
  </si>
  <si>
    <t>Kosovo</t>
  </si>
  <si>
    <t>HM</t>
  </si>
  <si>
    <t>C</t>
  </si>
  <si>
    <t>Oman</t>
  </si>
  <si>
    <t>Togo</t>
  </si>
  <si>
    <t>Cassini Resources, OZ Minerals</t>
  </si>
  <si>
    <t>Poland</t>
  </si>
  <si>
    <t>AR 2017</t>
  </si>
  <si>
    <t>Botswana</t>
  </si>
  <si>
    <t>Finland</t>
  </si>
  <si>
    <t>Artemis Resources</t>
  </si>
  <si>
    <t>China</t>
  </si>
  <si>
    <t>Orogenic Au</t>
  </si>
  <si>
    <t>Zimbabwe</t>
  </si>
  <si>
    <t>CuZnPbNiCo</t>
  </si>
  <si>
    <t>Brown's-Brown's East</t>
  </si>
  <si>
    <t>China Minmetals</t>
  </si>
  <si>
    <t>QR 2008-06</t>
  </si>
  <si>
    <t>Zambia</t>
  </si>
  <si>
    <t>Magmatic Sulphide</t>
  </si>
  <si>
    <t>Sediment-hosted polymetallic</t>
  </si>
  <si>
    <t>CuNiCo</t>
  </si>
  <si>
    <t>Mount Fitch (Ni-Cu-Co)</t>
  </si>
  <si>
    <t>Burundi</t>
  </si>
  <si>
    <t>Hydrothermal Ni</t>
  </si>
  <si>
    <t>Unconformity-related Uranium</t>
  </si>
  <si>
    <t>Area 55</t>
  </si>
  <si>
    <t>AR 2007</t>
  </si>
  <si>
    <t>Tanzania</t>
  </si>
  <si>
    <t>CuZnNiCo</t>
  </si>
  <si>
    <t>Mulga Rock East (base metals)</t>
  </si>
  <si>
    <t>Vimy Resources</t>
  </si>
  <si>
    <t>AR 2016</t>
  </si>
  <si>
    <t>USA</t>
  </si>
  <si>
    <t>Spain</t>
  </si>
  <si>
    <t>Small M-UM Intrusion-related</t>
  </si>
  <si>
    <t>Norway</t>
  </si>
  <si>
    <t>unknown</t>
  </si>
  <si>
    <t>Malawi</t>
  </si>
  <si>
    <t>Solomon Islands</t>
  </si>
  <si>
    <t>Guatemala</t>
  </si>
  <si>
    <t>Colombia</t>
  </si>
  <si>
    <t>Venezuela</t>
  </si>
  <si>
    <t>Greece</t>
  </si>
  <si>
    <t>VMS</t>
  </si>
  <si>
    <t>Dominican Rep.</t>
  </si>
  <si>
    <t>Kazakhstan</t>
  </si>
  <si>
    <t>Madagascar</t>
  </si>
  <si>
    <t>Cuba</t>
  </si>
  <si>
    <t>India</t>
  </si>
  <si>
    <t>Morocco</t>
  </si>
  <si>
    <t>Cameroon</t>
  </si>
  <si>
    <t>Ethiopia</t>
  </si>
  <si>
    <t>Sweden</t>
  </si>
  <si>
    <t>WA MINEDEX</t>
  </si>
  <si>
    <t>South Africa</t>
  </si>
  <si>
    <t>Int'l Waters</t>
  </si>
  <si>
    <t>unclear</t>
  </si>
  <si>
    <t>Norwest Minerals</t>
  </si>
  <si>
    <t>Kidman Resources</t>
  </si>
  <si>
    <t>AR 2015</t>
  </si>
  <si>
    <t>AR 2008</t>
  </si>
  <si>
    <t>AR 2011</t>
  </si>
  <si>
    <t>Development</t>
  </si>
  <si>
    <t>UG-OC</t>
  </si>
  <si>
    <t>AR 2013</t>
  </si>
  <si>
    <t>Tailings</t>
  </si>
  <si>
    <t>AR 2009</t>
  </si>
  <si>
    <t>Ahmad &amp; Khan (2013)</t>
  </si>
  <si>
    <t>NC</t>
  </si>
  <si>
    <t>AR 2012</t>
  </si>
  <si>
    <t>Singer et al (2009)</t>
  </si>
  <si>
    <t>Co</t>
  </si>
  <si>
    <t>Mo</t>
  </si>
  <si>
    <t>Skarn</t>
  </si>
  <si>
    <t>GA AMA</t>
  </si>
  <si>
    <t>Porphyry</t>
  </si>
  <si>
    <t>Mincor Resources</t>
  </si>
  <si>
    <t>Ardea Resources</t>
  </si>
  <si>
    <t>CuCoNi</t>
  </si>
  <si>
    <t>Stanton</t>
  </si>
  <si>
    <t>Northern Cobalt</t>
  </si>
  <si>
    <t>Sediment-hosted Stratiform Cu</t>
  </si>
  <si>
    <t>Ni S</t>
  </si>
  <si>
    <t>Melba Flats (North Cuni-Genets)</t>
  </si>
  <si>
    <t>Dundas Mining?</t>
  </si>
  <si>
    <t>AR 2006</t>
  </si>
  <si>
    <t>Intrusion-related</t>
  </si>
  <si>
    <t>AR 1997</t>
  </si>
  <si>
    <t>Zn</t>
  </si>
  <si>
    <t>Pb</t>
  </si>
  <si>
    <t>AIF 2018</t>
  </si>
  <si>
    <t>South32</t>
  </si>
  <si>
    <t>DSO</t>
  </si>
  <si>
    <t>beneficiation</t>
  </si>
  <si>
    <t>Teck</t>
  </si>
  <si>
    <t>Ni L</t>
  </si>
  <si>
    <t>Gordonbrook-Bungonia</t>
  </si>
  <si>
    <t>HM?</t>
  </si>
  <si>
    <t>Oxide</t>
  </si>
  <si>
    <t>AR 2010</t>
  </si>
  <si>
    <t>AR 2014</t>
  </si>
  <si>
    <t>Alpha HPA</t>
  </si>
  <si>
    <t>PNG</t>
  </si>
  <si>
    <t>Tech Rep (2019-01)</t>
  </si>
  <si>
    <t>Au</t>
  </si>
  <si>
    <t>DSM</t>
  </si>
  <si>
    <t>Nautilus Minerals</t>
  </si>
  <si>
    <t>Ramu</t>
  </si>
  <si>
    <t>MCC, Highlands Pacific</t>
  </si>
  <si>
    <t>HPAL</t>
  </si>
  <si>
    <t>Oxide-hydrous Mg silicate</t>
  </si>
  <si>
    <t>Mambare</t>
  </si>
  <si>
    <t>Direct Nickel-50%, Regency Mines-50%</t>
  </si>
  <si>
    <t>DNI?</t>
  </si>
  <si>
    <t>Wowo Gap</t>
  </si>
  <si>
    <t>Resource Mining Corp</t>
  </si>
  <si>
    <t>HPAL?</t>
  </si>
  <si>
    <t>Lake Trist</t>
  </si>
  <si>
    <t>Regency Mines?</t>
  </si>
  <si>
    <t>Frieda River</t>
  </si>
  <si>
    <t>Redstone Metals?</t>
  </si>
  <si>
    <t>DSO?</t>
  </si>
  <si>
    <t>Mosusu (2014)</t>
  </si>
  <si>
    <t>Koreppa (Waria Valley-Bovio Hill)</t>
  </si>
  <si>
    <t>Grainger &amp; Grainger (1974)</t>
  </si>
  <si>
    <t>ResV-ResC 2013</t>
  </si>
  <si>
    <t>Leinster</t>
  </si>
  <si>
    <t>UG+OC</t>
  </si>
  <si>
    <t>Archean Komatiite</t>
  </si>
  <si>
    <t>Mount Keith</t>
  </si>
  <si>
    <t>Cliffs</t>
  </si>
  <si>
    <t>Yakabindie</t>
  </si>
  <si>
    <t>Venus</t>
  </si>
  <si>
    <t>Jericho</t>
  </si>
  <si>
    <t>Murrin Murrin</t>
  </si>
  <si>
    <t>Clay silicate</t>
  </si>
  <si>
    <t>KNP West-Goongarrie: Big Four</t>
  </si>
  <si>
    <t>KNP West-Goongarrie: Goongarrie Hill</t>
  </si>
  <si>
    <t>Oxide-Clay silicate</t>
  </si>
  <si>
    <t>KNP West-Goongarrie: Goongarrie South</t>
  </si>
  <si>
    <t>KNP West-Goongarrie: Highway</t>
  </si>
  <si>
    <t>KNP West-Goongarrie: Scotia</t>
  </si>
  <si>
    <t>KNP West-Siberia: Siberia South</t>
  </si>
  <si>
    <t>KNP West-Siberia: Siberia North</t>
  </si>
  <si>
    <t>KNP West-Siberia: Black Range</t>
  </si>
  <si>
    <t>KNP West-Goongarrie: Ghost Rocks</t>
  </si>
  <si>
    <t>KNP East-Bulong: Taurus</t>
  </si>
  <si>
    <t>KNP East-Bulong: Bulong East</t>
  </si>
  <si>
    <t>KNP East-Hampton: Kalpini (Lake Rebecca)</t>
  </si>
  <si>
    <t>Clay silicate-Oxide</t>
  </si>
  <si>
    <t>Clay silicate-oxide</t>
  </si>
  <si>
    <t>Lake Yindarlgooda</t>
  </si>
  <si>
    <t>Fireant Resources</t>
  </si>
  <si>
    <t>Honeymoon Well Group (sulfide)</t>
  </si>
  <si>
    <t>Norilsk Nickel</t>
  </si>
  <si>
    <t>Honeymoon Well Group (laterite)</t>
  </si>
  <si>
    <t>Oxide-Clay Silicate</t>
  </si>
  <si>
    <t>Avalon-Bulong</t>
  </si>
  <si>
    <t>Dragon Mountain Gold, Wingstar Investments</t>
  </si>
  <si>
    <t>Hydrous Mg silicate-oxide-clay silicate</t>
  </si>
  <si>
    <t>Weld Range (Ni-Cr)</t>
  </si>
  <si>
    <t>Podium Metals</t>
  </si>
  <si>
    <t>F?</t>
  </si>
  <si>
    <t>Weld Range (laterite)</t>
  </si>
  <si>
    <t>Weld Range (PGEs)-Parks Reef (Central-Western)</t>
  </si>
  <si>
    <t>media 5 March 2019</t>
  </si>
  <si>
    <t>Layered Intrusive</t>
  </si>
  <si>
    <t>Ravensthorpe</t>
  </si>
  <si>
    <t>First Quantum</t>
  </si>
  <si>
    <t>Wingellina</t>
  </si>
  <si>
    <t>NiWest-Hepi</t>
  </si>
  <si>
    <t>GME Resources</t>
  </si>
  <si>
    <t>NiWest-Mount Kilkenny</t>
  </si>
  <si>
    <t>NiWest-Eucalyptus</t>
  </si>
  <si>
    <t>NiWest-Wanbanna</t>
  </si>
  <si>
    <t>NiWest-Murrin North</t>
  </si>
  <si>
    <t>NiWest-Waite Kauri</t>
  </si>
  <si>
    <t>NiWest-Mertondale</t>
  </si>
  <si>
    <t>Coronation Dam-Duck Hill</t>
  </si>
  <si>
    <t>White Cliff Minerals</t>
  </si>
  <si>
    <t>media 25 March 2019</t>
  </si>
  <si>
    <t>NiWest-Macey Hill</t>
  </si>
  <si>
    <t>Nico Young-Ardnaree</t>
  </si>
  <si>
    <t>Jervois Mining</t>
  </si>
  <si>
    <t>media 20 Nov. 2017</t>
  </si>
  <si>
    <t>Oxide-clay silicate</t>
  </si>
  <si>
    <t>Nico Young-Thuddungra</t>
  </si>
  <si>
    <t>Pacific Highway</t>
  </si>
  <si>
    <t>media 6 June 2018</t>
  </si>
  <si>
    <t>Limeburners Flat</t>
  </si>
  <si>
    <t>NSW Exploration Report</t>
  </si>
  <si>
    <t>Pitkin-State Forest</t>
  </si>
  <si>
    <t>State Forest Lot 3</t>
  </si>
  <si>
    <t>Cawse</t>
  </si>
  <si>
    <t>Wingstar Investments (?)</t>
  </si>
  <si>
    <t>KNP Yerilla: Jump-Up Dam</t>
  </si>
  <si>
    <t>KNP Yerilla: Boyce Creek</t>
  </si>
  <si>
    <t>KNP Yerilla: Aubils</t>
  </si>
  <si>
    <t>Yerilla East / West</t>
  </si>
  <si>
    <t>Sunrise-Syerston</t>
  </si>
  <si>
    <t>CleanTeq Holdings</t>
  </si>
  <si>
    <t>media 25 June 2018</t>
  </si>
  <si>
    <t>Wilconi (Wiluna)</t>
  </si>
  <si>
    <t>A-Cap Resources</t>
  </si>
  <si>
    <t>Claude Hills</t>
  </si>
  <si>
    <t>Patch-Gulch (Canegrass)</t>
  </si>
  <si>
    <t>Nickelore</t>
  </si>
  <si>
    <t>Black Hills-North Monger</t>
  </si>
  <si>
    <t>Western Resources, Zetek Resources</t>
  </si>
  <si>
    <t>Oxide?</t>
  </si>
  <si>
    <t>Mount Thirsty</t>
  </si>
  <si>
    <t>Barra Resources50%, Conico50%</t>
  </si>
  <si>
    <t>Nindilbillup Group</t>
  </si>
  <si>
    <t>Australasian Mining</t>
  </si>
  <si>
    <t>Nyngan-West Lynn</t>
  </si>
  <si>
    <t>Alchemy Resources</t>
  </si>
  <si>
    <t>media 29 Feb 2019</t>
  </si>
  <si>
    <t>Nyngan-Summervale</t>
  </si>
  <si>
    <t>Pyke Hill</t>
  </si>
  <si>
    <t>Cougar Metals, Admiralty Resources</t>
  </si>
  <si>
    <t>Sconi North-Bell Creek Group</t>
  </si>
  <si>
    <t>Australian Mines</t>
  </si>
  <si>
    <t>media 21 Oct. 2013</t>
  </si>
  <si>
    <t>Sconi South-Greenvale</t>
  </si>
  <si>
    <t>Sconi South-Kokomo</t>
  </si>
  <si>
    <t>Sconi North-Minnimoolka</t>
  </si>
  <si>
    <t>Sconi South-Lucknow</t>
  </si>
  <si>
    <t>Collerina-Homeville</t>
  </si>
  <si>
    <t>Kurnalpi-Grey Dam</t>
  </si>
  <si>
    <t>Carnavale Resources</t>
  </si>
  <si>
    <t>Barnes Hill</t>
  </si>
  <si>
    <t>Pelican</t>
  </si>
  <si>
    <t>GSM Mining Company</t>
  </si>
  <si>
    <t>Jimberlana-Bronzite Ridge</t>
  </si>
  <si>
    <t>Thousand Island Resources</t>
  </si>
  <si>
    <t>Larkins Find</t>
  </si>
  <si>
    <t>Golden Life Nature Products (WA)</t>
  </si>
  <si>
    <t>Waite Kauri North / Extended</t>
  </si>
  <si>
    <t>Binti Binti</t>
  </si>
  <si>
    <t>Pioneer Resources</t>
  </si>
  <si>
    <t>Riverina-Martins</t>
  </si>
  <si>
    <t>Carnegie Gold</t>
  </si>
  <si>
    <t>Waite Kauri-Eagle Eye</t>
  </si>
  <si>
    <t>Golden Mile Resources</t>
  </si>
  <si>
    <t>Lake Innes (Hurll's Hill)</t>
  </si>
  <si>
    <t>Marlborough Group</t>
  </si>
  <si>
    <t>Gladstone Pacific Nickel (?)</t>
  </si>
  <si>
    <t>AR 2007, 2008</t>
  </si>
  <si>
    <t>Clay silicate-Hydrous Mg silicate-oxide</t>
  </si>
  <si>
    <t>Munglinup-Boanaernup (Young River)</t>
  </si>
  <si>
    <t>UltraCharge</t>
  </si>
  <si>
    <t>Mount Clifford-Marriotts</t>
  </si>
  <si>
    <t>Kurnalpi-Acra</t>
  </si>
  <si>
    <t>Owendale</t>
  </si>
  <si>
    <t>Platina Resources</t>
  </si>
  <si>
    <t>West Musgrave-Nebo</t>
  </si>
  <si>
    <t>West Musgrave-Babel</t>
  </si>
  <si>
    <t>Thunderbox-Waterloo / Amorac</t>
  </si>
  <si>
    <t>Saracen Mineral Holdings</t>
  </si>
  <si>
    <t>Kambalda-Blair</t>
  </si>
  <si>
    <t>Cosmos Group</t>
  </si>
  <si>
    <t>Western Areas</t>
  </si>
  <si>
    <t>Mount Goode</t>
  </si>
  <si>
    <t>Avebury</t>
  </si>
  <si>
    <t>Dundas Mining</t>
  </si>
  <si>
    <t>ResV-ResC 2016</t>
  </si>
  <si>
    <t>Kambalda-Mincor Group</t>
  </si>
  <si>
    <t>Pardoo-Highway</t>
  </si>
  <si>
    <t>Caeneus Minerals</t>
  </si>
  <si>
    <t>Kambalda-Lanfranchi Group</t>
  </si>
  <si>
    <t>Panoramic Resources</t>
  </si>
  <si>
    <t>Kambalda-Beta Hunt Group</t>
  </si>
  <si>
    <t>RNC Minerals</t>
  </si>
  <si>
    <t>Spotted Quoll-Beautiful Sunday</t>
  </si>
  <si>
    <t>Sherlock Bay</t>
  </si>
  <si>
    <t>Sabre Resources, Metals Australia</t>
  </si>
  <si>
    <t>Diggers</t>
  </si>
  <si>
    <t>Kambalda-Independence Group</t>
  </si>
  <si>
    <t>Independence Group</t>
  </si>
  <si>
    <t>Nova-Bollinger</t>
  </si>
  <si>
    <t>Proterozoic Komatiite</t>
  </si>
  <si>
    <t>Flying Fox-Lounge Lizard</t>
  </si>
  <si>
    <t>Savannah-Copernicus</t>
  </si>
  <si>
    <t>Windarra Group</t>
  </si>
  <si>
    <t>Poseidon Nickel</t>
  </si>
  <si>
    <t>QR 2018-12</t>
  </si>
  <si>
    <t>Radio Hill</t>
  </si>
  <si>
    <t>Black Swan-Silver Swan</t>
  </si>
  <si>
    <t>Lake Johnston-Maggie Hays</t>
  </si>
  <si>
    <t>Panton</t>
  </si>
  <si>
    <t>New Morning-Daybreak</t>
  </si>
  <si>
    <t>Munni Munni</t>
  </si>
  <si>
    <t>Artemis Resources; Platina Resources</t>
  </si>
  <si>
    <t>Nepean</t>
  </si>
  <si>
    <t>Focus Minerals</t>
  </si>
  <si>
    <t>Cosmic Boy-Seagull</t>
  </si>
  <si>
    <t>Wildara-The Horn</t>
  </si>
  <si>
    <t>Minotaur Exploration</t>
  </si>
  <si>
    <t>Bamboo Creek</t>
  </si>
  <si>
    <t>Kitchener Mining50%, Destra25%, Haoma Mining25%</t>
  </si>
  <si>
    <t>Prospect D-Barrow Creek</t>
  </si>
  <si>
    <t>website (2016-05-25)</t>
  </si>
  <si>
    <t>Scotia Group</t>
  </si>
  <si>
    <t>Saints</t>
  </si>
  <si>
    <t>media 4 May 2017</t>
  </si>
  <si>
    <t>Munda</t>
  </si>
  <si>
    <t>Estrella Resources</t>
  </si>
  <si>
    <t>Miriam</t>
  </si>
  <si>
    <t>Cookes Creek-Anomaly Hill</t>
  </si>
  <si>
    <t>Cuvier Resources</t>
  </si>
  <si>
    <t>Keller Creek-Eskimo Knoll</t>
  </si>
  <si>
    <t>Snake Hill-Cullens</t>
  </si>
  <si>
    <t>Mt Ida Gold</t>
  </si>
  <si>
    <t>Kambalda-Spargoville</t>
  </si>
  <si>
    <t>Mount Jewell-GSP</t>
  </si>
  <si>
    <t>Capital Mining</t>
  </si>
  <si>
    <t>Corkwood</t>
  </si>
  <si>
    <t>Sayona Mining</t>
  </si>
  <si>
    <t>Byro East</t>
  </si>
  <si>
    <t>Athena Resources</t>
  </si>
  <si>
    <t>RAV 1-4-5-8</t>
  </si>
  <si>
    <t>Trough Well</t>
  </si>
  <si>
    <t>Kym Anthony McClaren</t>
  </si>
  <si>
    <t>Coglia-Mineral Patch Hill</t>
  </si>
  <si>
    <t>Fisher East</t>
  </si>
  <si>
    <t>Rox Resources</t>
  </si>
  <si>
    <t>Collurabbie-Olympia</t>
  </si>
  <si>
    <t>Kambalda-Mount Edwards/Armstrong Group</t>
  </si>
  <si>
    <t>Neometals</t>
  </si>
  <si>
    <t>Ruth Well</t>
  </si>
  <si>
    <t>Duketon-Rosie</t>
  </si>
  <si>
    <t>Duketon Mining</t>
  </si>
  <si>
    <t>Duketon-C2</t>
  </si>
  <si>
    <t>Kambalda-Foster/Jan/Fisher</t>
  </si>
  <si>
    <t>Gold Fields</t>
  </si>
  <si>
    <t>Gabanintha (Ni-Co-Cu zone only)</t>
  </si>
  <si>
    <t>Australian Vanadium</t>
  </si>
  <si>
    <t>Ti-V Magnetite</t>
  </si>
  <si>
    <t>media 28 Nov 2018</t>
  </si>
  <si>
    <t>Fe-Ti-V Magnetite</t>
  </si>
  <si>
    <t>Goodyear</t>
  </si>
  <si>
    <t>Julia (Goblin / Leprechaun)</t>
  </si>
  <si>
    <t>Mount Sholl</t>
  </si>
  <si>
    <t>Welcome Exploration</t>
  </si>
  <si>
    <t>Mount Day-Cat Camp</t>
  </si>
  <si>
    <t>Matsa Resources</t>
  </si>
  <si>
    <t>Mount Thirsty-Mission Sill</t>
  </si>
  <si>
    <t>Galileo Mining</t>
  </si>
  <si>
    <t>Goongarrie South (Fe)</t>
  </si>
  <si>
    <t>Quicksilver</t>
  </si>
  <si>
    <t>media 19 Nov 2018</t>
  </si>
  <si>
    <t>Sinclair</t>
  </si>
  <si>
    <t>Talisman Mining</t>
  </si>
  <si>
    <t>media 31 Aug 2018</t>
  </si>
  <si>
    <t>Wildcatters</t>
  </si>
  <si>
    <t>Wyo Well</t>
  </si>
  <si>
    <t xml:space="preserve"> Connor Brendan Gabriel </t>
  </si>
  <si>
    <t>Silver Knight</t>
  </si>
  <si>
    <t>Great Southern Nickel</t>
  </si>
  <si>
    <t>Lady Byron</t>
  </si>
  <si>
    <t>Australian Jade Mining</t>
  </si>
  <si>
    <t>Ghan Well</t>
  </si>
  <si>
    <t>Lawlers</t>
  </si>
  <si>
    <t>Marshall Pool</t>
  </si>
  <si>
    <t>Camelback Bore East</t>
  </si>
  <si>
    <t>Carr Boyd</t>
  </si>
  <si>
    <r>
      <t xml:space="preserve">Mt Keith </t>
    </r>
    <r>
      <rPr>
        <b/>
        <sz val="10"/>
        <color rgb="FFFF0000"/>
        <rFont val="Arial"/>
        <family val="2"/>
      </rPr>
      <t>Tailings</t>
    </r>
  </si>
  <si>
    <t>Jubilee Metals Group (?)</t>
  </si>
  <si>
    <r>
      <t xml:space="preserve">Kambalda </t>
    </r>
    <r>
      <rPr>
        <b/>
        <sz val="10"/>
        <color rgb="FFFF0000"/>
        <rFont val="Arial"/>
        <family val="2"/>
      </rPr>
      <t>Tailings</t>
    </r>
  </si>
  <si>
    <r>
      <t xml:space="preserve">Leinster </t>
    </r>
    <r>
      <rPr>
        <b/>
        <sz val="10"/>
        <color rgb="FFFF0000"/>
        <rFont val="Arial"/>
        <family val="2"/>
      </rPr>
      <t>Tailings</t>
    </r>
  </si>
  <si>
    <t>Bahodopi</t>
  </si>
  <si>
    <t>Vale</t>
  </si>
  <si>
    <t>RKEF</t>
  </si>
  <si>
    <t>Dalvi &amp; Bacon (2004)</t>
  </si>
  <si>
    <t>Hydrous Mg silicate-oxide</t>
  </si>
  <si>
    <t>Buli</t>
  </si>
  <si>
    <t>Berger et al (2011)</t>
  </si>
  <si>
    <t>Cycloops (Cyclops)</t>
  </si>
  <si>
    <t>East Halmahera Group (Limonite)</t>
  </si>
  <si>
    <t>PT Antam</t>
  </si>
  <si>
    <t>East Halmahera Group (Saprolite)</t>
  </si>
  <si>
    <t>Gebe Island</t>
  </si>
  <si>
    <t>North Konawe Group (Limonite)</t>
  </si>
  <si>
    <t>North Konawe Group (Saprolite)</t>
  </si>
  <si>
    <t>North Konawe Group (Hanking)</t>
  </si>
  <si>
    <t>China Hanking Mining JV</t>
  </si>
  <si>
    <t>Obi Island</t>
  </si>
  <si>
    <t>Carnegie Minerals-50%, PT Antam-50% (?)</t>
  </si>
  <si>
    <t>Pomalaa (Limonite)</t>
  </si>
  <si>
    <t>Pomalaa (Saprolite)</t>
  </si>
  <si>
    <t>Pulau-Gag Island (Limonite)</t>
  </si>
  <si>
    <t>Pulau-Gag Island (Saprolite)</t>
  </si>
  <si>
    <t>Sorowako</t>
  </si>
  <si>
    <t>South-east Kalimantan</t>
  </si>
  <si>
    <t>PT Kreasitama Rimba Persada (?)</t>
  </si>
  <si>
    <t>Hydrous Mg silicate</t>
  </si>
  <si>
    <t>South-east Sulawesi Coastal</t>
  </si>
  <si>
    <t>Mudd et al (2013)</t>
  </si>
  <si>
    <t>Sulawesi JV</t>
  </si>
  <si>
    <t>Weda Bay</t>
  </si>
  <si>
    <t>Eramet</t>
  </si>
  <si>
    <t>Hengjaya Mineralindo (HM)</t>
  </si>
  <si>
    <t>Tech Rep (2018-04)</t>
  </si>
  <si>
    <t>Berong</t>
  </si>
  <si>
    <t>DMCI Holdings</t>
  </si>
  <si>
    <t>Hydrous Mg silicate-Oxide</t>
  </si>
  <si>
    <t>Zambales-Global</t>
  </si>
  <si>
    <t>Sajona &amp; Domingo (2011)</t>
  </si>
  <si>
    <t>Taganito</t>
  </si>
  <si>
    <t>Nickel Asia Corp-65%, SMMC</t>
  </si>
  <si>
    <t>HPAL, DSO</t>
  </si>
  <si>
    <t>Oxide-Hydrous Mg silicate</t>
  </si>
  <si>
    <t>Moorsom</t>
  </si>
  <si>
    <t>Cagdianao (GFH)</t>
  </si>
  <si>
    <t>Global Ferronickel Holdings</t>
  </si>
  <si>
    <t>Cagdianao (NAC)</t>
  </si>
  <si>
    <t>Nickel Asia Corp</t>
  </si>
  <si>
    <t>Hinatuan-Taganaan</t>
  </si>
  <si>
    <t>Dinapigue</t>
  </si>
  <si>
    <t>Casiguran</t>
  </si>
  <si>
    <t>Century Peak Metals</t>
  </si>
  <si>
    <t>Rapid City II-Dinagat Island</t>
  </si>
  <si>
    <t>Manicani</t>
  </si>
  <si>
    <t>Care &amp; Maint.</t>
  </si>
  <si>
    <t>Rio Tuba</t>
  </si>
  <si>
    <t>Nickel Asia Corp-60%</t>
  </si>
  <si>
    <t>Nonoc</t>
  </si>
  <si>
    <t>Philnico Developments</t>
  </si>
  <si>
    <t>Caron?</t>
  </si>
  <si>
    <t>Sajona &amp; Domingo (2011), Berger et al (2011)</t>
  </si>
  <si>
    <t>Santa Cruz</t>
  </si>
  <si>
    <t>Benguet Corp</t>
  </si>
  <si>
    <t>AR's 2013 to 2018</t>
  </si>
  <si>
    <t>Long Point</t>
  </si>
  <si>
    <t>Pujada</t>
  </si>
  <si>
    <t>Asiaticus Management Corp</t>
  </si>
  <si>
    <t>1.3</t>
  </si>
  <si>
    <t>Mindoro (Lower Kisluyan-Buraboy)</t>
  </si>
  <si>
    <t>Intex Resources?</t>
  </si>
  <si>
    <t>Feasibility Study 2010</t>
  </si>
  <si>
    <t>Ipilan-Celestial</t>
  </si>
  <si>
    <t>Zambales Chromite</t>
  </si>
  <si>
    <t>Acoje</t>
  </si>
  <si>
    <t>Masinloc</t>
  </si>
  <si>
    <t>Lagonoy</t>
  </si>
  <si>
    <t>Agata Group</t>
  </si>
  <si>
    <t>Mindoro Resources-75%, Minimax Mineral Expl.-25%</t>
  </si>
  <si>
    <t>Tech Rep (2011-12)</t>
  </si>
  <si>
    <t>Alpha</t>
  </si>
  <si>
    <t>DMCI Mining Corp</t>
  </si>
  <si>
    <t>MDA 2011</t>
  </si>
  <si>
    <t>Infanta</t>
  </si>
  <si>
    <t>MacroAsia Corp?</t>
  </si>
  <si>
    <t>Website (13-01-2013)</t>
  </si>
  <si>
    <t>Toronto</t>
  </si>
  <si>
    <t>Oriental Peninsula</t>
  </si>
  <si>
    <t>Tech Rep 2008-04</t>
  </si>
  <si>
    <t>Pulot</t>
  </si>
  <si>
    <t>Isabela-New Frontier</t>
  </si>
  <si>
    <t>NiHAO Mineral Resources Int'l</t>
  </si>
  <si>
    <t>Romblon</t>
  </si>
  <si>
    <t>Dynamo Atlantic</t>
  </si>
  <si>
    <t>Carrascal</t>
  </si>
  <si>
    <t>Carrascal Nickel</t>
  </si>
  <si>
    <t>MMDC (Cabangahan-Sipangpang-Pili)</t>
  </si>
  <si>
    <t>Marcventures Holdings</t>
  </si>
  <si>
    <t>CP Tech Rep (2019)</t>
  </si>
  <si>
    <t>Marcventures-BRC</t>
  </si>
  <si>
    <t>Botolan</t>
  </si>
  <si>
    <t>Manticao</t>
  </si>
  <si>
    <t>Mwetaung</t>
  </si>
  <si>
    <t>Kingbao (Jingbao) Mining Co.</t>
  </si>
  <si>
    <t>1.09</t>
  </si>
  <si>
    <t>Tagaung Taung</t>
  </si>
  <si>
    <t>TISCO (Tata), CNMC</t>
  </si>
  <si>
    <t>2.15</t>
  </si>
  <si>
    <t>Goro</t>
  </si>
  <si>
    <t>AR's 2014 to 2018</t>
  </si>
  <si>
    <t>Koniambo</t>
  </si>
  <si>
    <t>Glencore-SMSP</t>
  </si>
  <si>
    <t>Doniambo-SLN Group</t>
  </si>
  <si>
    <t>Eramet-Société Le Nickel (SLN)</t>
  </si>
  <si>
    <t>Prony</t>
  </si>
  <si>
    <t>Las Aguilas</t>
  </si>
  <si>
    <t>Marifil Mines</t>
  </si>
  <si>
    <t>Tech Rep (2011-06)</t>
  </si>
  <si>
    <t>Araguaia North / South</t>
  </si>
  <si>
    <t>Horizonte Minerals</t>
  </si>
  <si>
    <t>Tech Rep (2018-12)</t>
  </si>
  <si>
    <t>Serra do Tapa</t>
  </si>
  <si>
    <t>Tech Rep (2019-09)</t>
  </si>
  <si>
    <t>Santa Rita</t>
  </si>
  <si>
    <t>Atlantic Nickel, Appian Capital</t>
  </si>
  <si>
    <t>media (28 Oct 2019)</t>
  </si>
  <si>
    <t>Stratabound Stratiform Reef-type</t>
  </si>
  <si>
    <t>Caboclo dos Mangueiros</t>
  </si>
  <si>
    <t>Matos &amp; Ferreira Filho (2018)</t>
  </si>
  <si>
    <t>Americano do Brasil</t>
  </si>
  <si>
    <t>Votorantim, Prometalica (?)</t>
  </si>
  <si>
    <t>Mota-e-Silva et al (2011)</t>
  </si>
  <si>
    <t>PGE</t>
  </si>
  <si>
    <t>Pedra Branca (PGEs)</t>
  </si>
  <si>
    <t>ValOre Metals Corp</t>
  </si>
  <si>
    <t>Tech Rep (2019-08)</t>
  </si>
  <si>
    <t>Limoeiro</t>
  </si>
  <si>
    <t>Votorantim (?)</t>
  </si>
  <si>
    <t>Mota-e-Silva et al (2015)</t>
  </si>
  <si>
    <t>Jaguar-Onca Rosa</t>
  </si>
  <si>
    <t>Centaurus Metals</t>
  </si>
  <si>
    <t>media (6 Aug 2019)</t>
  </si>
  <si>
    <t>Onça Puma</t>
  </si>
  <si>
    <t>Form 20F 2018</t>
  </si>
  <si>
    <t>Vermelho</t>
  </si>
  <si>
    <t>media (9 May 2018)</t>
  </si>
  <si>
    <t>Oxide-Mg silicate</t>
  </si>
  <si>
    <t>Barro Alto</t>
  </si>
  <si>
    <t>Anglo American</t>
  </si>
  <si>
    <t>Hydrous Mg silicate-clay silicate</t>
  </si>
  <si>
    <t>Niquelândia-Codemin</t>
  </si>
  <si>
    <t>Hydrous Mg silicate-clay silicate-oxide</t>
  </si>
  <si>
    <t>Piauí (São João do Piauí)</t>
  </si>
  <si>
    <t>Brazilian Nickel</t>
  </si>
  <si>
    <t>Fact Sheet (2018)</t>
  </si>
  <si>
    <t>Clay silicate-hydrous Mg silicate</t>
  </si>
  <si>
    <t>Jacaré</t>
  </si>
  <si>
    <t>C&amp;M?</t>
  </si>
  <si>
    <t>Ipanema</t>
  </si>
  <si>
    <t>Jacupiranga</t>
  </si>
  <si>
    <t>Morro de Engenho</t>
  </si>
  <si>
    <t>Morro de Niquel</t>
  </si>
  <si>
    <t>Serra do Quatipuru</t>
  </si>
  <si>
    <t>Tech Rep (2010-01)</t>
  </si>
  <si>
    <t>Santa Fé-Iporá</t>
  </si>
  <si>
    <t>Água Branca</t>
  </si>
  <si>
    <t>Radaelli (2000)</t>
  </si>
  <si>
    <t>Diorama</t>
  </si>
  <si>
    <t>Tira Pressa</t>
  </si>
  <si>
    <t>Montes Claros</t>
  </si>
  <si>
    <t>Morro Sem Bone-Morro do Leme</t>
  </si>
  <si>
    <t>GK Resources</t>
  </si>
  <si>
    <t>media (12 Sept 2019)</t>
  </si>
  <si>
    <t>Gogota</t>
  </si>
  <si>
    <t>SRG Mining</t>
  </si>
  <si>
    <t>Tech Rep (2018-06)</t>
  </si>
  <si>
    <t>Alexo-Kelex</t>
  </si>
  <si>
    <t>Tartisan Nickel</t>
  </si>
  <si>
    <t>Tech Rep (2012-08)</t>
  </si>
  <si>
    <t>Blue Lake</t>
  </si>
  <si>
    <t>Tech Rep (2013-03)</t>
  </si>
  <si>
    <t>Bucko Lake</t>
  </si>
  <si>
    <t>Tech Rep (2012-10)</t>
  </si>
  <si>
    <t>Proterozoic Komatiite-related</t>
  </si>
  <si>
    <t>Thompson Belt</t>
  </si>
  <si>
    <t>Buckton-Buckton South</t>
  </si>
  <si>
    <t>DNI Metals</t>
  </si>
  <si>
    <t>Tech Rep's (2013-03, 2014-01)</t>
  </si>
  <si>
    <t>Shale-hosted Ni</t>
  </si>
  <si>
    <t>Sediment-hosted Pb-Zn/VMS</t>
  </si>
  <si>
    <t>Sedex/VMS</t>
  </si>
  <si>
    <t>Canalask-Onion</t>
  </si>
  <si>
    <t>Victoria Gold Corp</t>
  </si>
  <si>
    <t>YGS (2009)</t>
  </si>
  <si>
    <t>Cat Lake-New Manitoba</t>
  </si>
  <si>
    <t>Yang et al (2014)</t>
  </si>
  <si>
    <t>Crawford</t>
  </si>
  <si>
    <t>Canada Nickel Company</t>
  </si>
  <si>
    <t>Tech Rep (2020-04)</t>
  </si>
  <si>
    <t>Decar-Baptiste</t>
  </si>
  <si>
    <t>FPX Nickel Corp</t>
  </si>
  <si>
    <t>Tech Rep (2018-02)</t>
  </si>
  <si>
    <t>Fe-Ni alloy</t>
  </si>
  <si>
    <t>Serpentinisation-related mineralisation</t>
  </si>
  <si>
    <t>Awaruite deposit</t>
  </si>
  <si>
    <t>Denison</t>
  </si>
  <si>
    <t>Lonmin</t>
  </si>
  <si>
    <t>Wallbridge Mining data</t>
  </si>
  <si>
    <t>Impact-related</t>
  </si>
  <si>
    <t>Sudbury Event</t>
  </si>
  <si>
    <t>Dumont</t>
  </si>
  <si>
    <t>Tech Rep (2019-07)</t>
  </si>
  <si>
    <t>Dundonald</t>
  </si>
  <si>
    <t>Class 1 Nickel</t>
  </si>
  <si>
    <t>Tech Rep (2009-01)</t>
  </si>
  <si>
    <t>Eagle's Nest</t>
  </si>
  <si>
    <t>Noront Resources</t>
  </si>
  <si>
    <r>
      <t xml:space="preserve">Eldorado-Port Radium </t>
    </r>
    <r>
      <rPr>
        <b/>
        <sz val="10"/>
        <color rgb="FFFF0000"/>
        <rFont val="Arial"/>
        <family val="2"/>
      </rPr>
      <t>Tailings</t>
    </r>
  </si>
  <si>
    <t>website (20 Jan 2013)</t>
  </si>
  <si>
    <t>Ferguson Lake</t>
  </si>
  <si>
    <t>Tech Rep (2011-11)</t>
  </si>
  <si>
    <t>Geordie Lake</t>
  </si>
  <si>
    <t>Sibanye-Stillwater</t>
  </si>
  <si>
    <t>Tech Rep (2008-07)</t>
  </si>
  <si>
    <t>Grasset</t>
  </si>
  <si>
    <t>Balmoral Resources</t>
  </si>
  <si>
    <t>Tech Rep (2016-01)</t>
  </si>
  <si>
    <t>Junior Lake-B4-7 / Alpha</t>
  </si>
  <si>
    <t>Landore Resources</t>
  </si>
  <si>
    <t>Tech Rep (2018-01)</t>
  </si>
  <si>
    <t>Junior Lake-VW</t>
  </si>
  <si>
    <t>Kenbridge</t>
  </si>
  <si>
    <t>Transition Metals Corp</t>
  </si>
  <si>
    <t>Lac des Iles</t>
  </si>
  <si>
    <t>North American Palladium</t>
  </si>
  <si>
    <t>PGE-discordant intrusion</t>
  </si>
  <si>
    <t>Lac Kelly (Quebec)</t>
  </si>
  <si>
    <t>Globex Mining</t>
  </si>
  <si>
    <t>Website (4 April 2020)</t>
  </si>
  <si>
    <t>Lac Levac-Nisk 1</t>
  </si>
  <si>
    <t>Nemaska Lithium (?)</t>
  </si>
  <si>
    <t>Tech Rep (2009-12)</t>
  </si>
  <si>
    <t>Lac Rocher</t>
  </si>
  <si>
    <t>Victory Nickel</t>
  </si>
  <si>
    <t>Tech Rep (2008-12)</t>
  </si>
  <si>
    <t>Stratabound Contact-type</t>
  </si>
  <si>
    <t>Lynn Lake</t>
  </si>
  <si>
    <t>Corazon Mining, Victory Nickel</t>
  </si>
  <si>
    <t>media (11 Oct 2018)</t>
  </si>
  <si>
    <t>Makwa (Maskwa)</t>
  </si>
  <si>
    <t>Grid Metals</t>
  </si>
  <si>
    <t>Tech Rep (2014-05)</t>
  </si>
  <si>
    <t>Marbridge-Cubric</t>
  </si>
  <si>
    <t>Tech Rep (2007-07)</t>
  </si>
  <si>
    <t>Mayville</t>
  </si>
  <si>
    <t>Shaw Dome-Hart</t>
  </si>
  <si>
    <t>Northern Sun Mining</t>
  </si>
  <si>
    <t>AIF 2013</t>
  </si>
  <si>
    <t>Shaw Dome-McWatters</t>
  </si>
  <si>
    <t>Shaw Dome-Redstone</t>
  </si>
  <si>
    <t>Mel</t>
  </si>
  <si>
    <t>Tech Rep (2007-03)</t>
  </si>
  <si>
    <t>Minago</t>
  </si>
  <si>
    <t>Tech Rep (2010-03)</t>
  </si>
  <si>
    <t>Nickel King (Thye Lake)</t>
  </si>
  <si>
    <t>Strongbow Exploration</t>
  </si>
  <si>
    <t>Tech Rep (2010-06)</t>
  </si>
  <si>
    <t>Nicobi</t>
  </si>
  <si>
    <t>Western Troy Capital Resources (?)</t>
  </si>
  <si>
    <t>website (4 August 2016)</t>
  </si>
  <si>
    <t>Werner Lake-Norpax</t>
  </si>
  <si>
    <t>Global Cobalt Corp</t>
  </si>
  <si>
    <t>website (10 July 2016)</t>
  </si>
  <si>
    <t>Norton Lake</t>
  </si>
  <si>
    <t>Copper Lake Resources</t>
  </si>
  <si>
    <t>Tech Rep (2009-05)</t>
  </si>
  <si>
    <t>Old Nick</t>
  </si>
  <si>
    <t>Huakan Int'l Mining</t>
  </si>
  <si>
    <t>Owen</t>
  </si>
  <si>
    <t>Sudbury Platinum</t>
  </si>
  <si>
    <t>website (7 Nov 2019)</t>
  </si>
  <si>
    <t>Raglan</t>
  </si>
  <si>
    <t>Raglan-Nunavik Group #1</t>
  </si>
  <si>
    <t>Jilin Jien Nickel (?)</t>
  </si>
  <si>
    <t>Tech Rep (2011-08)</t>
  </si>
  <si>
    <t>Raglan-Nunavik Group #2</t>
  </si>
  <si>
    <t>Tech Rep (2010-04)</t>
  </si>
  <si>
    <t>River Valley</t>
  </si>
  <si>
    <t>New Age Metals</t>
  </si>
  <si>
    <t>Roughrider East/West</t>
  </si>
  <si>
    <t>Rio Tinto</t>
  </si>
  <si>
    <t>Tech Rep (2011-09)</t>
  </si>
  <si>
    <t>Shakespeare</t>
  </si>
  <si>
    <t>private equity</t>
  </si>
  <si>
    <t>Shebandowan West</t>
  </si>
  <si>
    <t>Vale, North American Pd</t>
  </si>
  <si>
    <t>Tech Rep (2007-10)</t>
  </si>
  <si>
    <t>Shining Tree</t>
  </si>
  <si>
    <t>AIF 2012-01</t>
  </si>
  <si>
    <r>
      <t xml:space="preserve">Terra (Silver Bear) </t>
    </r>
    <r>
      <rPr>
        <b/>
        <sz val="10"/>
        <color rgb="FFFF0000"/>
        <rFont val="Arial"/>
        <family val="2"/>
      </rPr>
      <t>Tailings</t>
    </r>
  </si>
  <si>
    <t>Denendeh</t>
  </si>
  <si>
    <t>GNT (2016)</t>
  </si>
  <si>
    <t>Epithermal</t>
  </si>
  <si>
    <t>Sudbury Group (Glencore)</t>
  </si>
  <si>
    <t>Sudbury Group (Vale)</t>
  </si>
  <si>
    <t>Sudbury-Aer-Kidd</t>
  </si>
  <si>
    <t>Pres. (2019-04)</t>
  </si>
  <si>
    <t>Sudbury-Lockerby / Conwest</t>
  </si>
  <si>
    <t>AIF 2014</t>
  </si>
  <si>
    <t>Sudbury-Parkin Offset</t>
  </si>
  <si>
    <t>Wallbridge Mining, Glencore</t>
  </si>
  <si>
    <t>Sudbury-Podolsky (KGHM)</t>
  </si>
  <si>
    <t>KGHM International</t>
  </si>
  <si>
    <t>AIF 2010</t>
  </si>
  <si>
    <t>Sudbury-Lockerby East</t>
  </si>
  <si>
    <t>Sudbury-Nickel Lake / Foy Offset</t>
  </si>
  <si>
    <t>unclear - KGHM?</t>
  </si>
  <si>
    <t>Tech Rep (2009-03)</t>
  </si>
  <si>
    <t>Sudbury-Victoria (KGHM)</t>
  </si>
  <si>
    <t>KGHM Presentation (undated)</t>
  </si>
  <si>
    <t>Sudbury-Kirkwood (KGHM)</t>
  </si>
  <si>
    <t>Sudbury-West Graham</t>
  </si>
  <si>
    <t>Sudbury Platinum, Landore Resources</t>
  </si>
  <si>
    <t>Texmont</t>
  </si>
  <si>
    <t>Fletcher Nickel (?)</t>
  </si>
  <si>
    <t>Thompson</t>
  </si>
  <si>
    <t>Form 20F 2015, 2018</t>
  </si>
  <si>
    <t>Thunder Bay North-Current Lake</t>
  </si>
  <si>
    <t>Turnagain</t>
  </si>
  <si>
    <t>Giga Metals Corp</t>
  </si>
  <si>
    <t>media (19 Sept 2019)</t>
  </si>
  <si>
    <t>Alaskan-type Complex</t>
  </si>
  <si>
    <t>Voisey's Bay</t>
  </si>
  <si>
    <t>Waterbury Lake</t>
  </si>
  <si>
    <t>Fission Energy</t>
  </si>
  <si>
    <t>Tech Rep (2013-01)</t>
  </si>
  <si>
    <t>Wellgreen</t>
  </si>
  <si>
    <t>Nickel Creek Platinum</t>
  </si>
  <si>
    <t>Werner Lake-Big Zone</t>
  </si>
  <si>
    <t>Global Cobalt Corp, Global Energy Metals Corp</t>
  </si>
  <si>
    <t>Tech Rep (2015-05)</t>
  </si>
  <si>
    <t>Zulapa (Ni-Cu)</t>
  </si>
  <si>
    <t>Ann Info Form 2013</t>
  </si>
  <si>
    <t>Samapleu</t>
  </si>
  <si>
    <t>Sama Resources, SODEMI</t>
  </si>
  <si>
    <t>Tech Rep (2015-12)</t>
  </si>
  <si>
    <t>Tiuba-Biankouma</t>
  </si>
  <si>
    <t>Compagnie Miniere du Bafing (CMB)</t>
  </si>
  <si>
    <t>Aganozero-Ni-bearing serpentinite</t>
  </si>
  <si>
    <t>FODD (2017)</t>
  </si>
  <si>
    <t>Magmatic Fe-Ti-V Oxide-related</t>
  </si>
  <si>
    <t>Akkim</t>
  </si>
  <si>
    <t>Korsakova et al (2012)</t>
  </si>
  <si>
    <t>Buruktal</t>
  </si>
  <si>
    <t>Mechel Steel Group OAO (MTL)</t>
  </si>
  <si>
    <t>Form 20F (2011, 2012)</t>
  </si>
  <si>
    <t xml:space="preserve">Cheremshanskoe </t>
  </si>
  <si>
    <t>Chernogorskoye</t>
  </si>
  <si>
    <t>Boyd et al (2016)</t>
  </si>
  <si>
    <t>Fedorova Tundra</t>
  </si>
  <si>
    <t>Hautavaara</t>
  </si>
  <si>
    <t>Eilu (2012)</t>
  </si>
  <si>
    <t>Archean komatiite</t>
  </si>
  <si>
    <t>Hursulskoe</t>
  </si>
  <si>
    <t>Ishkinino (Russia)</t>
  </si>
  <si>
    <t>Herrington et al, (2005)</t>
  </si>
  <si>
    <t>Juzhno-Konzhozero</t>
  </si>
  <si>
    <t>Khikhnajarvi</t>
  </si>
  <si>
    <t>Proterozoic komatiite</t>
  </si>
  <si>
    <t>Kingash-Kingashsky</t>
  </si>
  <si>
    <t>Intergeo MMC (?)</t>
  </si>
  <si>
    <t>Tech Rep (2012-05)</t>
  </si>
  <si>
    <t>Siberian Traps LIP</t>
  </si>
  <si>
    <t>Kingash-Kuyovsky</t>
  </si>
  <si>
    <t>Kingash-Verkhnekingashsky</t>
  </si>
  <si>
    <t>Kola Peninsula</t>
  </si>
  <si>
    <t>Pechenga camp</t>
  </si>
  <si>
    <t>Kumbuksinskoe</t>
  </si>
  <si>
    <t>Kun-Manie Group</t>
  </si>
  <si>
    <t>Amur Minerals Corp</t>
  </si>
  <si>
    <t>Lambozero-1</t>
  </si>
  <si>
    <t>Laukku</t>
  </si>
  <si>
    <t>Lebjazhinskoe</t>
  </si>
  <si>
    <t>Leschevskoe</t>
  </si>
  <si>
    <t>Lovnozerskoe</t>
  </si>
  <si>
    <t>Lunges</t>
  </si>
  <si>
    <t>Malaya Pana-North Reef (Kiyevay)</t>
  </si>
  <si>
    <t>OAO Pana PGM</t>
  </si>
  <si>
    <t>website (19-03-2013)</t>
  </si>
  <si>
    <t>Maslovskoye</t>
  </si>
  <si>
    <t>Depsoit</t>
  </si>
  <si>
    <t>Monchegorsk-Njudaivench</t>
  </si>
  <si>
    <t>Monchegorsk-NKT</t>
  </si>
  <si>
    <t>Monchegorsk-Sopcha (Lodes)</t>
  </si>
  <si>
    <t>Monchegorsk-Sophuaivench</t>
  </si>
  <si>
    <t>Mountain General'skaya</t>
  </si>
  <si>
    <t>Nord Kamennik</t>
  </si>
  <si>
    <t>Pana-Eastern</t>
  </si>
  <si>
    <t>Pana-Western</t>
  </si>
  <si>
    <t>Rogozhinskoe (Rogozha)</t>
  </si>
  <si>
    <t>Runnijoki</t>
  </si>
  <si>
    <t>Rybozerskoe</t>
  </si>
  <si>
    <t>Serovskoe (Serov)</t>
  </si>
  <si>
    <t>Berger et al (2011); Herrington et al (2005)</t>
  </si>
  <si>
    <t>Hydrous Mg silicate-Clay silicate</t>
  </si>
  <si>
    <t>Severo-Konzhozerskoe</t>
  </si>
  <si>
    <t>Sinarskoe</t>
  </si>
  <si>
    <t>Souker</t>
  </si>
  <si>
    <t>Ferropicrite related</t>
  </si>
  <si>
    <t>Sueinlagash</t>
  </si>
  <si>
    <t>Svetloozerskoe</t>
  </si>
  <si>
    <t>Taimyr Peninsula (Nor’ilsk-Talnakh)</t>
  </si>
  <si>
    <t>EQH</t>
  </si>
  <si>
    <t>Depleted?</t>
  </si>
  <si>
    <t>Vozhma Massif Orebody No. 4</t>
  </si>
  <si>
    <t>Yunges</t>
  </si>
  <si>
    <t>Zapadno-Rybozero</t>
  </si>
  <si>
    <t>Zolotoprozhskoe</t>
  </si>
  <si>
    <t>Guanajibo-Punta Guanajibo</t>
  </si>
  <si>
    <t>0.89</t>
  </si>
  <si>
    <t>Las Mesas</t>
  </si>
  <si>
    <t>0.81</t>
  </si>
  <si>
    <t>Rosario</t>
  </si>
  <si>
    <t>Weaver (1992)</t>
  </si>
  <si>
    <t>Maricao</t>
  </si>
  <si>
    <t>Manisa-Turgutlu Çaldağ</t>
  </si>
  <si>
    <t>Manisa Gördes</t>
  </si>
  <si>
    <t>META Nikel Kobalt</t>
  </si>
  <si>
    <t>Eliopoulos et al (2012)</t>
  </si>
  <si>
    <t>Kukes-Krume-Lure</t>
  </si>
  <si>
    <t>pers. comm. Sokol Mati</t>
  </si>
  <si>
    <t>Clay silicate-oxide-hydrous Mg silicate</t>
  </si>
  <si>
    <t>Librazhd-Pogradec</t>
  </si>
  <si>
    <t>Devolli Group</t>
  </si>
  <si>
    <t>Mokra Gora</t>
  </si>
  <si>
    <t>Rudjinci</t>
  </si>
  <si>
    <t>SMME (2013)</t>
  </si>
  <si>
    <t>Veluce (Veluca)</t>
  </si>
  <si>
    <t>Ba</t>
  </si>
  <si>
    <t>Çikatovë (Čikatovo)</t>
  </si>
  <si>
    <t>Trstenik</t>
  </si>
  <si>
    <t>Ibra Group</t>
  </si>
  <si>
    <t>pers. comm. Golightly</t>
  </si>
  <si>
    <t>Mount Kpote</t>
  </si>
  <si>
    <t>Szklary</t>
  </si>
  <si>
    <t>Dikoloti</t>
  </si>
  <si>
    <t>Tati-Selkirk</t>
  </si>
  <si>
    <t>Tati-Phoenix</t>
  </si>
  <si>
    <t>Phikwe</t>
  </si>
  <si>
    <t>BCL</t>
  </si>
  <si>
    <t>website (9 Jan 2013)</t>
  </si>
  <si>
    <t>SE Extension</t>
  </si>
  <si>
    <t>Selebi</t>
  </si>
  <si>
    <t>Selebi Central</t>
  </si>
  <si>
    <t>Selebi North</t>
  </si>
  <si>
    <t>Ahokkala</t>
  </si>
  <si>
    <t>Eilu et al (2012)</t>
  </si>
  <si>
    <t>Arctic-Suhanko</t>
  </si>
  <si>
    <t>CD Capital Management</t>
  </si>
  <si>
    <t>Haukiaho</t>
  </si>
  <si>
    <t>Nortec Minerals Corp, Finore Mining</t>
  </si>
  <si>
    <t>Tech Rep (2013-09)</t>
  </si>
  <si>
    <t>Hitura</t>
  </si>
  <si>
    <t>Tech Rep (2012-12)</t>
  </si>
  <si>
    <t>Hotinvaara</t>
  </si>
  <si>
    <t>Magnus Minerals</t>
  </si>
  <si>
    <t>Pres. (2014-05)</t>
  </si>
  <si>
    <t>Ilmolahti-Ilmolahti</t>
  </si>
  <si>
    <t>Ilmolahti-Mäkisalo</t>
  </si>
  <si>
    <t>Ilmolahti-Ohensalo</t>
  </si>
  <si>
    <t>Ilmolahti-Törmälä</t>
  </si>
  <si>
    <t>Iso-Siettelöjoki</t>
  </si>
  <si>
    <t>Sandstad et al (2012)</t>
  </si>
  <si>
    <t>Jauratsi</t>
  </si>
  <si>
    <t>Kaukua</t>
  </si>
  <si>
    <t>Palladium One Resources</t>
  </si>
  <si>
    <t>Kevitsa</t>
  </si>
  <si>
    <t>Boliden</t>
  </si>
  <si>
    <t>Koivujoki</t>
  </si>
  <si>
    <t>Kuhmo-Arola</t>
  </si>
  <si>
    <t>media (8 July 2014)</t>
  </si>
  <si>
    <t>Kuhmo-Hietaharju</t>
  </si>
  <si>
    <t>Kuhmo-Kauniinlampi</t>
  </si>
  <si>
    <t>Kuhmo-Peura-Aho</t>
  </si>
  <si>
    <t>Kuhmo-Sika-Aho</t>
  </si>
  <si>
    <t>Kuhmo-Vaara</t>
  </si>
  <si>
    <t>media (19 Oct 2009)</t>
  </si>
  <si>
    <t>Kuusijärvi</t>
  </si>
  <si>
    <t>Geol Survey Finland (GTK; 27 Dec 2013)</t>
  </si>
  <si>
    <t>Kylylahti</t>
  </si>
  <si>
    <t>Liuksiala</t>
  </si>
  <si>
    <t>Loukinen</t>
  </si>
  <si>
    <t>Luikonlahti-Hoikka</t>
  </si>
  <si>
    <t>Oravainen</t>
  </si>
  <si>
    <t>Outokumpu-Hautalampi (Keretti)</t>
  </si>
  <si>
    <t>Outokumpu-Riihilahti</t>
  </si>
  <si>
    <t>Outokumpu-Saramäki</t>
  </si>
  <si>
    <t>Outokumpu-Sarkalahti</t>
  </si>
  <si>
    <t>Outokumpu-Särkiniemi</t>
  </si>
  <si>
    <t>Outokumpu-Valkeisenranta (Rytky)</t>
  </si>
  <si>
    <t>Outokumpu-Vuonos</t>
  </si>
  <si>
    <t>Perttilahti</t>
  </si>
  <si>
    <t>Puumala-Rantala</t>
  </si>
  <si>
    <t>Rautavaara R1</t>
  </si>
  <si>
    <t>Bluejay Mining</t>
  </si>
  <si>
    <t>QR (2011-03)</t>
  </si>
  <si>
    <t>Riihilathi</t>
  </si>
  <si>
    <t>Ruimu</t>
  </si>
  <si>
    <t>Pres. (2011-11)</t>
  </si>
  <si>
    <t>Sampolanmäki</t>
  </si>
  <si>
    <t>Tallas-Tuliniemi</t>
  </si>
  <si>
    <t>Talvivaara (Kolmisoppi-Kuusilampi)</t>
  </si>
  <si>
    <t>Terrafame</t>
  </si>
  <si>
    <t>Vammala-Ekojoki</t>
  </si>
  <si>
    <t>Dragon Mining</t>
  </si>
  <si>
    <t>media (18 March 2014)</t>
  </si>
  <si>
    <t>Vammala-Sahakoski</t>
  </si>
  <si>
    <t>Vammala-Soukko</t>
  </si>
  <si>
    <t>Vammala-Stormi</t>
  </si>
  <si>
    <t>Vehmasjoki</t>
  </si>
  <si>
    <t>Rasilainen et al (2012)</t>
  </si>
  <si>
    <t>Vesilaskujänkä</t>
  </si>
  <si>
    <t>Jinchuan</t>
  </si>
  <si>
    <t>Jinchuan Group</t>
  </si>
  <si>
    <t>calc; Porter (2016)</t>
  </si>
  <si>
    <t>Huangshandong-Huangshan-Xiangshan</t>
  </si>
  <si>
    <t>Xinjiang Xinxin Mining Industry</t>
  </si>
  <si>
    <t>Kalatongke</t>
  </si>
  <si>
    <t>Sediment-hosted</t>
  </si>
  <si>
    <t>Xiarihamu</t>
  </si>
  <si>
    <t>Lu et al (2019)</t>
  </si>
  <si>
    <t>Baimazhai</t>
  </si>
  <si>
    <t>Emeishan LIP</t>
  </si>
  <si>
    <t>Zhouan</t>
  </si>
  <si>
    <t>Heishan</t>
  </si>
  <si>
    <t>Tianyu</t>
  </si>
  <si>
    <t>Yangliuping</t>
  </si>
  <si>
    <t>Zhubu</t>
  </si>
  <si>
    <t>Jinbaoshan</t>
  </si>
  <si>
    <t>Hongqiling</t>
  </si>
  <si>
    <t>Piaohechuan</t>
  </si>
  <si>
    <t>Huanshanxi</t>
  </si>
  <si>
    <t>Limahe</t>
  </si>
  <si>
    <t>Bindura (Trojan-Shangani-Hunter's Road)</t>
  </si>
  <si>
    <t>Asa Resource Group</t>
  </si>
  <si>
    <t>Unki Main Sulphide Zone</t>
  </si>
  <si>
    <t>Anglo American Pt</t>
  </si>
  <si>
    <t>Mimosa</t>
  </si>
  <si>
    <t>Sibanye-Stillwater, Impala Pt</t>
  </si>
  <si>
    <t>Zimplats</t>
  </si>
  <si>
    <t>Impala Platinum</t>
  </si>
  <si>
    <t>Bokai North/South (Todal)</t>
  </si>
  <si>
    <t>ERG</t>
  </si>
  <si>
    <t>media (9 July 2009)</t>
  </si>
  <si>
    <t>Chironde</t>
  </si>
  <si>
    <t>Kalumbila-Enterprise</t>
  </si>
  <si>
    <t>Co-Ni-Cu</t>
  </si>
  <si>
    <t>Munali</t>
  </si>
  <si>
    <t>Consolidated Nickel Mines</t>
  </si>
  <si>
    <t>Fact Sheet (2019-04); Haldar (2017)</t>
  </si>
  <si>
    <t>Nama (A-C-D)</t>
  </si>
  <si>
    <t>Tech Rep's (2007-05, 2008-05)</t>
  </si>
  <si>
    <t>Cu-Co-Ni</t>
  </si>
  <si>
    <t>Musongati</t>
  </si>
  <si>
    <t>Burundi Mining &amp; Metallurgy</t>
  </si>
  <si>
    <t>Tech Rep (2011-07)</t>
  </si>
  <si>
    <t>Nyabikere</t>
  </si>
  <si>
    <t>Evans et al (2016)</t>
  </si>
  <si>
    <t>Waga</t>
  </si>
  <si>
    <t>Dutwa (Wamangola-Ngasamo)</t>
  </si>
  <si>
    <t>African Eagle</t>
  </si>
  <si>
    <t>ATL?</t>
  </si>
  <si>
    <t>Website (23 May 2013)</t>
  </si>
  <si>
    <t>Kapalagulu (Mibango)</t>
  </si>
  <si>
    <t>Kabanga</t>
  </si>
  <si>
    <t>Glencore, Barrick Gold</t>
  </si>
  <si>
    <t>Nachingwea-Ntaka Hill</t>
  </si>
  <si>
    <t>IMX Resources</t>
  </si>
  <si>
    <t>Birch Lake</t>
  </si>
  <si>
    <t>Antofagasta (through Twin Metals)</t>
  </si>
  <si>
    <t>Duluth Complex - Keweenawan LIP</t>
  </si>
  <si>
    <t>Eagle-Eagle East (USA)</t>
  </si>
  <si>
    <t>Lundin Mining</t>
  </si>
  <si>
    <t>Maturi (incl. Nokomis)</t>
  </si>
  <si>
    <t>Maturi Southwest</t>
  </si>
  <si>
    <t>Mesaba (Babbit)</t>
  </si>
  <si>
    <t>Mayhew et al (2009), Teck (2010)</t>
  </si>
  <si>
    <t>NorthMet (Dunka Road)</t>
  </si>
  <si>
    <t>Polymet Mining</t>
  </si>
  <si>
    <t>Tamarack North</t>
  </si>
  <si>
    <t>Talon Metals</t>
  </si>
  <si>
    <t>Stillwater-East Boulder</t>
  </si>
  <si>
    <t>Dunka Pit</t>
  </si>
  <si>
    <t>Miller et al (2002), Miller (2015)</t>
  </si>
  <si>
    <t>Mouat</t>
  </si>
  <si>
    <t>Tech Rep 2009-06 (Nev)</t>
  </si>
  <si>
    <t>Nye Basin</t>
  </si>
  <si>
    <t>PbZnNiCo</t>
  </si>
  <si>
    <t>Mine LaMotte-Fredericktown</t>
  </si>
  <si>
    <t>Long (1992); Singer et al (2009)</t>
  </si>
  <si>
    <t>MVT</t>
  </si>
  <si>
    <t>Gap</t>
  </si>
  <si>
    <t>Long (1992)</t>
  </si>
  <si>
    <t>Spruce Road</t>
  </si>
  <si>
    <t>Wetlegs</t>
  </si>
  <si>
    <t>Snipe Bay</t>
  </si>
  <si>
    <t>Szumigala et al (2011)</t>
  </si>
  <si>
    <t>Associated with Wrangellia/Nikolai LIP?</t>
  </si>
  <si>
    <t>Serpentine</t>
  </si>
  <si>
    <t>Babbit-Minnamax</t>
  </si>
  <si>
    <t>Mirror Harbor</t>
  </si>
  <si>
    <t>Local Boy</t>
  </si>
  <si>
    <t>Teck (2010)</t>
  </si>
  <si>
    <t>Higdon</t>
  </si>
  <si>
    <t>Funter Bay</t>
  </si>
  <si>
    <t>Crescent Creek</t>
  </si>
  <si>
    <t>Tech Rep (2009-06)</t>
  </si>
  <si>
    <t>Bohemia Basin (Basin-Takanis-Flapjack)</t>
  </si>
  <si>
    <t>Wrangellia LIP-related</t>
  </si>
  <si>
    <t>Benbow</t>
  </si>
  <si>
    <t>Gasquet Mountain</t>
  </si>
  <si>
    <t>Red Flat Mountain</t>
  </si>
  <si>
    <t>Riddle (Nickel Mountain)</t>
  </si>
  <si>
    <t>Aguablanca</t>
  </si>
  <si>
    <t>ResV-ResC 2015</t>
  </si>
  <si>
    <t>Dalen (Espedalen)</t>
  </si>
  <si>
    <t>Tech Rep (2009-02)</t>
  </si>
  <si>
    <t>Ertelien (Ertelia)</t>
  </si>
  <si>
    <t>Stormyra</t>
  </si>
  <si>
    <t>Vakkerlien</t>
  </si>
  <si>
    <t>Flåt</t>
  </si>
  <si>
    <t>Bruvann (Råna)</t>
  </si>
  <si>
    <t>Chimimbe Hill</t>
  </si>
  <si>
    <t>Mkango Resources</t>
  </si>
  <si>
    <t>media (25 March 2009)</t>
  </si>
  <si>
    <t>Isabela Island (San Jorge-Kolosori)</t>
  </si>
  <si>
    <t>Axiom Mining</t>
  </si>
  <si>
    <t>media (29 Dec 2015)</t>
  </si>
  <si>
    <t>Ngella-Floridas Islands</t>
  </si>
  <si>
    <t>media (10 Dec 2008)</t>
  </si>
  <si>
    <t>Solway Group</t>
  </si>
  <si>
    <t>Baja Verapaz</t>
  </si>
  <si>
    <t>Mayaniquel-Sechol Group</t>
  </si>
  <si>
    <t>Tech Rep (2011-04)</t>
  </si>
  <si>
    <t>Cerro Matoso</t>
  </si>
  <si>
    <t>Clay silicate-hydrous Mg silicate-oxide</t>
  </si>
  <si>
    <t>Loma de Niquel (Loma de Hierro)</t>
  </si>
  <si>
    <t>Venezuelan Gov't</t>
  </si>
  <si>
    <t>Agios Ioannis</t>
  </si>
  <si>
    <t>Larco</t>
  </si>
  <si>
    <t>0.77</t>
  </si>
  <si>
    <t>Evvoia</t>
  </si>
  <si>
    <t>0.83</t>
  </si>
  <si>
    <t>Kastoria</t>
  </si>
  <si>
    <t>1.32</t>
  </si>
  <si>
    <t>Falcondo</t>
  </si>
  <si>
    <t>Americano Nickel</t>
  </si>
  <si>
    <t>Cumpié Hill-Cerro de Maimon</t>
  </si>
  <si>
    <t>Perilya Mines (Zhongjin)</t>
  </si>
  <si>
    <t>Kempirsai (Kempirsay)</t>
  </si>
  <si>
    <t>Bekem Metals Inc., KKM</t>
  </si>
  <si>
    <t>Gornostai</t>
  </si>
  <si>
    <t xml:space="preserve">Kaznickel; Bekem Metals Inc. </t>
  </si>
  <si>
    <t>Shevchenko Group</t>
  </si>
  <si>
    <t>Mechel (formerly Oriel Resources plc)</t>
  </si>
  <si>
    <t>0.84</t>
  </si>
  <si>
    <t>Ambatovy JV (incl. Anamalay)</t>
  </si>
  <si>
    <t>Sherritt, Sumitomo, Korea Resources Corp (KORES)</t>
  </si>
  <si>
    <t>Valozoro</t>
  </si>
  <si>
    <t>Moa Bay JV</t>
  </si>
  <si>
    <t>Sherritt, Cuban Gov't</t>
  </si>
  <si>
    <t>Tech Rep (2019-06)</t>
  </si>
  <si>
    <t>Moa Bay-Camarioca Norte/Sur</t>
  </si>
  <si>
    <t>Moa Bay-Eastern Satellites</t>
  </si>
  <si>
    <t>Pinares de Mayari-Nicaro</t>
  </si>
  <si>
    <t>unknown (Cuban Gov't?)</t>
  </si>
  <si>
    <t>Punta Gorda</t>
  </si>
  <si>
    <t>Taco Bay</t>
  </si>
  <si>
    <t>Nicaro</t>
  </si>
  <si>
    <t>Cajálbana</t>
  </si>
  <si>
    <t>San Felipe</t>
  </si>
  <si>
    <t>Bhimatangar</t>
  </si>
  <si>
    <t>Indian Gov't</t>
  </si>
  <si>
    <t>1.03</t>
  </si>
  <si>
    <t>0.15</t>
  </si>
  <si>
    <t>Kaliapani</t>
  </si>
  <si>
    <t>0.88</t>
  </si>
  <si>
    <t>Kansa</t>
  </si>
  <si>
    <t>0.8</t>
  </si>
  <si>
    <t>0.08</t>
  </si>
  <si>
    <t>Saruabil</t>
  </si>
  <si>
    <t>0.92</t>
  </si>
  <si>
    <t xml:space="preserve">Simlipal </t>
  </si>
  <si>
    <t>Bou-Azzer</t>
  </si>
  <si>
    <t>CTT (Managem)</t>
  </si>
  <si>
    <t>Nkamouna-Mada</t>
  </si>
  <si>
    <t>Geovic Mining Corp</t>
  </si>
  <si>
    <t>Sidamo</t>
  </si>
  <si>
    <t>Tadesse et al (2003)</t>
  </si>
  <si>
    <t>Ror</t>
  </si>
  <si>
    <t>Lainejaur (Lainijaur)</t>
  </si>
  <si>
    <t>Lappvattnet</t>
  </si>
  <si>
    <t>Mojo</t>
  </si>
  <si>
    <t>Pres. (31 July 2009)</t>
  </si>
  <si>
    <t>Backviken</t>
  </si>
  <si>
    <t>Rörmyrberget</t>
  </si>
  <si>
    <t>Mjövattnet</t>
  </si>
  <si>
    <t>Häggån</t>
  </si>
  <si>
    <t>Aura Energy</t>
  </si>
  <si>
    <t>Viken (Myrviken)</t>
  </si>
  <si>
    <t>Continental Precious Minerals</t>
  </si>
  <si>
    <t>Tech Rep (2014-02)</t>
  </si>
  <si>
    <t>Rönnbäcksnäset (Rönnbäcken)</t>
  </si>
  <si>
    <t>Nickel Mountain Resources</t>
  </si>
  <si>
    <t>Sundsberget</t>
  </si>
  <si>
    <t>Vinberget</t>
  </si>
  <si>
    <t>Afplats-Imbasa / Imkosi</t>
  </si>
  <si>
    <t>ERG? previously Impala Pt</t>
  </si>
  <si>
    <t>ResV-ResC 2017</t>
  </si>
  <si>
    <t>Western Limb Bushveld</t>
  </si>
  <si>
    <t>WB-UG2</t>
  </si>
  <si>
    <t>Afplats-Leeuwkop</t>
  </si>
  <si>
    <t>Impala Pt</t>
  </si>
  <si>
    <t>Amandelbult-Dishaba</t>
  </si>
  <si>
    <t>Amandelbult-Tumela</t>
  </si>
  <si>
    <t>Bafokeng-Rasimone</t>
  </si>
  <si>
    <t>Royal Bafokeng, Anglo Am Pt</t>
  </si>
  <si>
    <t>Bakubung (Ledig-Frischgewaagd)</t>
  </si>
  <si>
    <t>Wesizwe, Anglo Am Pt</t>
  </si>
  <si>
    <t>Berg</t>
  </si>
  <si>
    <t>Platfields</t>
  </si>
  <si>
    <t>Eastern Limb Bushveld</t>
  </si>
  <si>
    <t>EB-UG2</t>
  </si>
  <si>
    <t>Blue Ridge</t>
  </si>
  <si>
    <t>Sibanya-Stillwater, Imbani Pt</t>
  </si>
  <si>
    <t>Bokoni-Ga Phasha</t>
  </si>
  <si>
    <t>Atlatsa Resource, Anglo Am Pt</t>
  </si>
  <si>
    <t>Booysendal North / South-Everest</t>
  </si>
  <si>
    <t>Northam Pt, Mvelaphanda Res</t>
  </si>
  <si>
    <t>Chieftains Plain-Walhalla</t>
  </si>
  <si>
    <t>Sibanya-Stillwater</t>
  </si>
  <si>
    <t>Crocodile River</t>
  </si>
  <si>
    <t>Eastern Pt, Gubevu</t>
  </si>
  <si>
    <t>Der Brochen</t>
  </si>
  <si>
    <t>Eland</t>
  </si>
  <si>
    <t>Northam Pt</t>
  </si>
  <si>
    <t>Everest North-Vygenhoek</t>
  </si>
  <si>
    <t>Sibanya-Stillwater, Sylvania Pt</t>
  </si>
  <si>
    <t>Everest South-Hoogland</t>
  </si>
  <si>
    <t>Garatau (Garatouw/Hoepakrantz/De Kom)</t>
  </si>
  <si>
    <t>Nkwe Pt</t>
  </si>
  <si>
    <t>Grootboom</t>
  </si>
  <si>
    <t>Sedibelo Pt Mines, Moepi</t>
  </si>
  <si>
    <t>Website (21 Oct 2019)</t>
  </si>
  <si>
    <t>Hoedspruit</t>
  </si>
  <si>
    <t>Impala</t>
  </si>
  <si>
    <t>Impala-RBR JV</t>
  </si>
  <si>
    <t>Impala Pt-RBR JV</t>
  </si>
  <si>
    <t>Kliprivier</t>
  </si>
  <si>
    <t>Website (7 April 2016)</t>
  </si>
  <si>
    <t>Kroondal (PSA)</t>
  </si>
  <si>
    <t>Anglo Am Pt, Sibanye-Stillwater</t>
  </si>
  <si>
    <t>Kruidfontein</t>
  </si>
  <si>
    <t>Sedibelo Pt Mines, Watervale</t>
  </si>
  <si>
    <t>Lesego</t>
  </si>
  <si>
    <t>Lesego Pt</t>
  </si>
  <si>
    <t>Liger (Leeuwkop-Tigerpoort)</t>
  </si>
  <si>
    <t>Limpopo-Baobab/Doornvlei/Dwaalkop/Zebedelia</t>
  </si>
  <si>
    <t>Lonmin, Northam Pt</t>
  </si>
  <si>
    <t>Uitkomst Complex</t>
  </si>
  <si>
    <t>Magazynskraal-Sedibelo East</t>
  </si>
  <si>
    <t>Sedibelo Pt Mines, Bakgatla</t>
  </si>
  <si>
    <t>Mareesburg</t>
  </si>
  <si>
    <t>Eastern Pt</t>
  </si>
  <si>
    <t>Marikana (Lonmin)</t>
  </si>
  <si>
    <t>Marikana (PSA)</t>
  </si>
  <si>
    <t>Marula</t>
  </si>
  <si>
    <t>Maseve-1 / 3</t>
  </si>
  <si>
    <t>Royal Bafokeng Platinum</t>
  </si>
  <si>
    <t>Millenium</t>
  </si>
  <si>
    <t>Modikwa</t>
  </si>
  <si>
    <t>Anglo Am Pt, African Rainbow Mins</t>
  </si>
  <si>
    <t>Mototolo</t>
  </si>
  <si>
    <t>Mphahlele</t>
  </si>
  <si>
    <t>Pandora JV</t>
  </si>
  <si>
    <t>Pilanesburg-East / West Pits</t>
  </si>
  <si>
    <t>Rooderand (Platinum Australia)</t>
  </si>
  <si>
    <t>Pt Australia, Atla Mining Res</t>
  </si>
  <si>
    <t>Rooderand (Sedibelo)</t>
  </si>
  <si>
    <t>Ruighoek</t>
  </si>
  <si>
    <t>Sedibelo Pt Mines, Itereleng Bakgatla</t>
  </si>
  <si>
    <t>Rustenburg Group</t>
  </si>
  <si>
    <t>Sedibelo Central</t>
  </si>
  <si>
    <t>Sedibelo Pt Mines, Itereleng Bakgatla Min. Res.</t>
  </si>
  <si>
    <t>Siphumelele 3</t>
  </si>
  <si>
    <t>Smokey Hills</t>
  </si>
  <si>
    <t>Aberdeen International</t>
  </si>
  <si>
    <t>Spitzkop-Kennedy's Vale</t>
  </si>
  <si>
    <t>Tjate</t>
  </si>
  <si>
    <t>Jubilee Metals Group</t>
  </si>
  <si>
    <t>Tubatse (Eerste Geluk-Nooitverwacht)</t>
  </si>
  <si>
    <t>Twickenham</t>
  </si>
  <si>
    <t>Two Rivers</t>
  </si>
  <si>
    <t>African Rainbow Mins, Impala Pt</t>
  </si>
  <si>
    <t>Union North/South</t>
  </si>
  <si>
    <t>Siyanda Resources</t>
  </si>
  <si>
    <t>Witkleifontein</t>
  </si>
  <si>
    <t>Zondereinde (Northam)</t>
  </si>
  <si>
    <t>Zondernaam</t>
  </si>
  <si>
    <t>Sibanye-Stillwater, Bakgaga Pt</t>
  </si>
  <si>
    <t>NB</t>
  </si>
  <si>
    <t>Platreef (Flatreef-Turfspruit)</t>
  </si>
  <si>
    <t>Ivanhoe Mines</t>
  </si>
  <si>
    <t>Platreef</t>
  </si>
  <si>
    <t>Mogalakwena-Boikgantsho</t>
  </si>
  <si>
    <t>Akanani</t>
  </si>
  <si>
    <t>Rooipoort</t>
  </si>
  <si>
    <t>Tech Rep (2005-12)</t>
  </si>
  <si>
    <t>Volspruit</t>
  </si>
  <si>
    <t>Sylvania Pt</t>
  </si>
  <si>
    <t>Tech Rep (2010-21)</t>
  </si>
  <si>
    <t>War Springs (Oorlogsfontein)</t>
  </si>
  <si>
    <t>Sedibelo, Wesizwe Pt, etc</t>
  </si>
  <si>
    <t>Waterberg</t>
  </si>
  <si>
    <t>Platinum Group Metals</t>
  </si>
  <si>
    <t>Tech Rep (2018-11)</t>
  </si>
  <si>
    <t>Aurora</t>
  </si>
  <si>
    <t>Tech Rep (2010-12)</t>
  </si>
  <si>
    <t>Mokopane</t>
  </si>
  <si>
    <t>Matimba Resources (?)</t>
  </si>
  <si>
    <t>Loskop JV (Rietfontein/De Wagendrift)</t>
  </si>
  <si>
    <t>Lonmin, Sedibelo Pt Mines</t>
  </si>
  <si>
    <t>Nkomati</t>
  </si>
  <si>
    <t>African Rainbow Min, Norilsk Nickel</t>
  </si>
  <si>
    <t>Sheba's Ridge</t>
  </si>
  <si>
    <t>Sibanye-Stillwater, Anglo Am Pt, IDC</t>
  </si>
  <si>
    <t>Jacomyns Pan</t>
  </si>
  <si>
    <t>Bon Accord-Segalla</t>
  </si>
  <si>
    <t>Brochure (2010-01)</t>
  </si>
  <si>
    <t>%Mn</t>
  </si>
  <si>
    <t>Mn Nodules</t>
  </si>
  <si>
    <t>Clarion-Clipperton (Nautilus)</t>
  </si>
  <si>
    <t>Tech Rep (2016-07)</t>
  </si>
  <si>
    <t>Manganese nodules</t>
  </si>
  <si>
    <t>Clarion-Clipperton (DeepGreen)</t>
  </si>
  <si>
    <t>DeepGreen Metals</t>
  </si>
  <si>
    <t>Clarion-Clipperton (Russia)</t>
  </si>
  <si>
    <t>Yuzhmorgeologia (2014)</t>
  </si>
  <si>
    <t>Yuzhmorgeologia</t>
  </si>
  <si>
    <t>Clarion-Clipperton (Russian-led JV)</t>
  </si>
  <si>
    <t>Abromowski (2014)</t>
  </si>
  <si>
    <t>InterOcean Metal Joint Organisation ('IOM')</t>
  </si>
  <si>
    <t>Clarion-Clipperton (KIOST-Korea)</t>
  </si>
  <si>
    <t>KIOST (2014)</t>
  </si>
  <si>
    <t>Korean Institute of Ocean Science &amp; Technology (KIOST)</t>
  </si>
  <si>
    <t>-</t>
  </si>
  <si>
    <t>Ag</t>
  </si>
  <si>
    <t>Cr</t>
  </si>
  <si>
    <t>PGEs</t>
  </si>
  <si>
    <t>Sc</t>
  </si>
  <si>
    <t>WB-Mer+UG2</t>
  </si>
  <si>
    <t>EB-Mer+UG2</t>
  </si>
  <si>
    <t>g/t Ru</t>
  </si>
  <si>
    <t>g/t Ir</t>
  </si>
  <si>
    <t>%H2O</t>
  </si>
  <si>
    <t>t Ru</t>
  </si>
  <si>
    <t>t Ir</t>
  </si>
  <si>
    <t>Hydrothermal</t>
  </si>
  <si>
    <t>Misco</t>
  </si>
  <si>
    <t>Fenix-Exmibal (Saprolite+Limonite)</t>
  </si>
  <si>
    <t>count</t>
  </si>
  <si>
    <t>US$/t ore</t>
  </si>
  <si>
    <t>Mt U</t>
  </si>
  <si>
    <t>Mt Mo</t>
  </si>
  <si>
    <t>Mt Pb</t>
  </si>
  <si>
    <t>Mt Zn</t>
  </si>
  <si>
    <t>Mt Ni</t>
  </si>
  <si>
    <t>Mt Co</t>
  </si>
  <si>
    <t>Mt Cr</t>
  </si>
  <si>
    <t>Mt Fe</t>
  </si>
  <si>
    <t>Mt SiO2</t>
  </si>
  <si>
    <t>Mt Mn</t>
  </si>
  <si>
    <r>
      <t xml:space="preserve">Mineral Resources (including reserves): </t>
    </r>
    <r>
      <rPr>
        <b/>
        <sz val="10"/>
        <color rgb="FF0000CC"/>
        <rFont val="Arial"/>
        <family val="2"/>
      </rPr>
      <t>US$MILLIONS</t>
    </r>
  </si>
  <si>
    <t>U</t>
  </si>
  <si>
    <t>Ni</t>
  </si>
  <si>
    <t>Pt</t>
  </si>
  <si>
    <t>Pd</t>
  </si>
  <si>
    <t>Rh</t>
  </si>
  <si>
    <t>Ru</t>
  </si>
  <si>
    <t>Ir</t>
  </si>
  <si>
    <t>Fe</t>
  </si>
  <si>
    <t>SiO2</t>
  </si>
  <si>
    <t>Mn</t>
  </si>
  <si>
    <r>
      <t xml:space="preserve">Ore Reserves: </t>
    </r>
    <r>
      <rPr>
        <b/>
        <sz val="10"/>
        <color rgb="FF0000CC"/>
        <rFont val="Arial"/>
        <family val="2"/>
      </rPr>
      <t>US$MILLIONS</t>
    </r>
  </si>
  <si>
    <t>US$mill</t>
  </si>
  <si>
    <t>Miscellaneous</t>
  </si>
  <si>
    <t>`</t>
  </si>
  <si>
    <t>Associated with Wrangellia/Nikolai LIP</t>
  </si>
  <si>
    <t>Clay silicate (dominant)</t>
  </si>
  <si>
    <t>Hydrous Mg silicate (dominant)</t>
  </si>
  <si>
    <t>Oxide (dominant)</t>
  </si>
  <si>
    <t>Resources: By %Value</t>
  </si>
  <si>
    <t>Reserves: By %Value</t>
  </si>
  <si>
    <t>Resources (kt Ni)</t>
  </si>
  <si>
    <t>Reserves (kt Ni)</t>
  </si>
  <si>
    <t>GRAND TOTALS</t>
  </si>
  <si>
    <t>Master</t>
  </si>
  <si>
    <t>Austria</t>
  </si>
  <si>
    <t>Egypt</t>
  </si>
  <si>
    <t>Germany</t>
  </si>
  <si>
    <t>Macedonia</t>
  </si>
  <si>
    <t>Ukraine</t>
  </si>
  <si>
    <t>Bolivia</t>
  </si>
  <si>
    <t>Chile</t>
  </si>
  <si>
    <t>Italy</t>
  </si>
  <si>
    <t>Japan</t>
  </si>
  <si>
    <t>South Korea</t>
  </si>
  <si>
    <t>Vietnam</t>
  </si>
  <si>
    <t>Iran</t>
  </si>
  <si>
    <t>Mexico</t>
  </si>
  <si>
    <t>%Ni min</t>
  </si>
  <si>
    <t>%Ni max</t>
  </si>
  <si>
    <t>Total Cum. Prod.</t>
  </si>
  <si>
    <t>2012-18 Cum. Prod.</t>
  </si>
  <si>
    <t>2011 Resources</t>
  </si>
  <si>
    <t>2011 R-CP</t>
  </si>
  <si>
    <t>2018 Resources</t>
  </si>
  <si>
    <t>Endowment</t>
  </si>
  <si>
    <t>Rest of the 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</si>
</sst>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"/>
    <numFmt numFmtId="165" formatCode="0.0E+00"/>
    <numFmt numFmtId="166" formatCode="#,##0.0"/>
    <numFmt numFmtId="167" formatCode="0.0"/>
    <numFmt numFmtId="168" formatCode="0.0000"/>
    <numFmt numFmtId="169" formatCode="0.00000"/>
    <numFmt numFmtId="170" formatCode="#,##0.000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FFFF00"/>
      <name val="Arial"/>
      <family val="2"/>
    </font>
    <font>
      <b/>
      <sz val="10"/>
      <color rgb="FF0000CC"/>
      <name val="Arial"/>
      <family val="2"/>
    </font>
    <font>
      <b/>
      <sz val="10"/>
      <color rgb="FF990000"/>
      <name val="Arial"/>
      <family val="2"/>
    </font>
    <font>
      <b/>
      <sz val="10"/>
      <color rgb="FF006600"/>
      <name val="Arial"/>
      <family val="2"/>
    </font>
    <font>
      <vertAlign val="subscript"/>
      <sz val="10"/>
      <color theme="1"/>
      <name val="Arial"/>
      <family val="2"/>
    </font>
    <font>
      <sz val="10"/>
      <name val="Arial"/>
      <family val="2"/>
    </font>
    <font>
      <b/>
      <sz val="10"/>
      <color rgb="FFC00000"/>
      <name val="Arial"/>
      <family val="2"/>
    </font>
    <font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0">
    <xf numFmtId="0" fontId="0" fillId="0" borderId="0" xfId="0"/>
    <xf numFmtId="0" fontId="5" fillId="0" borderId="0" xfId="0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68" fontId="5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169" fontId="5" fillId="0" borderId="0" xfId="0" applyNumberFormat="1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13" fillId="6" borderId="0" xfId="0" applyFont="1" applyFill="1" applyAlignment="1">
      <alignment horizontal="center"/>
    </xf>
    <xf numFmtId="0" fontId="13" fillId="7" borderId="0" xfId="0" applyFont="1" applyFill="1" applyAlignment="1">
      <alignment horizontal="center" vertical="center"/>
    </xf>
    <xf numFmtId="0" fontId="5" fillId="0" borderId="0" xfId="0" applyFont="1" applyAlignment="1">
      <alignment horizontal="center"/>
    </xf>
    <xf numFmtId="167" fontId="7" fillId="0" borderId="0" xfId="0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0" fontId="9" fillId="9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167" fontId="5" fillId="0" borderId="0" xfId="0" applyNumberFormat="1" applyFont="1" applyFill="1" applyAlignment="1">
      <alignment horizontal="center" vertical="center"/>
    </xf>
    <xf numFmtId="166" fontId="5" fillId="0" borderId="0" xfId="0" applyNumberFormat="1" applyFont="1" applyFill="1" applyAlignment="1">
      <alignment horizontal="center" vertical="center"/>
    </xf>
    <xf numFmtId="3" fontId="5" fillId="0" borderId="0" xfId="0" applyNumberFormat="1" applyFont="1" applyFill="1" applyAlignment="1">
      <alignment horizontal="center" vertical="center"/>
    </xf>
    <xf numFmtId="2" fontId="5" fillId="0" borderId="0" xfId="0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164" fontId="5" fillId="0" borderId="0" xfId="0" applyNumberFormat="1" applyFont="1" applyFill="1" applyAlignment="1">
      <alignment horizontal="center" vertical="center"/>
    </xf>
    <xf numFmtId="167" fontId="6" fillId="0" borderId="0" xfId="0" applyNumberFormat="1" applyFont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66" fontId="4" fillId="0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70" fontId="5" fillId="0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10" fillId="4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167" fontId="4" fillId="0" borderId="0" xfId="0" applyNumberFormat="1" applyFont="1" applyFill="1" applyAlignment="1">
      <alignment horizontal="center" vertical="center"/>
    </xf>
    <xf numFmtId="167" fontId="1" fillId="0" borderId="0" xfId="0" applyNumberFormat="1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9" fillId="9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 textRotation="90"/>
    </xf>
    <xf numFmtId="0" fontId="8" fillId="10" borderId="0" xfId="0" applyFont="1" applyFill="1" applyAlignment="1">
      <alignment horizontal="center" vertical="center"/>
    </xf>
    <xf numFmtId="0" fontId="7" fillId="7" borderId="0" xfId="0" applyFont="1" applyFill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9" fillId="6" borderId="0" xfId="0" applyFont="1" applyFill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2" fontId="5" fillId="7" borderId="0" xfId="0" applyNumberFormat="1" applyFont="1" applyFill="1" applyAlignment="1">
      <alignment horizontal="center" vertical="center"/>
    </xf>
    <xf numFmtId="167" fontId="5" fillId="7" borderId="0" xfId="0" applyNumberFormat="1" applyFont="1" applyFill="1" applyAlignment="1">
      <alignment horizontal="center" vertical="center"/>
    </xf>
    <xf numFmtId="3" fontId="5" fillId="7" borderId="0" xfId="0" applyNumberFormat="1" applyFont="1" applyFill="1" applyAlignment="1">
      <alignment horizontal="center" vertical="center"/>
    </xf>
    <xf numFmtId="164" fontId="5" fillId="7" borderId="0" xfId="0" applyNumberFormat="1" applyFont="1" applyFill="1" applyAlignment="1">
      <alignment horizontal="center" vertical="center"/>
    </xf>
    <xf numFmtId="166" fontId="5" fillId="7" borderId="0" xfId="0" applyNumberFormat="1" applyFont="1" applyFill="1" applyAlignment="1">
      <alignment horizontal="center" vertical="center"/>
    </xf>
    <xf numFmtId="168" fontId="5" fillId="7" borderId="0" xfId="0" applyNumberFormat="1" applyFont="1" applyFill="1" applyAlignment="1">
      <alignment horizontal="center" vertical="center"/>
    </xf>
    <xf numFmtId="0" fontId="5" fillId="7" borderId="0" xfId="0" applyNumberFormat="1" applyFont="1" applyFill="1" applyAlignment="1">
      <alignment horizontal="center" vertical="center"/>
    </xf>
    <xf numFmtId="0" fontId="0" fillId="7" borderId="0" xfId="0" applyFill="1"/>
    <xf numFmtId="4" fontId="0" fillId="7" borderId="0" xfId="0" applyNumberFormat="1" applyFill="1"/>
    <xf numFmtId="3" fontId="0" fillId="7" borderId="0" xfId="0" applyNumberFormat="1" applyFill="1"/>
    <xf numFmtId="0" fontId="1" fillId="6" borderId="0" xfId="0" applyFont="1" applyFill="1" applyAlignment="1">
      <alignment horizontal="center" vertical="center"/>
    </xf>
    <xf numFmtId="0" fontId="5" fillId="11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5" fillId="12" borderId="0" xfId="0" applyFont="1" applyFill="1" applyAlignment="1">
      <alignment horizontal="center" vertical="center"/>
    </xf>
  </cellXfs>
  <cellStyles count="1">
    <cellStyle name="Normal" xfId="0" builtinId="0"/>
  </cellStyles>
  <dxfs count="1197">
    <dxf>
      <fill>
        <patternFill patternType="solid">
          <fgColor rgb="FFFF0000"/>
          <bgColor rgb="FF0000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  <dxf>
      <font>
        <b/>
        <i val="0"/>
        <color rgb="FFFF0000"/>
      </font>
      <fill>
        <patternFill>
          <bgColor rgb="FFCCFFFF"/>
        </patternFill>
      </fill>
    </dxf>
    <dxf>
      <font>
        <b/>
        <i val="0"/>
        <color rgb="FF0000CC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CCFFCC"/>
      <color rgb="FF0000CC"/>
      <color rgb="FF800000"/>
      <color rgb="FFCC6600"/>
      <color rgb="FF006600"/>
      <color rgb="FFFFCCFF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styles" Target="styles.xml"/><Relationship Id="rId5" Type="http://schemas.openxmlformats.org/officeDocument/2006/relationships/chartsheet" Target="chartsheets/sheet2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20753718604379E-2"/>
          <c:y val="0.24478136637060843"/>
          <c:w val="0.88541168357619271"/>
          <c:h val="0.65647285190307247"/>
        </c:manualLayout>
      </c:layout>
      <c:scatterChart>
        <c:scatterStyle val="lineMarker"/>
        <c:varyColors val="0"/>
        <c:ser>
          <c:idx val="0"/>
          <c:order val="0"/>
          <c:tx>
            <c:v>Hydrothermal: IOCG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$Values'!$GP$6:$GP$14</c:f>
              <c:numCache>
                <c:formatCode>General</c:formatCode>
                <c:ptCount val="9"/>
                <c:pt idx="0" formatCode="0.00">
                  <c:v>0.77940594059405943</c:v>
                </c:pt>
                <c:pt idx="1">
                  <c:v>0.05</c:v>
                </c:pt>
                <c:pt idx="2">
                  <c:v>0.46</c:v>
                </c:pt>
                <c:pt idx="3" formatCode="0.00">
                  <c:v>0.7927522935779816</c:v>
                </c:pt>
                <c:pt idx="4">
                  <c:v>0.45</c:v>
                </c:pt>
                <c:pt idx="5" formatCode="0.00">
                  <c:v>0.60244897959183674</c:v>
                </c:pt>
                <c:pt idx="6">
                  <c:v>0.66</c:v>
                </c:pt>
                <c:pt idx="7" formatCode="0.00">
                  <c:v>0.3155172297893335</c:v>
                </c:pt>
                <c:pt idx="8" formatCode="0.00">
                  <c:v>0.19095619890431587</c:v>
                </c:pt>
              </c:numCache>
            </c:numRef>
          </c:xVal>
          <c:yVal>
            <c:numRef>
              <c:f>'Ni $Values'!$GQ$6:$GQ$14</c:f>
              <c:numCache>
                <c:formatCode>0.0</c:formatCode>
                <c:ptCount val="9"/>
                <c:pt idx="0">
                  <c:v>314.88</c:v>
                </c:pt>
                <c:pt idx="1">
                  <c:v>8.25</c:v>
                </c:pt>
                <c:pt idx="2">
                  <c:v>6.9</c:v>
                </c:pt>
                <c:pt idx="3">
                  <c:v>8.6409999999999982</c:v>
                </c:pt>
                <c:pt idx="4">
                  <c:v>2.25</c:v>
                </c:pt>
                <c:pt idx="5">
                  <c:v>2.952</c:v>
                </c:pt>
                <c:pt idx="6">
                  <c:v>1.1220000000000001</c:v>
                </c:pt>
                <c:pt idx="7">
                  <c:v>26.002929700000003</c:v>
                </c:pt>
                <c:pt idx="8">
                  <c:v>65.424839999999989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DE-4635-A17E-3FA7433FE89E}"/>
            </c:ext>
          </c:extLst>
        </c:ser>
        <c:ser>
          <c:idx val="1"/>
          <c:order val="1"/>
          <c:tx>
            <c:v>Hydrothermal: Fe-Ni Alloy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$Values'!$GP$5</c:f>
              <c:numCache>
                <c:formatCode>0.00</c:formatCode>
                <c:ptCount val="1"/>
                <c:pt idx="0">
                  <c:v>0.11597529763509169</c:v>
                </c:pt>
              </c:numCache>
            </c:numRef>
          </c:xVal>
          <c:yVal>
            <c:numRef>
              <c:f>'Ni $Values'!$GQ$5</c:f>
              <c:numCache>
                <c:formatCode>#,##0</c:formatCode>
                <c:ptCount val="1"/>
                <c:pt idx="0">
                  <c:v>2796.7558999999997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DE-4635-A17E-3FA7433FE89E}"/>
            </c:ext>
          </c:extLst>
        </c:ser>
        <c:ser>
          <c:idx val="11"/>
          <c:order val="2"/>
          <c:tx>
            <c:v>MagS: Archean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$Values'!$GP$286:$GP$356</c:f>
              <c:numCache>
                <c:formatCode>0.00</c:formatCode>
                <c:ptCount val="71"/>
                <c:pt idx="0">
                  <c:v>0.76420056764427635</c:v>
                </c:pt>
                <c:pt idx="1">
                  <c:v>0.53553719008264455</c:v>
                </c:pt>
                <c:pt idx="2">
                  <c:v>1.6661749209694416</c:v>
                </c:pt>
                <c:pt idx="3">
                  <c:v>0.6054772727272727</c:v>
                </c:pt>
                <c:pt idx="4">
                  <c:v>2.5791044776119403</c:v>
                </c:pt>
                <c:pt idx="5" formatCode="General">
                  <c:v>0.59</c:v>
                </c:pt>
                <c:pt idx="6" formatCode="General">
                  <c:v>0.68</c:v>
                </c:pt>
                <c:pt idx="7" formatCode="General">
                  <c:v>2.1</c:v>
                </c:pt>
                <c:pt idx="8">
                  <c:v>2.9230128867136638</c:v>
                </c:pt>
                <c:pt idx="9">
                  <c:v>2.5601508622388542</c:v>
                </c:pt>
                <c:pt idx="10">
                  <c:v>0.62855766506092381</c:v>
                </c:pt>
                <c:pt idx="11">
                  <c:v>3.5966246736168026</c:v>
                </c:pt>
                <c:pt idx="12">
                  <c:v>1.6836157792322657</c:v>
                </c:pt>
                <c:pt idx="13">
                  <c:v>3.8789915966386554</c:v>
                </c:pt>
                <c:pt idx="14">
                  <c:v>4.9581702512817589</c:v>
                </c:pt>
                <c:pt idx="15">
                  <c:v>0.97378991244689972</c:v>
                </c:pt>
                <c:pt idx="16">
                  <c:v>4.1920000000000002</c:v>
                </c:pt>
                <c:pt idx="17">
                  <c:v>1.899233986598021</c:v>
                </c:pt>
                <c:pt idx="18">
                  <c:v>1.5247257514719552</c:v>
                </c:pt>
                <c:pt idx="19">
                  <c:v>0.51358208955223883</c:v>
                </c:pt>
                <c:pt idx="20">
                  <c:v>0.62124529770398251</c:v>
                </c:pt>
                <c:pt idx="21">
                  <c:v>1.4894285714285715</c:v>
                </c:pt>
                <c:pt idx="22">
                  <c:v>1.3884567916386119</c:v>
                </c:pt>
                <c:pt idx="23" formatCode="General">
                  <c:v>2.2000000000000002</c:v>
                </c:pt>
                <c:pt idx="24">
                  <c:v>2.3849960095770149</c:v>
                </c:pt>
                <c:pt idx="25" formatCode="General">
                  <c:v>1.39</c:v>
                </c:pt>
                <c:pt idx="26">
                  <c:v>3.0384615384615383</c:v>
                </c:pt>
                <c:pt idx="27" formatCode="General">
                  <c:v>2</c:v>
                </c:pt>
                <c:pt idx="28" formatCode="General">
                  <c:v>2.36</c:v>
                </c:pt>
                <c:pt idx="29" formatCode="General">
                  <c:v>1.7</c:v>
                </c:pt>
                <c:pt idx="30" formatCode="General">
                  <c:v>0.9</c:v>
                </c:pt>
                <c:pt idx="31">
                  <c:v>2.3719567099567098</c:v>
                </c:pt>
                <c:pt idx="32" formatCode="General">
                  <c:v>2</c:v>
                </c:pt>
                <c:pt idx="33">
                  <c:v>1.004263208656166</c:v>
                </c:pt>
                <c:pt idx="34">
                  <c:v>1.8735576923076924</c:v>
                </c:pt>
                <c:pt idx="35" formatCode="General">
                  <c:v>1.63</c:v>
                </c:pt>
                <c:pt idx="36">
                  <c:v>1.6746784021665537</c:v>
                </c:pt>
                <c:pt idx="37">
                  <c:v>1.026</c:v>
                </c:pt>
                <c:pt idx="38">
                  <c:v>1.6726804123711341</c:v>
                </c:pt>
                <c:pt idx="39" formatCode="General">
                  <c:v>0.70000000000000007</c:v>
                </c:pt>
                <c:pt idx="40">
                  <c:v>2.5262246963562753</c:v>
                </c:pt>
                <c:pt idx="41" formatCode="General">
                  <c:v>3.78</c:v>
                </c:pt>
                <c:pt idx="42" formatCode="General">
                  <c:v>0.52</c:v>
                </c:pt>
                <c:pt idx="43">
                  <c:v>2.2704225352112677</c:v>
                </c:pt>
                <c:pt idx="44" formatCode="General">
                  <c:v>3.5000000000000004</c:v>
                </c:pt>
                <c:pt idx="45">
                  <c:v>1.4009983361064893</c:v>
                </c:pt>
                <c:pt idx="46">
                  <c:v>0.94285714285714295</c:v>
                </c:pt>
                <c:pt idx="47">
                  <c:v>0.24468591773202134</c:v>
                </c:pt>
                <c:pt idx="48">
                  <c:v>0.26343677842430957</c:v>
                </c:pt>
                <c:pt idx="49" formatCode="General">
                  <c:v>3.16</c:v>
                </c:pt>
                <c:pt idx="50">
                  <c:v>0.67314295872523344</c:v>
                </c:pt>
                <c:pt idx="51">
                  <c:v>0.61852849740932636</c:v>
                </c:pt>
                <c:pt idx="52">
                  <c:v>0.62572784810126592</c:v>
                </c:pt>
                <c:pt idx="53">
                  <c:v>1.3772526966719367</c:v>
                </c:pt>
                <c:pt idx="54" formatCode="General">
                  <c:v>0.81000000000000016</c:v>
                </c:pt>
                <c:pt idx="55">
                  <c:v>1.5268637724550898</c:v>
                </c:pt>
                <c:pt idx="56" formatCode="General">
                  <c:v>0.42999999999999994</c:v>
                </c:pt>
                <c:pt idx="57" formatCode="General">
                  <c:v>0.28999999999999998</c:v>
                </c:pt>
                <c:pt idx="58">
                  <c:v>0.40125615763546796</c:v>
                </c:pt>
                <c:pt idx="59">
                  <c:v>0.60696328803139554</c:v>
                </c:pt>
                <c:pt idx="60" formatCode="General">
                  <c:v>0.92</c:v>
                </c:pt>
                <c:pt idx="61" formatCode="General">
                  <c:v>0.85</c:v>
                </c:pt>
                <c:pt idx="62" formatCode="General">
                  <c:v>0.49</c:v>
                </c:pt>
                <c:pt idx="63" formatCode="General">
                  <c:v>0.4</c:v>
                </c:pt>
                <c:pt idx="64" formatCode="General">
                  <c:v>0.38</c:v>
                </c:pt>
                <c:pt idx="65" formatCode="General">
                  <c:v>0.74</c:v>
                </c:pt>
                <c:pt idx="66" formatCode="General">
                  <c:v>0.59</c:v>
                </c:pt>
                <c:pt idx="67" formatCode="General">
                  <c:v>0.38</c:v>
                </c:pt>
                <c:pt idx="68" formatCode="General">
                  <c:v>0.35</c:v>
                </c:pt>
                <c:pt idx="69" formatCode="General">
                  <c:v>0.34</c:v>
                </c:pt>
                <c:pt idx="70" formatCode="General">
                  <c:v>0.52</c:v>
                </c:pt>
              </c:numCache>
            </c:numRef>
          </c:xVal>
          <c:yVal>
            <c:numRef>
              <c:f>'Ni $Values'!$GQ$286:$GQ$356</c:f>
              <c:numCache>
                <c:formatCode>#,##0</c:formatCode>
                <c:ptCount val="71"/>
                <c:pt idx="0">
                  <c:v>1615.5200000000002</c:v>
                </c:pt>
                <c:pt idx="1">
                  <c:v>1295.9999999999998</c:v>
                </c:pt>
                <c:pt idx="2" formatCode="0.0">
                  <c:v>158.12</c:v>
                </c:pt>
                <c:pt idx="3">
                  <c:v>2664.1</c:v>
                </c:pt>
                <c:pt idx="4" formatCode="0.0">
                  <c:v>190.08</c:v>
                </c:pt>
                <c:pt idx="5" formatCode="0.0">
                  <c:v>182.9</c:v>
                </c:pt>
                <c:pt idx="6">
                  <c:v>1259.3600000000004</c:v>
                </c:pt>
                <c:pt idx="7" formatCode="0.0">
                  <c:v>14.28</c:v>
                </c:pt>
                <c:pt idx="8" formatCode="0.0">
                  <c:v>6.5098420000000008</c:v>
                </c:pt>
                <c:pt idx="9" formatCode="0.0">
                  <c:v>266.31554599999998</c:v>
                </c:pt>
                <c:pt idx="10" formatCode="0.0">
                  <c:v>332.72700000000003</c:v>
                </c:pt>
                <c:pt idx="11" formatCode="0.0">
                  <c:v>134.79378571428572</c:v>
                </c:pt>
                <c:pt idx="12" formatCode="0.0">
                  <c:v>95.174799999999991</c:v>
                </c:pt>
                <c:pt idx="13" formatCode="0.0">
                  <c:v>23.08</c:v>
                </c:pt>
                <c:pt idx="14" formatCode="0.0">
                  <c:v>116.569855</c:v>
                </c:pt>
                <c:pt idx="15" formatCode="0.0">
                  <c:v>97.653600000000012</c:v>
                </c:pt>
                <c:pt idx="16" formatCode="0.0">
                  <c:v>31.44</c:v>
                </c:pt>
                <c:pt idx="17" formatCode="0.0">
                  <c:v>129.81756200000001</c:v>
                </c:pt>
                <c:pt idx="18" formatCode="0.0">
                  <c:v>147.6087</c:v>
                </c:pt>
                <c:pt idx="19" formatCode="0.0">
                  <c:v>20.646000000000001</c:v>
                </c:pt>
                <c:pt idx="20" formatCode="0.0">
                  <c:v>191.56720000000004</c:v>
                </c:pt>
                <c:pt idx="21" formatCode="0.0">
                  <c:v>52.13</c:v>
                </c:pt>
                <c:pt idx="22" formatCode="0.0">
                  <c:v>86.546941000000004</c:v>
                </c:pt>
                <c:pt idx="23" formatCode="0.0">
                  <c:v>13.008600000000003</c:v>
                </c:pt>
                <c:pt idx="24" formatCode="0.0">
                  <c:v>8.9651999999999994</c:v>
                </c:pt>
                <c:pt idx="25" formatCode="0.0">
                  <c:v>8.3399999999999981</c:v>
                </c:pt>
                <c:pt idx="26" formatCode="0.0">
                  <c:v>6.7149999999999999</c:v>
                </c:pt>
                <c:pt idx="27" formatCode="0.0">
                  <c:v>21</c:v>
                </c:pt>
                <c:pt idx="28" formatCode="0.0">
                  <c:v>5.6639999999999997</c:v>
                </c:pt>
                <c:pt idx="29" formatCode="0.0">
                  <c:v>3.859</c:v>
                </c:pt>
                <c:pt idx="30" formatCode="0.0">
                  <c:v>3.15</c:v>
                </c:pt>
                <c:pt idx="31" formatCode="0.0">
                  <c:v>8.2188300000000005</c:v>
                </c:pt>
                <c:pt idx="32" formatCode="0.0">
                  <c:v>1.72</c:v>
                </c:pt>
                <c:pt idx="33" formatCode="0.0">
                  <c:v>17.128763500000002</c:v>
                </c:pt>
                <c:pt idx="34" formatCode="0.0">
                  <c:v>77.940000000000012</c:v>
                </c:pt>
                <c:pt idx="35" formatCode="0.0">
                  <c:v>9.3398999999999983</c:v>
                </c:pt>
                <c:pt idx="36" formatCode="0.0">
                  <c:v>123.675</c:v>
                </c:pt>
                <c:pt idx="37" formatCode="0.0">
                  <c:v>1.5390000000000001</c:v>
                </c:pt>
                <c:pt idx="38" formatCode="0.0">
                  <c:v>32.450000000000003</c:v>
                </c:pt>
                <c:pt idx="39" formatCode="0.0">
                  <c:v>40.052509000000008</c:v>
                </c:pt>
                <c:pt idx="40" formatCode="0.0">
                  <c:v>24.959099999999999</c:v>
                </c:pt>
                <c:pt idx="41" formatCode="0.0">
                  <c:v>14.741999999999997</c:v>
                </c:pt>
                <c:pt idx="42" formatCode="0.0">
                  <c:v>11.59704</c:v>
                </c:pt>
                <c:pt idx="43" formatCode="0.0">
                  <c:v>16.12</c:v>
                </c:pt>
                <c:pt idx="44" formatCode="0.0">
                  <c:v>2.8000000000000007</c:v>
                </c:pt>
                <c:pt idx="45" formatCode="0.0">
                  <c:v>8.42</c:v>
                </c:pt>
                <c:pt idx="46" formatCode="0.0">
                  <c:v>5.081999999999999</c:v>
                </c:pt>
                <c:pt idx="47">
                  <c:v>2228.8105417999996</c:v>
                </c:pt>
                <c:pt idx="48">
                  <c:v>5704.46</c:v>
                </c:pt>
                <c:pt idx="49" formatCode="0.0">
                  <c:v>3.6656</c:v>
                </c:pt>
                <c:pt idx="50" formatCode="0.0">
                  <c:v>124.95822</c:v>
                </c:pt>
                <c:pt idx="51" formatCode="0.0">
                  <c:v>23.875199999999996</c:v>
                </c:pt>
                <c:pt idx="52" formatCode="0.0">
                  <c:v>7.9092000000000011</c:v>
                </c:pt>
                <c:pt idx="53" formatCode="0.0">
                  <c:v>25.727080373831779</c:v>
                </c:pt>
                <c:pt idx="54" formatCode="0.0">
                  <c:v>6.4192500000000017</c:v>
                </c:pt>
                <c:pt idx="55" formatCode="0.0">
                  <c:v>20.398899999999998</c:v>
                </c:pt>
                <c:pt idx="56" formatCode="0.0">
                  <c:v>5.4480999999999993</c:v>
                </c:pt>
                <c:pt idx="57" formatCode="0.0">
                  <c:v>1.45</c:v>
                </c:pt>
                <c:pt idx="58" formatCode="0.0">
                  <c:v>81.454999999999998</c:v>
                </c:pt>
                <c:pt idx="59" formatCode="0.0">
                  <c:v>313.96390000000002</c:v>
                </c:pt>
                <c:pt idx="60" formatCode="0.0">
                  <c:v>29.348000000000003</c:v>
                </c:pt>
                <c:pt idx="61" formatCode="0.0">
                  <c:v>1.7</c:v>
                </c:pt>
                <c:pt idx="62" formatCode="0.0">
                  <c:v>1.47</c:v>
                </c:pt>
                <c:pt idx="63">
                  <c:v>4500</c:v>
                </c:pt>
                <c:pt idx="64" formatCode="0.0">
                  <c:v>15.96</c:v>
                </c:pt>
                <c:pt idx="65" formatCode="0.0">
                  <c:v>76.59</c:v>
                </c:pt>
                <c:pt idx="66" formatCode="0.0">
                  <c:v>12.98</c:v>
                </c:pt>
                <c:pt idx="67" formatCode="0.0">
                  <c:v>19.988</c:v>
                </c:pt>
                <c:pt idx="68" formatCode="0.0">
                  <c:v>28</c:v>
                </c:pt>
                <c:pt idx="69" formatCode="0.0">
                  <c:v>14.008000000000003</c:v>
                </c:pt>
                <c:pt idx="70" formatCode="0.0">
                  <c:v>15.995200000000001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3DE-4635-A17E-3FA7433FE89E}"/>
            </c:ext>
          </c:extLst>
        </c:ser>
        <c:ser>
          <c:idx val="3"/>
          <c:order val="3"/>
          <c:tx>
            <c:v>Hydrothermal: Sediment-hosted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$Values'!$GP$20:$GP$26</c:f>
              <c:numCache>
                <c:formatCode>General</c:formatCode>
                <c:ptCount val="7"/>
                <c:pt idx="0">
                  <c:v>0.46</c:v>
                </c:pt>
                <c:pt idx="1">
                  <c:v>0.10400000000000001</c:v>
                </c:pt>
                <c:pt idx="2" formatCode="0.000">
                  <c:v>5.9405520169851386E-2</c:v>
                </c:pt>
                <c:pt idx="3" formatCode="0.00">
                  <c:v>0.16020000000000001</c:v>
                </c:pt>
                <c:pt idx="4" formatCode="0.00">
                  <c:v>0.26700000000000002</c:v>
                </c:pt>
                <c:pt idx="5" formatCode="0.00">
                  <c:v>0.87752475247524742</c:v>
                </c:pt>
                <c:pt idx="6" formatCode="0.000">
                  <c:v>2.0127214606251116E-2</c:v>
                </c:pt>
              </c:numCache>
            </c:numRef>
          </c:xVal>
          <c:yVal>
            <c:numRef>
              <c:f>'Ni $Values'!$GQ$20:$GQ$25</c:f>
              <c:numCache>
                <c:formatCode>0.0</c:formatCode>
                <c:ptCount val="6"/>
                <c:pt idx="0">
                  <c:v>8.3462399999999999</c:v>
                </c:pt>
                <c:pt idx="1">
                  <c:v>3.6920000000000006</c:v>
                </c:pt>
                <c:pt idx="2">
                  <c:v>0.5596000000000001</c:v>
                </c:pt>
                <c:pt idx="3">
                  <c:v>48.854728170000001</c:v>
                </c:pt>
                <c:pt idx="4" formatCode="#,##0">
                  <c:v>4071.75</c:v>
                </c:pt>
                <c:pt idx="5">
                  <c:v>531.78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DE-4635-A17E-3FA7433FE89E}"/>
            </c:ext>
          </c:extLst>
        </c:ser>
        <c:ser>
          <c:idx val="4"/>
          <c:order val="4"/>
          <c:tx>
            <c:v>Hydrothermal: Shale-hosted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$Values'!$GP$27:$GP$29</c:f>
              <c:numCache>
                <c:formatCode>General</c:formatCode>
                <c:ptCount val="3"/>
                <c:pt idx="0" formatCode="0.0000">
                  <c:v>6.792347407781972E-3</c:v>
                </c:pt>
                <c:pt idx="1">
                  <c:v>0.03</c:v>
                </c:pt>
                <c:pt idx="2">
                  <c:v>3.4000000000000002E-2</c:v>
                </c:pt>
              </c:numCache>
            </c:numRef>
          </c:xVal>
          <c:yVal>
            <c:numRef>
              <c:f>'Ni $Values'!$GQ$27:$GQ$29</c:f>
              <c:numCache>
                <c:formatCode>0.0</c:formatCode>
                <c:ptCount val="3"/>
                <c:pt idx="0">
                  <c:v>353.81432740000002</c:v>
                </c:pt>
                <c:pt idx="1">
                  <c:v>780</c:v>
                </c:pt>
                <c:pt idx="2" formatCode="#,##0">
                  <c:v>1041.0800000000002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DE-4635-A17E-3FA7433FE89E}"/>
            </c:ext>
          </c:extLst>
        </c:ser>
        <c:ser>
          <c:idx val="12"/>
          <c:order val="5"/>
          <c:tx>
            <c:v>MagS: Impact 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0000">
                  <a:alpha val="96000"/>
                </a:srgb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$Values'!$GP$357:$GP$370</c:f>
              <c:numCache>
                <c:formatCode>0.00</c:formatCode>
                <c:ptCount val="14"/>
                <c:pt idx="0">
                  <c:v>1.4900092712775821</c:v>
                </c:pt>
                <c:pt idx="1">
                  <c:v>1.3987196110210696</c:v>
                </c:pt>
                <c:pt idx="2">
                  <c:v>0.64075546829816687</c:v>
                </c:pt>
                <c:pt idx="3">
                  <c:v>0.58803418803418805</c:v>
                </c:pt>
                <c:pt idx="4">
                  <c:v>0.67852150537634415</c:v>
                </c:pt>
                <c:pt idx="5">
                  <c:v>2.4309090909090907</c:v>
                </c:pt>
                <c:pt idx="6">
                  <c:v>1.0179661016949151</c:v>
                </c:pt>
                <c:pt idx="7" formatCode="General">
                  <c:v>2.5</c:v>
                </c:pt>
                <c:pt idx="8">
                  <c:v>1.2439534883720929</c:v>
                </c:pt>
                <c:pt idx="9">
                  <c:v>0.43672985781990525</c:v>
                </c:pt>
                <c:pt idx="10">
                  <c:v>0.4439080459770115</c:v>
                </c:pt>
                <c:pt idx="11">
                  <c:v>0.31970235634559735</c:v>
                </c:pt>
                <c:pt idx="12" formatCode="General">
                  <c:v>0.56999999999999995</c:v>
                </c:pt>
                <c:pt idx="13" formatCode="General">
                  <c:v>0.53</c:v>
                </c:pt>
              </c:numCache>
            </c:numRef>
          </c:xVal>
          <c:yVal>
            <c:numRef>
              <c:f>'Ni $Values'!$GQ$357:$GQ$370</c:f>
              <c:numCache>
                <c:formatCode>0.0</c:formatCode>
                <c:ptCount val="14"/>
                <c:pt idx="0">
                  <c:v>803.56200000000001</c:v>
                </c:pt>
                <c:pt idx="1">
                  <c:v>863.00999999999988</c:v>
                </c:pt>
                <c:pt idx="2">
                  <c:v>78.883149400000008</c:v>
                </c:pt>
                <c:pt idx="3">
                  <c:v>2.0640000000000001</c:v>
                </c:pt>
                <c:pt idx="4">
                  <c:v>50.481999999999999</c:v>
                </c:pt>
                <c:pt idx="5">
                  <c:v>5.3479999999999999</c:v>
                </c:pt>
                <c:pt idx="6">
                  <c:v>24.024000000000001</c:v>
                </c:pt>
                <c:pt idx="7">
                  <c:v>355</c:v>
                </c:pt>
                <c:pt idx="8">
                  <c:v>26.745000000000001</c:v>
                </c:pt>
                <c:pt idx="9">
                  <c:v>46.075000000000003</c:v>
                </c:pt>
                <c:pt idx="10">
                  <c:v>4.2481999999999998</c:v>
                </c:pt>
                <c:pt idx="11">
                  <c:v>185.60640000000001</c:v>
                </c:pt>
                <c:pt idx="12">
                  <c:v>3.7676999999999996</c:v>
                </c:pt>
                <c:pt idx="13">
                  <c:v>0.49083300000000002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3DE-4635-A17E-3FA7433FE89E}"/>
            </c:ext>
          </c:extLst>
        </c:ser>
        <c:ser>
          <c:idx val="5"/>
          <c:order val="6"/>
          <c:tx>
            <c:v>Hydrothermal: Unconformity Uranium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$Values'!$GP$30:$GP$33</c:f>
              <c:numCache>
                <c:formatCode>0.000</c:formatCode>
                <c:ptCount val="4"/>
                <c:pt idx="0" formatCode="0.00">
                  <c:v>0.12509433962264152</c:v>
                </c:pt>
                <c:pt idx="1">
                  <c:v>5.6171284634760704E-2</c:v>
                </c:pt>
                <c:pt idx="2">
                  <c:v>4.7855882352941179E-2</c:v>
                </c:pt>
                <c:pt idx="3">
                  <c:v>3.3138918513138577E-2</c:v>
                </c:pt>
              </c:numCache>
            </c:numRef>
          </c:xVal>
          <c:yVal>
            <c:numRef>
              <c:f>'Ni $Values'!$GQ$30:$GQ$33</c:f>
              <c:numCache>
                <c:formatCode>0.0</c:formatCode>
                <c:ptCount val="4"/>
                <c:pt idx="0">
                  <c:v>6.6300000000000008</c:v>
                </c:pt>
                <c:pt idx="1">
                  <c:v>0.31219999999999998</c:v>
                </c:pt>
                <c:pt idx="2">
                  <c:v>16.271000000000001</c:v>
                </c:pt>
                <c:pt idx="3">
                  <c:v>0.2308752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DE-4635-A17E-3FA7433FE89E}"/>
            </c:ext>
          </c:extLst>
        </c:ser>
        <c:ser>
          <c:idx val="9"/>
          <c:order val="7"/>
          <c:tx>
            <c:v>Laterite: Hydrous Mg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$Values'!$GP$93:$GP$148</c:f>
              <c:numCache>
                <c:formatCode>0.00</c:formatCode>
                <c:ptCount val="56"/>
                <c:pt idx="0">
                  <c:v>1.2771165644171778</c:v>
                </c:pt>
                <c:pt idx="1">
                  <c:v>0.36276043493511045</c:v>
                </c:pt>
                <c:pt idx="2" formatCode="General">
                  <c:v>0.6</c:v>
                </c:pt>
                <c:pt idx="3">
                  <c:v>1.2436184210526315</c:v>
                </c:pt>
                <c:pt idx="4">
                  <c:v>1.4951612903225806</c:v>
                </c:pt>
                <c:pt idx="5">
                  <c:v>1.2702387775316242</c:v>
                </c:pt>
                <c:pt idx="6">
                  <c:v>1.5293497363796131</c:v>
                </c:pt>
                <c:pt idx="7" formatCode="General">
                  <c:v>1.45</c:v>
                </c:pt>
                <c:pt idx="8" formatCode="General">
                  <c:v>1.38</c:v>
                </c:pt>
                <c:pt idx="9">
                  <c:v>1.4634379084967322</c:v>
                </c:pt>
                <c:pt idx="10">
                  <c:v>1.7448583690987125</c:v>
                </c:pt>
                <c:pt idx="11">
                  <c:v>2.4668866571018651</c:v>
                </c:pt>
                <c:pt idx="12">
                  <c:v>2.4182225738396625</c:v>
                </c:pt>
                <c:pt idx="13">
                  <c:v>1.55</c:v>
                </c:pt>
                <c:pt idx="14">
                  <c:v>0.79999999999999993</c:v>
                </c:pt>
                <c:pt idx="15">
                  <c:v>1.1664272918052925</c:v>
                </c:pt>
                <c:pt idx="16">
                  <c:v>1.0017264276228419</c:v>
                </c:pt>
                <c:pt idx="17">
                  <c:v>1.2996655641308341</c:v>
                </c:pt>
                <c:pt idx="18">
                  <c:v>1.07</c:v>
                </c:pt>
                <c:pt idx="19">
                  <c:v>1.3230792171178074</c:v>
                </c:pt>
                <c:pt idx="20">
                  <c:v>1.5517910048670351</c:v>
                </c:pt>
                <c:pt idx="21">
                  <c:v>1.5098742472042714</c:v>
                </c:pt>
                <c:pt idx="22">
                  <c:v>1.2193532290567124</c:v>
                </c:pt>
                <c:pt idx="23">
                  <c:v>1.8859145150034891</c:v>
                </c:pt>
                <c:pt idx="24">
                  <c:v>1.6488915547024949</c:v>
                </c:pt>
                <c:pt idx="25">
                  <c:v>1.8131154471544715</c:v>
                </c:pt>
                <c:pt idx="26">
                  <c:v>1.9175680301215126</c:v>
                </c:pt>
                <c:pt idx="27">
                  <c:v>1.0589129015657857</c:v>
                </c:pt>
                <c:pt idx="28">
                  <c:v>1.0443488108720271</c:v>
                </c:pt>
                <c:pt idx="29">
                  <c:v>0.8262779740871613</c:v>
                </c:pt>
                <c:pt idx="30" formatCode="General">
                  <c:v>1.1000000000000001</c:v>
                </c:pt>
                <c:pt idx="31" formatCode="General">
                  <c:v>1.5</c:v>
                </c:pt>
                <c:pt idx="32">
                  <c:v>1.5</c:v>
                </c:pt>
                <c:pt idx="33">
                  <c:v>2.15</c:v>
                </c:pt>
                <c:pt idx="34" formatCode="General">
                  <c:v>1.55</c:v>
                </c:pt>
                <c:pt idx="35" formatCode="General">
                  <c:v>0.77</c:v>
                </c:pt>
                <c:pt idx="36" formatCode="General">
                  <c:v>1.3</c:v>
                </c:pt>
                <c:pt idx="37" formatCode="General">
                  <c:v>1.4</c:v>
                </c:pt>
                <c:pt idx="38" formatCode="General">
                  <c:v>1.46</c:v>
                </c:pt>
                <c:pt idx="39">
                  <c:v>1.77</c:v>
                </c:pt>
                <c:pt idx="40">
                  <c:v>1.1000000000000001</c:v>
                </c:pt>
                <c:pt idx="41" formatCode="General">
                  <c:v>0.82999999999999985</c:v>
                </c:pt>
                <c:pt idx="42" formatCode="General">
                  <c:v>0.86</c:v>
                </c:pt>
                <c:pt idx="43" formatCode="General">
                  <c:v>0.91</c:v>
                </c:pt>
                <c:pt idx="44" formatCode="General">
                  <c:v>1.1000000000000001</c:v>
                </c:pt>
                <c:pt idx="45">
                  <c:v>1.3907478935738282</c:v>
                </c:pt>
                <c:pt idx="46" formatCode="General">
                  <c:v>1.3</c:v>
                </c:pt>
                <c:pt idx="47" formatCode="General">
                  <c:v>1.4</c:v>
                </c:pt>
                <c:pt idx="48" formatCode="General">
                  <c:v>1.33</c:v>
                </c:pt>
                <c:pt idx="49" formatCode="General">
                  <c:v>1.55</c:v>
                </c:pt>
                <c:pt idx="50" formatCode="General">
                  <c:v>1.26</c:v>
                </c:pt>
                <c:pt idx="51">
                  <c:v>1.771674051342172</c:v>
                </c:pt>
                <c:pt idx="52">
                  <c:v>0.85736146144936998</c:v>
                </c:pt>
                <c:pt idx="53" formatCode="General">
                  <c:v>1.6</c:v>
                </c:pt>
                <c:pt idx="54" formatCode="General">
                  <c:v>0.8</c:v>
                </c:pt>
                <c:pt idx="55" formatCode="General">
                  <c:v>1.07</c:v>
                </c:pt>
              </c:numCache>
            </c:numRef>
          </c:xVal>
          <c:yVal>
            <c:numRef>
              <c:f>'Ni $Values'!$GQ$93:$GQ$148</c:f>
              <c:numCache>
                <c:formatCode>0.0</c:formatCode>
                <c:ptCount val="56"/>
                <c:pt idx="0" formatCode="#,##0">
                  <c:v>1040.8499999999999</c:v>
                </c:pt>
                <c:pt idx="1">
                  <c:v>31.026899999999998</c:v>
                </c:pt>
                <c:pt idx="2">
                  <c:v>100.8</c:v>
                </c:pt>
                <c:pt idx="3">
                  <c:v>189.03</c:v>
                </c:pt>
                <c:pt idx="4">
                  <c:v>92.7</c:v>
                </c:pt>
                <c:pt idx="5" formatCode="#,##0">
                  <c:v>1679.9796999999996</c:v>
                </c:pt>
                <c:pt idx="6" formatCode="#,##0">
                  <c:v>1740.4</c:v>
                </c:pt>
                <c:pt idx="7">
                  <c:v>667</c:v>
                </c:pt>
                <c:pt idx="8">
                  <c:v>524.4</c:v>
                </c:pt>
                <c:pt idx="9" formatCode="#,##0">
                  <c:v>1119.5300000000002</c:v>
                </c:pt>
                <c:pt idx="10" formatCode="#,##0">
                  <c:v>2032.76</c:v>
                </c:pt>
                <c:pt idx="11" formatCode="#,##0">
                  <c:v>3438.84</c:v>
                </c:pt>
                <c:pt idx="12" formatCode="#,##0">
                  <c:v>4584.95</c:v>
                </c:pt>
                <c:pt idx="13">
                  <c:v>141.51499999999999</c:v>
                </c:pt>
                <c:pt idx="14">
                  <c:v>344</c:v>
                </c:pt>
                <c:pt idx="15">
                  <c:v>227.88490000000002</c:v>
                </c:pt>
                <c:pt idx="16">
                  <c:v>452.58</c:v>
                </c:pt>
                <c:pt idx="17">
                  <c:v>35.363899999999994</c:v>
                </c:pt>
                <c:pt idx="18">
                  <c:v>97.016900000000007</c:v>
                </c:pt>
                <c:pt idx="19">
                  <c:v>811.88110000000017</c:v>
                </c:pt>
                <c:pt idx="20">
                  <c:v>696.58877129999996</c:v>
                </c:pt>
                <c:pt idx="21">
                  <c:v>145.85120999999998</c:v>
                </c:pt>
                <c:pt idx="22">
                  <c:v>889.48160000000007</c:v>
                </c:pt>
                <c:pt idx="23" formatCode="#,##0">
                  <c:v>5405.030999999999</c:v>
                </c:pt>
                <c:pt idx="24" formatCode="#,##0">
                  <c:v>2749.0319999999997</c:v>
                </c:pt>
                <c:pt idx="25">
                  <c:v>557.5329999999999</c:v>
                </c:pt>
                <c:pt idx="26" formatCode="#,##0">
                  <c:v>2240.87</c:v>
                </c:pt>
                <c:pt idx="27">
                  <c:v>61.607955000000004</c:v>
                </c:pt>
                <c:pt idx="28">
                  <c:v>11.06592</c:v>
                </c:pt>
                <c:pt idx="29" formatCode="#,##0">
                  <c:v>1403.02</c:v>
                </c:pt>
                <c:pt idx="30">
                  <c:v>424.6</c:v>
                </c:pt>
                <c:pt idx="31">
                  <c:v>915</c:v>
                </c:pt>
                <c:pt idx="32">
                  <c:v>840</c:v>
                </c:pt>
                <c:pt idx="33">
                  <c:v>860</c:v>
                </c:pt>
                <c:pt idx="34">
                  <c:v>38.75</c:v>
                </c:pt>
                <c:pt idx="35" formatCode="#,##0">
                  <c:v>5929</c:v>
                </c:pt>
                <c:pt idx="36">
                  <c:v>221</c:v>
                </c:pt>
                <c:pt idx="37">
                  <c:v>182</c:v>
                </c:pt>
                <c:pt idx="38" formatCode="#,##0">
                  <c:v>4277.8</c:v>
                </c:pt>
                <c:pt idx="39" formatCode="#,##0">
                  <c:v>3097.5</c:v>
                </c:pt>
                <c:pt idx="40" formatCode="#,##0">
                  <c:v>2140.6000000000004</c:v>
                </c:pt>
                <c:pt idx="41">
                  <c:v>101.67499999999998</c:v>
                </c:pt>
                <c:pt idx="42">
                  <c:v>292.572</c:v>
                </c:pt>
                <c:pt idx="43">
                  <c:v>132.08832000000001</c:v>
                </c:pt>
                <c:pt idx="44">
                  <c:v>412.5</c:v>
                </c:pt>
                <c:pt idx="45">
                  <c:v>154.82639999999998</c:v>
                </c:pt>
                <c:pt idx="46">
                  <c:v>313.3</c:v>
                </c:pt>
                <c:pt idx="47">
                  <c:v>63.433999999999997</c:v>
                </c:pt>
                <c:pt idx="48">
                  <c:v>147.68320000000003</c:v>
                </c:pt>
                <c:pt idx="49">
                  <c:v>706.83100000000002</c:v>
                </c:pt>
                <c:pt idx="50">
                  <c:v>629.57159999999999</c:v>
                </c:pt>
                <c:pt idx="51" formatCode="#,##0">
                  <c:v>1027.6241</c:v>
                </c:pt>
                <c:pt idx="52">
                  <c:v>603.31240000000003</c:v>
                </c:pt>
                <c:pt idx="53">
                  <c:v>720</c:v>
                </c:pt>
                <c:pt idx="54">
                  <c:v>20</c:v>
                </c:pt>
                <c:pt idx="55">
                  <c:v>192.6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DE-4635-A17E-3FA7433FE89E}"/>
            </c:ext>
          </c:extLst>
        </c:ser>
        <c:ser>
          <c:idx val="13"/>
          <c:order val="8"/>
          <c:tx>
            <c:v>MagS: Layered Intrusive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$Values'!$GP$371:$GP$482</c:f>
              <c:numCache>
                <c:formatCode>0.00</c:formatCode>
                <c:ptCount val="112"/>
                <c:pt idx="0" formatCode="0.000">
                  <c:v>7.0357938804408063E-2</c:v>
                </c:pt>
                <c:pt idx="1">
                  <c:v>0.94967024661250998</c:v>
                </c:pt>
                <c:pt idx="2" formatCode="0.000">
                  <c:v>9.6647482014388511E-2</c:v>
                </c:pt>
                <c:pt idx="3" formatCode="0.000">
                  <c:v>8.5025160109789569E-2</c:v>
                </c:pt>
                <c:pt idx="4">
                  <c:v>0.14607836670549146</c:v>
                </c:pt>
                <c:pt idx="5">
                  <c:v>0.16187986779709729</c:v>
                </c:pt>
                <c:pt idx="6">
                  <c:v>0.18279788838612368</c:v>
                </c:pt>
                <c:pt idx="7">
                  <c:v>0.15649216695729196</c:v>
                </c:pt>
                <c:pt idx="8">
                  <c:v>0.11045765345765345</c:v>
                </c:pt>
                <c:pt idx="9">
                  <c:v>0.19</c:v>
                </c:pt>
                <c:pt idx="10">
                  <c:v>0.20463110206781229</c:v>
                </c:pt>
                <c:pt idx="11">
                  <c:v>0.16794461792232876</c:v>
                </c:pt>
                <c:pt idx="12">
                  <c:v>0.21999999999999997</c:v>
                </c:pt>
                <c:pt idx="13">
                  <c:v>0.1897168475696083</c:v>
                </c:pt>
                <c:pt idx="14">
                  <c:v>0.21049687190494726</c:v>
                </c:pt>
                <c:pt idx="15" formatCode="General">
                  <c:v>0.18</c:v>
                </c:pt>
                <c:pt idx="16" formatCode="General">
                  <c:v>0.27</c:v>
                </c:pt>
                <c:pt idx="17">
                  <c:v>0.03</c:v>
                </c:pt>
                <c:pt idx="18">
                  <c:v>0.03</c:v>
                </c:pt>
                <c:pt idx="19">
                  <c:v>0.1497952218430034</c:v>
                </c:pt>
                <c:pt idx="20">
                  <c:v>0.1587266739846323</c:v>
                </c:pt>
                <c:pt idx="21">
                  <c:v>0.15661457629485723</c:v>
                </c:pt>
                <c:pt idx="22">
                  <c:v>0.11240231217618898</c:v>
                </c:pt>
                <c:pt idx="23">
                  <c:v>0.11240231217618903</c:v>
                </c:pt>
                <c:pt idx="24">
                  <c:v>0.14062229501023565</c:v>
                </c:pt>
                <c:pt idx="25">
                  <c:v>0.11240231217618903</c:v>
                </c:pt>
                <c:pt idx="26">
                  <c:v>0.14933920704845813</c:v>
                </c:pt>
                <c:pt idx="27">
                  <c:v>9.7221609195402292E-2</c:v>
                </c:pt>
                <c:pt idx="28">
                  <c:v>0.11240231217618901</c:v>
                </c:pt>
                <c:pt idx="29">
                  <c:v>0.11240231217618901</c:v>
                </c:pt>
                <c:pt idx="30">
                  <c:v>0.16493821110212786</c:v>
                </c:pt>
                <c:pt idx="31">
                  <c:v>0.15393774011700964</c:v>
                </c:pt>
                <c:pt idx="32">
                  <c:v>0.1593730610930775</c:v>
                </c:pt>
                <c:pt idx="33">
                  <c:v>0.20884496466431093</c:v>
                </c:pt>
                <c:pt idx="34">
                  <c:v>0.17578748079679699</c:v>
                </c:pt>
                <c:pt idx="35">
                  <c:v>0.11240231217618903</c:v>
                </c:pt>
                <c:pt idx="36">
                  <c:v>0.05</c:v>
                </c:pt>
                <c:pt idx="37">
                  <c:v>0.13200000000000001</c:v>
                </c:pt>
                <c:pt idx="38">
                  <c:v>0.19449908860216589</c:v>
                </c:pt>
                <c:pt idx="39">
                  <c:v>0.16168649771652202</c:v>
                </c:pt>
                <c:pt idx="40">
                  <c:v>7.6345284059569765E-2</c:v>
                </c:pt>
                <c:pt idx="41">
                  <c:v>7.0628067967275013E-2</c:v>
                </c:pt>
                <c:pt idx="42">
                  <c:v>0.15418776577294949</c:v>
                </c:pt>
                <c:pt idx="43">
                  <c:v>0.11240231217618901</c:v>
                </c:pt>
                <c:pt idx="44">
                  <c:v>0.10154090548054009</c:v>
                </c:pt>
                <c:pt idx="45">
                  <c:v>0.15413423533050072</c:v>
                </c:pt>
                <c:pt idx="46">
                  <c:v>0.11240231217618901</c:v>
                </c:pt>
                <c:pt idx="47">
                  <c:v>0.13444305381727156</c:v>
                </c:pt>
                <c:pt idx="48">
                  <c:v>0.11240231217618901</c:v>
                </c:pt>
                <c:pt idx="49">
                  <c:v>0.10840493827160494</c:v>
                </c:pt>
                <c:pt idx="50">
                  <c:v>0.11240231217618901</c:v>
                </c:pt>
                <c:pt idx="51">
                  <c:v>0.14212513020833331</c:v>
                </c:pt>
                <c:pt idx="52">
                  <c:v>0.05</c:v>
                </c:pt>
                <c:pt idx="53">
                  <c:v>8.3000000000000004E-2</c:v>
                </c:pt>
                <c:pt idx="54">
                  <c:v>0.13546948943268089</c:v>
                </c:pt>
                <c:pt idx="55">
                  <c:v>7.4930702156952717E-2</c:v>
                </c:pt>
                <c:pt idx="56">
                  <c:v>0.11240231217618903</c:v>
                </c:pt>
                <c:pt idx="57">
                  <c:v>0.112402312176189</c:v>
                </c:pt>
                <c:pt idx="58">
                  <c:v>9.4377063008633355E-2</c:v>
                </c:pt>
                <c:pt idx="59">
                  <c:v>0.16069295257331892</c:v>
                </c:pt>
                <c:pt idx="60">
                  <c:v>0.15134633108190287</c:v>
                </c:pt>
                <c:pt idx="61">
                  <c:v>0.19175800492610839</c:v>
                </c:pt>
                <c:pt idx="62">
                  <c:v>9.0869048293041974E-2</c:v>
                </c:pt>
                <c:pt idx="63">
                  <c:v>0.1585307621671258</c:v>
                </c:pt>
                <c:pt idx="64">
                  <c:v>0.05</c:v>
                </c:pt>
                <c:pt idx="65">
                  <c:v>0.13860254331468963</c:v>
                </c:pt>
                <c:pt idx="66">
                  <c:v>0.15861597483212142</c:v>
                </c:pt>
                <c:pt idx="67">
                  <c:v>0.31406103286384973</c:v>
                </c:pt>
                <c:pt idx="68">
                  <c:v>0.21708708708708713</c:v>
                </c:pt>
                <c:pt idx="69">
                  <c:v>0.18527967784642543</c:v>
                </c:pt>
                <c:pt idx="70">
                  <c:v>0.13</c:v>
                </c:pt>
                <c:pt idx="71">
                  <c:v>0.19425101214574897</c:v>
                </c:pt>
                <c:pt idx="72">
                  <c:v>0.36235460992907803</c:v>
                </c:pt>
                <c:pt idx="73">
                  <c:v>0.10076278475729883</c:v>
                </c:pt>
                <c:pt idx="74" formatCode="General">
                  <c:v>0.21999999999999997</c:v>
                </c:pt>
                <c:pt idx="75" formatCode="General">
                  <c:v>0.13999999999999999</c:v>
                </c:pt>
                <c:pt idx="76">
                  <c:v>0.12061090037931722</c:v>
                </c:pt>
                <c:pt idx="77">
                  <c:v>0.21491195891415993</c:v>
                </c:pt>
                <c:pt idx="78" formatCode="General">
                  <c:v>0.15</c:v>
                </c:pt>
                <c:pt idx="79">
                  <c:v>0.1512242562929062</c:v>
                </c:pt>
                <c:pt idx="80" formatCode="0.000">
                  <c:v>9.5629139072847674E-2</c:v>
                </c:pt>
                <c:pt idx="81">
                  <c:v>0.3034</c:v>
                </c:pt>
                <c:pt idx="82">
                  <c:v>1.652610505600969</c:v>
                </c:pt>
                <c:pt idx="83">
                  <c:v>0.26929469273743017</c:v>
                </c:pt>
                <c:pt idx="84" formatCode="0.000">
                  <c:v>8.7796610169491529E-2</c:v>
                </c:pt>
                <c:pt idx="85" formatCode="General">
                  <c:v>1.3999999999999997</c:v>
                </c:pt>
                <c:pt idx="86" formatCode="0.000">
                  <c:v>6.6600000000000006E-2</c:v>
                </c:pt>
                <c:pt idx="87">
                  <c:v>0.47723656122646996</c:v>
                </c:pt>
                <c:pt idx="88">
                  <c:v>0.23334072431633407</c:v>
                </c:pt>
                <c:pt idx="89">
                  <c:v>0.63465894997933026</c:v>
                </c:pt>
                <c:pt idx="90" formatCode="General">
                  <c:v>0.24</c:v>
                </c:pt>
                <c:pt idx="91" formatCode="General">
                  <c:v>0.28999999999999998</c:v>
                </c:pt>
                <c:pt idx="92" formatCode="General">
                  <c:v>7.0000000000000007E-2</c:v>
                </c:pt>
                <c:pt idx="93" formatCode="General">
                  <c:v>0.23000000000000004</c:v>
                </c:pt>
                <c:pt idx="94" formatCode="General">
                  <c:v>0.12</c:v>
                </c:pt>
                <c:pt idx="95" formatCode="General">
                  <c:v>0.8</c:v>
                </c:pt>
                <c:pt idx="96">
                  <c:v>0.20463110206781226</c:v>
                </c:pt>
                <c:pt idx="97" formatCode="General">
                  <c:v>0.28999999999999998</c:v>
                </c:pt>
                <c:pt idx="98">
                  <c:v>0.12099999999999998</c:v>
                </c:pt>
                <c:pt idx="99" formatCode="General">
                  <c:v>0.31</c:v>
                </c:pt>
                <c:pt idx="100" formatCode="General">
                  <c:v>0.59</c:v>
                </c:pt>
                <c:pt idx="101" formatCode="General">
                  <c:v>0.2</c:v>
                </c:pt>
                <c:pt idx="102" formatCode="General">
                  <c:v>1.1200000000000001</c:v>
                </c:pt>
                <c:pt idx="103" formatCode="General">
                  <c:v>0.33</c:v>
                </c:pt>
                <c:pt idx="104" formatCode="General">
                  <c:v>1.2</c:v>
                </c:pt>
                <c:pt idx="105" formatCode="General">
                  <c:v>0.62</c:v>
                </c:pt>
                <c:pt idx="106" formatCode="General">
                  <c:v>0.5</c:v>
                </c:pt>
                <c:pt idx="107" formatCode="General">
                  <c:v>0.24</c:v>
                </c:pt>
                <c:pt idx="108" formatCode="General">
                  <c:v>5.0999999999999996</c:v>
                </c:pt>
                <c:pt idx="109" formatCode="General">
                  <c:v>3.23</c:v>
                </c:pt>
                <c:pt idx="110" formatCode="General">
                  <c:v>0.33</c:v>
                </c:pt>
                <c:pt idx="111" formatCode="General">
                  <c:v>0.79</c:v>
                </c:pt>
              </c:numCache>
            </c:numRef>
          </c:xVal>
          <c:yVal>
            <c:numRef>
              <c:f>'Ni $Values'!$GQ$371:$GQ$482</c:f>
              <c:numCache>
                <c:formatCode>0.0</c:formatCode>
                <c:ptCount val="112"/>
                <c:pt idx="0">
                  <c:v>57.141199999999998</c:v>
                </c:pt>
                <c:pt idx="1">
                  <c:v>11.760526400000002</c:v>
                </c:pt>
                <c:pt idx="2">
                  <c:v>201.51000000000005</c:v>
                </c:pt>
                <c:pt idx="3">
                  <c:v>18.586499999999997</c:v>
                </c:pt>
                <c:pt idx="4">
                  <c:v>418.22236387782209</c:v>
                </c:pt>
                <c:pt idx="5">
                  <c:v>563.26099999999997</c:v>
                </c:pt>
                <c:pt idx="6">
                  <c:v>1484.0204081632653</c:v>
                </c:pt>
                <c:pt idx="7">
                  <c:v>1130.7810999999999</c:v>
                </c:pt>
                <c:pt idx="8">
                  <c:v>142.15899999999999</c:v>
                </c:pt>
                <c:pt idx="9" formatCode="#,##0">
                  <c:v>6998.65</c:v>
                </c:pt>
                <c:pt idx="10">
                  <c:v>93.843823408298704</c:v>
                </c:pt>
                <c:pt idx="11">
                  <c:v>876.01302449999991</c:v>
                </c:pt>
                <c:pt idx="12">
                  <c:v>87.339999999999975</c:v>
                </c:pt>
                <c:pt idx="13" formatCode="#,##0">
                  <c:v>1148.6000000000004</c:v>
                </c:pt>
                <c:pt idx="14">
                  <c:v>124.65203760467166</c:v>
                </c:pt>
                <c:pt idx="15">
                  <c:v>48.96</c:v>
                </c:pt>
                <c:pt idx="16">
                  <c:v>143.99910000000003</c:v>
                </c:pt>
                <c:pt idx="17">
                  <c:v>52.41</c:v>
                </c:pt>
                <c:pt idx="18">
                  <c:v>49.53</c:v>
                </c:pt>
                <c:pt idx="19">
                  <c:v>263.33999999999997</c:v>
                </c:pt>
                <c:pt idx="20">
                  <c:v>578.40000000000009</c:v>
                </c:pt>
                <c:pt idx="21">
                  <c:v>123.73334600175195</c:v>
                </c:pt>
                <c:pt idx="22">
                  <c:v>26.560666367233463</c:v>
                </c:pt>
                <c:pt idx="23">
                  <c:v>51.929868225399325</c:v>
                </c:pt>
                <c:pt idx="24">
                  <c:v>365.35078466609326</c:v>
                </c:pt>
                <c:pt idx="25">
                  <c:v>63.17117850521511</c:v>
                </c:pt>
                <c:pt idx="26">
                  <c:v>847.49999999999989</c:v>
                </c:pt>
                <c:pt idx="27">
                  <c:v>148.01990000000001</c:v>
                </c:pt>
                <c:pt idx="28">
                  <c:v>3.1472647409332923</c:v>
                </c:pt>
                <c:pt idx="29">
                  <c:v>7.4185526036284752</c:v>
                </c:pt>
                <c:pt idx="30">
                  <c:v>585.48611609555633</c:v>
                </c:pt>
                <c:pt idx="31">
                  <c:v>18.780404294275176</c:v>
                </c:pt>
                <c:pt idx="32">
                  <c:v>70.210294481544949</c:v>
                </c:pt>
                <c:pt idx="33">
                  <c:v>945.64999999999986</c:v>
                </c:pt>
                <c:pt idx="34">
                  <c:v>20.039772810834855</c:v>
                </c:pt>
                <c:pt idx="35">
                  <c:v>123.19293414510317</c:v>
                </c:pt>
                <c:pt idx="36">
                  <c:v>21.75</c:v>
                </c:pt>
                <c:pt idx="37">
                  <c:v>196.41600000000003</c:v>
                </c:pt>
                <c:pt idx="38">
                  <c:v>544.18899999999996</c:v>
                </c:pt>
                <c:pt idx="39">
                  <c:v>15.444294261882183</c:v>
                </c:pt>
                <c:pt idx="40">
                  <c:v>138.41399999999999</c:v>
                </c:pt>
                <c:pt idx="41">
                  <c:v>11.222799999999999</c:v>
                </c:pt>
                <c:pt idx="42">
                  <c:v>1024.2204392259218</c:v>
                </c:pt>
                <c:pt idx="43">
                  <c:v>46.759361865294629</c:v>
                </c:pt>
                <c:pt idx="44">
                  <c:v>127.83999999999997</c:v>
                </c:pt>
                <c:pt idx="45">
                  <c:v>590.45129938946081</c:v>
                </c:pt>
                <c:pt idx="46">
                  <c:v>19.636683937180223</c:v>
                </c:pt>
                <c:pt idx="47">
                  <c:v>644.52</c:v>
                </c:pt>
                <c:pt idx="48">
                  <c:v>23.829290181352071</c:v>
                </c:pt>
                <c:pt idx="49">
                  <c:v>131.71200000000002</c:v>
                </c:pt>
                <c:pt idx="50">
                  <c:v>213.70146912521793</c:v>
                </c:pt>
                <c:pt idx="51">
                  <c:v>21.830419999999993</c:v>
                </c:pt>
                <c:pt idx="52">
                  <c:v>3.8250000000000002</c:v>
                </c:pt>
                <c:pt idx="53">
                  <c:v>10.125999999999999</c:v>
                </c:pt>
                <c:pt idx="54">
                  <c:v>691.97815202213383</c:v>
                </c:pt>
                <c:pt idx="55">
                  <c:v>81.637</c:v>
                </c:pt>
                <c:pt idx="56">
                  <c:v>33.945498277209083</c:v>
                </c:pt>
                <c:pt idx="57">
                  <c:v>4.5538728956217298</c:v>
                </c:pt>
                <c:pt idx="58">
                  <c:v>571.72681</c:v>
                </c:pt>
                <c:pt idx="59">
                  <c:v>292.46117368344045</c:v>
                </c:pt>
                <c:pt idx="60">
                  <c:v>155.25106642381598</c:v>
                </c:pt>
                <c:pt idx="61">
                  <c:v>1245.6599999999999</c:v>
                </c:pt>
                <c:pt idx="62">
                  <c:v>321.00400000000008</c:v>
                </c:pt>
                <c:pt idx="63">
                  <c:v>406.21176470588239</c:v>
                </c:pt>
                <c:pt idx="64">
                  <c:v>8.15</c:v>
                </c:pt>
                <c:pt idx="65">
                  <c:v>760.77550000000008</c:v>
                </c:pt>
                <c:pt idx="66">
                  <c:v>122.80048771502841</c:v>
                </c:pt>
                <c:pt idx="67" formatCode="#,##0">
                  <c:v>2675.8</c:v>
                </c:pt>
                <c:pt idx="68">
                  <c:v>506.03</c:v>
                </c:pt>
                <c:pt idx="69">
                  <c:v>33.587500000000006</c:v>
                </c:pt>
                <c:pt idx="70">
                  <c:v>407.0386666666667</c:v>
                </c:pt>
                <c:pt idx="71">
                  <c:v>18.842348178137648</c:v>
                </c:pt>
                <c:pt idx="72">
                  <c:v>791.92599999999993</c:v>
                </c:pt>
                <c:pt idx="73">
                  <c:v>152.85714447682233</c:v>
                </c:pt>
                <c:pt idx="74">
                  <c:v>495</c:v>
                </c:pt>
                <c:pt idx="75">
                  <c:v>80.079999999999984</c:v>
                </c:pt>
                <c:pt idx="76" formatCode="#,##0">
                  <c:v>1208.28</c:v>
                </c:pt>
                <c:pt idx="77">
                  <c:v>175.755</c:v>
                </c:pt>
                <c:pt idx="78">
                  <c:v>14.31</c:v>
                </c:pt>
                <c:pt idx="79">
                  <c:v>264.34000000000003</c:v>
                </c:pt>
                <c:pt idx="80">
                  <c:v>28.879999999999995</c:v>
                </c:pt>
                <c:pt idx="81">
                  <c:v>151.69999999999999</c:v>
                </c:pt>
                <c:pt idx="82">
                  <c:v>218.34290000000001</c:v>
                </c:pt>
                <c:pt idx="83">
                  <c:v>38.563000000000002</c:v>
                </c:pt>
                <c:pt idx="84">
                  <c:v>20.72</c:v>
                </c:pt>
                <c:pt idx="85">
                  <c:v>1.3999999999999997</c:v>
                </c:pt>
                <c:pt idx="86">
                  <c:v>9.5238000000000014</c:v>
                </c:pt>
                <c:pt idx="87">
                  <c:v>24.592000000000002</c:v>
                </c:pt>
                <c:pt idx="88">
                  <c:v>315.70999999999998</c:v>
                </c:pt>
                <c:pt idx="89">
                  <c:v>46.057200000000002</c:v>
                </c:pt>
                <c:pt idx="90">
                  <c:v>97.533599999999993</c:v>
                </c:pt>
                <c:pt idx="91">
                  <c:v>414.7</c:v>
                </c:pt>
                <c:pt idx="92">
                  <c:v>182.35</c:v>
                </c:pt>
                <c:pt idx="93">
                  <c:v>2.5369000000000006</c:v>
                </c:pt>
                <c:pt idx="94">
                  <c:v>15.255599999999999</c:v>
                </c:pt>
                <c:pt idx="95">
                  <c:v>0.752</c:v>
                </c:pt>
                <c:pt idx="96">
                  <c:v>273.03927948908188</c:v>
                </c:pt>
                <c:pt idx="97" formatCode="#,##0">
                  <c:v>8043.991</c:v>
                </c:pt>
                <c:pt idx="98">
                  <c:v>16.747246999999998</c:v>
                </c:pt>
                <c:pt idx="99">
                  <c:v>407.78640000000001</c:v>
                </c:pt>
                <c:pt idx="100">
                  <c:v>321.14879999999999</c:v>
                </c:pt>
                <c:pt idx="101">
                  <c:v>400</c:v>
                </c:pt>
                <c:pt idx="102">
                  <c:v>34.608000000000004</c:v>
                </c:pt>
                <c:pt idx="103">
                  <c:v>6.6</c:v>
                </c:pt>
                <c:pt idx="104">
                  <c:v>12.12</c:v>
                </c:pt>
                <c:pt idx="105">
                  <c:v>1.0688551999999998</c:v>
                </c:pt>
                <c:pt idx="106">
                  <c:v>20</c:v>
                </c:pt>
                <c:pt idx="107">
                  <c:v>31.44</c:v>
                </c:pt>
                <c:pt idx="108">
                  <c:v>416.16</c:v>
                </c:pt>
                <c:pt idx="109">
                  <c:v>22.933000000000003</c:v>
                </c:pt>
                <c:pt idx="110">
                  <c:v>432.96</c:v>
                </c:pt>
                <c:pt idx="111">
                  <c:v>40.922000000000004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3DE-4635-A17E-3FA7433FE89E}"/>
            </c:ext>
          </c:extLst>
        </c:ser>
        <c:ser>
          <c:idx val="6"/>
          <c:order val="9"/>
          <c:tx>
            <c:v>Hydrothermal: VMS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$Values'!$GP$34:$GP$46</c:f>
              <c:numCache>
                <c:formatCode>0.00</c:formatCode>
                <c:ptCount val="13"/>
                <c:pt idx="0">
                  <c:v>0.27221357333981999</c:v>
                </c:pt>
                <c:pt idx="1">
                  <c:v>0.43060126582278485</c:v>
                </c:pt>
                <c:pt idx="2" formatCode="0.000">
                  <c:v>5.603719599427754E-2</c:v>
                </c:pt>
                <c:pt idx="3" formatCode="General">
                  <c:v>0.05</c:v>
                </c:pt>
                <c:pt idx="4" formatCode="General">
                  <c:v>1.02</c:v>
                </c:pt>
                <c:pt idx="5" formatCode="General">
                  <c:v>0.69999999999999984</c:v>
                </c:pt>
                <c:pt idx="6" formatCode="General">
                  <c:v>0.71</c:v>
                </c:pt>
                <c:pt idx="7" formatCode="General">
                  <c:v>0.13</c:v>
                </c:pt>
                <c:pt idx="8" formatCode="General">
                  <c:v>0.15</c:v>
                </c:pt>
                <c:pt idx="9" formatCode="General">
                  <c:v>0.14000000000000001</c:v>
                </c:pt>
                <c:pt idx="10" formatCode="General">
                  <c:v>0.03</c:v>
                </c:pt>
                <c:pt idx="11" formatCode="General">
                  <c:v>0.02</c:v>
                </c:pt>
                <c:pt idx="12" formatCode="General">
                  <c:v>0.3</c:v>
                </c:pt>
              </c:numCache>
            </c:numRef>
          </c:xVal>
          <c:yVal>
            <c:numRef>
              <c:f>'Ni $Values'!$GQ$34:$GQ$46</c:f>
              <c:numCache>
                <c:formatCode>0.0</c:formatCode>
                <c:ptCount val="13"/>
                <c:pt idx="0">
                  <c:v>22.381399999999999</c:v>
                </c:pt>
                <c:pt idx="1">
                  <c:v>13.607000000000001</c:v>
                </c:pt>
                <c:pt idx="2">
                  <c:v>0.3917000000000001</c:v>
                </c:pt>
                <c:pt idx="3">
                  <c:v>1.7</c:v>
                </c:pt>
                <c:pt idx="4">
                  <c:v>1.9380000000000002</c:v>
                </c:pt>
                <c:pt idx="5">
                  <c:v>0.69999999999999984</c:v>
                </c:pt>
                <c:pt idx="6">
                  <c:v>10.933999999999999</c:v>
                </c:pt>
                <c:pt idx="7">
                  <c:v>0.98799999999999999</c:v>
                </c:pt>
                <c:pt idx="8">
                  <c:v>0.3</c:v>
                </c:pt>
                <c:pt idx="9">
                  <c:v>1.8536000000000001</c:v>
                </c:pt>
                <c:pt idx="10">
                  <c:v>0.21</c:v>
                </c:pt>
                <c:pt idx="11">
                  <c:v>0.36</c:v>
                </c:pt>
                <c:pt idx="1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E-4635-A17E-3FA7433FE89E}"/>
            </c:ext>
          </c:extLst>
        </c:ser>
        <c:ser>
          <c:idx val="8"/>
          <c:order val="10"/>
          <c:tx>
            <c:v>Laterite: Clay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$Values'!$GP$52:$GP$92</c:f>
              <c:numCache>
                <c:formatCode>0.00</c:formatCode>
                <c:ptCount val="41"/>
                <c:pt idx="0">
                  <c:v>0.98799999999999988</c:v>
                </c:pt>
                <c:pt idx="1">
                  <c:v>0.99536162841056752</c:v>
                </c:pt>
                <c:pt idx="2" formatCode="General">
                  <c:v>0.84</c:v>
                </c:pt>
                <c:pt idx="3">
                  <c:v>0.89759398496240628</c:v>
                </c:pt>
                <c:pt idx="4">
                  <c:v>1.0588888888888888</c:v>
                </c:pt>
                <c:pt idx="5">
                  <c:v>1.0743461538461541</c:v>
                </c:pt>
                <c:pt idx="6">
                  <c:v>1.0084383561643835</c:v>
                </c:pt>
                <c:pt idx="7">
                  <c:v>1.0274074074074075</c:v>
                </c:pt>
                <c:pt idx="8">
                  <c:v>0.9738888888888888</c:v>
                </c:pt>
                <c:pt idx="9">
                  <c:v>0.9933333333333334</c:v>
                </c:pt>
                <c:pt idx="10" formatCode="General">
                  <c:v>0.98</c:v>
                </c:pt>
                <c:pt idx="11" formatCode="General">
                  <c:v>1</c:v>
                </c:pt>
                <c:pt idx="12" formatCode="General">
                  <c:v>1.4</c:v>
                </c:pt>
                <c:pt idx="13" formatCode="General">
                  <c:v>0.90000000000000013</c:v>
                </c:pt>
                <c:pt idx="14">
                  <c:v>0.96299999999999997</c:v>
                </c:pt>
                <c:pt idx="15" formatCode="General">
                  <c:v>0.8</c:v>
                </c:pt>
                <c:pt idx="16">
                  <c:v>1.1333734939759037</c:v>
                </c:pt>
                <c:pt idx="17">
                  <c:v>1.0005634875572973</c:v>
                </c:pt>
                <c:pt idx="18">
                  <c:v>0.91629901269393521</c:v>
                </c:pt>
                <c:pt idx="19">
                  <c:v>0.86203007518796992</c:v>
                </c:pt>
                <c:pt idx="20" formatCode="General">
                  <c:v>0.73</c:v>
                </c:pt>
                <c:pt idx="21">
                  <c:v>0.70702702702702691</c:v>
                </c:pt>
                <c:pt idx="22">
                  <c:v>0.81293930679582271</c:v>
                </c:pt>
                <c:pt idx="23" formatCode="General">
                  <c:v>0.91</c:v>
                </c:pt>
                <c:pt idx="24">
                  <c:v>1.0009791827293755</c:v>
                </c:pt>
                <c:pt idx="25">
                  <c:v>0.75424657534246575</c:v>
                </c:pt>
                <c:pt idx="26" formatCode="General">
                  <c:v>0.75</c:v>
                </c:pt>
                <c:pt idx="27">
                  <c:v>0.65392829469218372</c:v>
                </c:pt>
                <c:pt idx="28" formatCode="General">
                  <c:v>0.83</c:v>
                </c:pt>
                <c:pt idx="29" formatCode="General">
                  <c:v>1</c:v>
                </c:pt>
                <c:pt idx="30" formatCode="General">
                  <c:v>1.1499999999999999</c:v>
                </c:pt>
                <c:pt idx="31" formatCode="General">
                  <c:v>1.2</c:v>
                </c:pt>
                <c:pt idx="32" formatCode="General">
                  <c:v>1.1399999999999999</c:v>
                </c:pt>
                <c:pt idx="33" formatCode="General">
                  <c:v>0.91</c:v>
                </c:pt>
                <c:pt idx="34">
                  <c:v>1.175</c:v>
                </c:pt>
                <c:pt idx="35" formatCode="General">
                  <c:v>1.23</c:v>
                </c:pt>
                <c:pt idx="36" formatCode="General">
                  <c:v>1.35</c:v>
                </c:pt>
                <c:pt idx="37" formatCode="General">
                  <c:v>0.63</c:v>
                </c:pt>
                <c:pt idx="38">
                  <c:v>1.0129362416107379</c:v>
                </c:pt>
                <c:pt idx="39">
                  <c:v>0.86440929860459403</c:v>
                </c:pt>
                <c:pt idx="40">
                  <c:v>0.84490899798575025</c:v>
                </c:pt>
              </c:numCache>
            </c:numRef>
          </c:xVal>
          <c:yVal>
            <c:numRef>
              <c:f>'Ni $Values'!$GQ$52:$GQ$92</c:f>
              <c:numCache>
                <c:formatCode>#,##0</c:formatCode>
                <c:ptCount val="41"/>
                <c:pt idx="0" formatCode="0.0">
                  <c:v>103.73999999999998</c:v>
                </c:pt>
                <c:pt idx="1">
                  <c:v>2298.2900000000004</c:v>
                </c:pt>
                <c:pt idx="2" formatCode="0.0">
                  <c:v>119.28</c:v>
                </c:pt>
                <c:pt idx="3" formatCode="0.0">
                  <c:v>358.1400000000001</c:v>
                </c:pt>
                <c:pt idx="4" formatCode="0.0">
                  <c:v>47.649999999999991</c:v>
                </c:pt>
                <c:pt idx="5" formatCode="0.0">
                  <c:v>279.3300000000001</c:v>
                </c:pt>
                <c:pt idx="6" formatCode="0.0">
                  <c:v>368.08</c:v>
                </c:pt>
                <c:pt idx="7" formatCode="0.0">
                  <c:v>110.96</c:v>
                </c:pt>
                <c:pt idx="8" formatCode="0.0">
                  <c:v>35.059999999999995</c:v>
                </c:pt>
                <c:pt idx="9" formatCode="0.0">
                  <c:v>17.880000000000003</c:v>
                </c:pt>
                <c:pt idx="10" formatCode="0.0">
                  <c:v>18.62</c:v>
                </c:pt>
                <c:pt idx="11" formatCode="0.0">
                  <c:v>57</c:v>
                </c:pt>
                <c:pt idx="12" formatCode="0.0">
                  <c:v>4.2</c:v>
                </c:pt>
                <c:pt idx="13" formatCode="0.0">
                  <c:v>11.700000000000003</c:v>
                </c:pt>
                <c:pt idx="14" formatCode="0.0">
                  <c:v>51.905699999999996</c:v>
                </c:pt>
                <c:pt idx="15" formatCode="0.0">
                  <c:v>41.6</c:v>
                </c:pt>
                <c:pt idx="16" formatCode="0.0">
                  <c:v>9.4070000000000018</c:v>
                </c:pt>
                <c:pt idx="17" formatCode="0.0">
                  <c:v>722.51689999999985</c:v>
                </c:pt>
                <c:pt idx="18" formatCode="0.0">
                  <c:v>649.65600000000006</c:v>
                </c:pt>
                <c:pt idx="19">
                  <c:v>2293</c:v>
                </c:pt>
                <c:pt idx="20" formatCode="0.0">
                  <c:v>547.5</c:v>
                </c:pt>
                <c:pt idx="21" formatCode="0.0">
                  <c:v>209.27999999999997</c:v>
                </c:pt>
                <c:pt idx="22" formatCode="0.0">
                  <c:v>53.710900000000009</c:v>
                </c:pt>
                <c:pt idx="23" formatCode="0.0">
                  <c:v>25.48</c:v>
                </c:pt>
                <c:pt idx="24" formatCode="0.0">
                  <c:v>77.896199999999993</c:v>
                </c:pt>
                <c:pt idx="25" formatCode="0.0">
                  <c:v>110.12000000000002</c:v>
                </c:pt>
                <c:pt idx="26" formatCode="0.0">
                  <c:v>3.75</c:v>
                </c:pt>
                <c:pt idx="27" formatCode="0.0">
                  <c:v>316.87840199999999</c:v>
                </c:pt>
                <c:pt idx="28" formatCode="0.0">
                  <c:v>5.81</c:v>
                </c:pt>
                <c:pt idx="29" formatCode="0.0">
                  <c:v>10</c:v>
                </c:pt>
                <c:pt idx="30" formatCode="0.0">
                  <c:v>160.99999999999997</c:v>
                </c:pt>
                <c:pt idx="31" formatCode="0.0">
                  <c:v>48</c:v>
                </c:pt>
                <c:pt idx="32" formatCode="0.0">
                  <c:v>99.18</c:v>
                </c:pt>
                <c:pt idx="33" formatCode="0.0">
                  <c:v>88.27</c:v>
                </c:pt>
                <c:pt idx="34" formatCode="0.0">
                  <c:v>117.5</c:v>
                </c:pt>
                <c:pt idx="35" formatCode="0.0">
                  <c:v>36.9</c:v>
                </c:pt>
                <c:pt idx="36" formatCode="0.0">
                  <c:v>540</c:v>
                </c:pt>
                <c:pt idx="37" formatCode="0.0">
                  <c:v>120.96</c:v>
                </c:pt>
                <c:pt idx="38" formatCode="0.0">
                  <c:v>821.04559999999981</c:v>
                </c:pt>
                <c:pt idx="39">
                  <c:v>1123.7148</c:v>
                </c:pt>
                <c:pt idx="40">
                  <c:v>1405.2104000000004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DE-4635-A17E-3FA7433FE89E}"/>
            </c:ext>
          </c:extLst>
        </c:ser>
        <c:ser>
          <c:idx val="14"/>
          <c:order val="11"/>
          <c:tx>
            <c:v>MagS: Proterozoic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$Values'!$GP$483:$GP$502</c:f>
              <c:numCache>
                <c:formatCode>General</c:formatCode>
                <c:ptCount val="20"/>
                <c:pt idx="0" formatCode="0.00">
                  <c:v>0.67164818616804667</c:v>
                </c:pt>
                <c:pt idx="1">
                  <c:v>0.13</c:v>
                </c:pt>
                <c:pt idx="2" formatCode="0.00">
                  <c:v>1.6665157209069272</c:v>
                </c:pt>
                <c:pt idx="3" formatCode="0.00">
                  <c:v>2.0287121212121217</c:v>
                </c:pt>
                <c:pt idx="4">
                  <c:v>0.9</c:v>
                </c:pt>
                <c:pt idx="5">
                  <c:v>2.3199999999999998</c:v>
                </c:pt>
                <c:pt idx="6">
                  <c:v>0.65</c:v>
                </c:pt>
                <c:pt idx="7">
                  <c:v>2.7</c:v>
                </c:pt>
                <c:pt idx="8" formatCode="0.00">
                  <c:v>0.53913793103448271</c:v>
                </c:pt>
                <c:pt idx="9" formatCode="0.00">
                  <c:v>0.7813953488372094</c:v>
                </c:pt>
                <c:pt idx="10" formatCode="0.00">
                  <c:v>0.86812535450935913</c:v>
                </c:pt>
                <c:pt idx="11" formatCode="0.00">
                  <c:v>0.30392573821066554</c:v>
                </c:pt>
                <c:pt idx="12">
                  <c:v>1.33</c:v>
                </c:pt>
                <c:pt idx="13">
                  <c:v>0.91000000000000014</c:v>
                </c:pt>
                <c:pt idx="14" formatCode="0.00">
                  <c:v>1.4036261000977865</c:v>
                </c:pt>
                <c:pt idx="15" formatCode="0.00">
                  <c:v>3.2018731988472617</c:v>
                </c:pt>
                <c:pt idx="16" formatCode="0.00">
                  <c:v>0.88430079313627319</c:v>
                </c:pt>
                <c:pt idx="17" formatCode="0.00">
                  <c:v>0.59041790239956859</c:v>
                </c:pt>
                <c:pt idx="18">
                  <c:v>0.47</c:v>
                </c:pt>
                <c:pt idx="19">
                  <c:v>0.35</c:v>
                </c:pt>
              </c:numCache>
            </c:numRef>
          </c:xVal>
          <c:yVal>
            <c:numRef>
              <c:f>'Ni $Values'!$GQ$483:$GQ$502</c:f>
              <c:numCache>
                <c:formatCode>0.0</c:formatCode>
                <c:ptCount val="20"/>
                <c:pt idx="0" formatCode="#,##0">
                  <c:v>3166.7406000000001</c:v>
                </c:pt>
                <c:pt idx="1">
                  <c:v>4.0911</c:v>
                </c:pt>
                <c:pt idx="2">
                  <c:v>266.07589999999999</c:v>
                </c:pt>
                <c:pt idx="3">
                  <c:v>267.79000000000008</c:v>
                </c:pt>
                <c:pt idx="4">
                  <c:v>4.3019999999999996</c:v>
                </c:pt>
                <c:pt idx="5">
                  <c:v>3.6191999999999998</c:v>
                </c:pt>
                <c:pt idx="6">
                  <c:v>1.4624999999999999</c:v>
                </c:pt>
                <c:pt idx="7">
                  <c:v>0.54</c:v>
                </c:pt>
                <c:pt idx="8">
                  <c:v>156.35</c:v>
                </c:pt>
                <c:pt idx="9">
                  <c:v>33.6</c:v>
                </c:pt>
                <c:pt idx="10">
                  <c:v>45.915150000000004</c:v>
                </c:pt>
                <c:pt idx="11">
                  <c:v>170.80018635962981</c:v>
                </c:pt>
                <c:pt idx="12">
                  <c:v>8.5785</c:v>
                </c:pt>
                <c:pt idx="13">
                  <c:v>10.364900000000002</c:v>
                </c:pt>
                <c:pt idx="14">
                  <c:v>157.8939</c:v>
                </c:pt>
                <c:pt idx="15" formatCode="#,##0">
                  <c:v>1111.05</c:v>
                </c:pt>
                <c:pt idx="16">
                  <c:v>237.24735308999996</c:v>
                </c:pt>
                <c:pt idx="17">
                  <c:v>43.797200000000004</c:v>
                </c:pt>
                <c:pt idx="18">
                  <c:v>12.22</c:v>
                </c:pt>
                <c:pt idx="19">
                  <c:v>22.295000000000002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3DE-4635-A17E-3FA7433FE89E}"/>
            </c:ext>
          </c:extLst>
        </c:ser>
        <c:ser>
          <c:idx val="2"/>
          <c:order val="12"/>
          <c:tx>
            <c:v>Hydrothermal: Mn Nodules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$Values'!$GP$15:$GP$19</c:f>
              <c:numCache>
                <c:formatCode>0.00</c:formatCode>
                <c:ptCount val="5"/>
                <c:pt idx="0">
                  <c:v>1.2955423280423282</c:v>
                </c:pt>
                <c:pt idx="1">
                  <c:v>1.3022982062780268</c:v>
                </c:pt>
                <c:pt idx="2">
                  <c:v>1.39</c:v>
                </c:pt>
                <c:pt idx="3">
                  <c:v>1.3145400593471808</c:v>
                </c:pt>
                <c:pt idx="4">
                  <c:v>1.19</c:v>
                </c:pt>
              </c:numCache>
            </c:numRef>
          </c:xVal>
          <c:yVal>
            <c:numRef>
              <c:f>'Ni $Values'!$GQ$15:$GQ$19</c:f>
              <c:numCache>
                <c:formatCode>#,##0</c:formatCode>
                <c:ptCount val="5"/>
                <c:pt idx="0">
                  <c:v>5484.8080000000009</c:v>
                </c:pt>
                <c:pt idx="1">
                  <c:v>9293.2000000000007</c:v>
                </c:pt>
                <c:pt idx="2">
                  <c:v>6227.2</c:v>
                </c:pt>
                <c:pt idx="3" formatCode="0.0">
                  <c:v>442.99999999999994</c:v>
                </c:pt>
                <c:pt idx="4">
                  <c:v>2241.96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DE-4635-A17E-3FA7433FE89E}"/>
            </c:ext>
          </c:extLst>
        </c:ser>
        <c:ser>
          <c:idx val="10"/>
          <c:order val="13"/>
          <c:tx>
            <c:v>Laterite: Oxides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$Values'!$GP$149:$GP$285</c:f>
              <c:numCache>
                <c:formatCode>0.00</c:formatCode>
                <c:ptCount val="137"/>
                <c:pt idx="0">
                  <c:v>0.69181818181818178</c:v>
                </c:pt>
                <c:pt idx="1">
                  <c:v>0.75433734939759034</c:v>
                </c:pt>
                <c:pt idx="2">
                  <c:v>0.65216091954022992</c:v>
                </c:pt>
                <c:pt idx="3" formatCode="General">
                  <c:v>0.76999999999999991</c:v>
                </c:pt>
                <c:pt idx="4">
                  <c:v>0.57448479480366099</c:v>
                </c:pt>
                <c:pt idx="5">
                  <c:v>0.92132530120481937</c:v>
                </c:pt>
                <c:pt idx="6">
                  <c:v>0.90429999999999999</c:v>
                </c:pt>
                <c:pt idx="7">
                  <c:v>0.71699999999999986</c:v>
                </c:pt>
                <c:pt idx="8" formatCode="General">
                  <c:v>0.81</c:v>
                </c:pt>
                <c:pt idx="9">
                  <c:v>0.55677520350657483</c:v>
                </c:pt>
                <c:pt idx="10">
                  <c:v>0.56102040816326537</c:v>
                </c:pt>
                <c:pt idx="11">
                  <c:v>0.91015625</c:v>
                </c:pt>
                <c:pt idx="12">
                  <c:v>0.49182432432432438</c:v>
                </c:pt>
                <c:pt idx="13">
                  <c:v>0.8135714285714285</c:v>
                </c:pt>
                <c:pt idx="14">
                  <c:v>0.30630434782608701</c:v>
                </c:pt>
                <c:pt idx="15">
                  <c:v>0.10148876404494382</c:v>
                </c:pt>
                <c:pt idx="16">
                  <c:v>0.63358490566037728</c:v>
                </c:pt>
                <c:pt idx="17">
                  <c:v>0.688983606557377</c:v>
                </c:pt>
                <c:pt idx="18" formatCode="General">
                  <c:v>0.98</c:v>
                </c:pt>
                <c:pt idx="19">
                  <c:v>1.1394848596750371</c:v>
                </c:pt>
                <c:pt idx="20">
                  <c:v>1.2908616149795202</c:v>
                </c:pt>
                <c:pt idx="21" formatCode="General">
                  <c:v>0.94</c:v>
                </c:pt>
                <c:pt idx="22">
                  <c:v>0.92201742878560722</c:v>
                </c:pt>
                <c:pt idx="23" formatCode="General">
                  <c:v>1</c:v>
                </c:pt>
                <c:pt idx="24">
                  <c:v>1.18</c:v>
                </c:pt>
                <c:pt idx="25" formatCode="General">
                  <c:v>0.64</c:v>
                </c:pt>
                <c:pt idx="26">
                  <c:v>1.1129325446479357</c:v>
                </c:pt>
                <c:pt idx="27" formatCode="General">
                  <c:v>0.8</c:v>
                </c:pt>
                <c:pt idx="28">
                  <c:v>0.74304280248684851</c:v>
                </c:pt>
                <c:pt idx="29">
                  <c:v>0.6450570342205324</c:v>
                </c:pt>
                <c:pt idx="30" formatCode="General">
                  <c:v>0.81</c:v>
                </c:pt>
                <c:pt idx="31">
                  <c:v>0.74626959247648905</c:v>
                </c:pt>
                <c:pt idx="32" formatCode="General">
                  <c:v>0.77000000000000013</c:v>
                </c:pt>
                <c:pt idx="33" formatCode="General">
                  <c:v>0.7</c:v>
                </c:pt>
                <c:pt idx="34" formatCode="General">
                  <c:v>0.77</c:v>
                </c:pt>
                <c:pt idx="35" formatCode="General">
                  <c:v>0.85</c:v>
                </c:pt>
                <c:pt idx="36" formatCode="General">
                  <c:v>0.82</c:v>
                </c:pt>
                <c:pt idx="37" formatCode="General">
                  <c:v>1.04</c:v>
                </c:pt>
                <c:pt idx="38" formatCode="General">
                  <c:v>1.01</c:v>
                </c:pt>
                <c:pt idx="39" formatCode="General">
                  <c:v>0.7</c:v>
                </c:pt>
                <c:pt idx="40" formatCode="General">
                  <c:v>1.1100000000000001</c:v>
                </c:pt>
                <c:pt idx="41">
                  <c:v>0.61135045051876002</c:v>
                </c:pt>
                <c:pt idx="42">
                  <c:v>1.1200000000000001</c:v>
                </c:pt>
                <c:pt idx="43">
                  <c:v>0.8536190476190475</c:v>
                </c:pt>
                <c:pt idx="44" formatCode="General">
                  <c:v>1.02</c:v>
                </c:pt>
                <c:pt idx="45" formatCode="General">
                  <c:v>0.59999999999999987</c:v>
                </c:pt>
                <c:pt idx="46" formatCode="General">
                  <c:v>0.65</c:v>
                </c:pt>
                <c:pt idx="47">
                  <c:v>0.6484202211690363</c:v>
                </c:pt>
                <c:pt idx="48" formatCode="General">
                  <c:v>0.75</c:v>
                </c:pt>
                <c:pt idx="49" formatCode="General">
                  <c:v>0.66</c:v>
                </c:pt>
                <c:pt idx="50" formatCode="General">
                  <c:v>0.66</c:v>
                </c:pt>
                <c:pt idx="51" formatCode="General">
                  <c:v>0.56000000000000005</c:v>
                </c:pt>
                <c:pt idx="52">
                  <c:v>1.0640008031353083</c:v>
                </c:pt>
                <c:pt idx="53" formatCode="General">
                  <c:v>0.38</c:v>
                </c:pt>
                <c:pt idx="54" formatCode="General">
                  <c:v>0.75</c:v>
                </c:pt>
                <c:pt idx="55">
                  <c:v>0.50308237861429361</c:v>
                </c:pt>
                <c:pt idx="56">
                  <c:v>0.60427007299270086</c:v>
                </c:pt>
                <c:pt idx="57">
                  <c:v>1.276705805609915</c:v>
                </c:pt>
                <c:pt idx="58">
                  <c:v>1.3127713410573976</c:v>
                </c:pt>
                <c:pt idx="59">
                  <c:v>0.99030752333882477</c:v>
                </c:pt>
                <c:pt idx="60">
                  <c:v>1.0193768743752083</c:v>
                </c:pt>
                <c:pt idx="61">
                  <c:v>0.92213831141281299</c:v>
                </c:pt>
                <c:pt idx="62">
                  <c:v>1.3500132210426117</c:v>
                </c:pt>
                <c:pt idx="63">
                  <c:v>1.240096426797904</c:v>
                </c:pt>
                <c:pt idx="64">
                  <c:v>1.78</c:v>
                </c:pt>
                <c:pt idx="65">
                  <c:v>1.6199999999999999</c:v>
                </c:pt>
                <c:pt idx="66">
                  <c:v>0.90638986013986012</c:v>
                </c:pt>
                <c:pt idx="67">
                  <c:v>1.4150366105963839</c:v>
                </c:pt>
                <c:pt idx="68">
                  <c:v>1.2650345440803805</c:v>
                </c:pt>
                <c:pt idx="69">
                  <c:v>1.1934208477027479</c:v>
                </c:pt>
                <c:pt idx="70">
                  <c:v>1.02</c:v>
                </c:pt>
                <c:pt idx="71">
                  <c:v>0.86</c:v>
                </c:pt>
                <c:pt idx="72">
                  <c:v>1.2</c:v>
                </c:pt>
                <c:pt idx="73">
                  <c:v>1.54</c:v>
                </c:pt>
                <c:pt idx="74">
                  <c:v>0.94411764705882362</c:v>
                </c:pt>
                <c:pt idx="75">
                  <c:v>1.0512000000000001</c:v>
                </c:pt>
                <c:pt idx="76">
                  <c:v>1.2668750000000002</c:v>
                </c:pt>
                <c:pt idx="77">
                  <c:v>0.9551395230847286</c:v>
                </c:pt>
                <c:pt idx="78" formatCode="General">
                  <c:v>1.3000000000000003</c:v>
                </c:pt>
                <c:pt idx="79" formatCode="General">
                  <c:v>1.28</c:v>
                </c:pt>
                <c:pt idx="80">
                  <c:v>1.4154156285390715</c:v>
                </c:pt>
                <c:pt idx="81">
                  <c:v>1.4069969535415079</c:v>
                </c:pt>
                <c:pt idx="82">
                  <c:v>1.2519312067340511</c:v>
                </c:pt>
                <c:pt idx="83">
                  <c:v>1.4007704829083016</c:v>
                </c:pt>
                <c:pt idx="84">
                  <c:v>1.4534364074275501</c:v>
                </c:pt>
                <c:pt idx="85">
                  <c:v>1.4700440944881892</c:v>
                </c:pt>
                <c:pt idx="86">
                  <c:v>1.8168978358249233</c:v>
                </c:pt>
                <c:pt idx="87">
                  <c:v>0.90872325479291682</c:v>
                </c:pt>
                <c:pt idx="88">
                  <c:v>1.0379731903485254</c:v>
                </c:pt>
                <c:pt idx="89" formatCode="General">
                  <c:v>0.51</c:v>
                </c:pt>
                <c:pt idx="90" formatCode="General">
                  <c:v>0.33</c:v>
                </c:pt>
                <c:pt idx="91" formatCode="General">
                  <c:v>0.44000000000000006</c:v>
                </c:pt>
                <c:pt idx="92" formatCode="General">
                  <c:v>1.1000000000000001</c:v>
                </c:pt>
                <c:pt idx="93" formatCode="General">
                  <c:v>1.3</c:v>
                </c:pt>
                <c:pt idx="94" formatCode="General">
                  <c:v>0.76999999999999991</c:v>
                </c:pt>
                <c:pt idx="95" formatCode="General">
                  <c:v>0.83</c:v>
                </c:pt>
                <c:pt idx="96" formatCode="General">
                  <c:v>0.79999999999999993</c:v>
                </c:pt>
                <c:pt idx="97" formatCode="General">
                  <c:v>0.7</c:v>
                </c:pt>
                <c:pt idx="98">
                  <c:v>1.75</c:v>
                </c:pt>
                <c:pt idx="99">
                  <c:v>1.1100000000000001</c:v>
                </c:pt>
                <c:pt idx="100" formatCode="General">
                  <c:v>1.1299999999999999</c:v>
                </c:pt>
                <c:pt idx="101" formatCode="General">
                  <c:v>1</c:v>
                </c:pt>
                <c:pt idx="102" formatCode="General">
                  <c:v>1.27</c:v>
                </c:pt>
                <c:pt idx="103" formatCode="General">
                  <c:v>1</c:v>
                </c:pt>
                <c:pt idx="104" formatCode="General">
                  <c:v>0.96</c:v>
                </c:pt>
                <c:pt idx="105" formatCode="General">
                  <c:v>0.3</c:v>
                </c:pt>
                <c:pt idx="106" formatCode="General">
                  <c:v>1</c:v>
                </c:pt>
                <c:pt idx="107" formatCode="General">
                  <c:v>1</c:v>
                </c:pt>
                <c:pt idx="108">
                  <c:v>1.1000000000000001</c:v>
                </c:pt>
                <c:pt idx="109" formatCode="General">
                  <c:v>1.3</c:v>
                </c:pt>
                <c:pt idx="110" formatCode="General">
                  <c:v>1.1100000000000001</c:v>
                </c:pt>
                <c:pt idx="111" formatCode="General">
                  <c:v>1.32</c:v>
                </c:pt>
                <c:pt idx="112" formatCode="General">
                  <c:v>1.03</c:v>
                </c:pt>
                <c:pt idx="113" formatCode="General">
                  <c:v>0.88</c:v>
                </c:pt>
                <c:pt idx="114" formatCode="General">
                  <c:v>0.92000000000000015</c:v>
                </c:pt>
                <c:pt idx="115">
                  <c:v>1.2</c:v>
                </c:pt>
                <c:pt idx="116" formatCode="General">
                  <c:v>0.84000000000000008</c:v>
                </c:pt>
                <c:pt idx="117" formatCode="General">
                  <c:v>1.75</c:v>
                </c:pt>
                <c:pt idx="118">
                  <c:v>1.0900000000000001</c:v>
                </c:pt>
                <c:pt idx="119">
                  <c:v>1.38</c:v>
                </c:pt>
                <c:pt idx="120">
                  <c:v>1.3</c:v>
                </c:pt>
                <c:pt idx="121">
                  <c:v>0.65</c:v>
                </c:pt>
                <c:pt idx="122">
                  <c:v>1.1599999999999999</c:v>
                </c:pt>
                <c:pt idx="123" formatCode="General">
                  <c:v>0.68</c:v>
                </c:pt>
                <c:pt idx="124" formatCode="General">
                  <c:v>0.9</c:v>
                </c:pt>
                <c:pt idx="125">
                  <c:v>0.71356924954240375</c:v>
                </c:pt>
                <c:pt idx="126" formatCode="General">
                  <c:v>0.89</c:v>
                </c:pt>
                <c:pt idx="127" formatCode="General">
                  <c:v>0.81</c:v>
                </c:pt>
                <c:pt idx="128">
                  <c:v>0.82389830508474582</c:v>
                </c:pt>
                <c:pt idx="129">
                  <c:v>1.0328301886792453</c:v>
                </c:pt>
                <c:pt idx="130" formatCode="General">
                  <c:v>0.70000000000000007</c:v>
                </c:pt>
                <c:pt idx="131" formatCode="General">
                  <c:v>0.59999999999999987</c:v>
                </c:pt>
                <c:pt idx="132">
                  <c:v>1.31</c:v>
                </c:pt>
                <c:pt idx="133">
                  <c:v>2.2000000000000002</c:v>
                </c:pt>
                <c:pt idx="134">
                  <c:v>1.37</c:v>
                </c:pt>
                <c:pt idx="135">
                  <c:v>1.68</c:v>
                </c:pt>
                <c:pt idx="136">
                  <c:v>1.1000000000000001</c:v>
                </c:pt>
              </c:numCache>
            </c:numRef>
          </c:xVal>
          <c:yVal>
            <c:numRef>
              <c:f>'Ni $Values'!$GQ$149:$GQ$285</c:f>
              <c:numCache>
                <c:formatCode>0.0</c:formatCode>
                <c:ptCount val="137"/>
                <c:pt idx="0">
                  <c:v>289.18000000000006</c:v>
                </c:pt>
                <c:pt idx="1">
                  <c:v>626.1</c:v>
                </c:pt>
                <c:pt idx="2">
                  <c:v>567.38</c:v>
                </c:pt>
                <c:pt idx="3">
                  <c:v>86.239999999999981</c:v>
                </c:pt>
                <c:pt idx="4" formatCode="#,##0">
                  <c:v>1945.7799999999997</c:v>
                </c:pt>
                <c:pt idx="5" formatCode="#,##0">
                  <c:v>1682.3400000000004</c:v>
                </c:pt>
                <c:pt idx="6">
                  <c:v>6.3029710000000003</c:v>
                </c:pt>
                <c:pt idx="7">
                  <c:v>398.06405999999993</c:v>
                </c:pt>
                <c:pt idx="8">
                  <c:v>269.73</c:v>
                </c:pt>
                <c:pt idx="9">
                  <c:v>177.834</c:v>
                </c:pt>
                <c:pt idx="10">
                  <c:v>274.90000000000003</c:v>
                </c:pt>
                <c:pt idx="11">
                  <c:v>116.5</c:v>
                </c:pt>
                <c:pt idx="12">
                  <c:v>145.58000000000001</c:v>
                </c:pt>
                <c:pt idx="13">
                  <c:v>45.56</c:v>
                </c:pt>
                <c:pt idx="14">
                  <c:v>42.27</c:v>
                </c:pt>
                <c:pt idx="15">
                  <c:v>36.130000000000003</c:v>
                </c:pt>
                <c:pt idx="16" formatCode="#,##0">
                  <c:v>1343.1999999999998</c:v>
                </c:pt>
                <c:pt idx="17" formatCode="#,##0">
                  <c:v>2101.4</c:v>
                </c:pt>
                <c:pt idx="18">
                  <c:v>45.57</c:v>
                </c:pt>
                <c:pt idx="19">
                  <c:v>617.1450000000001</c:v>
                </c:pt>
                <c:pt idx="20">
                  <c:v>441.2165</c:v>
                </c:pt>
                <c:pt idx="21" formatCode="#,##0">
                  <c:v>1527.5</c:v>
                </c:pt>
                <c:pt idx="22">
                  <c:v>983.97699999999998</c:v>
                </c:pt>
                <c:pt idx="23">
                  <c:v>10</c:v>
                </c:pt>
                <c:pt idx="24">
                  <c:v>277.3</c:v>
                </c:pt>
                <c:pt idx="25">
                  <c:v>192</c:v>
                </c:pt>
                <c:pt idx="26">
                  <c:v>587.02740000000006</c:v>
                </c:pt>
                <c:pt idx="27">
                  <c:v>60</c:v>
                </c:pt>
                <c:pt idx="28">
                  <c:v>192.65911000000003</c:v>
                </c:pt>
                <c:pt idx="29">
                  <c:v>169.65</c:v>
                </c:pt>
                <c:pt idx="30" formatCode="#,##0">
                  <c:v>2745.9</c:v>
                </c:pt>
                <c:pt idx="31">
                  <c:v>476.12</c:v>
                </c:pt>
                <c:pt idx="32">
                  <c:v>206.36000000000004</c:v>
                </c:pt>
                <c:pt idx="33">
                  <c:v>345.8</c:v>
                </c:pt>
                <c:pt idx="34">
                  <c:v>619.85</c:v>
                </c:pt>
                <c:pt idx="35">
                  <c:v>124.96212099999998</c:v>
                </c:pt>
                <c:pt idx="36">
                  <c:v>54.440045999999995</c:v>
                </c:pt>
                <c:pt idx="37">
                  <c:v>40.736800000000002</c:v>
                </c:pt>
                <c:pt idx="38">
                  <c:v>22.178084999999999</c:v>
                </c:pt>
                <c:pt idx="39">
                  <c:v>17.71</c:v>
                </c:pt>
                <c:pt idx="40">
                  <c:v>31.080000000000005</c:v>
                </c:pt>
                <c:pt idx="41" formatCode="#,##0">
                  <c:v>1935.0708999999999</c:v>
                </c:pt>
                <c:pt idx="42">
                  <c:v>344.51200000000006</c:v>
                </c:pt>
                <c:pt idx="43">
                  <c:v>179.25999999999996</c:v>
                </c:pt>
                <c:pt idx="44">
                  <c:v>43.961999999999996</c:v>
                </c:pt>
                <c:pt idx="45">
                  <c:v>321.59999999999991</c:v>
                </c:pt>
                <c:pt idx="46">
                  <c:v>627.25</c:v>
                </c:pt>
                <c:pt idx="47">
                  <c:v>410.45</c:v>
                </c:pt>
                <c:pt idx="48">
                  <c:v>150.75</c:v>
                </c:pt>
                <c:pt idx="49">
                  <c:v>312.18</c:v>
                </c:pt>
                <c:pt idx="50">
                  <c:v>353.76</c:v>
                </c:pt>
                <c:pt idx="51">
                  <c:v>640.08000000000004</c:v>
                </c:pt>
                <c:pt idx="52">
                  <c:v>594.04431</c:v>
                </c:pt>
                <c:pt idx="53">
                  <c:v>241.3</c:v>
                </c:pt>
                <c:pt idx="54" formatCode="#,##0">
                  <c:v>2475</c:v>
                </c:pt>
                <c:pt idx="55">
                  <c:v>922.15</c:v>
                </c:pt>
                <c:pt idx="56">
                  <c:v>165.57000000000005</c:v>
                </c:pt>
                <c:pt idx="57" formatCode="#,##0">
                  <c:v>3914.3799999999992</c:v>
                </c:pt>
                <c:pt idx="58" formatCode="#,##0">
                  <c:v>1971.5199999999998</c:v>
                </c:pt>
                <c:pt idx="59">
                  <c:v>541.00499999999988</c:v>
                </c:pt>
                <c:pt idx="60">
                  <c:v>917.745</c:v>
                </c:pt>
                <c:pt idx="61">
                  <c:v>434.69599999999997</c:v>
                </c:pt>
                <c:pt idx="62" formatCode="#,##0">
                  <c:v>2042.2190000000005</c:v>
                </c:pt>
                <c:pt idx="63" formatCode="#,##0">
                  <c:v>1673.1505000000002</c:v>
                </c:pt>
                <c:pt idx="64" formatCode="#,##0">
                  <c:v>1726.6</c:v>
                </c:pt>
                <c:pt idx="65" formatCode="#,##0">
                  <c:v>2624.4</c:v>
                </c:pt>
                <c:pt idx="66" formatCode="#,##0">
                  <c:v>2073.8200000000002</c:v>
                </c:pt>
                <c:pt idx="67" formatCode="#,##0">
                  <c:v>1573.0962</c:v>
                </c:pt>
                <c:pt idx="68" formatCode="#,##0">
                  <c:v>1422.7210999999998</c:v>
                </c:pt>
                <c:pt idx="69" formatCode="#,##0">
                  <c:v>1072.7660000000001</c:v>
                </c:pt>
                <c:pt idx="70">
                  <c:v>100.94940000000001</c:v>
                </c:pt>
                <c:pt idx="71" formatCode="#,##0">
                  <c:v>1710.2218</c:v>
                </c:pt>
                <c:pt idx="72">
                  <c:v>520.44000000000005</c:v>
                </c:pt>
                <c:pt idx="73">
                  <c:v>111.804</c:v>
                </c:pt>
                <c:pt idx="74" formatCode="#,##0">
                  <c:v>1284.0000000000002</c:v>
                </c:pt>
                <c:pt idx="75" formatCode="#,##0">
                  <c:v>1314.0000000000002</c:v>
                </c:pt>
                <c:pt idx="76">
                  <c:v>202.70000000000005</c:v>
                </c:pt>
                <c:pt idx="77" formatCode="#,##0">
                  <c:v>1882.58</c:v>
                </c:pt>
                <c:pt idx="78">
                  <c:v>169.00000000000003</c:v>
                </c:pt>
                <c:pt idx="79">
                  <c:v>574.5920000000001</c:v>
                </c:pt>
                <c:pt idx="80" formatCode="#,##0">
                  <c:v>1249.8120000000001</c:v>
                </c:pt>
                <c:pt idx="81" formatCode="#,##0">
                  <c:v>1847.3869999999997</c:v>
                </c:pt>
                <c:pt idx="82" formatCode="#,##0">
                  <c:v>5513.3932369999993</c:v>
                </c:pt>
                <c:pt idx="83">
                  <c:v>258.16200000000003</c:v>
                </c:pt>
                <c:pt idx="84" formatCode="#,##0">
                  <c:v>1870.7179999999998</c:v>
                </c:pt>
                <c:pt idx="85" formatCode="#,##0">
                  <c:v>9334.7800000000007</c:v>
                </c:pt>
                <c:pt idx="86">
                  <c:v>673.30600000000004</c:v>
                </c:pt>
                <c:pt idx="87">
                  <c:v>384.9769720000001</c:v>
                </c:pt>
                <c:pt idx="88">
                  <c:v>135.50739999999999</c:v>
                </c:pt>
                <c:pt idx="89">
                  <c:v>5.1510387600000005</c:v>
                </c:pt>
                <c:pt idx="90">
                  <c:v>3.6990076199999997</c:v>
                </c:pt>
                <c:pt idx="91">
                  <c:v>5.7999233600000002</c:v>
                </c:pt>
                <c:pt idx="92" formatCode="#,##0">
                  <c:v>4400.0000000000009</c:v>
                </c:pt>
                <c:pt idx="93" formatCode="#,##0">
                  <c:v>3042</c:v>
                </c:pt>
                <c:pt idx="94">
                  <c:v>439.6699999999999</c:v>
                </c:pt>
                <c:pt idx="95" formatCode="#,##0">
                  <c:v>1749.2249999999999</c:v>
                </c:pt>
                <c:pt idx="96">
                  <c:v>327.03999999999996</c:v>
                </c:pt>
                <c:pt idx="97" formatCode="#,##0">
                  <c:v>1050</c:v>
                </c:pt>
                <c:pt idx="98">
                  <c:v>402.5</c:v>
                </c:pt>
                <c:pt idx="99">
                  <c:v>380.84100000000007</c:v>
                </c:pt>
                <c:pt idx="100">
                  <c:v>375.16</c:v>
                </c:pt>
                <c:pt idx="101">
                  <c:v>700</c:v>
                </c:pt>
                <c:pt idx="102">
                  <c:v>287.02</c:v>
                </c:pt>
                <c:pt idx="103">
                  <c:v>270</c:v>
                </c:pt>
                <c:pt idx="104">
                  <c:v>528.96</c:v>
                </c:pt>
                <c:pt idx="105">
                  <c:v>0.233073</c:v>
                </c:pt>
                <c:pt idx="106" formatCode="#,##0">
                  <c:v>2000</c:v>
                </c:pt>
                <c:pt idx="107">
                  <c:v>29.999999999999996</c:v>
                </c:pt>
                <c:pt idx="108" formatCode="#,##0">
                  <c:v>1591.7</c:v>
                </c:pt>
                <c:pt idx="109" formatCode="#,##0">
                  <c:v>4030</c:v>
                </c:pt>
                <c:pt idx="110">
                  <c:v>497.28000000000009</c:v>
                </c:pt>
                <c:pt idx="111">
                  <c:v>21.12</c:v>
                </c:pt>
                <c:pt idx="112">
                  <c:v>658.17</c:v>
                </c:pt>
                <c:pt idx="113">
                  <c:v>568.4799999999999</c:v>
                </c:pt>
                <c:pt idx="114">
                  <c:v>169.28000000000003</c:v>
                </c:pt>
                <c:pt idx="115" formatCode="#,##0">
                  <c:v>1056</c:v>
                </c:pt>
                <c:pt idx="116">
                  <c:v>902.1600000000002</c:v>
                </c:pt>
                <c:pt idx="117">
                  <c:v>64.75</c:v>
                </c:pt>
                <c:pt idx="118" formatCode="#,##0">
                  <c:v>1199.0000000000002</c:v>
                </c:pt>
                <c:pt idx="119" formatCode="#,##0">
                  <c:v>2069.9999999999995</c:v>
                </c:pt>
                <c:pt idx="120" formatCode="#,##0">
                  <c:v>2600</c:v>
                </c:pt>
                <c:pt idx="121">
                  <c:v>227.5</c:v>
                </c:pt>
                <c:pt idx="122">
                  <c:v>491.60799999999995</c:v>
                </c:pt>
                <c:pt idx="123">
                  <c:v>476</c:v>
                </c:pt>
                <c:pt idx="124">
                  <c:v>209.99999999999997</c:v>
                </c:pt>
                <c:pt idx="125">
                  <c:v>95.060211199999969</c:v>
                </c:pt>
                <c:pt idx="126">
                  <c:v>395.16</c:v>
                </c:pt>
                <c:pt idx="127">
                  <c:v>183.87</c:v>
                </c:pt>
                <c:pt idx="128">
                  <c:v>44.09899200000001</c:v>
                </c:pt>
                <c:pt idx="129">
                  <c:v>99.320255999999986</c:v>
                </c:pt>
                <c:pt idx="130" formatCode="#,##0">
                  <c:v>1712.2000000000003</c:v>
                </c:pt>
                <c:pt idx="131">
                  <c:v>10.169999999999998</c:v>
                </c:pt>
                <c:pt idx="132">
                  <c:v>170.3</c:v>
                </c:pt>
                <c:pt idx="133">
                  <c:v>594.00000000000011</c:v>
                </c:pt>
                <c:pt idx="134" formatCode="#,##0">
                  <c:v>1191.9000000000001</c:v>
                </c:pt>
                <c:pt idx="135">
                  <c:v>403.2</c:v>
                </c:pt>
                <c:pt idx="136">
                  <c:v>231.00000000000003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3DE-4635-A17E-3FA7433FE89E}"/>
            </c:ext>
          </c:extLst>
        </c:ser>
        <c:ser>
          <c:idx val="15"/>
          <c:order val="14"/>
          <c:tx>
            <c:v>MagS: Small M-UM Intrusion-related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$Values'!$GP$503:$GP$619</c:f>
              <c:numCache>
                <c:formatCode>0.00</c:formatCode>
                <c:ptCount val="117"/>
                <c:pt idx="0">
                  <c:v>0.15294079375406636</c:v>
                </c:pt>
                <c:pt idx="1">
                  <c:v>0.17704708602019711</c:v>
                </c:pt>
                <c:pt idx="2">
                  <c:v>0.16521241830065361</c:v>
                </c:pt>
                <c:pt idx="3" formatCode="0.000">
                  <c:v>7.2047828714495388E-2</c:v>
                </c:pt>
                <c:pt idx="4">
                  <c:v>1.6934210198229651</c:v>
                </c:pt>
                <c:pt idx="5" formatCode="General">
                  <c:v>0.16</c:v>
                </c:pt>
                <c:pt idx="6">
                  <c:v>0.36644399100257069</c:v>
                </c:pt>
                <c:pt idx="7">
                  <c:v>0.53599494894037569</c:v>
                </c:pt>
                <c:pt idx="8">
                  <c:v>0.38911803588290844</c:v>
                </c:pt>
                <c:pt idx="9" formatCode="General">
                  <c:v>0.3</c:v>
                </c:pt>
                <c:pt idx="10">
                  <c:v>0.73076801042865125</c:v>
                </c:pt>
                <c:pt idx="11">
                  <c:v>0.35287644281217201</c:v>
                </c:pt>
                <c:pt idx="12">
                  <c:v>0.93466666666666665</c:v>
                </c:pt>
                <c:pt idx="13">
                  <c:v>0.68625498007968144</c:v>
                </c:pt>
                <c:pt idx="14">
                  <c:v>0.18838902839482327</c:v>
                </c:pt>
                <c:pt idx="15" formatCode="General">
                  <c:v>2.12</c:v>
                </c:pt>
                <c:pt idx="16">
                  <c:v>0.35034207829335062</c:v>
                </c:pt>
                <c:pt idx="17">
                  <c:v>0.48425692695214106</c:v>
                </c:pt>
                <c:pt idx="18">
                  <c:v>0.33911220715166462</c:v>
                </c:pt>
                <c:pt idx="19" formatCode="General">
                  <c:v>0.7</c:v>
                </c:pt>
                <c:pt idx="20" formatCode="General">
                  <c:v>0.21</c:v>
                </c:pt>
                <c:pt idx="21" formatCode="General">
                  <c:v>0.46</c:v>
                </c:pt>
                <c:pt idx="22" formatCode="General">
                  <c:v>1.47</c:v>
                </c:pt>
                <c:pt idx="23" formatCode="General">
                  <c:v>0.79</c:v>
                </c:pt>
                <c:pt idx="24" formatCode="General">
                  <c:v>0.68</c:v>
                </c:pt>
                <c:pt idx="25" formatCode="General">
                  <c:v>1.0900000000000001</c:v>
                </c:pt>
                <c:pt idx="26" formatCode="General">
                  <c:v>0.52</c:v>
                </c:pt>
                <c:pt idx="27">
                  <c:v>1.4756592332748686</c:v>
                </c:pt>
                <c:pt idx="28">
                  <c:v>0.6631304347826088</c:v>
                </c:pt>
                <c:pt idx="29" formatCode="General">
                  <c:v>9.5406884632003447E-3</c:v>
                </c:pt>
                <c:pt idx="30">
                  <c:v>0.97181494661921708</c:v>
                </c:pt>
                <c:pt idx="31">
                  <c:v>0.7893723849372386</c:v>
                </c:pt>
                <c:pt idx="32">
                  <c:v>0.58093611075828777</c:v>
                </c:pt>
                <c:pt idx="33" formatCode="General">
                  <c:v>0.18</c:v>
                </c:pt>
                <c:pt idx="34">
                  <c:v>0.66919188922463357</c:v>
                </c:pt>
                <c:pt idx="35" formatCode="General">
                  <c:v>0.02</c:v>
                </c:pt>
                <c:pt idx="36">
                  <c:v>0.27068597914252607</c:v>
                </c:pt>
                <c:pt idx="37" formatCode="General">
                  <c:v>0.45</c:v>
                </c:pt>
                <c:pt idx="38" formatCode="General">
                  <c:v>0.56000000000000005</c:v>
                </c:pt>
                <c:pt idx="39" formatCode="General">
                  <c:v>0.14000000000000001</c:v>
                </c:pt>
                <c:pt idx="40">
                  <c:v>0.51397881355932207</c:v>
                </c:pt>
                <c:pt idx="41" formatCode="General">
                  <c:v>0.37</c:v>
                </c:pt>
                <c:pt idx="42" formatCode="General">
                  <c:v>0.43</c:v>
                </c:pt>
                <c:pt idx="43" formatCode="General">
                  <c:v>0.24</c:v>
                </c:pt>
                <c:pt idx="44" formatCode="General">
                  <c:v>0.6</c:v>
                </c:pt>
                <c:pt idx="45" formatCode="General">
                  <c:v>0.49000000000000005</c:v>
                </c:pt>
                <c:pt idx="46" formatCode="General">
                  <c:v>0.44</c:v>
                </c:pt>
                <c:pt idx="47">
                  <c:v>0.26838417966809103</c:v>
                </c:pt>
                <c:pt idx="48" formatCode="General">
                  <c:v>1.0900000000000001</c:v>
                </c:pt>
                <c:pt idx="49" formatCode="General">
                  <c:v>0.7</c:v>
                </c:pt>
                <c:pt idx="50">
                  <c:v>0.24662637940094587</c:v>
                </c:pt>
                <c:pt idx="51">
                  <c:v>0.5985258827562564</c:v>
                </c:pt>
                <c:pt idx="52" formatCode="0.000">
                  <c:v>2.9901250400769481E-2</c:v>
                </c:pt>
                <c:pt idx="53">
                  <c:v>0.17600000000000002</c:v>
                </c:pt>
                <c:pt idx="54">
                  <c:v>0.11480479452054795</c:v>
                </c:pt>
                <c:pt idx="55">
                  <c:v>2.6221649484536083</c:v>
                </c:pt>
                <c:pt idx="56">
                  <c:v>0.65593390574724908</c:v>
                </c:pt>
                <c:pt idx="57">
                  <c:v>3.2753609687936662</c:v>
                </c:pt>
                <c:pt idx="58">
                  <c:v>0.99981697171381034</c:v>
                </c:pt>
                <c:pt idx="59" formatCode="General">
                  <c:v>0.3</c:v>
                </c:pt>
                <c:pt idx="60" formatCode="General">
                  <c:v>1.57</c:v>
                </c:pt>
                <c:pt idx="61" formatCode="General">
                  <c:v>0.34</c:v>
                </c:pt>
                <c:pt idx="62">
                  <c:v>0.14186057440309432</c:v>
                </c:pt>
                <c:pt idx="63" formatCode="0.000">
                  <c:v>5.8139534883720929E-2</c:v>
                </c:pt>
                <c:pt idx="64" formatCode="General">
                  <c:v>0.1</c:v>
                </c:pt>
                <c:pt idx="65" formatCode="General">
                  <c:v>0.19</c:v>
                </c:pt>
                <c:pt idx="66" formatCode="General">
                  <c:v>0.36</c:v>
                </c:pt>
                <c:pt idx="67" formatCode="General">
                  <c:v>1.03</c:v>
                </c:pt>
                <c:pt idx="68" formatCode="General">
                  <c:v>0.45</c:v>
                </c:pt>
                <c:pt idx="69" formatCode="General">
                  <c:v>0.23</c:v>
                </c:pt>
                <c:pt idx="70" formatCode="General">
                  <c:v>0.17</c:v>
                </c:pt>
                <c:pt idx="71" formatCode="General">
                  <c:v>1</c:v>
                </c:pt>
                <c:pt idx="72" formatCode="General">
                  <c:v>0.42</c:v>
                </c:pt>
                <c:pt idx="73">
                  <c:v>0.19743125355585053</c:v>
                </c:pt>
                <c:pt idx="74" formatCode="General">
                  <c:v>0.25</c:v>
                </c:pt>
                <c:pt idx="75" formatCode="General">
                  <c:v>1.35</c:v>
                </c:pt>
                <c:pt idx="76" formatCode="General">
                  <c:v>0.7</c:v>
                </c:pt>
                <c:pt idx="77" formatCode="General">
                  <c:v>0.47</c:v>
                </c:pt>
                <c:pt idx="78" formatCode="General">
                  <c:v>0.55000000000000004</c:v>
                </c:pt>
                <c:pt idx="79" formatCode="General">
                  <c:v>1.18</c:v>
                </c:pt>
                <c:pt idx="80" formatCode="General">
                  <c:v>0.64</c:v>
                </c:pt>
                <c:pt idx="81" formatCode="General">
                  <c:v>0.34999999999999992</c:v>
                </c:pt>
                <c:pt idx="82" formatCode="General">
                  <c:v>0.6</c:v>
                </c:pt>
                <c:pt idx="83" formatCode="General">
                  <c:v>0.6</c:v>
                </c:pt>
                <c:pt idx="84" formatCode="General">
                  <c:v>2.2999999999999998</c:v>
                </c:pt>
                <c:pt idx="85" formatCode="General">
                  <c:v>0.83</c:v>
                </c:pt>
                <c:pt idx="86" formatCode="General">
                  <c:v>0.54</c:v>
                </c:pt>
                <c:pt idx="87" formatCode="General">
                  <c:v>1.25</c:v>
                </c:pt>
                <c:pt idx="88" formatCode="General">
                  <c:v>0.94</c:v>
                </c:pt>
                <c:pt idx="89" formatCode="General">
                  <c:v>0.3</c:v>
                </c:pt>
                <c:pt idx="90" formatCode="General">
                  <c:v>0.94999999999999984</c:v>
                </c:pt>
                <c:pt idx="91" formatCode="General">
                  <c:v>0.53</c:v>
                </c:pt>
                <c:pt idx="92" formatCode="General">
                  <c:v>0.32</c:v>
                </c:pt>
                <c:pt idx="93" formatCode="General">
                  <c:v>1.4</c:v>
                </c:pt>
                <c:pt idx="94" formatCode="General">
                  <c:v>0.34</c:v>
                </c:pt>
                <c:pt idx="95" formatCode="General">
                  <c:v>0.65</c:v>
                </c:pt>
                <c:pt idx="96" formatCode="General">
                  <c:v>0.44</c:v>
                </c:pt>
                <c:pt idx="97" formatCode="General">
                  <c:v>0.94</c:v>
                </c:pt>
                <c:pt idx="98" formatCode="General">
                  <c:v>1</c:v>
                </c:pt>
                <c:pt idx="99" formatCode="General">
                  <c:v>0.83</c:v>
                </c:pt>
                <c:pt idx="100" formatCode="General">
                  <c:v>1.2</c:v>
                </c:pt>
                <c:pt idx="101" formatCode="General">
                  <c:v>0.75</c:v>
                </c:pt>
                <c:pt idx="102" formatCode="General">
                  <c:v>0.36</c:v>
                </c:pt>
                <c:pt idx="103" formatCode="General">
                  <c:v>0.47000000000000003</c:v>
                </c:pt>
                <c:pt idx="104">
                  <c:v>0.51500000000000001</c:v>
                </c:pt>
                <c:pt idx="105" formatCode="General">
                  <c:v>0.88</c:v>
                </c:pt>
                <c:pt idx="106" formatCode="General">
                  <c:v>0.65</c:v>
                </c:pt>
                <c:pt idx="107" formatCode="General">
                  <c:v>0.3</c:v>
                </c:pt>
                <c:pt idx="108" formatCode="General">
                  <c:v>0.56999999999999995</c:v>
                </c:pt>
                <c:pt idx="109" formatCode="General">
                  <c:v>0.38</c:v>
                </c:pt>
                <c:pt idx="110" formatCode="General">
                  <c:v>0.38</c:v>
                </c:pt>
                <c:pt idx="111" formatCode="General">
                  <c:v>1.4</c:v>
                </c:pt>
                <c:pt idx="112" formatCode="General">
                  <c:v>0.46</c:v>
                </c:pt>
                <c:pt idx="113" formatCode="General">
                  <c:v>0.61</c:v>
                </c:pt>
                <c:pt idx="114" formatCode="General">
                  <c:v>1.29</c:v>
                </c:pt>
                <c:pt idx="115" formatCode="General">
                  <c:v>0.7</c:v>
                </c:pt>
                <c:pt idx="116">
                  <c:v>0.14528301886792455</c:v>
                </c:pt>
              </c:numCache>
            </c:numRef>
          </c:xVal>
          <c:yVal>
            <c:numRef>
              <c:f>'Ni $Values'!$GQ$503:$GQ$619</c:f>
              <c:numCache>
                <c:formatCode>#,##0</c:formatCode>
                <c:ptCount val="117"/>
                <c:pt idx="0" formatCode="0.0">
                  <c:v>470.14</c:v>
                </c:pt>
                <c:pt idx="1">
                  <c:v>2910.3</c:v>
                </c:pt>
                <c:pt idx="2" formatCode="0.0">
                  <c:v>202.22</c:v>
                </c:pt>
                <c:pt idx="3" formatCode="0.0">
                  <c:v>834.5300000000002</c:v>
                </c:pt>
                <c:pt idx="4" formatCode="0.0">
                  <c:v>135.82930000000002</c:v>
                </c:pt>
                <c:pt idx="5" formatCode="0.0">
                  <c:v>696.8</c:v>
                </c:pt>
                <c:pt idx="6">
                  <c:v>1140.3736999999999</c:v>
                </c:pt>
                <c:pt idx="7" formatCode="0.0">
                  <c:v>488.13060000000013</c:v>
                </c:pt>
                <c:pt idx="8" formatCode="0.0">
                  <c:v>741.73680000000013</c:v>
                </c:pt>
                <c:pt idx="9" formatCode="0.0">
                  <c:v>620.4</c:v>
                </c:pt>
                <c:pt idx="10">
                  <c:v>15707.588</c:v>
                </c:pt>
                <c:pt idx="11" formatCode="0.0">
                  <c:v>53.806599999999996</c:v>
                </c:pt>
                <c:pt idx="12" formatCode="0.0">
                  <c:v>27.339000000000006</c:v>
                </c:pt>
                <c:pt idx="13" formatCode="0.0">
                  <c:v>17.225000000000005</c:v>
                </c:pt>
                <c:pt idx="14" formatCode="0.0">
                  <c:v>19.505800000000004</c:v>
                </c:pt>
                <c:pt idx="15" formatCode="0.0">
                  <c:v>657.2</c:v>
                </c:pt>
                <c:pt idx="16" formatCode="0.0">
                  <c:v>21.823466700000004</c:v>
                </c:pt>
                <c:pt idx="17" formatCode="0.0">
                  <c:v>192.24999999999997</c:v>
                </c:pt>
                <c:pt idx="18" formatCode="0.0">
                  <c:v>825.06</c:v>
                </c:pt>
                <c:pt idx="19" formatCode="0.0">
                  <c:v>28.7</c:v>
                </c:pt>
                <c:pt idx="20" formatCode="0.0">
                  <c:v>222.6</c:v>
                </c:pt>
                <c:pt idx="21" formatCode="0.0">
                  <c:v>171.12531759999999</c:v>
                </c:pt>
                <c:pt idx="22" formatCode="0.0">
                  <c:v>65.673146700000004</c:v>
                </c:pt>
                <c:pt idx="23" formatCode="0.0">
                  <c:v>211.35278430000002</c:v>
                </c:pt>
                <c:pt idx="24" formatCode="0.0">
                  <c:v>132.63798480000003</c:v>
                </c:pt>
                <c:pt idx="25" formatCode="0.0">
                  <c:v>64.818713900000006</c:v>
                </c:pt>
                <c:pt idx="26" formatCode="0.0">
                  <c:v>22.749568400000001</c:v>
                </c:pt>
                <c:pt idx="27" formatCode="0.0">
                  <c:v>294.46780000000001</c:v>
                </c:pt>
                <c:pt idx="28" formatCode="0.0">
                  <c:v>305.04000000000002</c:v>
                </c:pt>
                <c:pt idx="29" formatCode="0.0">
                  <c:v>6.6240999999999994</c:v>
                </c:pt>
                <c:pt idx="30" formatCode="0.0">
                  <c:v>30.038799999999995</c:v>
                </c:pt>
                <c:pt idx="31" formatCode="0.0">
                  <c:v>33.958800000000004</c:v>
                </c:pt>
                <c:pt idx="32" formatCode="0.0">
                  <c:v>45.737099999999998</c:v>
                </c:pt>
                <c:pt idx="33" formatCode="0.0">
                  <c:v>59.759999999999984</c:v>
                </c:pt>
                <c:pt idx="34" formatCode="0.0">
                  <c:v>16.443550400000003</c:v>
                </c:pt>
                <c:pt idx="35" formatCode="0.0">
                  <c:v>30.312239999999996</c:v>
                </c:pt>
                <c:pt idx="36">
                  <c:v>1168.01</c:v>
                </c:pt>
                <c:pt idx="37" formatCode="0.0">
                  <c:v>356.24544300000008</c:v>
                </c:pt>
                <c:pt idx="38" formatCode="0.0">
                  <c:v>167.02556640000003</c:v>
                </c:pt>
                <c:pt idx="39" formatCode="0.0">
                  <c:v>32.480000000000004</c:v>
                </c:pt>
                <c:pt idx="40" formatCode="0.0">
                  <c:v>24.259799999999998</c:v>
                </c:pt>
                <c:pt idx="41" formatCode="0.0">
                  <c:v>0.77700000000000002</c:v>
                </c:pt>
                <c:pt idx="42" formatCode="0.0">
                  <c:v>0.44719999999999999</c:v>
                </c:pt>
                <c:pt idx="43" formatCode="0.0">
                  <c:v>0.32879999999999998</c:v>
                </c:pt>
                <c:pt idx="44" formatCode="0.0">
                  <c:v>0.69599999999999995</c:v>
                </c:pt>
                <c:pt idx="45" formatCode="0.0">
                  <c:v>5.1547999999999998</c:v>
                </c:pt>
                <c:pt idx="46" formatCode="0.0">
                  <c:v>7.04</c:v>
                </c:pt>
                <c:pt idx="47" formatCode="0.0">
                  <c:v>27.007499999999997</c:v>
                </c:pt>
                <c:pt idx="48" formatCode="0.0">
                  <c:v>11.041699999999999</c:v>
                </c:pt>
                <c:pt idx="49" formatCode="0.0">
                  <c:v>145.80999999999997</c:v>
                </c:pt>
                <c:pt idx="50" formatCode="0.0">
                  <c:v>281.59800000000001</c:v>
                </c:pt>
                <c:pt idx="51" formatCode="0.0">
                  <c:v>34.917999999999999</c:v>
                </c:pt>
                <c:pt idx="52" formatCode="0.0">
                  <c:v>93.262</c:v>
                </c:pt>
                <c:pt idx="53" formatCode="0.0">
                  <c:v>326.83200000000005</c:v>
                </c:pt>
                <c:pt idx="54" formatCode="0.0">
                  <c:v>67.046000000000006</c:v>
                </c:pt>
                <c:pt idx="55">
                  <c:v>1526.1</c:v>
                </c:pt>
                <c:pt idx="56" formatCode="0.0">
                  <c:v>368.98250000000002</c:v>
                </c:pt>
                <c:pt idx="57" formatCode="0.0">
                  <c:v>140.64400000000003</c:v>
                </c:pt>
                <c:pt idx="58" formatCode="0.0">
                  <c:v>60.089000000000013</c:v>
                </c:pt>
                <c:pt idx="59" formatCode="0.0">
                  <c:v>1.170288</c:v>
                </c:pt>
                <c:pt idx="60" formatCode="0.0">
                  <c:v>0.12560000000000002</c:v>
                </c:pt>
                <c:pt idx="61" formatCode="0.0">
                  <c:v>1.7273088000000001</c:v>
                </c:pt>
                <c:pt idx="62">
                  <c:v>1569.7439999999999</c:v>
                </c:pt>
                <c:pt idx="63" formatCode="0.0">
                  <c:v>143.46418604651163</c:v>
                </c:pt>
                <c:pt idx="64" formatCode="0.0">
                  <c:v>34.473600000000005</c:v>
                </c:pt>
                <c:pt idx="65" formatCode="0.0">
                  <c:v>627.41951999999992</c:v>
                </c:pt>
                <c:pt idx="66" formatCode="0.0">
                  <c:v>16.343999999999998</c:v>
                </c:pt>
                <c:pt idx="67" formatCode="0.0">
                  <c:v>39.14</c:v>
                </c:pt>
                <c:pt idx="68" formatCode="0.0">
                  <c:v>405</c:v>
                </c:pt>
                <c:pt idx="69" formatCode="0.0">
                  <c:v>15.41</c:v>
                </c:pt>
                <c:pt idx="70" formatCode="0.0">
                  <c:v>57.8</c:v>
                </c:pt>
                <c:pt idx="71" formatCode="0.0">
                  <c:v>30</c:v>
                </c:pt>
                <c:pt idx="72" formatCode="0.0">
                  <c:v>83.825280000000006</c:v>
                </c:pt>
                <c:pt idx="73" formatCode="0.0">
                  <c:v>6.2463299999999995</c:v>
                </c:pt>
                <c:pt idx="74" formatCode="0.0">
                  <c:v>87.5</c:v>
                </c:pt>
                <c:pt idx="75" formatCode="0.0">
                  <c:v>5.2681725000000004</c:v>
                </c:pt>
                <c:pt idx="76" formatCode="0.0">
                  <c:v>9.7999999999999989</c:v>
                </c:pt>
                <c:pt idx="77" formatCode="0.0">
                  <c:v>8.4600000000000009</c:v>
                </c:pt>
                <c:pt idx="78" formatCode="0.0">
                  <c:v>9.2950000000000017</c:v>
                </c:pt>
                <c:pt idx="79">
                  <c:v>4270.580107863625</c:v>
                </c:pt>
                <c:pt idx="80">
                  <c:v>1004.8</c:v>
                </c:pt>
                <c:pt idx="81" formatCode="0.0">
                  <c:v>335.99999999999994</c:v>
                </c:pt>
                <c:pt idx="82" formatCode="0.0">
                  <c:v>210</c:v>
                </c:pt>
                <c:pt idx="83" formatCode="0.0">
                  <c:v>49.8</c:v>
                </c:pt>
                <c:pt idx="84" formatCode="0.0">
                  <c:v>204.7</c:v>
                </c:pt>
                <c:pt idx="85" formatCode="0.0">
                  <c:v>9.9600000000000009</c:v>
                </c:pt>
                <c:pt idx="86" formatCode="0.0">
                  <c:v>432</c:v>
                </c:pt>
                <c:pt idx="87" formatCode="0.0">
                  <c:v>0.25</c:v>
                </c:pt>
                <c:pt idx="88" formatCode="0.0">
                  <c:v>0.23499999999999999</c:v>
                </c:pt>
                <c:pt idx="89" formatCode="0.0">
                  <c:v>0.15</c:v>
                </c:pt>
                <c:pt idx="90" formatCode="0.0">
                  <c:v>12.349999999999998</c:v>
                </c:pt>
                <c:pt idx="91" formatCode="0.0">
                  <c:v>0.10600000000000001</c:v>
                </c:pt>
                <c:pt idx="92" formatCode="0.0">
                  <c:v>11.2</c:v>
                </c:pt>
                <c:pt idx="93" formatCode="0.0">
                  <c:v>0.42</c:v>
                </c:pt>
                <c:pt idx="94" formatCode="0.0">
                  <c:v>0.30599999999999999</c:v>
                </c:pt>
                <c:pt idx="95" formatCode="0.0">
                  <c:v>10.4</c:v>
                </c:pt>
                <c:pt idx="96" formatCode="0.0">
                  <c:v>0.22</c:v>
                </c:pt>
                <c:pt idx="97" formatCode="0.0">
                  <c:v>0.33839999999999998</c:v>
                </c:pt>
                <c:pt idx="98" formatCode="0.0">
                  <c:v>18.2</c:v>
                </c:pt>
                <c:pt idx="99" formatCode="0.0">
                  <c:v>22.393399999999996</c:v>
                </c:pt>
                <c:pt idx="100" formatCode="0.0">
                  <c:v>3.72</c:v>
                </c:pt>
                <c:pt idx="101" formatCode="0.0">
                  <c:v>19.5</c:v>
                </c:pt>
                <c:pt idx="102" formatCode="0.0">
                  <c:v>32.94</c:v>
                </c:pt>
                <c:pt idx="103" formatCode="0.0">
                  <c:v>8.2249999999999996</c:v>
                </c:pt>
                <c:pt idx="104" formatCode="0.0">
                  <c:v>8.6005000000000003</c:v>
                </c:pt>
                <c:pt idx="105" formatCode="0.0">
                  <c:v>183.59439999999998</c:v>
                </c:pt>
                <c:pt idx="106" formatCode="0.0">
                  <c:v>100.0025</c:v>
                </c:pt>
                <c:pt idx="107" formatCode="0.0">
                  <c:v>6.75</c:v>
                </c:pt>
                <c:pt idx="108" formatCode="0.0">
                  <c:v>9.997799999999998</c:v>
                </c:pt>
                <c:pt idx="109" formatCode="0.0">
                  <c:v>2.1280000000000001</c:v>
                </c:pt>
                <c:pt idx="110" formatCode="0.0">
                  <c:v>2.1280000000000001</c:v>
                </c:pt>
                <c:pt idx="111" formatCode="0.0">
                  <c:v>2.9819999999999998</c:v>
                </c:pt>
                <c:pt idx="112" formatCode="0.0">
                  <c:v>0.32200000000000001</c:v>
                </c:pt>
                <c:pt idx="113" formatCode="0.0">
                  <c:v>25.864000000000001</c:v>
                </c:pt>
                <c:pt idx="114" formatCode="0.0">
                  <c:v>2.1801000000000004</c:v>
                </c:pt>
                <c:pt idx="115" formatCode="0.0">
                  <c:v>5.0803200000000004</c:v>
                </c:pt>
                <c:pt idx="116" formatCode="0.0">
                  <c:v>279.41759999999999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3DE-4635-A17E-3FA7433FE89E}"/>
            </c:ext>
          </c:extLst>
        </c:ser>
        <c:ser>
          <c:idx val="7"/>
          <c:order val="15"/>
          <c:tx>
            <c:v>Hydrothermal: Various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$Values'!$GP$47:$GP$51</c:f>
              <c:numCache>
                <c:formatCode>0.00</c:formatCode>
                <c:ptCount val="5"/>
                <c:pt idx="0" formatCode="General">
                  <c:v>0.45</c:v>
                </c:pt>
                <c:pt idx="1">
                  <c:v>0.7497551546391753</c:v>
                </c:pt>
                <c:pt idx="2">
                  <c:v>0.85544217687074831</c:v>
                </c:pt>
                <c:pt idx="3">
                  <c:v>0.40469635627530359</c:v>
                </c:pt>
                <c:pt idx="4" formatCode="General">
                  <c:v>0.8</c:v>
                </c:pt>
              </c:numCache>
            </c:numRef>
          </c:xVal>
          <c:yVal>
            <c:numRef>
              <c:f>'Ni $Values'!$GQ$47:$GQ$51</c:f>
              <c:numCache>
                <c:formatCode>#,##0</c:formatCode>
                <c:ptCount val="5"/>
                <c:pt idx="0" formatCode="0.0">
                  <c:v>0.51300000000000001</c:v>
                </c:pt>
                <c:pt idx="1">
                  <c:v>1163.6199999999999</c:v>
                </c:pt>
                <c:pt idx="2" formatCode="0.0">
                  <c:v>251.5</c:v>
                </c:pt>
                <c:pt idx="3" formatCode="0.0">
                  <c:v>99.96</c:v>
                </c:pt>
                <c:pt idx="4" formatCode="0.0">
                  <c:v>8.1999999999999993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DE-4635-A17E-3FA7433FE89E}"/>
            </c:ext>
          </c:extLst>
        </c:ser>
        <c:ser>
          <c:idx val="17"/>
          <c:order val="16"/>
          <c:tx>
            <c:v>Tailings</c:v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('Ni $Values'!$GP$627:$GP$629,'Ni $Values'!$GP$630:$GP$631)</c:f>
              <c:numCache>
                <c:formatCode>General</c:formatCode>
                <c:ptCount val="5"/>
                <c:pt idx="0">
                  <c:v>0.21</c:v>
                </c:pt>
                <c:pt idx="1">
                  <c:v>0.41</c:v>
                </c:pt>
                <c:pt idx="2" formatCode="0.00">
                  <c:v>0.45707531239446131</c:v>
                </c:pt>
                <c:pt idx="3">
                  <c:v>0.5</c:v>
                </c:pt>
                <c:pt idx="4">
                  <c:v>0.05</c:v>
                </c:pt>
              </c:numCache>
            </c:numRef>
          </c:xVal>
          <c:yVal>
            <c:numRef>
              <c:f>('Ni $Values'!$GQ$627:$GQ$629,'Ni $Values'!$GQ$630:$GQ$631)</c:f>
              <c:numCache>
                <c:formatCode>0.0</c:formatCode>
                <c:ptCount val="5"/>
                <c:pt idx="0">
                  <c:v>214.16639999999998</c:v>
                </c:pt>
                <c:pt idx="1">
                  <c:v>133.82399999999998</c:v>
                </c:pt>
                <c:pt idx="2">
                  <c:v>135.34</c:v>
                </c:pt>
                <c:pt idx="3">
                  <c:v>2.26796</c:v>
                </c:pt>
                <c:pt idx="4">
                  <c:v>0.41277600000000009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3DE-4635-A17E-3FA7433FE89E}"/>
            </c:ext>
          </c:extLst>
        </c:ser>
        <c:ser>
          <c:idx val="16"/>
          <c:order val="17"/>
          <c:tx>
            <c:v>MagS: Various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$Values'!$GP$620:$GP$626</c:f>
              <c:numCache>
                <c:formatCode>General</c:formatCode>
                <c:ptCount val="7"/>
                <c:pt idx="0" formatCode="0.00">
                  <c:v>0.22002126007709599</c:v>
                </c:pt>
                <c:pt idx="1">
                  <c:v>0.36999999999999994</c:v>
                </c:pt>
                <c:pt idx="2" formatCode="0.000">
                  <c:v>9.1697478991596637E-2</c:v>
                </c:pt>
                <c:pt idx="3">
                  <c:v>0.2</c:v>
                </c:pt>
                <c:pt idx="4">
                  <c:v>0.24000000000000002</c:v>
                </c:pt>
                <c:pt idx="5">
                  <c:v>0.22999999999999998</c:v>
                </c:pt>
                <c:pt idx="6">
                  <c:v>0.26</c:v>
                </c:pt>
              </c:numCache>
            </c:numRef>
          </c:xVal>
          <c:yVal>
            <c:numRef>
              <c:f>'Ni $Values'!$GQ$620:$GQ$626</c:f>
              <c:numCache>
                <c:formatCode>0.0</c:formatCode>
                <c:ptCount val="7"/>
                <c:pt idx="0" formatCode="#,##0">
                  <c:v>4874.3950000000004</c:v>
                </c:pt>
                <c:pt idx="1">
                  <c:v>49.61699999999999</c:v>
                </c:pt>
                <c:pt idx="2">
                  <c:v>54.56</c:v>
                </c:pt>
                <c:pt idx="3">
                  <c:v>24.4</c:v>
                </c:pt>
                <c:pt idx="4">
                  <c:v>16.802399999999999</c:v>
                </c:pt>
                <c:pt idx="5">
                  <c:v>0.83462400000000003</c:v>
                </c:pt>
                <c:pt idx="6">
                  <c:v>24.058943999999997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3DE-4635-A17E-3FA7433FE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84303"/>
        <c:axId val="846392015"/>
      </c:scatterChart>
      <c:valAx>
        <c:axId val="845184303"/>
        <c:scaling>
          <c:logBase val="10"/>
          <c:orientation val="minMax"/>
          <c:max val="6"/>
          <c:min val="1.0000000000000002E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Ore Grade (%Ni)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CN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CN"/>
          </a:p>
        </c:txPr>
        <c:crossAx val="846392015"/>
        <c:crossesAt val="0.1"/>
        <c:crossBetween val="midCat"/>
      </c:valAx>
      <c:valAx>
        <c:axId val="846392015"/>
        <c:scaling>
          <c:logBase val="10"/>
          <c:orientation val="minMax"/>
          <c:max val="16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Contained Nickel (Mt Ni)</a:t>
                </a:r>
              </a:p>
            </c:rich>
          </c:tx>
          <c:layout>
            <c:manualLayout>
              <c:xMode val="edge"/>
              <c:yMode val="edge"/>
              <c:x val="3.2836773745035549E-3"/>
              <c:y val="0.240334809643321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CN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CN"/>
          </a:p>
        </c:txPr>
        <c:crossAx val="845184303"/>
        <c:crossesAt val="1.0000000000000002E-2"/>
        <c:crossBetween val="midCat"/>
        <c:dispUnits>
          <c:builtInUnit val="thousands"/>
        </c:dispUnits>
      </c:valAx>
      <c:spPr>
        <a:noFill/>
        <a:ln w="25400"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9.9213474735516213E-2"/>
          <c:y val="8.3685937220720832E-3"/>
          <c:w val="0.87259822209067806"/>
          <c:h val="0.209756824810574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CN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20753718604379E-2"/>
          <c:y val="0.24478136637060843"/>
          <c:w val="0.88541168357619271"/>
          <c:h val="0.65647285190307247"/>
        </c:manualLayout>
      </c:layout>
      <c:scatterChart>
        <c:scatterStyle val="lineMarker"/>
        <c:varyColors val="0"/>
        <c:ser>
          <c:idx val="0"/>
          <c:order val="0"/>
          <c:tx>
            <c:v>Hydrothermal: IOCG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$Values'!$GX$6:$GX$14</c:f>
              <c:numCache>
                <c:formatCode>General</c:formatCode>
                <c:ptCount val="9"/>
              </c:numCache>
            </c:numRef>
          </c:xVal>
          <c:yVal>
            <c:numRef>
              <c:f>'Ni $Values'!$GY$6:$GY$14</c:f>
              <c:numCache>
                <c:formatCode>General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8-42C8-87CF-094DEE737CEF}"/>
            </c:ext>
          </c:extLst>
        </c:ser>
        <c:ser>
          <c:idx val="1"/>
          <c:order val="1"/>
          <c:tx>
            <c:v>Hydrothermal: Fe-Ni Alloy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$Values'!$GX$5</c:f>
              <c:numCache>
                <c:formatCode>General</c:formatCode>
                <c:ptCount val="1"/>
              </c:numCache>
            </c:numRef>
          </c:xVal>
          <c:yVal>
            <c:numRef>
              <c:f>'Ni $Values'!$GX$5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D8-42C8-87CF-094DEE737CEF}"/>
            </c:ext>
          </c:extLst>
        </c:ser>
        <c:ser>
          <c:idx val="11"/>
          <c:order val="2"/>
          <c:tx>
            <c:v>MagS: Archean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$Values'!$GX$286:$GX$356</c:f>
              <c:numCache>
                <c:formatCode>0.00</c:formatCode>
                <c:ptCount val="71"/>
                <c:pt idx="0">
                  <c:v>1.2135714285714287</c:v>
                </c:pt>
                <c:pt idx="1">
                  <c:v>0.54218540080609035</c:v>
                </c:pt>
                <c:pt idx="2">
                  <c:v>2</c:v>
                </c:pt>
                <c:pt idx="3">
                  <c:v>0.6062745098039215</c:v>
                </c:pt>
                <c:pt idx="11">
                  <c:v>2.5024647887323943</c:v>
                </c:pt>
                <c:pt idx="12">
                  <c:v>2.0251923076923082</c:v>
                </c:pt>
                <c:pt idx="14">
                  <c:v>3.990033924698293</c:v>
                </c:pt>
                <c:pt idx="15">
                  <c:v>1.4264580369843527</c:v>
                </c:pt>
                <c:pt idx="17">
                  <c:v>3.9</c:v>
                </c:pt>
                <c:pt idx="20">
                  <c:v>0.72</c:v>
                </c:pt>
                <c:pt idx="33">
                  <c:v>2.94</c:v>
                </c:pt>
                <c:pt idx="48">
                  <c:v>0.27110823619130625</c:v>
                </c:pt>
                <c:pt idx="54">
                  <c:v>0.7</c:v>
                </c:pt>
                <c:pt idx="55">
                  <c:v>1.0468064640246248</c:v>
                </c:pt>
                <c:pt idx="59">
                  <c:v>0.76365145228215769</c:v>
                </c:pt>
              </c:numCache>
            </c:numRef>
          </c:xVal>
          <c:yVal>
            <c:numRef>
              <c:f>'Ni $Values'!$GY$286:$GY$356</c:f>
              <c:numCache>
                <c:formatCode>0.0</c:formatCode>
                <c:ptCount val="71"/>
                <c:pt idx="0">
                  <c:v>135.92000000000002</c:v>
                </c:pt>
                <c:pt idx="1">
                  <c:v>121.07</c:v>
                </c:pt>
                <c:pt idx="2">
                  <c:v>11</c:v>
                </c:pt>
                <c:pt idx="3">
                  <c:v>927.59999999999991</c:v>
                </c:pt>
                <c:pt idx="11">
                  <c:v>28.428000000000008</c:v>
                </c:pt>
                <c:pt idx="12">
                  <c:v>4.2124000000000015</c:v>
                </c:pt>
                <c:pt idx="14">
                  <c:v>71.744799999999998</c:v>
                </c:pt>
                <c:pt idx="15">
                  <c:v>30.083999999999996</c:v>
                </c:pt>
                <c:pt idx="17">
                  <c:v>29.234400000000001</c:v>
                </c:pt>
                <c:pt idx="20">
                  <c:v>24.674400000000002</c:v>
                </c:pt>
                <c:pt idx="33">
                  <c:v>1.1446889999999998</c:v>
                </c:pt>
                <c:pt idx="48" formatCode="#,##0">
                  <c:v>2787.1228000000001</c:v>
                </c:pt>
                <c:pt idx="54">
                  <c:v>6.1040000000000001</c:v>
                </c:pt>
                <c:pt idx="55">
                  <c:v>2.7206500000000005</c:v>
                </c:pt>
                <c:pt idx="59">
                  <c:v>18.404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D8-42C8-87CF-094DEE737CEF}"/>
            </c:ext>
          </c:extLst>
        </c:ser>
        <c:ser>
          <c:idx val="3"/>
          <c:order val="3"/>
          <c:tx>
            <c:v>Hydrothermal: Sediment-hosted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$Values'!$GX$20:$GX$26</c:f>
              <c:numCache>
                <c:formatCode>General</c:formatCode>
                <c:ptCount val="7"/>
                <c:pt idx="5" formatCode="0.00">
                  <c:v>0.97084745762711877</c:v>
                </c:pt>
              </c:numCache>
            </c:numRef>
          </c:xVal>
          <c:yVal>
            <c:numRef>
              <c:f>'Ni $Values'!$GY$20:$GY$25</c:f>
              <c:numCache>
                <c:formatCode>General</c:formatCode>
                <c:ptCount val="6"/>
                <c:pt idx="5" formatCode="0.0">
                  <c:v>343.68000000000006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D8-42C8-87CF-094DEE737CEF}"/>
            </c:ext>
          </c:extLst>
        </c:ser>
        <c:ser>
          <c:idx val="4"/>
          <c:order val="4"/>
          <c:tx>
            <c:v>Hydrothermal: Shale-hosted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$Values'!$GX$27:$GX$29</c:f>
              <c:numCache>
                <c:formatCode>General</c:formatCode>
                <c:ptCount val="3"/>
              </c:numCache>
            </c:numRef>
          </c:xVal>
          <c:yVal>
            <c:numRef>
              <c:f>'Ni $Values'!$GY$27:$GY$29</c:f>
              <c:numCache>
                <c:formatCode>General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D8-42C8-87CF-094DEE737CEF}"/>
            </c:ext>
          </c:extLst>
        </c:ser>
        <c:ser>
          <c:idx val="12"/>
          <c:order val="5"/>
          <c:tx>
            <c:v>MagS: Impact 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0000">
                  <a:alpha val="96000"/>
                </a:srgb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$Values'!$GX$357:$GX$370</c:f>
              <c:numCache>
                <c:formatCode>0.00</c:formatCode>
                <c:ptCount val="14"/>
                <c:pt idx="0">
                  <c:v>1.8389118921521426</c:v>
                </c:pt>
                <c:pt idx="1">
                  <c:v>1.3987196110210696</c:v>
                </c:pt>
                <c:pt idx="2">
                  <c:v>2.1017069753994959</c:v>
                </c:pt>
              </c:numCache>
            </c:numRef>
          </c:xVal>
          <c:yVal>
            <c:numRef>
              <c:f>'Ni $Values'!$GY$357:$GY$370</c:f>
              <c:numCache>
                <c:formatCode>0.0</c:formatCode>
                <c:ptCount val="14"/>
                <c:pt idx="0">
                  <c:v>381.94200000000006</c:v>
                </c:pt>
                <c:pt idx="1">
                  <c:v>863.00999999999988</c:v>
                </c:pt>
                <c:pt idx="2">
                  <c:v>15.993149400000004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D8-42C8-87CF-094DEE737CEF}"/>
            </c:ext>
          </c:extLst>
        </c:ser>
        <c:ser>
          <c:idx val="5"/>
          <c:order val="6"/>
          <c:tx>
            <c:v>Hydrothermal: Unconformity Uranium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$Values'!$GX$30:$GX$33</c:f>
              <c:numCache>
                <c:formatCode>General</c:formatCode>
                <c:ptCount val="4"/>
              </c:numCache>
            </c:numRef>
          </c:xVal>
          <c:yVal>
            <c:numRef>
              <c:f>'Ni $Values'!$GY$30:$GY$33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D8-42C8-87CF-094DEE737CEF}"/>
            </c:ext>
          </c:extLst>
        </c:ser>
        <c:ser>
          <c:idx val="9"/>
          <c:order val="7"/>
          <c:tx>
            <c:v>Laterite: Hydrous Mg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$Values'!$GX$93:$GX$148</c:f>
              <c:numCache>
                <c:formatCode>General</c:formatCode>
                <c:ptCount val="56"/>
                <c:pt idx="0" formatCode="0.00">
                  <c:v>1.3100961538461537</c:v>
                </c:pt>
                <c:pt idx="3" formatCode="0.00">
                  <c:v>1.26</c:v>
                </c:pt>
                <c:pt idx="6" formatCode="0.00">
                  <c:v>1.5293497363796131</c:v>
                </c:pt>
                <c:pt idx="9" formatCode="0.00">
                  <c:v>1.309550561797753</c:v>
                </c:pt>
                <c:pt idx="10" formatCode="0.00">
                  <c:v>1.7448583690987125</c:v>
                </c:pt>
                <c:pt idx="11" formatCode="0.00">
                  <c:v>2.219593301435407</c:v>
                </c:pt>
                <c:pt idx="12" formatCode="0.00">
                  <c:v>2.5306611570247934</c:v>
                </c:pt>
                <c:pt idx="15" formatCode="0.00">
                  <c:v>1.2200135226504394</c:v>
                </c:pt>
                <c:pt idx="19" formatCode="0.00">
                  <c:v>1.2007025013304951</c:v>
                </c:pt>
                <c:pt idx="23" formatCode="0.00">
                  <c:v>1.8680579925650558</c:v>
                </c:pt>
                <c:pt idx="24" formatCode="0.00">
                  <c:v>1.6244773906597481</c:v>
                </c:pt>
                <c:pt idx="25" formatCode="0.00">
                  <c:v>1.8070866560340244</c:v>
                </c:pt>
                <c:pt idx="26" formatCode="0.00">
                  <c:v>1.8902009005888467</c:v>
                </c:pt>
              </c:numCache>
            </c:numRef>
          </c:xVal>
          <c:yVal>
            <c:numRef>
              <c:f>'Ni $Values'!$GY$93:$GY$148</c:f>
              <c:numCache>
                <c:formatCode>General</c:formatCode>
                <c:ptCount val="56"/>
                <c:pt idx="0" formatCode="0.0">
                  <c:v>681.25</c:v>
                </c:pt>
                <c:pt idx="3" formatCode="0.0">
                  <c:v>104.58</c:v>
                </c:pt>
                <c:pt idx="6" formatCode="#,##0">
                  <c:v>1740.4</c:v>
                </c:pt>
                <c:pt idx="9" formatCode="0.0">
                  <c:v>932.40000000000009</c:v>
                </c:pt>
                <c:pt idx="10" formatCode="#,##0">
                  <c:v>2032.76</c:v>
                </c:pt>
                <c:pt idx="11" formatCode="0.0">
                  <c:v>927.79000000000019</c:v>
                </c:pt>
                <c:pt idx="12" formatCode="0.0">
                  <c:v>918.63</c:v>
                </c:pt>
                <c:pt idx="15" formatCode="0.0">
                  <c:v>36.087999999999994</c:v>
                </c:pt>
                <c:pt idx="19" formatCode="0.0">
                  <c:v>586.59120000000007</c:v>
                </c:pt>
                <c:pt idx="23" formatCode="#,##0">
                  <c:v>2512.538</c:v>
                </c:pt>
                <c:pt idx="24" formatCode="0.0">
                  <c:v>876.56799999999998</c:v>
                </c:pt>
                <c:pt idx="25" formatCode="0.0">
                  <c:v>339.91300000000001</c:v>
                </c:pt>
                <c:pt idx="26" formatCode="0.0">
                  <c:v>545.70100000000002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8-42C8-87CF-094DEE737CEF}"/>
            </c:ext>
          </c:extLst>
        </c:ser>
        <c:ser>
          <c:idx val="13"/>
          <c:order val="8"/>
          <c:tx>
            <c:v>MagS: Layered Intrusive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$Values'!$GX$371:$GX$482</c:f>
              <c:numCache>
                <c:formatCode>General</c:formatCode>
                <c:ptCount val="112"/>
                <c:pt idx="0" formatCode="0.00">
                  <c:v>6.8719327125880969E-2</c:v>
                </c:pt>
                <c:pt idx="4" formatCode="0.00">
                  <c:v>0.14541529837105699</c:v>
                </c:pt>
                <c:pt idx="5" formatCode="0.00">
                  <c:v>0.18218974604695737</c:v>
                </c:pt>
                <c:pt idx="7" formatCode="0.00">
                  <c:v>0.10319434963974215</c:v>
                </c:pt>
                <c:pt idx="8">
                  <c:v>4.3999999999999997E-2</c:v>
                </c:pt>
                <c:pt idx="9">
                  <c:v>0.19</c:v>
                </c:pt>
                <c:pt idx="19" formatCode="0.00">
                  <c:v>0.14115689381933438</c:v>
                </c:pt>
                <c:pt idx="20" formatCode="0.00">
                  <c:v>0.12029629629629628</c:v>
                </c:pt>
                <c:pt idx="21" formatCode="0.00">
                  <c:v>0.15648526629890436</c:v>
                </c:pt>
                <c:pt idx="25" formatCode="0.00">
                  <c:v>0.11240231217618901</c:v>
                </c:pt>
                <c:pt idx="27">
                  <c:v>0.10100454029511918</c:v>
                </c:pt>
                <c:pt idx="33" formatCode="0.000">
                  <c:v>6.7717492984097294E-2</c:v>
                </c:pt>
                <c:pt idx="36">
                  <c:v>0.05</c:v>
                </c:pt>
                <c:pt idx="40">
                  <c:v>1.4999999999999999E-2</c:v>
                </c:pt>
                <c:pt idx="41" formatCode="0.00">
                  <c:v>0.11240231217618903</c:v>
                </c:pt>
                <c:pt idx="42">
                  <c:v>0.1394411983000251</c:v>
                </c:pt>
                <c:pt idx="44" formatCode="0.000">
                  <c:v>4.8744394618834085E-2</c:v>
                </c:pt>
                <c:pt idx="47">
                  <c:v>0.13</c:v>
                </c:pt>
                <c:pt idx="48" formatCode="0.00">
                  <c:v>0.112402312176189</c:v>
                </c:pt>
                <c:pt idx="49">
                  <c:v>0.08</c:v>
                </c:pt>
                <c:pt idx="53">
                  <c:v>8.3000000000000004E-2</c:v>
                </c:pt>
                <c:pt idx="54">
                  <c:v>0.1654653130287648</c:v>
                </c:pt>
                <c:pt idx="55" formatCode="0.000">
                  <c:v>6.7923497267759564E-2</c:v>
                </c:pt>
                <c:pt idx="56" formatCode="0.00">
                  <c:v>0.11240231217618901</c:v>
                </c:pt>
                <c:pt idx="57" formatCode="0.00">
                  <c:v>0.11240231217618901</c:v>
                </c:pt>
                <c:pt idx="62">
                  <c:v>0.04</c:v>
                </c:pt>
                <c:pt idx="63" formatCode="0.00">
                  <c:v>0.11846153846153844</c:v>
                </c:pt>
                <c:pt idx="65" formatCode="0.00">
                  <c:v>0.13552238484718035</c:v>
                </c:pt>
                <c:pt idx="67">
                  <c:v>0.34</c:v>
                </c:pt>
                <c:pt idx="72" formatCode="0.00">
                  <c:v>0.30993488041676537</c:v>
                </c:pt>
                <c:pt idx="73" formatCode="0.00">
                  <c:v>0.10076278475729886</c:v>
                </c:pt>
                <c:pt idx="74" formatCode="0.00">
                  <c:v>0.22</c:v>
                </c:pt>
                <c:pt idx="75" formatCode="0.00">
                  <c:v>0.14000000000000004</c:v>
                </c:pt>
                <c:pt idx="76" formatCode="0.00">
                  <c:v>0.1</c:v>
                </c:pt>
                <c:pt idx="82" formatCode="0.00">
                  <c:v>1.2250347179924475</c:v>
                </c:pt>
                <c:pt idx="93" formatCode="0.00">
                  <c:v>0.23000000000000004</c:v>
                </c:pt>
                <c:pt idx="94" formatCode="0.00">
                  <c:v>0.12</c:v>
                </c:pt>
              </c:numCache>
            </c:numRef>
          </c:xVal>
          <c:yVal>
            <c:numRef>
              <c:f>'Ni $Values'!$GY$371:$GY$482</c:f>
              <c:numCache>
                <c:formatCode>General</c:formatCode>
                <c:ptCount val="112"/>
                <c:pt idx="0" formatCode="0.0">
                  <c:v>26.716700000000007</c:v>
                </c:pt>
                <c:pt idx="4" formatCode="0.0">
                  <c:v>187.00407370517928</c:v>
                </c:pt>
                <c:pt idx="5" formatCode="0.0">
                  <c:v>228.13800000000003</c:v>
                </c:pt>
                <c:pt idx="7" formatCode="0.0">
                  <c:v>163.2741</c:v>
                </c:pt>
                <c:pt idx="8" formatCode="0.0">
                  <c:v>17.82</c:v>
                </c:pt>
                <c:pt idx="9" formatCode="#,##0.0">
                  <c:v>2280.5700000000002</c:v>
                </c:pt>
                <c:pt idx="19" formatCode="0.0">
                  <c:v>89.07</c:v>
                </c:pt>
                <c:pt idx="20" formatCode="0.0">
                  <c:v>48.719999999999992</c:v>
                </c:pt>
                <c:pt idx="21" formatCode="0.0">
                  <c:v>95.646924467216337</c:v>
                </c:pt>
                <c:pt idx="25" formatCode="0.0">
                  <c:v>27.1170578125056</c:v>
                </c:pt>
                <c:pt idx="27" formatCode="0.0">
                  <c:v>8.8985000000000003</c:v>
                </c:pt>
                <c:pt idx="33" formatCode="0.0">
                  <c:v>72.390000000000015</c:v>
                </c:pt>
                <c:pt idx="36" formatCode="0.0">
                  <c:v>8</c:v>
                </c:pt>
                <c:pt idx="40" formatCode="0.0">
                  <c:v>4.2750000000000004</c:v>
                </c:pt>
                <c:pt idx="41" formatCode="0.0">
                  <c:v>5.1230838245975612</c:v>
                </c:pt>
                <c:pt idx="42" formatCode="0.0">
                  <c:v>395.36681225312009</c:v>
                </c:pt>
                <c:pt idx="44" formatCode="0.0">
                  <c:v>10.87</c:v>
                </c:pt>
                <c:pt idx="47" formatCode="0.0">
                  <c:v>61.88</c:v>
                </c:pt>
                <c:pt idx="48" formatCode="0.0">
                  <c:v>13.375875148966491</c:v>
                </c:pt>
                <c:pt idx="49" formatCode="0.0">
                  <c:v>35.28</c:v>
                </c:pt>
                <c:pt idx="53" formatCode="0.0">
                  <c:v>4.2330000000000005</c:v>
                </c:pt>
                <c:pt idx="54" formatCode="0.0">
                  <c:v>370.13348122866887</c:v>
                </c:pt>
                <c:pt idx="55" formatCode="0.0">
                  <c:v>18.067650273224043</c:v>
                </c:pt>
                <c:pt idx="56" formatCode="0.0">
                  <c:v>23.267278620471124</c:v>
                </c:pt>
                <c:pt idx="57" formatCode="0.0">
                  <c:v>3.2473758602730154</c:v>
                </c:pt>
                <c:pt idx="62" formatCode="0.0">
                  <c:v>28.388000000000002</c:v>
                </c:pt>
                <c:pt idx="63" formatCode="0.0">
                  <c:v>50.72941176470588</c:v>
                </c:pt>
                <c:pt idx="65" formatCode="0.0">
                  <c:v>125.92739999999998</c:v>
                </c:pt>
                <c:pt idx="67" formatCode="0.0">
                  <c:v>423.98</c:v>
                </c:pt>
                <c:pt idx="72" formatCode="0.0">
                  <c:v>261.77100000000002</c:v>
                </c:pt>
                <c:pt idx="73" formatCode="0.0">
                  <c:v>46.85469491214397</c:v>
                </c:pt>
                <c:pt idx="74" formatCode="0.0">
                  <c:v>115.28</c:v>
                </c:pt>
                <c:pt idx="75" formatCode="0.0">
                  <c:v>23.100000000000005</c:v>
                </c:pt>
                <c:pt idx="76" formatCode="0.0">
                  <c:v>226.3</c:v>
                </c:pt>
                <c:pt idx="82" formatCode="0.0">
                  <c:v>100.56310000000002</c:v>
                </c:pt>
                <c:pt idx="93" formatCode="0.0">
                  <c:v>2.5369000000000006</c:v>
                </c:pt>
                <c:pt idx="94" formatCode="0.0">
                  <c:v>15.255599999999999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D8-42C8-87CF-094DEE737CEF}"/>
            </c:ext>
          </c:extLst>
        </c:ser>
        <c:ser>
          <c:idx val="6"/>
          <c:order val="9"/>
          <c:tx>
            <c:v>Hydrothermal: VMS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$Values'!$GX$34:$GX$46</c:f>
              <c:numCache>
                <c:formatCode>General</c:formatCode>
                <c:ptCount val="13"/>
                <c:pt idx="0" formatCode="0.00">
                  <c:v>0.23845059880239525</c:v>
                </c:pt>
              </c:numCache>
            </c:numRef>
          </c:xVal>
          <c:yVal>
            <c:numRef>
              <c:f>'Ni $Values'!$GY$34:$GY$46</c:f>
              <c:numCache>
                <c:formatCode>General</c:formatCode>
                <c:ptCount val="13"/>
                <c:pt idx="0" formatCode="0.0">
                  <c:v>3.1856999999999998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D8-42C8-87CF-094DEE737CEF}"/>
            </c:ext>
          </c:extLst>
        </c:ser>
        <c:ser>
          <c:idx val="8"/>
          <c:order val="10"/>
          <c:tx>
            <c:v>Laterite: Clay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$Values'!$GX$52:$GX$92</c:f>
              <c:numCache>
                <c:formatCode>0.00</c:formatCode>
                <c:ptCount val="41"/>
                <c:pt idx="1">
                  <c:v>1.05</c:v>
                </c:pt>
                <c:pt idx="4">
                  <c:v>0.91</c:v>
                </c:pt>
                <c:pt idx="5">
                  <c:v>0.96</c:v>
                </c:pt>
                <c:pt idx="6">
                  <c:v>0.87</c:v>
                </c:pt>
                <c:pt idx="19">
                  <c:v>1.2376344086021505</c:v>
                </c:pt>
              </c:numCache>
            </c:numRef>
          </c:xVal>
          <c:yVal>
            <c:numRef>
              <c:f>'Ni $Values'!$GY$52:$GY$92</c:f>
              <c:numCache>
                <c:formatCode>#,##0</c:formatCode>
                <c:ptCount val="41"/>
                <c:pt idx="1">
                  <c:v>1066.8</c:v>
                </c:pt>
                <c:pt idx="4" formatCode="0.0">
                  <c:v>42.77</c:v>
                </c:pt>
                <c:pt idx="5" formatCode="0.0">
                  <c:v>267.83999999999997</c:v>
                </c:pt>
                <c:pt idx="6" formatCode="0.0">
                  <c:v>280.14000000000004</c:v>
                </c:pt>
                <c:pt idx="19" formatCode="0.0">
                  <c:v>460.4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D8-42C8-87CF-094DEE737CEF}"/>
            </c:ext>
          </c:extLst>
        </c:ser>
        <c:ser>
          <c:idx val="14"/>
          <c:order val="11"/>
          <c:tx>
            <c:v>MagS: Proterozoic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$Values'!$GX$483:$GX$502</c:f>
              <c:numCache>
                <c:formatCode>General</c:formatCode>
                <c:ptCount val="20"/>
                <c:pt idx="0" formatCode="0.00">
                  <c:v>0.57446639846211767</c:v>
                </c:pt>
                <c:pt idx="2" formatCode="0.00">
                  <c:v>1.6665157209069272</c:v>
                </c:pt>
                <c:pt idx="3" formatCode="0.00">
                  <c:v>1.8633043478260867</c:v>
                </c:pt>
                <c:pt idx="14" formatCode="0.00">
                  <c:v>1.4376398467432949</c:v>
                </c:pt>
                <c:pt idx="15" formatCode="0.00">
                  <c:v>2.7883850931677019</c:v>
                </c:pt>
              </c:numCache>
            </c:numRef>
          </c:xVal>
          <c:yVal>
            <c:numRef>
              <c:f>'Ni $Values'!$GY$483:$GY$502</c:f>
              <c:numCache>
                <c:formatCode>General</c:formatCode>
                <c:ptCount val="20"/>
                <c:pt idx="0" formatCode="0.0">
                  <c:v>579.7399999999999</c:v>
                </c:pt>
                <c:pt idx="2" formatCode="0.0">
                  <c:v>266.07589999999999</c:v>
                </c:pt>
                <c:pt idx="3" formatCode="0.0">
                  <c:v>214.27999999999997</c:v>
                </c:pt>
                <c:pt idx="14" formatCode="0.0">
                  <c:v>37.522399999999998</c:v>
                </c:pt>
                <c:pt idx="15" formatCode="0.0">
                  <c:v>314.25099999999998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BD8-42C8-87CF-094DEE737CEF}"/>
            </c:ext>
          </c:extLst>
        </c:ser>
        <c:ser>
          <c:idx val="2"/>
          <c:order val="12"/>
          <c:tx>
            <c:v>Hydrothermal: Mn Nodules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$Values'!$GX$15:$GX$19</c:f>
              <c:numCache>
                <c:formatCode>General</c:formatCode>
                <c:ptCount val="5"/>
              </c:numCache>
            </c:numRef>
          </c:xVal>
          <c:yVal>
            <c:numRef>
              <c:f>'Ni $Values'!$GY$15:$GY$19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BD8-42C8-87CF-094DEE737CEF}"/>
            </c:ext>
          </c:extLst>
        </c:ser>
        <c:ser>
          <c:idx val="10"/>
          <c:order val="13"/>
          <c:tx>
            <c:v>Laterite: Oxides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$Values'!$GX$149:$GX$285</c:f>
              <c:numCache>
                <c:formatCode>General</c:formatCode>
                <c:ptCount val="137"/>
                <c:pt idx="4" formatCode="0.00">
                  <c:v>0.60074036511156192</c:v>
                </c:pt>
                <c:pt idx="5" formatCode="0.00">
                  <c:v>0.93000000000000016</c:v>
                </c:pt>
                <c:pt idx="7" formatCode="0.00">
                  <c:v>0.65</c:v>
                </c:pt>
                <c:pt idx="15" formatCode="0.00">
                  <c:v>0.12999999999999998</c:v>
                </c:pt>
                <c:pt idx="19" formatCode="0.00">
                  <c:v>1.2226758630371444</c:v>
                </c:pt>
                <c:pt idx="20" formatCode="0.00">
                  <c:v>1.3425282569898869</c:v>
                </c:pt>
                <c:pt idx="41">
                  <c:v>0.66</c:v>
                </c:pt>
                <c:pt idx="55" formatCode="0.00">
                  <c:v>0.56109905020352779</c:v>
                </c:pt>
                <c:pt idx="59" formatCode="0.00">
                  <c:v>1.1029166666666665</c:v>
                </c:pt>
                <c:pt idx="60" formatCode="0.00">
                  <c:v>1.1777058823529409</c:v>
                </c:pt>
                <c:pt idx="61" formatCode="0.00">
                  <c:v>1.1734343434343435</c:v>
                </c:pt>
                <c:pt idx="66" formatCode="0.00">
                  <c:v>0.93327213114754104</c:v>
                </c:pt>
                <c:pt idx="68" formatCode="0.00">
                  <c:v>1.2011928707829409</c:v>
                </c:pt>
                <c:pt idx="69" formatCode="0.00">
                  <c:v>1.3618577351935899</c:v>
                </c:pt>
                <c:pt idx="71" formatCode="0.00">
                  <c:v>0.95</c:v>
                </c:pt>
                <c:pt idx="74">
                  <c:v>0.89999999999999991</c:v>
                </c:pt>
                <c:pt idx="80" formatCode="0.00">
                  <c:v>1.6816549019607845</c:v>
                </c:pt>
                <c:pt idx="81" formatCode="0.00">
                  <c:v>1.3775782945736432</c:v>
                </c:pt>
                <c:pt idx="83" formatCode="0.00">
                  <c:v>1.6102666666666667</c:v>
                </c:pt>
                <c:pt idx="84" formatCode="0.00">
                  <c:v>1.5549727767695101</c:v>
                </c:pt>
              </c:numCache>
            </c:numRef>
          </c:xVal>
          <c:yVal>
            <c:numRef>
              <c:f>'Ni $Values'!$GY$149:$GY$285</c:f>
              <c:numCache>
                <c:formatCode>General</c:formatCode>
                <c:ptCount val="137"/>
                <c:pt idx="4" formatCode="#,##0">
                  <c:v>1184.6600000000001</c:v>
                </c:pt>
                <c:pt idx="5" formatCode="#,##0">
                  <c:v>1566.1200000000003</c:v>
                </c:pt>
                <c:pt idx="7" formatCode="0.0">
                  <c:v>24.420500000000001</c:v>
                </c:pt>
                <c:pt idx="15" formatCode="0.0">
                  <c:v>5.1869999999999994</c:v>
                </c:pt>
                <c:pt idx="19" formatCode="0.0">
                  <c:v>444.35306629999997</c:v>
                </c:pt>
                <c:pt idx="20" formatCode="0.0">
                  <c:v>338.51849999999996</c:v>
                </c:pt>
                <c:pt idx="41" formatCode="0.0">
                  <c:v>449.6712</c:v>
                </c:pt>
                <c:pt idx="55" formatCode="0.0">
                  <c:v>827.06</c:v>
                </c:pt>
                <c:pt idx="59" formatCode="0.0">
                  <c:v>105.88</c:v>
                </c:pt>
                <c:pt idx="60" formatCode="0.0">
                  <c:v>400.4199999999999</c:v>
                </c:pt>
                <c:pt idx="61" formatCode="0.0">
                  <c:v>116.17</c:v>
                </c:pt>
                <c:pt idx="66" formatCode="#,##0">
                  <c:v>1423.24</c:v>
                </c:pt>
                <c:pt idx="68" formatCode="#,##0">
                  <c:v>1320.9518000000003</c:v>
                </c:pt>
                <c:pt idx="69" formatCode="0.0">
                  <c:v>486.10149999999993</c:v>
                </c:pt>
                <c:pt idx="71" formatCode="#,##0">
                  <c:v>1199.5650000000001</c:v>
                </c:pt>
                <c:pt idx="74" formatCode="0.0">
                  <c:v>512.99999999999989</c:v>
                </c:pt>
                <c:pt idx="80" formatCode="0.0">
                  <c:v>214.41100000000003</c:v>
                </c:pt>
                <c:pt idx="81" formatCode="0.0">
                  <c:v>888.5379999999999</c:v>
                </c:pt>
                <c:pt idx="83" formatCode="0.0">
                  <c:v>24.154</c:v>
                </c:pt>
                <c:pt idx="84" formatCode="0.0">
                  <c:v>85.679000000000002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BD8-42C8-87CF-094DEE737CEF}"/>
            </c:ext>
          </c:extLst>
        </c:ser>
        <c:ser>
          <c:idx val="15"/>
          <c:order val="14"/>
          <c:tx>
            <c:v>MagS: Small M-UM Intrusion-related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$Values'!$GX$503:$GX$619</c:f>
              <c:numCache>
                <c:formatCode>General</c:formatCode>
                <c:ptCount val="117"/>
                <c:pt idx="3" formatCode="0.000">
                  <c:v>8.3870761655325143E-2</c:v>
                </c:pt>
                <c:pt idx="10" formatCode="0.00">
                  <c:v>0.96036690498021682</c:v>
                </c:pt>
                <c:pt idx="11" formatCode="0.00">
                  <c:v>0.33</c:v>
                </c:pt>
                <c:pt idx="15" formatCode="0.00">
                  <c:v>2.12</c:v>
                </c:pt>
                <c:pt idx="27" formatCode="0.00">
                  <c:v>1.6826646303117418</c:v>
                </c:pt>
                <c:pt idx="37" formatCode="0.00">
                  <c:v>0.49</c:v>
                </c:pt>
                <c:pt idx="38" formatCode="0.00">
                  <c:v>0.62</c:v>
                </c:pt>
                <c:pt idx="40" formatCode="0.00">
                  <c:v>0.46359299516908203</c:v>
                </c:pt>
                <c:pt idx="51" formatCode="0.00">
                  <c:v>0.65217391304347827</c:v>
                </c:pt>
                <c:pt idx="57" formatCode="0.00">
                  <c:v>2.6227984344422701</c:v>
                </c:pt>
                <c:pt idx="98">
                  <c:v>1</c:v>
                </c:pt>
              </c:numCache>
            </c:numRef>
          </c:xVal>
          <c:yVal>
            <c:numRef>
              <c:f>'Ni $Values'!$GY$503:$GY$619</c:f>
              <c:numCache>
                <c:formatCode>General</c:formatCode>
                <c:ptCount val="117"/>
                <c:pt idx="3" formatCode="0.0">
                  <c:v>213.59282999999996</c:v>
                </c:pt>
                <c:pt idx="10" formatCode="#,##0">
                  <c:v>6148.2016999999996</c:v>
                </c:pt>
                <c:pt idx="11" formatCode="0.0">
                  <c:v>39.032400000000003</c:v>
                </c:pt>
                <c:pt idx="15" formatCode="0.0">
                  <c:v>657.2</c:v>
                </c:pt>
                <c:pt idx="27" formatCode="0.0">
                  <c:v>187.29739999999998</c:v>
                </c:pt>
                <c:pt idx="37" formatCode="0.0">
                  <c:v>145.81757119999997</c:v>
                </c:pt>
                <c:pt idx="38" formatCode="0.0">
                  <c:v>120.738614</c:v>
                </c:pt>
                <c:pt idx="40" formatCode="0.0">
                  <c:v>7.6770999999999994</c:v>
                </c:pt>
                <c:pt idx="51" formatCode="0.0">
                  <c:v>22.5</c:v>
                </c:pt>
                <c:pt idx="57" formatCode="0.0">
                  <c:v>107.22</c:v>
                </c:pt>
                <c:pt idx="98" formatCode="0.0">
                  <c:v>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BD8-42C8-87CF-094DEE737CEF}"/>
            </c:ext>
          </c:extLst>
        </c:ser>
        <c:ser>
          <c:idx val="7"/>
          <c:order val="15"/>
          <c:tx>
            <c:v>Hydrothermal: Various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$Values'!$GX$47:$GX$51</c:f>
              <c:numCache>
                <c:formatCode>0.00</c:formatCode>
                <c:ptCount val="5"/>
                <c:pt idx="1">
                  <c:v>0.74698876404494385</c:v>
                </c:pt>
              </c:numCache>
            </c:numRef>
          </c:xVal>
          <c:yVal>
            <c:numRef>
              <c:f>'Ni $Values'!$GY$47:$GY$51</c:f>
              <c:numCache>
                <c:formatCode>0.0</c:formatCode>
                <c:ptCount val="5"/>
                <c:pt idx="1">
                  <c:v>664.82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BD8-42C8-87CF-094DEE737CEF}"/>
            </c:ext>
          </c:extLst>
        </c:ser>
        <c:ser>
          <c:idx val="17"/>
          <c:order val="16"/>
          <c:tx>
            <c:v>Tailings</c:v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('Ni $Values'!$GX$627:$GX$629,'Ni $Values'!$GX$630:$GX$631)</c:f>
              <c:numCache>
                <c:formatCode>General</c:formatCode>
                <c:ptCount val="5"/>
              </c:numCache>
            </c:numRef>
          </c:xVal>
          <c:yVal>
            <c:numRef>
              <c:f>('Ni $Values'!$GY$627:$GY$629,'Ni $Values'!$GY$630:$GY$631)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BD8-42C8-87CF-094DEE737CEF}"/>
            </c:ext>
          </c:extLst>
        </c:ser>
        <c:ser>
          <c:idx val="16"/>
          <c:order val="17"/>
          <c:tx>
            <c:v>MagS: Various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$Values'!$GX$620:$GX$626</c:f>
              <c:numCache>
                <c:formatCode>General</c:formatCode>
                <c:ptCount val="7"/>
              </c:numCache>
            </c:numRef>
          </c:xVal>
          <c:yVal>
            <c:numRef>
              <c:f>'Ni $Values'!$GY$620:$GY$626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BD8-42C8-87CF-094DEE737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84303"/>
        <c:axId val="846392015"/>
      </c:scatterChart>
      <c:valAx>
        <c:axId val="845184303"/>
        <c:scaling>
          <c:logBase val="10"/>
          <c:orientation val="minMax"/>
          <c:max val="6"/>
          <c:min val="1.0000000000000002E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Ore Grade (%Ni)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CN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CN"/>
          </a:p>
        </c:txPr>
        <c:crossAx val="846392015"/>
        <c:crossesAt val="0.1"/>
        <c:crossBetween val="midCat"/>
      </c:valAx>
      <c:valAx>
        <c:axId val="846392015"/>
        <c:scaling>
          <c:logBase val="10"/>
          <c:orientation val="minMax"/>
          <c:max val="16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Contained Nickel (Mt Ni)</a:t>
                </a:r>
              </a:p>
            </c:rich>
          </c:tx>
          <c:layout>
            <c:manualLayout>
              <c:xMode val="edge"/>
              <c:yMode val="edge"/>
              <c:x val="2.6083583474717587E-3"/>
              <c:y val="0.240240773852492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CN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CN"/>
          </a:p>
        </c:txPr>
        <c:crossAx val="845184303"/>
        <c:crossesAt val="1.0000000000000002E-2"/>
        <c:crossBetween val="midCat"/>
        <c:dispUnits>
          <c:builtInUnit val="thousands"/>
        </c:dispUnits>
      </c:valAx>
      <c:spPr>
        <a:noFill/>
        <a:ln w="25400"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9.9213474735516213E-2"/>
          <c:y val="8.3685937220720832E-3"/>
          <c:w val="0.87259822209067806"/>
          <c:h val="0.209756824810574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CN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835836780628156E-2"/>
          <c:y val="0.24478136637060843"/>
          <c:w val="0.8840458148923136"/>
          <c:h val="0.65647285190307247"/>
        </c:manualLayout>
      </c:layout>
      <c:scatterChart>
        <c:scatterStyle val="lineMarker"/>
        <c:varyColors val="0"/>
        <c:ser>
          <c:idx val="0"/>
          <c:order val="0"/>
          <c:tx>
            <c:v>Hydrothermal: IOCG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$Values'!$GS$6:$GS$14</c:f>
              <c:numCache>
                <c:formatCode>0.0</c:formatCode>
                <c:ptCount val="9"/>
                <c:pt idx="0">
                  <c:v>116.1558903409109</c:v>
                </c:pt>
                <c:pt idx="1">
                  <c:v>35.379987319999998</c:v>
                </c:pt>
                <c:pt idx="2">
                  <c:v>60.324400000000004</c:v>
                </c:pt>
                <c:pt idx="3">
                  <c:v>223.47576226340601</c:v>
                </c:pt>
                <c:pt idx="4">
                  <c:v>59.013000000000005</c:v>
                </c:pt>
                <c:pt idx="5">
                  <c:v>151.94389103392609</c:v>
                </c:pt>
                <c:pt idx="6">
                  <c:v>87.204961600000004</c:v>
                </c:pt>
                <c:pt idx="7">
                  <c:v>56.810044920889823</c:v>
                </c:pt>
                <c:pt idx="8">
                  <c:v>51.505836363236128</c:v>
                </c:pt>
              </c:numCache>
            </c:numRef>
          </c:xVal>
          <c:yVal>
            <c:numRef>
              <c:f>'Ni $Values'!$GQ$6:$GQ$14</c:f>
              <c:numCache>
                <c:formatCode>0.0</c:formatCode>
                <c:ptCount val="9"/>
                <c:pt idx="0">
                  <c:v>314.88</c:v>
                </c:pt>
                <c:pt idx="1">
                  <c:v>8.25</c:v>
                </c:pt>
                <c:pt idx="2">
                  <c:v>6.9</c:v>
                </c:pt>
                <c:pt idx="3">
                  <c:v>8.6409999999999982</c:v>
                </c:pt>
                <c:pt idx="4">
                  <c:v>2.25</c:v>
                </c:pt>
                <c:pt idx="5">
                  <c:v>2.952</c:v>
                </c:pt>
                <c:pt idx="6">
                  <c:v>1.1220000000000001</c:v>
                </c:pt>
                <c:pt idx="7">
                  <c:v>26.002929700000003</c:v>
                </c:pt>
                <c:pt idx="8">
                  <c:v>65.424839999999989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CF-4D0A-AED4-90718C636F15}"/>
            </c:ext>
          </c:extLst>
        </c:ser>
        <c:ser>
          <c:idx val="1"/>
          <c:order val="1"/>
          <c:tx>
            <c:v>Hydrothermal: Fe-Ni Alloy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$Values'!$GS$5</c:f>
              <c:numCache>
                <c:formatCode>0.0</c:formatCode>
                <c:ptCount val="1"/>
                <c:pt idx="0">
                  <c:v>15.209000531865923</c:v>
                </c:pt>
              </c:numCache>
            </c:numRef>
          </c:xVal>
          <c:yVal>
            <c:numRef>
              <c:f>'Ni $Values'!$GQ$5</c:f>
              <c:numCache>
                <c:formatCode>#,##0</c:formatCode>
                <c:ptCount val="1"/>
                <c:pt idx="0">
                  <c:v>2796.7558999999997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F-4D0A-AED4-90718C636F15}"/>
            </c:ext>
          </c:extLst>
        </c:ser>
        <c:ser>
          <c:idx val="11"/>
          <c:order val="2"/>
          <c:tx>
            <c:v>MagS: Archean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$Values'!$GS$286:$GS$356</c:f>
              <c:numCache>
                <c:formatCode>0.0</c:formatCode>
                <c:ptCount val="71"/>
                <c:pt idx="0">
                  <c:v>100.2172624408704</c:v>
                </c:pt>
                <c:pt idx="1">
                  <c:v>70.230347107438007</c:v>
                </c:pt>
                <c:pt idx="2">
                  <c:v>218.50217913593258</c:v>
                </c:pt>
                <c:pt idx="3">
                  <c:v>79.402289545454536</c:v>
                </c:pt>
                <c:pt idx="4">
                  <c:v>338.22376119402986</c:v>
                </c:pt>
                <c:pt idx="5">
                  <c:v>77.372599999999991</c:v>
                </c:pt>
                <c:pt idx="6">
                  <c:v>89.175200000000004</c:v>
                </c:pt>
                <c:pt idx="7">
                  <c:v>275.39400000000001</c:v>
                </c:pt>
                <c:pt idx="8">
                  <c:v>418.16099916362992</c:v>
                </c:pt>
                <c:pt idx="9">
                  <c:v>335.73818407400336</c:v>
                </c:pt>
                <c:pt idx="10">
                  <c:v>82.429052196089543</c:v>
                </c:pt>
                <c:pt idx="11">
                  <c:v>506.49844889810754</c:v>
                </c:pt>
                <c:pt idx="12">
                  <c:v>255.62646248851937</c:v>
                </c:pt>
                <c:pt idx="13">
                  <c:v>543.52804718319317</c:v>
                </c:pt>
                <c:pt idx="14">
                  <c:v>650.21444675308987</c:v>
                </c:pt>
                <c:pt idx="15">
                  <c:v>127.70280911828642</c:v>
                </c:pt>
                <c:pt idx="16">
                  <c:v>584.57596920000003</c:v>
                </c:pt>
                <c:pt idx="17">
                  <c:v>264.37081692095171</c:v>
                </c:pt>
                <c:pt idx="18">
                  <c:v>216.03263558483627</c:v>
                </c:pt>
                <c:pt idx="19">
                  <c:v>170.66256241693142</c:v>
                </c:pt>
                <c:pt idx="20">
                  <c:v>89.374027449111438</c:v>
                </c:pt>
                <c:pt idx="21">
                  <c:v>238.15904085714286</c:v>
                </c:pt>
                <c:pt idx="22">
                  <c:v>182.08222365548755</c:v>
                </c:pt>
                <c:pt idx="23">
                  <c:v>288.50799999999998</c:v>
                </c:pt>
                <c:pt idx="24">
                  <c:v>312.76837669592976</c:v>
                </c:pt>
                <c:pt idx="25">
                  <c:v>219.6940203472669</c:v>
                </c:pt>
                <c:pt idx="26">
                  <c:v>398.46384615384613</c:v>
                </c:pt>
                <c:pt idx="27">
                  <c:v>318.90294640000002</c:v>
                </c:pt>
                <c:pt idx="28">
                  <c:v>309.49039999999997</c:v>
                </c:pt>
                <c:pt idx="29">
                  <c:v>226.85336960000001</c:v>
                </c:pt>
                <c:pt idx="30">
                  <c:v>118.02600000000001</c:v>
                </c:pt>
                <c:pt idx="31">
                  <c:v>345.89549214372295</c:v>
                </c:pt>
                <c:pt idx="32">
                  <c:v>262.27999999999997</c:v>
                </c:pt>
                <c:pt idx="33">
                  <c:v>131.69907718316963</c:v>
                </c:pt>
                <c:pt idx="34">
                  <c:v>245.69835576923077</c:v>
                </c:pt>
                <c:pt idx="35">
                  <c:v>424.74051596424437</c:v>
                </c:pt>
                <c:pt idx="36">
                  <c:v>254.45441486012186</c:v>
                </c:pt>
                <c:pt idx="37">
                  <c:v>228.36848243344051</c:v>
                </c:pt>
                <c:pt idx="38">
                  <c:v>304.9952789965194</c:v>
                </c:pt>
                <c:pt idx="39">
                  <c:v>98.872218104180078</c:v>
                </c:pt>
                <c:pt idx="40">
                  <c:v>366.12619588016184</c:v>
                </c:pt>
                <c:pt idx="41">
                  <c:v>495.70919999999995</c:v>
                </c:pt>
                <c:pt idx="42">
                  <c:v>68.192800000000005</c:v>
                </c:pt>
                <c:pt idx="43">
                  <c:v>297.74321126760572</c:v>
                </c:pt>
                <c:pt idx="44">
                  <c:v>458.99000000000007</c:v>
                </c:pt>
                <c:pt idx="45">
                  <c:v>214.02054682196342</c:v>
                </c:pt>
                <c:pt idx="46">
                  <c:v>150.47287463626222</c:v>
                </c:pt>
                <c:pt idx="47">
                  <c:v>48.171996579078652</c:v>
                </c:pt>
                <c:pt idx="48">
                  <c:v>43.047962932089241</c:v>
                </c:pt>
                <c:pt idx="49">
                  <c:v>414.4024</c:v>
                </c:pt>
                <c:pt idx="50">
                  <c:v>119.79232582184207</c:v>
                </c:pt>
                <c:pt idx="51">
                  <c:v>168.01470826566484</c:v>
                </c:pt>
                <c:pt idx="52">
                  <c:v>104.23203893052222</c:v>
                </c:pt>
                <c:pt idx="53">
                  <c:v>186.91356158459845</c:v>
                </c:pt>
                <c:pt idx="54">
                  <c:v>106.22340000000001</c:v>
                </c:pt>
                <c:pt idx="55">
                  <c:v>201.75002315089816</c:v>
                </c:pt>
                <c:pt idx="56">
                  <c:v>78.176057199999988</c:v>
                </c:pt>
                <c:pt idx="57">
                  <c:v>74.992923599999997</c:v>
                </c:pt>
                <c:pt idx="58">
                  <c:v>52.620732512315264</c:v>
                </c:pt>
                <c:pt idx="59">
                  <c:v>79.597165592437221</c:v>
                </c:pt>
                <c:pt idx="60">
                  <c:v>120.64879999999999</c:v>
                </c:pt>
                <c:pt idx="61">
                  <c:v>111.46899999999999</c:v>
                </c:pt>
                <c:pt idx="62">
                  <c:v>123.2382638</c:v>
                </c:pt>
                <c:pt idx="63">
                  <c:v>52.456000000000003</c:v>
                </c:pt>
                <c:pt idx="64">
                  <c:v>49.833200000000005</c:v>
                </c:pt>
                <c:pt idx="65">
                  <c:v>124.45118719999999</c:v>
                </c:pt>
                <c:pt idx="66">
                  <c:v>77.372599999999991</c:v>
                </c:pt>
                <c:pt idx="67">
                  <c:v>49.833200000000005</c:v>
                </c:pt>
                <c:pt idx="68">
                  <c:v>45.898999999999994</c:v>
                </c:pt>
                <c:pt idx="69">
                  <c:v>44.587599999999995</c:v>
                </c:pt>
                <c:pt idx="70">
                  <c:v>68.192800000000005</c:v>
                </c:pt>
              </c:numCache>
            </c:numRef>
          </c:xVal>
          <c:yVal>
            <c:numRef>
              <c:f>'Ni $Values'!$GQ$286:$GQ$356</c:f>
              <c:numCache>
                <c:formatCode>#,##0</c:formatCode>
                <c:ptCount val="71"/>
                <c:pt idx="0">
                  <c:v>1615.5200000000002</c:v>
                </c:pt>
                <c:pt idx="1">
                  <c:v>1295.9999999999998</c:v>
                </c:pt>
                <c:pt idx="2" formatCode="0.0">
                  <c:v>158.12</c:v>
                </c:pt>
                <c:pt idx="3">
                  <c:v>2664.1</c:v>
                </c:pt>
                <c:pt idx="4" formatCode="0.0">
                  <c:v>190.08</c:v>
                </c:pt>
                <c:pt idx="5" formatCode="0.0">
                  <c:v>182.9</c:v>
                </c:pt>
                <c:pt idx="6">
                  <c:v>1259.3600000000004</c:v>
                </c:pt>
                <c:pt idx="7" formatCode="0.0">
                  <c:v>14.28</c:v>
                </c:pt>
                <c:pt idx="8" formatCode="0.0">
                  <c:v>6.5098420000000008</c:v>
                </c:pt>
                <c:pt idx="9" formatCode="0.0">
                  <c:v>266.31554599999998</c:v>
                </c:pt>
                <c:pt idx="10" formatCode="0.0">
                  <c:v>332.72700000000003</c:v>
                </c:pt>
                <c:pt idx="11" formatCode="0.0">
                  <c:v>134.79378571428572</c:v>
                </c:pt>
                <c:pt idx="12" formatCode="0.0">
                  <c:v>95.174799999999991</c:v>
                </c:pt>
                <c:pt idx="13" formatCode="0.0">
                  <c:v>23.08</c:v>
                </c:pt>
                <c:pt idx="14" formatCode="0.0">
                  <c:v>116.569855</c:v>
                </c:pt>
                <c:pt idx="15" formatCode="0.0">
                  <c:v>97.653600000000012</c:v>
                </c:pt>
                <c:pt idx="16" formatCode="0.0">
                  <c:v>31.44</c:v>
                </c:pt>
                <c:pt idx="17" formatCode="0.0">
                  <c:v>129.81756200000001</c:v>
                </c:pt>
                <c:pt idx="18" formatCode="0.0">
                  <c:v>147.6087</c:v>
                </c:pt>
                <c:pt idx="19" formatCode="0.0">
                  <c:v>20.646000000000001</c:v>
                </c:pt>
                <c:pt idx="20" formatCode="0.0">
                  <c:v>191.56720000000004</c:v>
                </c:pt>
                <c:pt idx="21" formatCode="0.0">
                  <c:v>52.13</c:v>
                </c:pt>
                <c:pt idx="22" formatCode="0.0">
                  <c:v>86.546941000000004</c:v>
                </c:pt>
                <c:pt idx="23" formatCode="0.0">
                  <c:v>13.008600000000003</c:v>
                </c:pt>
                <c:pt idx="24" formatCode="0.0">
                  <c:v>8.9651999999999994</c:v>
                </c:pt>
                <c:pt idx="25" formatCode="0.0">
                  <c:v>8.3399999999999981</c:v>
                </c:pt>
                <c:pt idx="26" formatCode="0.0">
                  <c:v>6.7149999999999999</c:v>
                </c:pt>
                <c:pt idx="27" formatCode="0.0">
                  <c:v>21</c:v>
                </c:pt>
                <c:pt idx="28" formatCode="0.0">
                  <c:v>5.6639999999999997</c:v>
                </c:pt>
                <c:pt idx="29" formatCode="0.0">
                  <c:v>3.859</c:v>
                </c:pt>
                <c:pt idx="30" formatCode="0.0">
                  <c:v>3.15</c:v>
                </c:pt>
                <c:pt idx="31" formatCode="0.0">
                  <c:v>8.2188300000000005</c:v>
                </c:pt>
                <c:pt idx="32" formatCode="0.0">
                  <c:v>1.72</c:v>
                </c:pt>
                <c:pt idx="33" formatCode="0.0">
                  <c:v>17.128763500000002</c:v>
                </c:pt>
                <c:pt idx="34" formatCode="0.0">
                  <c:v>77.940000000000012</c:v>
                </c:pt>
                <c:pt idx="35" formatCode="0.0">
                  <c:v>9.3398999999999983</c:v>
                </c:pt>
                <c:pt idx="36" formatCode="0.0">
                  <c:v>123.675</c:v>
                </c:pt>
                <c:pt idx="37" formatCode="0.0">
                  <c:v>1.5390000000000001</c:v>
                </c:pt>
                <c:pt idx="38" formatCode="0.0">
                  <c:v>32.450000000000003</c:v>
                </c:pt>
                <c:pt idx="39" formatCode="0.0">
                  <c:v>40.052509000000008</c:v>
                </c:pt>
                <c:pt idx="40" formatCode="0.0">
                  <c:v>24.959099999999999</c:v>
                </c:pt>
                <c:pt idx="41" formatCode="0.0">
                  <c:v>14.741999999999997</c:v>
                </c:pt>
                <c:pt idx="42" formatCode="0.0">
                  <c:v>11.59704</c:v>
                </c:pt>
                <c:pt idx="43" formatCode="0.0">
                  <c:v>16.12</c:v>
                </c:pt>
                <c:pt idx="44" formatCode="0.0">
                  <c:v>2.8000000000000007</c:v>
                </c:pt>
                <c:pt idx="45" formatCode="0.0">
                  <c:v>8.42</c:v>
                </c:pt>
                <c:pt idx="46" formatCode="0.0">
                  <c:v>5.081999999999999</c:v>
                </c:pt>
                <c:pt idx="47">
                  <c:v>2228.8105417999996</c:v>
                </c:pt>
                <c:pt idx="48">
                  <c:v>5704.46</c:v>
                </c:pt>
                <c:pt idx="49" formatCode="0.0">
                  <c:v>3.6656</c:v>
                </c:pt>
                <c:pt idx="50" formatCode="0.0">
                  <c:v>124.95822</c:v>
                </c:pt>
                <c:pt idx="51" formatCode="0.0">
                  <c:v>23.875199999999996</c:v>
                </c:pt>
                <c:pt idx="52" formatCode="0.0">
                  <c:v>7.9092000000000011</c:v>
                </c:pt>
                <c:pt idx="53" formatCode="0.0">
                  <c:v>25.727080373831779</c:v>
                </c:pt>
                <c:pt idx="54" formatCode="0.0">
                  <c:v>6.4192500000000017</c:v>
                </c:pt>
                <c:pt idx="55" formatCode="0.0">
                  <c:v>20.398899999999998</c:v>
                </c:pt>
                <c:pt idx="56" formatCode="0.0">
                  <c:v>5.4480999999999993</c:v>
                </c:pt>
                <c:pt idx="57" formatCode="0.0">
                  <c:v>1.45</c:v>
                </c:pt>
                <c:pt idx="58" formatCode="0.0">
                  <c:v>81.454999999999998</c:v>
                </c:pt>
                <c:pt idx="59" formatCode="0.0">
                  <c:v>313.96390000000002</c:v>
                </c:pt>
                <c:pt idx="60" formatCode="0.0">
                  <c:v>29.348000000000003</c:v>
                </c:pt>
                <c:pt idx="61" formatCode="0.0">
                  <c:v>1.7</c:v>
                </c:pt>
                <c:pt idx="62" formatCode="0.0">
                  <c:v>1.47</c:v>
                </c:pt>
                <c:pt idx="63">
                  <c:v>4500</c:v>
                </c:pt>
                <c:pt idx="64" formatCode="0.0">
                  <c:v>15.96</c:v>
                </c:pt>
                <c:pt idx="65" formatCode="0.0">
                  <c:v>76.59</c:v>
                </c:pt>
                <c:pt idx="66" formatCode="0.0">
                  <c:v>12.98</c:v>
                </c:pt>
                <c:pt idx="67" formatCode="0.0">
                  <c:v>19.988</c:v>
                </c:pt>
                <c:pt idx="68" formatCode="0.0">
                  <c:v>28</c:v>
                </c:pt>
                <c:pt idx="69" formatCode="0.0">
                  <c:v>14.008000000000003</c:v>
                </c:pt>
                <c:pt idx="70" formatCode="0.0">
                  <c:v>15.995200000000001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F-4D0A-AED4-90718C636F15}"/>
            </c:ext>
          </c:extLst>
        </c:ser>
        <c:ser>
          <c:idx val="3"/>
          <c:order val="3"/>
          <c:tx>
            <c:v>Hydrothermal: Sediment-hosted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$Values'!$GS$20:$GS$26</c:f>
              <c:numCache>
                <c:formatCode>0.0</c:formatCode>
                <c:ptCount val="7"/>
                <c:pt idx="0">
                  <c:v>346.20370039999995</c:v>
                </c:pt>
                <c:pt idx="1">
                  <c:v>238.11534119999996</c:v>
                </c:pt>
                <c:pt idx="2">
                  <c:v>108.00923429808915</c:v>
                </c:pt>
                <c:pt idx="3">
                  <c:v>27.036048491999999</c:v>
                </c:pt>
                <c:pt idx="4">
                  <c:v>80.750580129198184</c:v>
                </c:pt>
                <c:pt idx="5">
                  <c:v>115.07859603960395</c:v>
                </c:pt>
                <c:pt idx="6">
                  <c:v>47.858941470636054</c:v>
                </c:pt>
              </c:numCache>
            </c:numRef>
          </c:xVal>
          <c:yVal>
            <c:numRef>
              <c:f>'Ni $Values'!$GQ$20:$GQ$25</c:f>
              <c:numCache>
                <c:formatCode>0.0</c:formatCode>
                <c:ptCount val="6"/>
                <c:pt idx="0">
                  <c:v>8.3462399999999999</c:v>
                </c:pt>
                <c:pt idx="1">
                  <c:v>3.6920000000000006</c:v>
                </c:pt>
                <c:pt idx="2">
                  <c:v>0.5596000000000001</c:v>
                </c:pt>
                <c:pt idx="3">
                  <c:v>48.854728170000001</c:v>
                </c:pt>
                <c:pt idx="4" formatCode="#,##0">
                  <c:v>4071.75</c:v>
                </c:pt>
                <c:pt idx="5">
                  <c:v>531.78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CF-4D0A-AED4-90718C636F15}"/>
            </c:ext>
          </c:extLst>
        </c:ser>
        <c:ser>
          <c:idx val="4"/>
          <c:order val="4"/>
          <c:tx>
            <c:v>Hydrothermal: Shale-hosted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$Values'!$GS$27:$GS$29</c:f>
              <c:numCache>
                <c:formatCode>0.0</c:formatCode>
                <c:ptCount val="3"/>
                <c:pt idx="0">
                  <c:v>3.8032014750116545</c:v>
                </c:pt>
                <c:pt idx="1">
                  <c:v>18.915856867664083</c:v>
                </c:pt>
                <c:pt idx="2">
                  <c:v>16.458331008962233</c:v>
                </c:pt>
              </c:numCache>
            </c:numRef>
          </c:xVal>
          <c:yVal>
            <c:numRef>
              <c:f>'Ni $Values'!$GQ$27:$GQ$29</c:f>
              <c:numCache>
                <c:formatCode>0.0</c:formatCode>
                <c:ptCount val="3"/>
                <c:pt idx="0">
                  <c:v>353.81432740000002</c:v>
                </c:pt>
                <c:pt idx="1">
                  <c:v>780</c:v>
                </c:pt>
                <c:pt idx="2" formatCode="#,##0">
                  <c:v>1041.0800000000002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F-4D0A-AED4-90718C636F15}"/>
            </c:ext>
          </c:extLst>
        </c:ser>
        <c:ser>
          <c:idx val="12"/>
          <c:order val="5"/>
          <c:tx>
            <c:v>MagS: Impact 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0000">
                  <a:alpha val="96000"/>
                </a:srgb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$Values'!$GS$357:$GS$370</c:f>
              <c:numCache>
                <c:formatCode>0.0</c:formatCode>
                <c:ptCount val="14"/>
                <c:pt idx="0">
                  <c:v>447.15181352460229</c:v>
                </c:pt>
                <c:pt idx="1">
                  <c:v>422.86277773220274</c:v>
                </c:pt>
                <c:pt idx="2">
                  <c:v>125.85525797943893</c:v>
                </c:pt>
                <c:pt idx="3">
                  <c:v>387.22483472077397</c:v>
                </c:pt>
                <c:pt idx="4">
                  <c:v>175.04909283539055</c:v>
                </c:pt>
                <c:pt idx="5">
                  <c:v>369.92651810909086</c:v>
                </c:pt>
                <c:pt idx="6">
                  <c:v>165.94718871864407</c:v>
                </c:pt>
                <c:pt idx="7">
                  <c:v>791.2379926878308</c:v>
                </c:pt>
                <c:pt idx="8">
                  <c:v>218.27199807999997</c:v>
                </c:pt>
                <c:pt idx="9">
                  <c:v>88.768945741424233</c:v>
                </c:pt>
                <c:pt idx="10">
                  <c:v>349.96903042403676</c:v>
                </c:pt>
                <c:pt idx="11">
                  <c:v>58.215333536035551</c:v>
                </c:pt>
                <c:pt idx="12">
                  <c:v>124.34448159999998</c:v>
                </c:pt>
                <c:pt idx="13">
                  <c:v>87.123363199999986</c:v>
                </c:pt>
              </c:numCache>
            </c:numRef>
          </c:xVal>
          <c:yVal>
            <c:numRef>
              <c:f>'Ni $Values'!$GQ$357:$GQ$370</c:f>
              <c:numCache>
                <c:formatCode>0.0</c:formatCode>
                <c:ptCount val="14"/>
                <c:pt idx="0">
                  <c:v>803.56200000000001</c:v>
                </c:pt>
                <c:pt idx="1">
                  <c:v>863.00999999999988</c:v>
                </c:pt>
                <c:pt idx="2">
                  <c:v>78.883149400000008</c:v>
                </c:pt>
                <c:pt idx="3">
                  <c:v>2.0640000000000001</c:v>
                </c:pt>
                <c:pt idx="4">
                  <c:v>50.481999999999999</c:v>
                </c:pt>
                <c:pt idx="5">
                  <c:v>5.3479999999999999</c:v>
                </c:pt>
                <c:pt idx="6">
                  <c:v>24.024000000000001</c:v>
                </c:pt>
                <c:pt idx="7">
                  <c:v>355</c:v>
                </c:pt>
                <c:pt idx="8">
                  <c:v>26.745000000000001</c:v>
                </c:pt>
                <c:pt idx="9">
                  <c:v>46.075000000000003</c:v>
                </c:pt>
                <c:pt idx="10">
                  <c:v>4.2481999999999998</c:v>
                </c:pt>
                <c:pt idx="11">
                  <c:v>185.60640000000001</c:v>
                </c:pt>
                <c:pt idx="12">
                  <c:v>3.7676999999999996</c:v>
                </c:pt>
                <c:pt idx="13">
                  <c:v>0.49083300000000002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F-4D0A-AED4-90718C636F15}"/>
            </c:ext>
          </c:extLst>
        </c:ser>
        <c:ser>
          <c:idx val="5"/>
          <c:order val="6"/>
          <c:tx>
            <c:v>Hydrothermal: Unconformity Uranium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$Values'!$GS$30:$GS$33</c:f>
              <c:numCache>
                <c:formatCode>0.0</c:formatCode>
                <c:ptCount val="4"/>
                <c:pt idx="0">
                  <c:v>108.64633400754717</c:v>
                </c:pt>
                <c:pt idx="1">
                  <c:v>2700.5273879421202</c:v>
                </c:pt>
                <c:pt idx="2">
                  <c:v>70.698135784448269</c:v>
                </c:pt>
                <c:pt idx="3">
                  <c:v>525.99705420574855</c:v>
                </c:pt>
              </c:numCache>
            </c:numRef>
          </c:xVal>
          <c:yVal>
            <c:numRef>
              <c:f>'Ni $Values'!$GQ$30:$GQ$33</c:f>
              <c:numCache>
                <c:formatCode>0.0</c:formatCode>
                <c:ptCount val="4"/>
                <c:pt idx="0">
                  <c:v>6.6300000000000008</c:v>
                </c:pt>
                <c:pt idx="1">
                  <c:v>0.31219999999999998</c:v>
                </c:pt>
                <c:pt idx="2">
                  <c:v>16.271000000000001</c:v>
                </c:pt>
                <c:pt idx="3">
                  <c:v>0.2308752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CF-4D0A-AED4-90718C636F15}"/>
            </c:ext>
          </c:extLst>
        </c:ser>
        <c:ser>
          <c:idx val="9"/>
          <c:order val="7"/>
          <c:tx>
            <c:v>Laterite: Hydrous Mg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$Values'!$GS$93:$GS$148</c:f>
              <c:numCache>
                <c:formatCode>0.0</c:formatCode>
                <c:ptCount val="56"/>
                <c:pt idx="0">
                  <c:v>167.48106625766869</c:v>
                </c:pt>
                <c:pt idx="1">
                  <c:v>70.821896659838643</c:v>
                </c:pt>
                <c:pt idx="2">
                  <c:v>78.683999999999997</c:v>
                </c:pt>
                <c:pt idx="3">
                  <c:v>163.08811973684209</c:v>
                </c:pt>
                <c:pt idx="4">
                  <c:v>196.07545161290321</c:v>
                </c:pt>
                <c:pt idx="5">
                  <c:v>226.86059135393666</c:v>
                </c:pt>
                <c:pt idx="6">
                  <c:v>200.55892442882248</c:v>
                </c:pt>
                <c:pt idx="7">
                  <c:v>211.9388572</c:v>
                </c:pt>
                <c:pt idx="8">
                  <c:v>210.02100959999999</c:v>
                </c:pt>
                <c:pt idx="9">
                  <c:v>191.91524732026147</c:v>
                </c:pt>
                <c:pt idx="10">
                  <c:v>228.82072652360517</c:v>
                </c:pt>
                <c:pt idx="11">
                  <c:v>323.5075162123386</c:v>
                </c:pt>
                <c:pt idx="12">
                  <c:v>317.12570833333336</c:v>
                </c:pt>
                <c:pt idx="13">
                  <c:v>261.36261920000004</c:v>
                </c:pt>
                <c:pt idx="14">
                  <c:v>104.91199999999999</c:v>
                </c:pt>
                <c:pt idx="15">
                  <c:v>177.77687057378307</c:v>
                </c:pt>
                <c:pt idx="16">
                  <c:v>187.79302798300134</c:v>
                </c:pt>
                <c:pt idx="17">
                  <c:v>209.48889487641304</c:v>
                </c:pt>
                <c:pt idx="18">
                  <c:v>179.2963082166097</c:v>
                </c:pt>
                <c:pt idx="19">
                  <c:v>198.10295738311365</c:v>
                </c:pt>
                <c:pt idx="20">
                  <c:v>247.3069561515014</c:v>
                </c:pt>
                <c:pt idx="21">
                  <c:v>274.06140325487809</c:v>
                </c:pt>
                <c:pt idx="22">
                  <c:v>212.38287221744554</c:v>
                </c:pt>
                <c:pt idx="23">
                  <c:v>283.63110712777387</c:v>
                </c:pt>
                <c:pt idx="24">
                  <c:v>259.43561281648272</c:v>
                </c:pt>
                <c:pt idx="25">
                  <c:v>271.71213059837396</c:v>
                </c:pt>
                <c:pt idx="26">
                  <c:v>295.94814161122702</c:v>
                </c:pt>
                <c:pt idx="27">
                  <c:v>179.94213759557255</c:v>
                </c:pt>
                <c:pt idx="28">
                  <c:v>189.82752596964892</c:v>
                </c:pt>
                <c:pt idx="29">
                  <c:v>149.29531871189633</c:v>
                </c:pt>
                <c:pt idx="30">
                  <c:v>144.25400000000002</c:v>
                </c:pt>
                <c:pt idx="31">
                  <c:v>240.2817144</c:v>
                </c:pt>
                <c:pt idx="32">
                  <c:v>196.71</c:v>
                </c:pt>
                <c:pt idx="33">
                  <c:v>281.95099999999996</c:v>
                </c:pt>
                <c:pt idx="34">
                  <c:v>203.267</c:v>
                </c:pt>
                <c:pt idx="35">
                  <c:v>188.85792522353697</c:v>
                </c:pt>
                <c:pt idx="36">
                  <c:v>170.482</c:v>
                </c:pt>
                <c:pt idx="37">
                  <c:v>183.596</c:v>
                </c:pt>
                <c:pt idx="38">
                  <c:v>271.34587640000001</c:v>
                </c:pt>
                <c:pt idx="39">
                  <c:v>232.11780000000002</c:v>
                </c:pt>
                <c:pt idx="40">
                  <c:v>144.25400000000002</c:v>
                </c:pt>
                <c:pt idx="41">
                  <c:v>141.52498579999997</c:v>
                </c:pt>
                <c:pt idx="42">
                  <c:v>178.13797159999999</c:v>
                </c:pt>
                <c:pt idx="43">
                  <c:v>119.33740000000002</c:v>
                </c:pt>
                <c:pt idx="44">
                  <c:v>144.25399999999999</c:v>
                </c:pt>
                <c:pt idx="45">
                  <c:v>182.38267876327183</c:v>
                </c:pt>
                <c:pt idx="46">
                  <c:v>170.482</c:v>
                </c:pt>
                <c:pt idx="47">
                  <c:v>183.59599999999998</c:v>
                </c:pt>
                <c:pt idx="48">
                  <c:v>174.41619999999998</c:v>
                </c:pt>
                <c:pt idx="49">
                  <c:v>203.26700000000002</c:v>
                </c:pt>
                <c:pt idx="50">
                  <c:v>165.2364</c:v>
                </c:pt>
                <c:pt idx="51">
                  <c:v>232.3373350930124</c:v>
                </c:pt>
                <c:pt idx="52">
                  <c:v>185.05390605447036</c:v>
                </c:pt>
                <c:pt idx="53">
                  <c:v>227.25268576000002</c:v>
                </c:pt>
                <c:pt idx="54">
                  <c:v>148.4837144</c:v>
                </c:pt>
                <c:pt idx="55">
                  <c:v>180.26053820000001</c:v>
                </c:pt>
              </c:numCache>
            </c:numRef>
          </c:xVal>
          <c:yVal>
            <c:numRef>
              <c:f>'Ni $Values'!$GQ$93:$GQ$148</c:f>
              <c:numCache>
                <c:formatCode>0.0</c:formatCode>
                <c:ptCount val="56"/>
                <c:pt idx="0" formatCode="#,##0">
                  <c:v>1040.8499999999999</c:v>
                </c:pt>
                <c:pt idx="1">
                  <c:v>31.026899999999998</c:v>
                </c:pt>
                <c:pt idx="2">
                  <c:v>100.8</c:v>
                </c:pt>
                <c:pt idx="3">
                  <c:v>189.03</c:v>
                </c:pt>
                <c:pt idx="4">
                  <c:v>92.7</c:v>
                </c:pt>
                <c:pt idx="5" formatCode="#,##0">
                  <c:v>1679.9796999999996</c:v>
                </c:pt>
                <c:pt idx="6" formatCode="#,##0">
                  <c:v>1740.4</c:v>
                </c:pt>
                <c:pt idx="7">
                  <c:v>667</c:v>
                </c:pt>
                <c:pt idx="8">
                  <c:v>524.4</c:v>
                </c:pt>
                <c:pt idx="9" formatCode="#,##0">
                  <c:v>1119.5300000000002</c:v>
                </c:pt>
                <c:pt idx="10" formatCode="#,##0">
                  <c:v>2032.76</c:v>
                </c:pt>
                <c:pt idx="11" formatCode="#,##0">
                  <c:v>3438.84</c:v>
                </c:pt>
                <c:pt idx="12" formatCode="#,##0">
                  <c:v>4584.95</c:v>
                </c:pt>
                <c:pt idx="13">
                  <c:v>141.51499999999999</c:v>
                </c:pt>
                <c:pt idx="14">
                  <c:v>344</c:v>
                </c:pt>
                <c:pt idx="15">
                  <c:v>227.88490000000002</c:v>
                </c:pt>
                <c:pt idx="16">
                  <c:v>452.58</c:v>
                </c:pt>
                <c:pt idx="17">
                  <c:v>35.363899999999994</c:v>
                </c:pt>
                <c:pt idx="18">
                  <c:v>97.016900000000007</c:v>
                </c:pt>
                <c:pt idx="19">
                  <c:v>811.88110000000017</c:v>
                </c:pt>
                <c:pt idx="20">
                  <c:v>696.58877129999996</c:v>
                </c:pt>
                <c:pt idx="21">
                  <c:v>145.85120999999998</c:v>
                </c:pt>
                <c:pt idx="22">
                  <c:v>889.48160000000007</c:v>
                </c:pt>
                <c:pt idx="23" formatCode="#,##0">
                  <c:v>5405.030999999999</c:v>
                </c:pt>
                <c:pt idx="24" formatCode="#,##0">
                  <c:v>2749.0319999999997</c:v>
                </c:pt>
                <c:pt idx="25">
                  <c:v>557.5329999999999</c:v>
                </c:pt>
                <c:pt idx="26" formatCode="#,##0">
                  <c:v>2240.87</c:v>
                </c:pt>
                <c:pt idx="27">
                  <c:v>61.607955000000004</c:v>
                </c:pt>
                <c:pt idx="28">
                  <c:v>11.06592</c:v>
                </c:pt>
                <c:pt idx="29" formatCode="#,##0">
                  <c:v>1403.02</c:v>
                </c:pt>
                <c:pt idx="30">
                  <c:v>424.6</c:v>
                </c:pt>
                <c:pt idx="31">
                  <c:v>915</c:v>
                </c:pt>
                <c:pt idx="32">
                  <c:v>840</c:v>
                </c:pt>
                <c:pt idx="33">
                  <c:v>860</c:v>
                </c:pt>
                <c:pt idx="34">
                  <c:v>38.75</c:v>
                </c:pt>
                <c:pt idx="35" formatCode="#,##0">
                  <c:v>5929</c:v>
                </c:pt>
                <c:pt idx="36">
                  <c:v>221</c:v>
                </c:pt>
                <c:pt idx="37">
                  <c:v>182</c:v>
                </c:pt>
                <c:pt idx="38" formatCode="#,##0">
                  <c:v>4277.8</c:v>
                </c:pt>
                <c:pt idx="39" formatCode="#,##0">
                  <c:v>3097.5</c:v>
                </c:pt>
                <c:pt idx="40" formatCode="#,##0">
                  <c:v>2140.6000000000004</c:v>
                </c:pt>
                <c:pt idx="41">
                  <c:v>101.67499999999998</c:v>
                </c:pt>
                <c:pt idx="42">
                  <c:v>292.572</c:v>
                </c:pt>
                <c:pt idx="43">
                  <c:v>132.08832000000001</c:v>
                </c:pt>
                <c:pt idx="44">
                  <c:v>412.5</c:v>
                </c:pt>
                <c:pt idx="45">
                  <c:v>154.82639999999998</c:v>
                </c:pt>
                <c:pt idx="46">
                  <c:v>313.3</c:v>
                </c:pt>
                <c:pt idx="47">
                  <c:v>63.433999999999997</c:v>
                </c:pt>
                <c:pt idx="48">
                  <c:v>147.68320000000003</c:v>
                </c:pt>
                <c:pt idx="49">
                  <c:v>706.83100000000002</c:v>
                </c:pt>
                <c:pt idx="50">
                  <c:v>629.57159999999999</c:v>
                </c:pt>
                <c:pt idx="51" formatCode="#,##0">
                  <c:v>1027.6241</c:v>
                </c:pt>
                <c:pt idx="52">
                  <c:v>603.31240000000003</c:v>
                </c:pt>
                <c:pt idx="53">
                  <c:v>720</c:v>
                </c:pt>
                <c:pt idx="54">
                  <c:v>20</c:v>
                </c:pt>
                <c:pt idx="55">
                  <c:v>192.6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CF-4D0A-AED4-90718C636F15}"/>
            </c:ext>
          </c:extLst>
        </c:ser>
        <c:ser>
          <c:idx val="13"/>
          <c:order val="8"/>
          <c:tx>
            <c:v>MagS: Layered Intrusive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$Values'!$GS$371:$GS$482</c:f>
              <c:numCache>
                <c:formatCode>0.0</c:formatCode>
                <c:ptCount val="112"/>
                <c:pt idx="0">
                  <c:v>96.19439379393927</c:v>
                </c:pt>
                <c:pt idx="1">
                  <c:v>183.38455660363326</c:v>
                </c:pt>
                <c:pt idx="2">
                  <c:v>91.293797698058867</c:v>
                </c:pt>
                <c:pt idx="3">
                  <c:v>58.903300586996103</c:v>
                </c:pt>
                <c:pt idx="4">
                  <c:v>58.126107676592746</c:v>
                </c:pt>
                <c:pt idx="5">
                  <c:v>227.86753582589543</c:v>
                </c:pt>
                <c:pt idx="6">
                  <c:v>225.88772297857153</c:v>
                </c:pt>
                <c:pt idx="7">
                  <c:v>157.67307440946391</c:v>
                </c:pt>
                <c:pt idx="8">
                  <c:v>96.897445817090102</c:v>
                </c:pt>
                <c:pt idx="9">
                  <c:v>112.96522170541456</c:v>
                </c:pt>
                <c:pt idx="10">
                  <c:v>72.614329100929098</c:v>
                </c:pt>
                <c:pt idx="11">
                  <c:v>122.21484425370787</c:v>
                </c:pt>
                <c:pt idx="12">
                  <c:v>51.638959452090027</c:v>
                </c:pt>
                <c:pt idx="13">
                  <c:v>29.909026640490794</c:v>
                </c:pt>
                <c:pt idx="14">
                  <c:v>42.334385345504138</c:v>
                </c:pt>
                <c:pt idx="15">
                  <c:v>73.928422053681572</c:v>
                </c:pt>
                <c:pt idx="16">
                  <c:v>139.0933560154341</c:v>
                </c:pt>
                <c:pt idx="17">
                  <c:v>186.30759680543994</c:v>
                </c:pt>
                <c:pt idx="18">
                  <c:v>242.49327145624289</c:v>
                </c:pt>
                <c:pt idx="19">
                  <c:v>261.58454658548021</c:v>
                </c:pt>
                <c:pt idx="20">
                  <c:v>258.31751056650296</c:v>
                </c:pt>
                <c:pt idx="21">
                  <c:v>197.20599661323905</c:v>
                </c:pt>
                <c:pt idx="22">
                  <c:v>114.0393956703185</c:v>
                </c:pt>
                <c:pt idx="23">
                  <c:v>128.85716449437751</c:v>
                </c:pt>
                <c:pt idx="24">
                  <c:v>220.88443459080227</c:v>
                </c:pt>
                <c:pt idx="25">
                  <c:v>154.41248152545393</c:v>
                </c:pt>
                <c:pt idx="26">
                  <c:v>162.27615047945378</c:v>
                </c:pt>
                <c:pt idx="27">
                  <c:v>203.85224425428189</c:v>
                </c:pt>
                <c:pt idx="28">
                  <c:v>190.72268006216885</c:v>
                </c:pt>
                <c:pt idx="29">
                  <c:v>81.849972450483378</c:v>
                </c:pt>
                <c:pt idx="30">
                  <c:v>154.9720462448484</c:v>
                </c:pt>
                <c:pt idx="31">
                  <c:v>178.61856326640162</c:v>
                </c:pt>
                <c:pt idx="32">
                  <c:v>209.76926709438553</c:v>
                </c:pt>
                <c:pt idx="33">
                  <c:v>258.95788494608826</c:v>
                </c:pt>
                <c:pt idx="34">
                  <c:v>266.88528784885557</c:v>
                </c:pt>
                <c:pt idx="35">
                  <c:v>95.71367458435536</c:v>
                </c:pt>
                <c:pt idx="36">
                  <c:v>186.03821057091326</c:v>
                </c:pt>
                <c:pt idx="37">
                  <c:v>239.16202760231513</c:v>
                </c:pt>
                <c:pt idx="38">
                  <c:v>215.38052544309079</c:v>
                </c:pt>
                <c:pt idx="39">
                  <c:v>182.46981582749336</c:v>
                </c:pt>
                <c:pt idx="40">
                  <c:v>163.27518827237284</c:v>
                </c:pt>
                <c:pt idx="41">
                  <c:v>145.6449877486148</c:v>
                </c:pt>
                <c:pt idx="42">
                  <c:v>199.22013535960124</c:v>
                </c:pt>
                <c:pt idx="43">
                  <c:v>130.92468695823476</c:v>
                </c:pt>
                <c:pt idx="44">
                  <c:v>213.24403922734368</c:v>
                </c:pt>
                <c:pt idx="45">
                  <c:v>134.37326892064789</c:v>
                </c:pt>
                <c:pt idx="46">
                  <c:v>122.18530705088268</c:v>
                </c:pt>
                <c:pt idx="47">
                  <c:v>174.44825072649172</c:v>
                </c:pt>
                <c:pt idx="48">
                  <c:v>160.07071426580234</c:v>
                </c:pt>
                <c:pt idx="49">
                  <c:v>150.83105506748367</c:v>
                </c:pt>
                <c:pt idx="50">
                  <c:v>176.11033859394195</c:v>
                </c:pt>
                <c:pt idx="51">
                  <c:v>220.72217552426707</c:v>
                </c:pt>
                <c:pt idx="52">
                  <c:v>166.33041791897108</c:v>
                </c:pt>
                <c:pt idx="53">
                  <c:v>114.08243237762058</c:v>
                </c:pt>
                <c:pt idx="54">
                  <c:v>261.72932212537245</c:v>
                </c:pt>
                <c:pt idx="55">
                  <c:v>168.50347294646656</c:v>
                </c:pt>
                <c:pt idx="56">
                  <c:v>119.484306319913</c:v>
                </c:pt>
                <c:pt idx="57">
                  <c:v>208.68429015203364</c:v>
                </c:pt>
                <c:pt idx="58">
                  <c:v>140.46896079827849</c:v>
                </c:pt>
                <c:pt idx="59">
                  <c:v>194.17299815865283</c:v>
                </c:pt>
                <c:pt idx="60">
                  <c:v>239.09226801650823</c:v>
                </c:pt>
                <c:pt idx="61">
                  <c:v>241.11026421202772</c:v>
                </c:pt>
                <c:pt idx="62">
                  <c:v>160.4890243743092</c:v>
                </c:pt>
                <c:pt idx="63">
                  <c:v>212.83995683367553</c:v>
                </c:pt>
                <c:pt idx="64">
                  <c:v>166.73650905209004</c:v>
                </c:pt>
                <c:pt idx="65">
                  <c:v>253.70976428724305</c:v>
                </c:pt>
                <c:pt idx="66">
                  <c:v>238.60121250345631</c:v>
                </c:pt>
                <c:pt idx="67">
                  <c:v>165.24096899900061</c:v>
                </c:pt>
                <c:pt idx="68">
                  <c:v>165.23877135226178</c:v>
                </c:pt>
                <c:pt idx="69">
                  <c:v>73.093405851964306</c:v>
                </c:pt>
                <c:pt idx="70">
                  <c:v>59.891616900321544</c:v>
                </c:pt>
                <c:pt idx="71">
                  <c:v>155.06189124134499</c:v>
                </c:pt>
                <c:pt idx="72">
                  <c:v>117.54615989739325</c:v>
                </c:pt>
                <c:pt idx="73">
                  <c:v>565.89043632034895</c:v>
                </c:pt>
                <c:pt idx="74">
                  <c:v>175.93140609608574</c:v>
                </c:pt>
                <c:pt idx="75">
                  <c:v>185.14806124167023</c:v>
                </c:pt>
                <c:pt idx="76">
                  <c:v>141.5322976529668</c:v>
                </c:pt>
                <c:pt idx="77">
                  <c:v>159.79263838872734</c:v>
                </c:pt>
                <c:pt idx="78">
                  <c:v>149.12448086430868</c:v>
                </c:pt>
                <c:pt idx="79">
                  <c:v>166.92700475023065</c:v>
                </c:pt>
                <c:pt idx="80">
                  <c:v>56.233008361048526</c:v>
                </c:pt>
                <c:pt idx="81">
                  <c:v>69.835163055999999</c:v>
                </c:pt>
                <c:pt idx="82">
                  <c:v>347.64698446560703</c:v>
                </c:pt>
                <c:pt idx="83">
                  <c:v>194.74998172436719</c:v>
                </c:pt>
                <c:pt idx="84">
                  <c:v>119.45671604124476</c:v>
                </c:pt>
                <c:pt idx="85">
                  <c:v>183.59599999999995</c:v>
                </c:pt>
                <c:pt idx="86">
                  <c:v>25.254843663999996</c:v>
                </c:pt>
                <c:pt idx="87">
                  <c:v>138.9930840258238</c:v>
                </c:pt>
                <c:pt idx="88">
                  <c:v>48.382967917220988</c:v>
                </c:pt>
                <c:pt idx="89">
                  <c:v>115.27850530772494</c:v>
                </c:pt>
                <c:pt idx="90">
                  <c:v>68.259891560089557</c:v>
                </c:pt>
                <c:pt idx="91">
                  <c:v>63.279883799999993</c:v>
                </c:pt>
                <c:pt idx="92">
                  <c:v>59.371498500321543</c:v>
                </c:pt>
                <c:pt idx="93">
                  <c:v>253.33877491704175</c:v>
                </c:pt>
                <c:pt idx="94">
                  <c:v>142.08388740064308</c:v>
                </c:pt>
                <c:pt idx="95">
                  <c:v>170.16816</c:v>
                </c:pt>
                <c:pt idx="96">
                  <c:v>76.472909462058112</c:v>
                </c:pt>
                <c:pt idx="97">
                  <c:v>38.0306</c:v>
                </c:pt>
                <c:pt idx="98">
                  <c:v>153.01837249646306</c:v>
                </c:pt>
                <c:pt idx="99">
                  <c:v>59.577686400000005</c:v>
                </c:pt>
                <c:pt idx="100">
                  <c:v>111.3058032</c:v>
                </c:pt>
                <c:pt idx="101">
                  <c:v>46.330424640000004</c:v>
                </c:pt>
                <c:pt idx="102">
                  <c:v>261.51220808799997</c:v>
                </c:pt>
                <c:pt idx="103">
                  <c:v>92.218320000000006</c:v>
                </c:pt>
                <c:pt idx="104">
                  <c:v>189.99607999999998</c:v>
                </c:pt>
                <c:pt idx="105">
                  <c:v>151.83414639999998</c:v>
                </c:pt>
                <c:pt idx="106">
                  <c:v>65.570000000000007</c:v>
                </c:pt>
                <c:pt idx="107">
                  <c:v>44.524831999999996</c:v>
                </c:pt>
                <c:pt idx="108">
                  <c:v>1117.6959171099677</c:v>
                </c:pt>
                <c:pt idx="109">
                  <c:v>759.55332350996787</c:v>
                </c:pt>
                <c:pt idx="110">
                  <c:v>64.536480560000001</c:v>
                </c:pt>
                <c:pt idx="111">
                  <c:v>116.65183200000001</c:v>
                </c:pt>
              </c:numCache>
            </c:numRef>
          </c:xVal>
          <c:yVal>
            <c:numRef>
              <c:f>'Ni $Values'!$GQ$371:$GQ$482</c:f>
              <c:numCache>
                <c:formatCode>0.0</c:formatCode>
                <c:ptCount val="112"/>
                <c:pt idx="0">
                  <c:v>57.141199999999998</c:v>
                </c:pt>
                <c:pt idx="1">
                  <c:v>11.760526400000002</c:v>
                </c:pt>
                <c:pt idx="2">
                  <c:v>201.51000000000005</c:v>
                </c:pt>
                <c:pt idx="3">
                  <c:v>18.586499999999997</c:v>
                </c:pt>
                <c:pt idx="4">
                  <c:v>418.22236387782209</c:v>
                </c:pt>
                <c:pt idx="5">
                  <c:v>563.26099999999997</c:v>
                </c:pt>
                <c:pt idx="6">
                  <c:v>1484.0204081632653</c:v>
                </c:pt>
                <c:pt idx="7">
                  <c:v>1130.7810999999999</c:v>
                </c:pt>
                <c:pt idx="8">
                  <c:v>142.15899999999999</c:v>
                </c:pt>
                <c:pt idx="9" formatCode="#,##0">
                  <c:v>6998.65</c:v>
                </c:pt>
                <c:pt idx="10">
                  <c:v>93.843823408298704</c:v>
                </c:pt>
                <c:pt idx="11">
                  <c:v>876.01302449999991</c:v>
                </c:pt>
                <c:pt idx="12">
                  <c:v>87.339999999999975</c:v>
                </c:pt>
                <c:pt idx="13" formatCode="#,##0">
                  <c:v>1148.6000000000004</c:v>
                </c:pt>
                <c:pt idx="14">
                  <c:v>124.65203760467166</c:v>
                </c:pt>
                <c:pt idx="15">
                  <c:v>48.96</c:v>
                </c:pt>
                <c:pt idx="16">
                  <c:v>143.99910000000003</c:v>
                </c:pt>
                <c:pt idx="17">
                  <c:v>52.41</c:v>
                </c:pt>
                <c:pt idx="18">
                  <c:v>49.53</c:v>
                </c:pt>
                <c:pt idx="19">
                  <c:v>263.33999999999997</c:v>
                </c:pt>
                <c:pt idx="20">
                  <c:v>578.40000000000009</c:v>
                </c:pt>
                <c:pt idx="21">
                  <c:v>123.73334600175195</c:v>
                </c:pt>
                <c:pt idx="22">
                  <c:v>26.560666367233463</c:v>
                </c:pt>
                <c:pt idx="23">
                  <c:v>51.929868225399325</c:v>
                </c:pt>
                <c:pt idx="24">
                  <c:v>365.35078466609326</c:v>
                </c:pt>
                <c:pt idx="25">
                  <c:v>63.17117850521511</c:v>
                </c:pt>
                <c:pt idx="26">
                  <c:v>847.49999999999989</c:v>
                </c:pt>
                <c:pt idx="27">
                  <c:v>148.01990000000001</c:v>
                </c:pt>
                <c:pt idx="28">
                  <c:v>3.1472647409332923</c:v>
                </c:pt>
                <c:pt idx="29">
                  <c:v>7.4185526036284752</c:v>
                </c:pt>
                <c:pt idx="30">
                  <c:v>585.48611609555633</c:v>
                </c:pt>
                <c:pt idx="31">
                  <c:v>18.780404294275176</c:v>
                </c:pt>
                <c:pt idx="32">
                  <c:v>70.210294481544949</c:v>
                </c:pt>
                <c:pt idx="33">
                  <c:v>945.64999999999986</c:v>
                </c:pt>
                <c:pt idx="34">
                  <c:v>20.039772810834855</c:v>
                </c:pt>
                <c:pt idx="35">
                  <c:v>123.19293414510317</c:v>
                </c:pt>
                <c:pt idx="36">
                  <c:v>21.75</c:v>
                </c:pt>
                <c:pt idx="37">
                  <c:v>196.41600000000003</c:v>
                </c:pt>
                <c:pt idx="38">
                  <c:v>544.18899999999996</c:v>
                </c:pt>
                <c:pt idx="39">
                  <c:v>15.444294261882183</c:v>
                </c:pt>
                <c:pt idx="40">
                  <c:v>138.41399999999999</c:v>
                </c:pt>
                <c:pt idx="41">
                  <c:v>11.222799999999999</c:v>
                </c:pt>
                <c:pt idx="42">
                  <c:v>1024.2204392259218</c:v>
                </c:pt>
                <c:pt idx="43">
                  <c:v>46.759361865294629</c:v>
                </c:pt>
                <c:pt idx="44">
                  <c:v>127.83999999999997</c:v>
                </c:pt>
                <c:pt idx="45">
                  <c:v>590.45129938946081</c:v>
                </c:pt>
                <c:pt idx="46">
                  <c:v>19.636683937180223</c:v>
                </c:pt>
                <c:pt idx="47">
                  <c:v>644.52</c:v>
                </c:pt>
                <c:pt idx="48">
                  <c:v>23.829290181352071</c:v>
                </c:pt>
                <c:pt idx="49">
                  <c:v>131.71200000000002</c:v>
                </c:pt>
                <c:pt idx="50">
                  <c:v>213.70146912521793</c:v>
                </c:pt>
                <c:pt idx="51">
                  <c:v>21.830419999999993</c:v>
                </c:pt>
                <c:pt idx="52">
                  <c:v>3.8250000000000002</c:v>
                </c:pt>
                <c:pt idx="53">
                  <c:v>10.125999999999999</c:v>
                </c:pt>
                <c:pt idx="54">
                  <c:v>691.97815202213383</c:v>
                </c:pt>
                <c:pt idx="55">
                  <c:v>81.637</c:v>
                </c:pt>
                <c:pt idx="56">
                  <c:v>33.945498277209083</c:v>
                </c:pt>
                <c:pt idx="57">
                  <c:v>4.5538728956217298</c:v>
                </c:pt>
                <c:pt idx="58">
                  <c:v>571.72681</c:v>
                </c:pt>
                <c:pt idx="59">
                  <c:v>292.46117368344045</c:v>
                </c:pt>
                <c:pt idx="60">
                  <c:v>155.25106642381598</c:v>
                </c:pt>
                <c:pt idx="61">
                  <c:v>1245.6599999999999</c:v>
                </c:pt>
                <c:pt idx="62">
                  <c:v>321.00400000000008</c:v>
                </c:pt>
                <c:pt idx="63">
                  <c:v>406.21176470588239</c:v>
                </c:pt>
                <c:pt idx="64">
                  <c:v>8.15</c:v>
                </c:pt>
                <c:pt idx="65">
                  <c:v>760.77550000000008</c:v>
                </c:pt>
                <c:pt idx="66">
                  <c:v>122.80048771502841</c:v>
                </c:pt>
                <c:pt idx="67" formatCode="#,##0">
                  <c:v>2675.8</c:v>
                </c:pt>
                <c:pt idx="68">
                  <c:v>506.03</c:v>
                </c:pt>
                <c:pt idx="69">
                  <c:v>33.587500000000006</c:v>
                </c:pt>
                <c:pt idx="70">
                  <c:v>407.0386666666667</c:v>
                </c:pt>
                <c:pt idx="71">
                  <c:v>18.842348178137648</c:v>
                </c:pt>
                <c:pt idx="72">
                  <c:v>791.92599999999993</c:v>
                </c:pt>
                <c:pt idx="73">
                  <c:v>152.85714447682233</c:v>
                </c:pt>
                <c:pt idx="74">
                  <c:v>495</c:v>
                </c:pt>
                <c:pt idx="75">
                  <c:v>80.079999999999984</c:v>
                </c:pt>
                <c:pt idx="76" formatCode="#,##0">
                  <c:v>1208.28</c:v>
                </c:pt>
                <c:pt idx="77">
                  <c:v>175.755</c:v>
                </c:pt>
                <c:pt idx="78">
                  <c:v>14.31</c:v>
                </c:pt>
                <c:pt idx="79">
                  <c:v>264.34000000000003</c:v>
                </c:pt>
                <c:pt idx="80">
                  <c:v>28.879999999999995</c:v>
                </c:pt>
                <c:pt idx="81">
                  <c:v>151.69999999999999</c:v>
                </c:pt>
                <c:pt idx="82">
                  <c:v>218.34290000000001</c:v>
                </c:pt>
                <c:pt idx="83">
                  <c:v>38.563000000000002</c:v>
                </c:pt>
                <c:pt idx="84">
                  <c:v>20.72</c:v>
                </c:pt>
                <c:pt idx="85">
                  <c:v>1.3999999999999997</c:v>
                </c:pt>
                <c:pt idx="86">
                  <c:v>9.5238000000000014</c:v>
                </c:pt>
                <c:pt idx="87">
                  <c:v>24.592000000000002</c:v>
                </c:pt>
                <c:pt idx="88">
                  <c:v>315.70999999999998</c:v>
                </c:pt>
                <c:pt idx="89">
                  <c:v>46.057200000000002</c:v>
                </c:pt>
                <c:pt idx="90">
                  <c:v>97.533599999999993</c:v>
                </c:pt>
                <c:pt idx="91">
                  <c:v>414.7</c:v>
                </c:pt>
                <c:pt idx="92">
                  <c:v>182.35</c:v>
                </c:pt>
                <c:pt idx="93">
                  <c:v>2.5369000000000006</c:v>
                </c:pt>
                <c:pt idx="94">
                  <c:v>15.255599999999999</c:v>
                </c:pt>
                <c:pt idx="95">
                  <c:v>0.752</c:v>
                </c:pt>
                <c:pt idx="96">
                  <c:v>273.03927948908188</c:v>
                </c:pt>
                <c:pt idx="97" formatCode="#,##0">
                  <c:v>8043.991</c:v>
                </c:pt>
                <c:pt idx="98">
                  <c:v>16.747246999999998</c:v>
                </c:pt>
                <c:pt idx="99">
                  <c:v>407.78640000000001</c:v>
                </c:pt>
                <c:pt idx="100">
                  <c:v>321.14879999999999</c:v>
                </c:pt>
                <c:pt idx="101">
                  <c:v>400</c:v>
                </c:pt>
                <c:pt idx="102">
                  <c:v>34.608000000000004</c:v>
                </c:pt>
                <c:pt idx="103">
                  <c:v>6.6</c:v>
                </c:pt>
                <c:pt idx="104">
                  <c:v>12.12</c:v>
                </c:pt>
                <c:pt idx="105">
                  <c:v>1.0688551999999998</c:v>
                </c:pt>
                <c:pt idx="106">
                  <c:v>20</c:v>
                </c:pt>
                <c:pt idx="107">
                  <c:v>31.44</c:v>
                </c:pt>
                <c:pt idx="108">
                  <c:v>416.16</c:v>
                </c:pt>
                <c:pt idx="109">
                  <c:v>22.933000000000003</c:v>
                </c:pt>
                <c:pt idx="110">
                  <c:v>432.96</c:v>
                </c:pt>
                <c:pt idx="111">
                  <c:v>40.922000000000004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CF-4D0A-AED4-90718C636F15}"/>
            </c:ext>
          </c:extLst>
        </c:ser>
        <c:ser>
          <c:idx val="6"/>
          <c:order val="9"/>
          <c:tx>
            <c:v>Hydrothermal: VMS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$Values'!$GS$34:$GS$46</c:f>
              <c:numCache>
                <c:formatCode>0.0</c:formatCode>
                <c:ptCount val="13"/>
                <c:pt idx="0">
                  <c:v>176.16986614223742</c:v>
                </c:pt>
                <c:pt idx="1">
                  <c:v>164.41154936575953</c:v>
                </c:pt>
                <c:pt idx="2">
                  <c:v>137.33875458635529</c:v>
                </c:pt>
                <c:pt idx="3">
                  <c:v>136.67712165999998</c:v>
                </c:pt>
                <c:pt idx="4">
                  <c:v>174.90460428</c:v>
                </c:pt>
                <c:pt idx="5">
                  <c:v>150.94741799999997</c:v>
                </c:pt>
                <c:pt idx="6">
                  <c:v>133.8195436</c:v>
                </c:pt>
                <c:pt idx="7">
                  <c:v>282.13635276418006</c:v>
                </c:pt>
                <c:pt idx="8">
                  <c:v>81.346889599999997</c:v>
                </c:pt>
                <c:pt idx="9">
                  <c:v>322.88165937999997</c:v>
                </c:pt>
                <c:pt idx="10">
                  <c:v>134.21784225202572</c:v>
                </c:pt>
                <c:pt idx="11">
                  <c:v>43.884408399999998</c:v>
                </c:pt>
                <c:pt idx="12">
                  <c:v>690.44507007073969</c:v>
                </c:pt>
              </c:numCache>
            </c:numRef>
          </c:xVal>
          <c:yVal>
            <c:numRef>
              <c:f>'Ni $Values'!$GQ$34:$GQ$46</c:f>
              <c:numCache>
                <c:formatCode>0.0</c:formatCode>
                <c:ptCount val="13"/>
                <c:pt idx="0">
                  <c:v>22.381399999999999</c:v>
                </c:pt>
                <c:pt idx="1">
                  <c:v>13.607000000000001</c:v>
                </c:pt>
                <c:pt idx="2">
                  <c:v>0.3917000000000001</c:v>
                </c:pt>
                <c:pt idx="3">
                  <c:v>1.7</c:v>
                </c:pt>
                <c:pt idx="4">
                  <c:v>1.9380000000000002</c:v>
                </c:pt>
                <c:pt idx="5">
                  <c:v>0.69999999999999984</c:v>
                </c:pt>
                <c:pt idx="6">
                  <c:v>10.933999999999999</c:v>
                </c:pt>
                <c:pt idx="7">
                  <c:v>0.98799999999999999</c:v>
                </c:pt>
                <c:pt idx="8">
                  <c:v>0.3</c:v>
                </c:pt>
                <c:pt idx="9">
                  <c:v>1.8536000000000001</c:v>
                </c:pt>
                <c:pt idx="10">
                  <c:v>0.21</c:v>
                </c:pt>
                <c:pt idx="11">
                  <c:v>0.36</c:v>
                </c:pt>
                <c:pt idx="1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CF-4D0A-AED4-90718C636F15}"/>
            </c:ext>
          </c:extLst>
        </c:ser>
        <c:ser>
          <c:idx val="8"/>
          <c:order val="10"/>
          <c:tx>
            <c:v>Laterite: Clay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$Values'!$GS$52:$GS$92</c:f>
              <c:numCache>
                <c:formatCode>0.0</c:formatCode>
                <c:ptCount val="41"/>
                <c:pt idx="0">
                  <c:v>192.01911064000001</c:v>
                </c:pt>
                <c:pt idx="1">
                  <c:v>186.86610740095281</c:v>
                </c:pt>
                <c:pt idx="2">
                  <c:v>146.46736199999998</c:v>
                </c:pt>
                <c:pt idx="3">
                  <c:v>156.91409791879701</c:v>
                </c:pt>
                <c:pt idx="4">
                  <c:v>193.39188257688886</c:v>
                </c:pt>
                <c:pt idx="5">
                  <c:v>190.80729818953847</c:v>
                </c:pt>
                <c:pt idx="6">
                  <c:v>176.68577556339724</c:v>
                </c:pt>
                <c:pt idx="7">
                  <c:v>182.85136608740743</c:v>
                </c:pt>
                <c:pt idx="8">
                  <c:v>172.94161466888886</c:v>
                </c:pt>
                <c:pt idx="9">
                  <c:v>170.81163423333334</c:v>
                </c:pt>
                <c:pt idx="10">
                  <c:v>179.35086680000001</c:v>
                </c:pt>
                <c:pt idx="11">
                  <c:v>189.23561919999997</c:v>
                </c:pt>
                <c:pt idx="12">
                  <c:v>292.52528599999999</c:v>
                </c:pt>
                <c:pt idx="13">
                  <c:v>168.85966680000001</c:v>
                </c:pt>
                <c:pt idx="14">
                  <c:v>206.91122016</c:v>
                </c:pt>
                <c:pt idx="15">
                  <c:v>163.00761919999997</c:v>
                </c:pt>
                <c:pt idx="16">
                  <c:v>148.63059999999999</c:v>
                </c:pt>
                <c:pt idx="17">
                  <c:v>179.78573994349952</c:v>
                </c:pt>
                <c:pt idx="18">
                  <c:v>174.70423490775741</c:v>
                </c:pt>
                <c:pt idx="19">
                  <c:v>113.04662406015038</c:v>
                </c:pt>
                <c:pt idx="20">
                  <c:v>127.68479056</c:v>
                </c:pt>
                <c:pt idx="21">
                  <c:v>92.719524324324297</c:v>
                </c:pt>
                <c:pt idx="22">
                  <c:v>166.11531415701472</c:v>
                </c:pt>
                <c:pt idx="23">
                  <c:v>184.6949716</c:v>
                </c:pt>
                <c:pt idx="24">
                  <c:v>209.05014454026215</c:v>
                </c:pt>
                <c:pt idx="25">
                  <c:v>134.59494145041097</c:v>
                </c:pt>
                <c:pt idx="26">
                  <c:v>127.40280959999998</c:v>
                </c:pt>
                <c:pt idx="27">
                  <c:v>170.28392243623679</c:v>
                </c:pt>
                <c:pt idx="28">
                  <c:v>137.8940096</c:v>
                </c:pt>
                <c:pt idx="29">
                  <c:v>131.14000000000001</c:v>
                </c:pt>
                <c:pt idx="30">
                  <c:v>190.75173820000001</c:v>
                </c:pt>
                <c:pt idx="31">
                  <c:v>157.36799999999999</c:v>
                </c:pt>
                <c:pt idx="32">
                  <c:v>188.71414295999998</c:v>
                </c:pt>
                <c:pt idx="33">
                  <c:v>119.3374</c:v>
                </c:pt>
                <c:pt idx="34">
                  <c:v>197.66121440000001</c:v>
                </c:pt>
                <c:pt idx="35">
                  <c:v>219.39781919999999</c:v>
                </c:pt>
                <c:pt idx="36">
                  <c:v>206.08680960000001</c:v>
                </c:pt>
                <c:pt idx="37">
                  <c:v>169.63772399999999</c:v>
                </c:pt>
                <c:pt idx="38">
                  <c:v>273.65095554324904</c:v>
                </c:pt>
                <c:pt idx="39">
                  <c:v>288.69507338513216</c:v>
                </c:pt>
                <c:pt idx="40">
                  <c:v>279.56359080886517</c:v>
                </c:pt>
              </c:numCache>
            </c:numRef>
          </c:xVal>
          <c:yVal>
            <c:numRef>
              <c:f>'Ni $Values'!$GQ$52:$GQ$92</c:f>
              <c:numCache>
                <c:formatCode>#,##0</c:formatCode>
                <c:ptCount val="41"/>
                <c:pt idx="0" formatCode="0.0">
                  <c:v>103.73999999999998</c:v>
                </c:pt>
                <c:pt idx="1">
                  <c:v>2298.2900000000004</c:v>
                </c:pt>
                <c:pt idx="2" formatCode="0.0">
                  <c:v>119.28</c:v>
                </c:pt>
                <c:pt idx="3" formatCode="0.0">
                  <c:v>358.1400000000001</c:v>
                </c:pt>
                <c:pt idx="4" formatCode="0.0">
                  <c:v>47.649999999999991</c:v>
                </c:pt>
                <c:pt idx="5" formatCode="0.0">
                  <c:v>279.3300000000001</c:v>
                </c:pt>
                <c:pt idx="6" formatCode="0.0">
                  <c:v>368.08</c:v>
                </c:pt>
                <c:pt idx="7" formatCode="0.0">
                  <c:v>110.96</c:v>
                </c:pt>
                <c:pt idx="8" formatCode="0.0">
                  <c:v>35.059999999999995</c:v>
                </c:pt>
                <c:pt idx="9" formatCode="0.0">
                  <c:v>17.880000000000003</c:v>
                </c:pt>
                <c:pt idx="10" formatCode="0.0">
                  <c:v>18.62</c:v>
                </c:pt>
                <c:pt idx="11" formatCode="0.0">
                  <c:v>57</c:v>
                </c:pt>
                <c:pt idx="12" formatCode="0.0">
                  <c:v>4.2</c:v>
                </c:pt>
                <c:pt idx="13" formatCode="0.0">
                  <c:v>11.700000000000003</c:v>
                </c:pt>
                <c:pt idx="14" formatCode="0.0">
                  <c:v>51.905699999999996</c:v>
                </c:pt>
                <c:pt idx="15" formatCode="0.0">
                  <c:v>41.6</c:v>
                </c:pt>
                <c:pt idx="16" formatCode="0.0">
                  <c:v>9.4070000000000018</c:v>
                </c:pt>
                <c:pt idx="17" formatCode="0.0">
                  <c:v>722.51689999999985</c:v>
                </c:pt>
                <c:pt idx="18" formatCode="0.0">
                  <c:v>649.65600000000006</c:v>
                </c:pt>
                <c:pt idx="19">
                  <c:v>2293</c:v>
                </c:pt>
                <c:pt idx="20" formatCode="0.0">
                  <c:v>547.5</c:v>
                </c:pt>
                <c:pt idx="21" formatCode="0.0">
                  <c:v>209.27999999999997</c:v>
                </c:pt>
                <c:pt idx="22" formatCode="0.0">
                  <c:v>53.710900000000009</c:v>
                </c:pt>
                <c:pt idx="23" formatCode="0.0">
                  <c:v>25.48</c:v>
                </c:pt>
                <c:pt idx="24" formatCode="0.0">
                  <c:v>77.896199999999993</c:v>
                </c:pt>
                <c:pt idx="25" formatCode="0.0">
                  <c:v>110.12000000000002</c:v>
                </c:pt>
                <c:pt idx="26" formatCode="0.0">
                  <c:v>3.75</c:v>
                </c:pt>
                <c:pt idx="27" formatCode="0.0">
                  <c:v>316.87840199999999</c:v>
                </c:pt>
                <c:pt idx="28" formatCode="0.0">
                  <c:v>5.81</c:v>
                </c:pt>
                <c:pt idx="29" formatCode="0.0">
                  <c:v>10</c:v>
                </c:pt>
                <c:pt idx="30" formatCode="0.0">
                  <c:v>160.99999999999997</c:v>
                </c:pt>
                <c:pt idx="31" formatCode="0.0">
                  <c:v>48</c:v>
                </c:pt>
                <c:pt idx="32" formatCode="0.0">
                  <c:v>99.18</c:v>
                </c:pt>
                <c:pt idx="33" formatCode="0.0">
                  <c:v>88.27</c:v>
                </c:pt>
                <c:pt idx="34" formatCode="0.0">
                  <c:v>117.5</c:v>
                </c:pt>
                <c:pt idx="35" formatCode="0.0">
                  <c:v>36.9</c:v>
                </c:pt>
                <c:pt idx="36" formatCode="0.0">
                  <c:v>540</c:v>
                </c:pt>
                <c:pt idx="37" formatCode="0.0">
                  <c:v>120.96</c:v>
                </c:pt>
                <c:pt idx="38" formatCode="0.0">
                  <c:v>821.04559999999981</c:v>
                </c:pt>
                <c:pt idx="39">
                  <c:v>1123.7148</c:v>
                </c:pt>
                <c:pt idx="40">
                  <c:v>1405.2104000000004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CF-4D0A-AED4-90718C636F15}"/>
            </c:ext>
          </c:extLst>
        </c:ser>
        <c:ser>
          <c:idx val="14"/>
          <c:order val="11"/>
          <c:tx>
            <c:v>MagS: Proterozoic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$Values'!$GS$483:$GS$502</c:f>
              <c:numCache>
                <c:formatCode>0.0</c:formatCode>
                <c:ptCount val="20"/>
                <c:pt idx="0">
                  <c:v>128.92913985738164</c:v>
                </c:pt>
                <c:pt idx="1">
                  <c:v>170.41620218392285</c:v>
                </c:pt>
                <c:pt idx="2">
                  <c:v>258.87547357761224</c:v>
                </c:pt>
                <c:pt idx="3">
                  <c:v>369.21303849090913</c:v>
                </c:pt>
                <c:pt idx="4">
                  <c:v>118.02599999999998</c:v>
                </c:pt>
                <c:pt idx="5">
                  <c:v>304.24479999999994</c:v>
                </c:pt>
                <c:pt idx="6">
                  <c:v>122.68833560000002</c:v>
                </c:pt>
                <c:pt idx="7">
                  <c:v>363.86642400000005</c:v>
                </c:pt>
                <c:pt idx="8">
                  <c:v>162.02786000965514</c:v>
                </c:pt>
                <c:pt idx="9">
                  <c:v>168.17705905116281</c:v>
                </c:pt>
                <c:pt idx="10">
                  <c:v>113.84595899035736</c:v>
                </c:pt>
                <c:pt idx="11">
                  <c:v>39.856821308946678</c:v>
                </c:pt>
                <c:pt idx="12">
                  <c:v>337.76580826109324</c:v>
                </c:pt>
                <c:pt idx="13">
                  <c:v>146.25997519999999</c:v>
                </c:pt>
                <c:pt idx="14">
                  <c:v>225.41428716978189</c:v>
                </c:pt>
                <c:pt idx="15">
                  <c:v>635.87749995304523</c:v>
                </c:pt>
                <c:pt idx="16">
                  <c:v>310.41225021713899</c:v>
                </c:pt>
                <c:pt idx="17">
                  <c:v>195.54325626742943</c:v>
                </c:pt>
                <c:pt idx="18">
                  <c:v>72.729347200000007</c:v>
                </c:pt>
                <c:pt idx="19">
                  <c:v>55.771198799999993</c:v>
                </c:pt>
              </c:numCache>
            </c:numRef>
          </c:xVal>
          <c:yVal>
            <c:numRef>
              <c:f>'Ni $Values'!$GQ$483:$GQ$502</c:f>
              <c:numCache>
                <c:formatCode>0.0</c:formatCode>
                <c:ptCount val="20"/>
                <c:pt idx="0" formatCode="#,##0">
                  <c:v>3166.7406000000001</c:v>
                </c:pt>
                <c:pt idx="1">
                  <c:v>4.0911</c:v>
                </c:pt>
                <c:pt idx="2">
                  <c:v>266.07589999999999</c:v>
                </c:pt>
                <c:pt idx="3">
                  <c:v>267.79000000000008</c:v>
                </c:pt>
                <c:pt idx="4">
                  <c:v>4.3019999999999996</c:v>
                </c:pt>
                <c:pt idx="5">
                  <c:v>3.6191999999999998</c:v>
                </c:pt>
                <c:pt idx="6">
                  <c:v>1.4624999999999999</c:v>
                </c:pt>
                <c:pt idx="7">
                  <c:v>0.54</c:v>
                </c:pt>
                <c:pt idx="8">
                  <c:v>156.35</c:v>
                </c:pt>
                <c:pt idx="9">
                  <c:v>33.6</c:v>
                </c:pt>
                <c:pt idx="10">
                  <c:v>45.915150000000004</c:v>
                </c:pt>
                <c:pt idx="11">
                  <c:v>170.80018635962981</c:v>
                </c:pt>
                <c:pt idx="12">
                  <c:v>8.5785</c:v>
                </c:pt>
                <c:pt idx="13">
                  <c:v>10.364900000000002</c:v>
                </c:pt>
                <c:pt idx="14">
                  <c:v>157.8939</c:v>
                </c:pt>
                <c:pt idx="15" formatCode="#,##0">
                  <c:v>1111.05</c:v>
                </c:pt>
                <c:pt idx="16">
                  <c:v>237.24735308999996</c:v>
                </c:pt>
                <c:pt idx="17">
                  <c:v>43.797200000000004</c:v>
                </c:pt>
                <c:pt idx="18">
                  <c:v>12.22</c:v>
                </c:pt>
                <c:pt idx="19">
                  <c:v>22.295000000000002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2CF-4D0A-AED4-90718C636F15}"/>
            </c:ext>
          </c:extLst>
        </c:ser>
        <c:ser>
          <c:idx val="2"/>
          <c:order val="12"/>
          <c:tx>
            <c:v>Hydrothermal: Mn Nodules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$Values'!$GS$15:$GS$19</c:f>
              <c:numCache>
                <c:formatCode>0.0</c:formatCode>
                <c:ptCount val="5"/>
                <c:pt idx="0">
                  <c:v>864.97401213655132</c:v>
                </c:pt>
                <c:pt idx="1">
                  <c:v>876.80165928728081</c:v>
                </c:pt>
                <c:pt idx="2">
                  <c:v>897.88219029090919</c:v>
                </c:pt>
                <c:pt idx="3">
                  <c:v>901.98752913946578</c:v>
                </c:pt>
                <c:pt idx="4">
                  <c:v>833.13538145454538</c:v>
                </c:pt>
              </c:numCache>
            </c:numRef>
          </c:xVal>
          <c:yVal>
            <c:numRef>
              <c:f>'Ni $Values'!$GQ$15:$GQ$19</c:f>
              <c:numCache>
                <c:formatCode>#,##0</c:formatCode>
                <c:ptCount val="5"/>
                <c:pt idx="0">
                  <c:v>5484.8080000000009</c:v>
                </c:pt>
                <c:pt idx="1">
                  <c:v>9293.2000000000007</c:v>
                </c:pt>
                <c:pt idx="2">
                  <c:v>6227.2</c:v>
                </c:pt>
                <c:pt idx="3" formatCode="0.0">
                  <c:v>442.99999999999994</c:v>
                </c:pt>
                <c:pt idx="4">
                  <c:v>2241.96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2CF-4D0A-AED4-90718C636F15}"/>
            </c:ext>
          </c:extLst>
        </c:ser>
        <c:ser>
          <c:idx val="10"/>
          <c:order val="13"/>
          <c:tx>
            <c:v>Laterite: Oxides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$Values'!$GS$149:$GS$285</c:f>
              <c:numCache>
                <c:formatCode>0.0</c:formatCode>
                <c:ptCount val="137"/>
                <c:pt idx="0">
                  <c:v>150.14101054545455</c:v>
                </c:pt>
                <c:pt idx="1">
                  <c:v>157.80685982168674</c:v>
                </c:pt>
                <c:pt idx="2">
                  <c:v>114.57219258850576</c:v>
                </c:pt>
                <c:pt idx="3">
                  <c:v>159.07341919999999</c:v>
                </c:pt>
                <c:pt idx="4">
                  <c:v>94.49516796397991</c:v>
                </c:pt>
                <c:pt idx="5">
                  <c:v>171.09551363001097</c:v>
                </c:pt>
                <c:pt idx="6">
                  <c:v>216.83069126799995</c:v>
                </c:pt>
                <c:pt idx="7">
                  <c:v>123.07518959999997</c:v>
                </c:pt>
                <c:pt idx="8">
                  <c:v>157.0570668</c:v>
                </c:pt>
                <c:pt idx="9">
                  <c:v>164.21961996668753</c:v>
                </c:pt>
                <c:pt idx="10">
                  <c:v>95.574609564081641</c:v>
                </c:pt>
                <c:pt idx="11">
                  <c:v>161.79492496249998</c:v>
                </c:pt>
                <c:pt idx="12">
                  <c:v>138.13274518648649</c:v>
                </c:pt>
                <c:pt idx="13">
                  <c:v>141.83441965</c:v>
                </c:pt>
                <c:pt idx="14">
                  <c:v>135.25314051304349</c:v>
                </c:pt>
                <c:pt idx="15">
                  <c:v>208.16757102840057</c:v>
                </c:pt>
                <c:pt idx="16">
                  <c:v>112.25259940264151</c:v>
                </c:pt>
                <c:pt idx="17">
                  <c:v>119.47492977193441</c:v>
                </c:pt>
                <c:pt idx="18">
                  <c:v>195.82967155999998</c:v>
                </c:pt>
                <c:pt idx="19">
                  <c:v>178.67955714549487</c:v>
                </c:pt>
                <c:pt idx="20">
                  <c:v>189.05888200117028</c:v>
                </c:pt>
                <c:pt idx="21">
                  <c:v>188.62917159999998</c:v>
                </c:pt>
                <c:pt idx="22">
                  <c:v>149.34580828812651</c:v>
                </c:pt>
                <c:pt idx="23">
                  <c:v>131.14000000000001</c:v>
                </c:pt>
                <c:pt idx="24">
                  <c:v>154.74519999999998</c:v>
                </c:pt>
                <c:pt idx="25">
                  <c:v>117.78685719999999</c:v>
                </c:pt>
                <c:pt idx="26">
                  <c:v>171.2429119895348</c:v>
                </c:pt>
                <c:pt idx="27">
                  <c:v>170.26957159999995</c:v>
                </c:pt>
                <c:pt idx="28">
                  <c:v>97.4426331181253</c:v>
                </c:pt>
                <c:pt idx="29">
                  <c:v>115.94342872608364</c:v>
                </c:pt>
                <c:pt idx="30">
                  <c:v>142.533162</c:v>
                </c:pt>
                <c:pt idx="31">
                  <c:v>125.25177785956113</c:v>
                </c:pt>
                <c:pt idx="32">
                  <c:v>144.54951439999999</c:v>
                </c:pt>
                <c:pt idx="33">
                  <c:v>142.6316668</c:v>
                </c:pt>
                <c:pt idx="34">
                  <c:v>144.54951440000002</c:v>
                </c:pt>
                <c:pt idx="35">
                  <c:v>166.56476199999997</c:v>
                </c:pt>
                <c:pt idx="36">
                  <c:v>154.90360960000001</c:v>
                </c:pt>
                <c:pt idx="37">
                  <c:v>165.43340959999998</c:v>
                </c:pt>
                <c:pt idx="38">
                  <c:v>176.02311440000003</c:v>
                </c:pt>
                <c:pt idx="39">
                  <c:v>128.10776199999998</c:v>
                </c:pt>
                <c:pt idx="40">
                  <c:v>180.42277152</c:v>
                </c:pt>
                <c:pt idx="41">
                  <c:v>230.72565326625968</c:v>
                </c:pt>
                <c:pt idx="42">
                  <c:v>183.18656200000004</c:v>
                </c:pt>
                <c:pt idx="43">
                  <c:v>174.99405008761906</c:v>
                </c:pt>
                <c:pt idx="44">
                  <c:v>179.51310012000002</c:v>
                </c:pt>
                <c:pt idx="45">
                  <c:v>107.73180959999999</c:v>
                </c:pt>
                <c:pt idx="46">
                  <c:v>107.02685719999999</c:v>
                </c:pt>
                <c:pt idx="47">
                  <c:v>115.22886527140599</c:v>
                </c:pt>
                <c:pt idx="48">
                  <c:v>192.06377531485529</c:v>
                </c:pt>
                <c:pt idx="49">
                  <c:v>115.60020960000001</c:v>
                </c:pt>
                <c:pt idx="50">
                  <c:v>140.86216200000001</c:v>
                </c:pt>
                <c:pt idx="51">
                  <c:v>135.01011439999999</c:v>
                </c:pt>
                <c:pt idx="52">
                  <c:v>139.53306532316435</c:v>
                </c:pt>
                <c:pt idx="53">
                  <c:v>99.811400000000006</c:v>
                </c:pt>
                <c:pt idx="54">
                  <c:v>141.92671440000001</c:v>
                </c:pt>
                <c:pt idx="55">
                  <c:v>166.02471887092199</c:v>
                </c:pt>
                <c:pt idx="56">
                  <c:v>151.69674642131389</c:v>
                </c:pt>
                <c:pt idx="57">
                  <c:v>167.42719934768428</c:v>
                </c:pt>
                <c:pt idx="58">
                  <c:v>267.13918747702553</c:v>
                </c:pt>
                <c:pt idx="59">
                  <c:v>261.67621141943982</c:v>
                </c:pt>
                <c:pt idx="60">
                  <c:v>263.17516506631119</c:v>
                </c:pt>
                <c:pt idx="61">
                  <c:v>264.45870556563432</c:v>
                </c:pt>
                <c:pt idx="62">
                  <c:v>268.33967197776963</c:v>
                </c:pt>
                <c:pt idx="63">
                  <c:v>199.57113404088693</c:v>
                </c:pt>
                <c:pt idx="64">
                  <c:v>233.42919999999998</c:v>
                </c:pt>
                <c:pt idx="65">
                  <c:v>270.54241920000004</c:v>
                </c:pt>
                <c:pt idx="66">
                  <c:v>176.35019085174824</c:v>
                </c:pt>
                <c:pt idx="67">
                  <c:v>265.44937751360976</c:v>
                </c:pt>
                <c:pt idx="68">
                  <c:v>196.8412045969857</c:v>
                </c:pt>
                <c:pt idx="69">
                  <c:v>183.12302665480033</c:v>
                </c:pt>
                <c:pt idx="70">
                  <c:v>166.65155416792967</c:v>
                </c:pt>
                <c:pt idx="71">
                  <c:v>177.12615957899513</c:v>
                </c:pt>
                <c:pt idx="72">
                  <c:v>157.36799999999999</c:v>
                </c:pt>
                <c:pt idx="73">
                  <c:v>201.9556</c:v>
                </c:pt>
                <c:pt idx="74">
                  <c:v>196.43111223529411</c:v>
                </c:pt>
                <c:pt idx="75">
                  <c:v>185.60896698240001</c:v>
                </c:pt>
                <c:pt idx="76">
                  <c:v>216.97165430000001</c:v>
                </c:pt>
                <c:pt idx="77">
                  <c:v>182.10826871126056</c:v>
                </c:pt>
                <c:pt idx="78">
                  <c:v>170.482</c:v>
                </c:pt>
                <c:pt idx="79">
                  <c:v>311.08568119999995</c:v>
                </c:pt>
                <c:pt idx="80">
                  <c:v>345.81889848475657</c:v>
                </c:pt>
                <c:pt idx="81">
                  <c:v>300.83309866233054</c:v>
                </c:pt>
                <c:pt idx="82">
                  <c:v>164.17825845110346</c:v>
                </c:pt>
                <c:pt idx="83">
                  <c:v>303.11245487856752</c:v>
                </c:pt>
                <c:pt idx="84">
                  <c:v>340.3116928501903</c:v>
                </c:pt>
                <c:pt idx="85">
                  <c:v>192.78158255118112</c:v>
                </c:pt>
                <c:pt idx="86">
                  <c:v>294.84851933524754</c:v>
                </c:pt>
                <c:pt idx="87">
                  <c:v>158.31123286550562</c:v>
                </c:pt>
                <c:pt idx="88">
                  <c:v>169.31038718498658</c:v>
                </c:pt>
                <c:pt idx="89">
                  <c:v>110.40120959999999</c:v>
                </c:pt>
                <c:pt idx="90">
                  <c:v>91.728009599999993</c:v>
                </c:pt>
                <c:pt idx="91">
                  <c:v>132.89721919999999</c:v>
                </c:pt>
                <c:pt idx="92">
                  <c:v>245.9213336</c:v>
                </c:pt>
                <c:pt idx="93">
                  <c:v>170.482</c:v>
                </c:pt>
                <c:pt idx="94">
                  <c:v>100.97779999999999</c:v>
                </c:pt>
                <c:pt idx="95">
                  <c:v>108.84619999999998</c:v>
                </c:pt>
                <c:pt idx="96">
                  <c:v>163.00761919999997</c:v>
                </c:pt>
                <c:pt idx="97">
                  <c:v>91.798000000000002</c:v>
                </c:pt>
                <c:pt idx="98">
                  <c:v>229.495</c:v>
                </c:pt>
                <c:pt idx="99">
                  <c:v>145.56540000000001</c:v>
                </c:pt>
                <c:pt idx="100">
                  <c:v>148.18819999999999</c:v>
                </c:pt>
                <c:pt idx="101">
                  <c:v>131.13999999999999</c:v>
                </c:pt>
                <c:pt idx="102">
                  <c:v>166.54779999999997</c:v>
                </c:pt>
                <c:pt idx="103">
                  <c:v>131.14000000000001</c:v>
                </c:pt>
                <c:pt idx="104">
                  <c:v>162.204162</c:v>
                </c:pt>
                <c:pt idx="105">
                  <c:v>363.22507703999997</c:v>
                </c:pt>
                <c:pt idx="106">
                  <c:v>203.75952399999997</c:v>
                </c:pt>
                <c:pt idx="107">
                  <c:v>250.724524</c:v>
                </c:pt>
                <c:pt idx="108">
                  <c:v>224.13547639999996</c:v>
                </c:pt>
                <c:pt idx="109">
                  <c:v>250.36347640000002</c:v>
                </c:pt>
                <c:pt idx="110">
                  <c:v>145.56540000000001</c:v>
                </c:pt>
                <c:pt idx="111">
                  <c:v>173.10479999999998</c:v>
                </c:pt>
                <c:pt idx="112">
                  <c:v>244.00348600000001</c:v>
                </c:pt>
                <c:pt idx="113">
                  <c:v>115.40319999999998</c:v>
                </c:pt>
                <c:pt idx="114">
                  <c:v>178.74441920000001</c:v>
                </c:pt>
                <c:pt idx="115">
                  <c:v>157.36799999999999</c:v>
                </c:pt>
                <c:pt idx="116">
                  <c:v>110.1576</c:v>
                </c:pt>
                <c:pt idx="117">
                  <c:v>229.495</c:v>
                </c:pt>
                <c:pt idx="118">
                  <c:v>142.94260000000003</c:v>
                </c:pt>
                <c:pt idx="119">
                  <c:v>180.97319999999999</c:v>
                </c:pt>
                <c:pt idx="120">
                  <c:v>214.05371439999999</c:v>
                </c:pt>
                <c:pt idx="121">
                  <c:v>85.241</c:v>
                </c:pt>
                <c:pt idx="122">
                  <c:v>152.1224</c:v>
                </c:pt>
                <c:pt idx="123">
                  <c:v>89.175200000000004</c:v>
                </c:pt>
                <c:pt idx="124">
                  <c:v>118.02600000000001</c:v>
                </c:pt>
                <c:pt idx="125">
                  <c:v>93.577471384990815</c:v>
                </c:pt>
                <c:pt idx="126">
                  <c:v>174.81021919999998</c:v>
                </c:pt>
                <c:pt idx="127">
                  <c:v>193.36682879999998</c:v>
                </c:pt>
                <c:pt idx="128">
                  <c:v>176.88852482711866</c:v>
                </c:pt>
                <c:pt idx="129">
                  <c:v>237.80766866415095</c:v>
                </c:pt>
                <c:pt idx="130">
                  <c:v>115.00149999999999</c:v>
                </c:pt>
                <c:pt idx="131">
                  <c:v>122.25571439999996</c:v>
                </c:pt>
                <c:pt idx="132">
                  <c:v>171.79340000000002</c:v>
                </c:pt>
                <c:pt idx="133">
                  <c:v>288.50800000000004</c:v>
                </c:pt>
                <c:pt idx="134">
                  <c:v>179.66180000000003</c:v>
                </c:pt>
                <c:pt idx="135">
                  <c:v>220.3152</c:v>
                </c:pt>
                <c:pt idx="136">
                  <c:v>144.25400000000002</c:v>
                </c:pt>
              </c:numCache>
            </c:numRef>
          </c:xVal>
          <c:yVal>
            <c:numRef>
              <c:f>'Ni $Values'!$GQ$149:$GQ$285</c:f>
              <c:numCache>
                <c:formatCode>0.0</c:formatCode>
                <c:ptCount val="137"/>
                <c:pt idx="0">
                  <c:v>289.18000000000006</c:v>
                </c:pt>
                <c:pt idx="1">
                  <c:v>626.1</c:v>
                </c:pt>
                <c:pt idx="2">
                  <c:v>567.38</c:v>
                </c:pt>
                <c:pt idx="3">
                  <c:v>86.239999999999981</c:v>
                </c:pt>
                <c:pt idx="4" formatCode="#,##0">
                  <c:v>1945.7799999999997</c:v>
                </c:pt>
                <c:pt idx="5" formatCode="#,##0">
                  <c:v>1682.3400000000004</c:v>
                </c:pt>
                <c:pt idx="6">
                  <c:v>6.3029710000000003</c:v>
                </c:pt>
                <c:pt idx="7">
                  <c:v>398.06405999999993</c:v>
                </c:pt>
                <c:pt idx="8">
                  <c:v>269.73</c:v>
                </c:pt>
                <c:pt idx="9">
                  <c:v>177.834</c:v>
                </c:pt>
                <c:pt idx="10">
                  <c:v>274.90000000000003</c:v>
                </c:pt>
                <c:pt idx="11">
                  <c:v>116.5</c:v>
                </c:pt>
                <c:pt idx="12">
                  <c:v>145.58000000000001</c:v>
                </c:pt>
                <c:pt idx="13">
                  <c:v>45.56</c:v>
                </c:pt>
                <c:pt idx="14">
                  <c:v>42.27</c:v>
                </c:pt>
                <c:pt idx="15">
                  <c:v>36.130000000000003</c:v>
                </c:pt>
                <c:pt idx="16" formatCode="#,##0">
                  <c:v>1343.1999999999998</c:v>
                </c:pt>
                <c:pt idx="17" formatCode="#,##0">
                  <c:v>2101.4</c:v>
                </c:pt>
                <c:pt idx="18">
                  <c:v>45.57</c:v>
                </c:pt>
                <c:pt idx="19">
                  <c:v>617.1450000000001</c:v>
                </c:pt>
                <c:pt idx="20">
                  <c:v>441.2165</c:v>
                </c:pt>
                <c:pt idx="21" formatCode="#,##0">
                  <c:v>1527.5</c:v>
                </c:pt>
                <c:pt idx="22">
                  <c:v>983.97699999999998</c:v>
                </c:pt>
                <c:pt idx="23">
                  <c:v>10</c:v>
                </c:pt>
                <c:pt idx="24">
                  <c:v>277.3</c:v>
                </c:pt>
                <c:pt idx="25">
                  <c:v>192</c:v>
                </c:pt>
                <c:pt idx="26">
                  <c:v>587.02740000000006</c:v>
                </c:pt>
                <c:pt idx="27">
                  <c:v>60</c:v>
                </c:pt>
                <c:pt idx="28">
                  <c:v>192.65911000000003</c:v>
                </c:pt>
                <c:pt idx="29">
                  <c:v>169.65</c:v>
                </c:pt>
                <c:pt idx="30" formatCode="#,##0">
                  <c:v>2745.9</c:v>
                </c:pt>
                <c:pt idx="31">
                  <c:v>476.12</c:v>
                </c:pt>
                <c:pt idx="32">
                  <c:v>206.36000000000004</c:v>
                </c:pt>
                <c:pt idx="33">
                  <c:v>345.8</c:v>
                </c:pt>
                <c:pt idx="34">
                  <c:v>619.85</c:v>
                </c:pt>
                <c:pt idx="35">
                  <c:v>124.96212099999998</c:v>
                </c:pt>
                <c:pt idx="36">
                  <c:v>54.440045999999995</c:v>
                </c:pt>
                <c:pt idx="37">
                  <c:v>40.736800000000002</c:v>
                </c:pt>
                <c:pt idx="38">
                  <c:v>22.178084999999999</c:v>
                </c:pt>
                <c:pt idx="39">
                  <c:v>17.71</c:v>
                </c:pt>
                <c:pt idx="40">
                  <c:v>31.080000000000005</c:v>
                </c:pt>
                <c:pt idx="41" formatCode="#,##0">
                  <c:v>1935.0708999999999</c:v>
                </c:pt>
                <c:pt idx="42">
                  <c:v>344.51200000000006</c:v>
                </c:pt>
                <c:pt idx="43">
                  <c:v>179.25999999999996</c:v>
                </c:pt>
                <c:pt idx="44">
                  <c:v>43.961999999999996</c:v>
                </c:pt>
                <c:pt idx="45">
                  <c:v>321.59999999999991</c:v>
                </c:pt>
                <c:pt idx="46">
                  <c:v>627.25</c:v>
                </c:pt>
                <c:pt idx="47">
                  <c:v>410.45</c:v>
                </c:pt>
                <c:pt idx="48">
                  <c:v>150.75</c:v>
                </c:pt>
                <c:pt idx="49">
                  <c:v>312.18</c:v>
                </c:pt>
                <c:pt idx="50">
                  <c:v>353.76</c:v>
                </c:pt>
                <c:pt idx="51">
                  <c:v>640.08000000000004</c:v>
                </c:pt>
                <c:pt idx="52">
                  <c:v>594.04431</c:v>
                </c:pt>
                <c:pt idx="53">
                  <c:v>241.3</c:v>
                </c:pt>
                <c:pt idx="54" formatCode="#,##0">
                  <c:v>2475</c:v>
                </c:pt>
                <c:pt idx="55">
                  <c:v>922.15</c:v>
                </c:pt>
                <c:pt idx="56">
                  <c:v>165.57000000000005</c:v>
                </c:pt>
                <c:pt idx="57" formatCode="#,##0">
                  <c:v>3914.3799999999992</c:v>
                </c:pt>
                <c:pt idx="58" formatCode="#,##0">
                  <c:v>1971.5199999999998</c:v>
                </c:pt>
                <c:pt idx="59">
                  <c:v>541.00499999999988</c:v>
                </c:pt>
                <c:pt idx="60">
                  <c:v>917.745</c:v>
                </c:pt>
                <c:pt idx="61">
                  <c:v>434.69599999999997</c:v>
                </c:pt>
                <c:pt idx="62" formatCode="#,##0">
                  <c:v>2042.2190000000005</c:v>
                </c:pt>
                <c:pt idx="63" formatCode="#,##0">
                  <c:v>1673.1505000000002</c:v>
                </c:pt>
                <c:pt idx="64" formatCode="#,##0">
                  <c:v>1726.6</c:v>
                </c:pt>
                <c:pt idx="65" formatCode="#,##0">
                  <c:v>2624.4</c:v>
                </c:pt>
                <c:pt idx="66" formatCode="#,##0">
                  <c:v>2073.8200000000002</c:v>
                </c:pt>
                <c:pt idx="67" formatCode="#,##0">
                  <c:v>1573.0962</c:v>
                </c:pt>
                <c:pt idx="68" formatCode="#,##0">
                  <c:v>1422.7210999999998</c:v>
                </c:pt>
                <c:pt idx="69" formatCode="#,##0">
                  <c:v>1072.7660000000001</c:v>
                </c:pt>
                <c:pt idx="70">
                  <c:v>100.94940000000001</c:v>
                </c:pt>
                <c:pt idx="71" formatCode="#,##0">
                  <c:v>1710.2218</c:v>
                </c:pt>
                <c:pt idx="72">
                  <c:v>520.44000000000005</c:v>
                </c:pt>
                <c:pt idx="73">
                  <c:v>111.804</c:v>
                </c:pt>
                <c:pt idx="74" formatCode="#,##0">
                  <c:v>1284.0000000000002</c:v>
                </c:pt>
                <c:pt idx="75" formatCode="#,##0">
                  <c:v>1314.0000000000002</c:v>
                </c:pt>
                <c:pt idx="76">
                  <c:v>202.70000000000005</c:v>
                </c:pt>
                <c:pt idx="77" formatCode="#,##0">
                  <c:v>1882.58</c:v>
                </c:pt>
                <c:pt idx="78">
                  <c:v>169.00000000000003</c:v>
                </c:pt>
                <c:pt idx="79">
                  <c:v>574.5920000000001</c:v>
                </c:pt>
                <c:pt idx="80" formatCode="#,##0">
                  <c:v>1249.8120000000001</c:v>
                </c:pt>
                <c:pt idx="81" formatCode="#,##0">
                  <c:v>1847.3869999999997</c:v>
                </c:pt>
                <c:pt idx="82" formatCode="#,##0">
                  <c:v>5513.3932369999993</c:v>
                </c:pt>
                <c:pt idx="83">
                  <c:v>258.16200000000003</c:v>
                </c:pt>
                <c:pt idx="84" formatCode="#,##0">
                  <c:v>1870.7179999999998</c:v>
                </c:pt>
                <c:pt idx="85" formatCode="#,##0">
                  <c:v>9334.7800000000007</c:v>
                </c:pt>
                <c:pt idx="86">
                  <c:v>673.30600000000004</c:v>
                </c:pt>
                <c:pt idx="87">
                  <c:v>384.9769720000001</c:v>
                </c:pt>
                <c:pt idx="88">
                  <c:v>135.50739999999999</c:v>
                </c:pt>
                <c:pt idx="89">
                  <c:v>5.1510387600000005</c:v>
                </c:pt>
                <c:pt idx="90">
                  <c:v>3.6990076199999997</c:v>
                </c:pt>
                <c:pt idx="91">
                  <c:v>5.7999233600000002</c:v>
                </c:pt>
                <c:pt idx="92" formatCode="#,##0">
                  <c:v>4400.0000000000009</c:v>
                </c:pt>
                <c:pt idx="93" formatCode="#,##0">
                  <c:v>3042</c:v>
                </c:pt>
                <c:pt idx="94">
                  <c:v>439.6699999999999</c:v>
                </c:pt>
                <c:pt idx="95" formatCode="#,##0">
                  <c:v>1749.2249999999999</c:v>
                </c:pt>
                <c:pt idx="96">
                  <c:v>327.03999999999996</c:v>
                </c:pt>
                <c:pt idx="97" formatCode="#,##0">
                  <c:v>1050</c:v>
                </c:pt>
                <c:pt idx="98">
                  <c:v>402.5</c:v>
                </c:pt>
                <c:pt idx="99">
                  <c:v>380.84100000000007</c:v>
                </c:pt>
                <c:pt idx="100">
                  <c:v>375.16</c:v>
                </c:pt>
                <c:pt idx="101">
                  <c:v>700</c:v>
                </c:pt>
                <c:pt idx="102">
                  <c:v>287.02</c:v>
                </c:pt>
                <c:pt idx="103">
                  <c:v>270</c:v>
                </c:pt>
                <c:pt idx="104">
                  <c:v>528.96</c:v>
                </c:pt>
                <c:pt idx="105">
                  <c:v>0.233073</c:v>
                </c:pt>
                <c:pt idx="106" formatCode="#,##0">
                  <c:v>2000</c:v>
                </c:pt>
                <c:pt idx="107">
                  <c:v>29.999999999999996</c:v>
                </c:pt>
                <c:pt idx="108" formatCode="#,##0">
                  <c:v>1591.7</c:v>
                </c:pt>
                <c:pt idx="109" formatCode="#,##0">
                  <c:v>4030</c:v>
                </c:pt>
                <c:pt idx="110">
                  <c:v>497.28000000000009</c:v>
                </c:pt>
                <c:pt idx="111">
                  <c:v>21.12</c:v>
                </c:pt>
                <c:pt idx="112">
                  <c:v>658.17</c:v>
                </c:pt>
                <c:pt idx="113">
                  <c:v>568.4799999999999</c:v>
                </c:pt>
                <c:pt idx="114">
                  <c:v>169.28000000000003</c:v>
                </c:pt>
                <c:pt idx="115" formatCode="#,##0">
                  <c:v>1056</c:v>
                </c:pt>
                <c:pt idx="116">
                  <c:v>902.1600000000002</c:v>
                </c:pt>
                <c:pt idx="117">
                  <c:v>64.75</c:v>
                </c:pt>
                <c:pt idx="118" formatCode="#,##0">
                  <c:v>1199.0000000000002</c:v>
                </c:pt>
                <c:pt idx="119" formatCode="#,##0">
                  <c:v>2069.9999999999995</c:v>
                </c:pt>
                <c:pt idx="120" formatCode="#,##0">
                  <c:v>2600</c:v>
                </c:pt>
                <c:pt idx="121">
                  <c:v>227.5</c:v>
                </c:pt>
                <c:pt idx="122">
                  <c:v>491.60799999999995</c:v>
                </c:pt>
                <c:pt idx="123">
                  <c:v>476</c:v>
                </c:pt>
                <c:pt idx="124">
                  <c:v>209.99999999999997</c:v>
                </c:pt>
                <c:pt idx="125">
                  <c:v>95.060211199999969</c:v>
                </c:pt>
                <c:pt idx="126">
                  <c:v>395.16</c:v>
                </c:pt>
                <c:pt idx="127">
                  <c:v>183.87</c:v>
                </c:pt>
                <c:pt idx="128">
                  <c:v>44.09899200000001</c:v>
                </c:pt>
                <c:pt idx="129">
                  <c:v>99.320255999999986</c:v>
                </c:pt>
                <c:pt idx="130" formatCode="#,##0">
                  <c:v>1712.2000000000003</c:v>
                </c:pt>
                <c:pt idx="131">
                  <c:v>10.169999999999998</c:v>
                </c:pt>
                <c:pt idx="132">
                  <c:v>170.3</c:v>
                </c:pt>
                <c:pt idx="133">
                  <c:v>594.00000000000011</c:v>
                </c:pt>
                <c:pt idx="134" formatCode="#,##0">
                  <c:v>1191.9000000000001</c:v>
                </c:pt>
                <c:pt idx="135">
                  <c:v>403.2</c:v>
                </c:pt>
                <c:pt idx="136">
                  <c:v>231.00000000000003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2CF-4D0A-AED4-90718C636F15}"/>
            </c:ext>
          </c:extLst>
        </c:ser>
        <c:ser>
          <c:idx val="15"/>
          <c:order val="14"/>
          <c:tx>
            <c:v>MagS: Small M-UM Intrusion-related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$Values'!$GS$503:$GS$619</c:f>
              <c:numCache>
                <c:formatCode>0.0</c:formatCode>
                <c:ptCount val="117"/>
                <c:pt idx="0">
                  <c:v>51.225918739362399</c:v>
                </c:pt>
                <c:pt idx="1">
                  <c:v>83.63582700664719</c:v>
                </c:pt>
                <c:pt idx="2">
                  <c:v>76.219842697056393</c:v>
                </c:pt>
                <c:pt idx="3">
                  <c:v>41.648579096436784</c:v>
                </c:pt>
                <c:pt idx="4">
                  <c:v>340.92469519533944</c:v>
                </c:pt>
                <c:pt idx="5">
                  <c:v>49.042548800000006</c:v>
                </c:pt>
                <c:pt idx="6">
                  <c:v>82.885653731645306</c:v>
                </c:pt>
                <c:pt idx="7">
                  <c:v>127.75653089000157</c:v>
                </c:pt>
                <c:pt idx="8">
                  <c:v>92.386123778822608</c:v>
                </c:pt>
                <c:pt idx="9">
                  <c:v>310.80341503665591</c:v>
                </c:pt>
                <c:pt idx="10">
                  <c:v>366.65342181423529</c:v>
                </c:pt>
                <c:pt idx="11">
                  <c:v>117.1633688485817</c:v>
                </c:pt>
                <c:pt idx="12">
                  <c:v>217.15909179944569</c:v>
                </c:pt>
                <c:pt idx="13">
                  <c:v>132.32248059760957</c:v>
                </c:pt>
                <c:pt idx="14">
                  <c:v>88.630592154682404</c:v>
                </c:pt>
                <c:pt idx="15">
                  <c:v>430.13199539999999</c:v>
                </c:pt>
                <c:pt idx="16">
                  <c:v>97.654621977948381</c:v>
                </c:pt>
                <c:pt idx="17">
                  <c:v>113.57753211978</c:v>
                </c:pt>
                <c:pt idx="18">
                  <c:v>86.880422788721589</c:v>
                </c:pt>
                <c:pt idx="19">
                  <c:v>124.42608</c:v>
                </c:pt>
                <c:pt idx="20">
                  <c:v>38.632947199999997</c:v>
                </c:pt>
                <c:pt idx="21">
                  <c:v>87.731987200000006</c:v>
                </c:pt>
                <c:pt idx="22">
                  <c:v>270.43063040000004</c:v>
                </c:pt>
                <c:pt idx="23">
                  <c:v>178.645184</c:v>
                </c:pt>
                <c:pt idx="24">
                  <c:v>138.11732000000001</c:v>
                </c:pt>
                <c:pt idx="25">
                  <c:v>204.93595199999999</c:v>
                </c:pt>
                <c:pt idx="26">
                  <c:v>124.96565920000002</c:v>
                </c:pt>
                <c:pt idx="27">
                  <c:v>407.08625695613927</c:v>
                </c:pt>
                <c:pt idx="28">
                  <c:v>242.83032972935555</c:v>
                </c:pt>
                <c:pt idx="29">
                  <c:v>34.943005769058807</c:v>
                </c:pt>
                <c:pt idx="30">
                  <c:v>248.63561227490288</c:v>
                </c:pt>
                <c:pt idx="31">
                  <c:v>150.47247785205022</c:v>
                </c:pt>
                <c:pt idx="32">
                  <c:v>106.35843537692739</c:v>
                </c:pt>
                <c:pt idx="33">
                  <c:v>60.349119237996362</c:v>
                </c:pt>
                <c:pt idx="34">
                  <c:v>164.66754517540949</c:v>
                </c:pt>
                <c:pt idx="35">
                  <c:v>31.057736324994252</c:v>
                </c:pt>
                <c:pt idx="36">
                  <c:v>74.355246345375193</c:v>
                </c:pt>
                <c:pt idx="37">
                  <c:v>76.632163200000008</c:v>
                </c:pt>
                <c:pt idx="38">
                  <c:v>136.73687520000001</c:v>
                </c:pt>
                <c:pt idx="39">
                  <c:v>53.012801620745975</c:v>
                </c:pt>
                <c:pt idx="40">
                  <c:v>100.18428537244755</c:v>
                </c:pt>
                <c:pt idx="41">
                  <c:v>95.841334399999994</c:v>
                </c:pt>
                <c:pt idx="42">
                  <c:v>96.447781999999989</c:v>
                </c:pt>
                <c:pt idx="43">
                  <c:v>50.39788639999999</c:v>
                </c:pt>
                <c:pt idx="44">
                  <c:v>122.00439</c:v>
                </c:pt>
                <c:pt idx="45">
                  <c:v>91.666187199999996</c:v>
                </c:pt>
                <c:pt idx="46">
                  <c:v>76.625886399999999</c:v>
                </c:pt>
                <c:pt idx="47">
                  <c:v>57.197903964145873</c:v>
                </c:pt>
                <c:pt idx="48">
                  <c:v>203.31336639999995</c:v>
                </c:pt>
                <c:pt idx="49">
                  <c:v>108.76460160000001</c:v>
                </c:pt>
                <c:pt idx="50">
                  <c:v>43.289364244245931</c:v>
                </c:pt>
                <c:pt idx="51">
                  <c:v>146.96230930943983</c:v>
                </c:pt>
                <c:pt idx="52">
                  <c:v>8.2463762453889053</c:v>
                </c:pt>
                <c:pt idx="53">
                  <c:v>23.080640000000002</c:v>
                </c:pt>
                <c:pt idx="54">
                  <c:v>19.894805869174657</c:v>
                </c:pt>
                <c:pt idx="55">
                  <c:v>527.36990214032551</c:v>
                </c:pt>
                <c:pt idx="56">
                  <c:v>112.17923951421831</c:v>
                </c:pt>
                <c:pt idx="57">
                  <c:v>727.85267381574533</c:v>
                </c:pt>
                <c:pt idx="58">
                  <c:v>215.84777106861983</c:v>
                </c:pt>
                <c:pt idx="59">
                  <c:v>61.17579244444444</c:v>
                </c:pt>
                <c:pt idx="60">
                  <c:v>263.31522079999996</c:v>
                </c:pt>
                <c:pt idx="61">
                  <c:v>176.35654199999999</c:v>
                </c:pt>
                <c:pt idx="62">
                  <c:v>71.231941189389872</c:v>
                </c:pt>
                <c:pt idx="63">
                  <c:v>23.93845860465116</c:v>
                </c:pt>
                <c:pt idx="64">
                  <c:v>32.038286399999997</c:v>
                </c:pt>
                <c:pt idx="65">
                  <c:v>79.731774399999992</c:v>
                </c:pt>
                <c:pt idx="66">
                  <c:v>170.54454240000001</c:v>
                </c:pt>
                <c:pt idx="67">
                  <c:v>187.93168959999997</c:v>
                </c:pt>
                <c:pt idx="68">
                  <c:v>69.453985599999996</c:v>
                </c:pt>
                <c:pt idx="69">
                  <c:v>44.518555200000002</c:v>
                </c:pt>
                <c:pt idx="70">
                  <c:v>31.429662400000005</c:v>
                </c:pt>
                <c:pt idx="71">
                  <c:v>170.29369599999998</c:v>
                </c:pt>
                <c:pt idx="72">
                  <c:v>85.264183199999991</c:v>
                </c:pt>
                <c:pt idx="73">
                  <c:v>62.742516208225553</c:v>
                </c:pt>
                <c:pt idx="74">
                  <c:v>68.275468666237941</c:v>
                </c:pt>
                <c:pt idx="75">
                  <c:v>177.03900000000002</c:v>
                </c:pt>
                <c:pt idx="76">
                  <c:v>265.83583290032152</c:v>
                </c:pt>
                <c:pt idx="77">
                  <c:v>77.949839999999995</c:v>
                </c:pt>
                <c:pt idx="78">
                  <c:v>103.4499568</c:v>
                </c:pt>
                <c:pt idx="79">
                  <c:v>245.19273604643089</c:v>
                </c:pt>
                <c:pt idx="80">
                  <c:v>93.065462400000015</c:v>
                </c:pt>
                <c:pt idx="81">
                  <c:v>55.034862399999987</c:v>
                </c:pt>
                <c:pt idx="82">
                  <c:v>98.260847999999996</c:v>
                </c:pt>
                <c:pt idx="83">
                  <c:v>94.345478400000005</c:v>
                </c:pt>
                <c:pt idx="84">
                  <c:v>342.73338079999996</c:v>
                </c:pt>
                <c:pt idx="85">
                  <c:v>123.20255519999999</c:v>
                </c:pt>
                <c:pt idx="86">
                  <c:v>90.392448000000002</c:v>
                </c:pt>
                <c:pt idx="87">
                  <c:v>176.97623200000001</c:v>
                </c:pt>
                <c:pt idx="88">
                  <c:v>142.84844799999996</c:v>
                </c:pt>
                <c:pt idx="89">
                  <c:v>52.39323199999999</c:v>
                </c:pt>
                <c:pt idx="90">
                  <c:v>156.80984279999996</c:v>
                </c:pt>
                <c:pt idx="91">
                  <c:v>91.691294400000004</c:v>
                </c:pt>
                <c:pt idx="92">
                  <c:v>89.28433440000002</c:v>
                </c:pt>
                <c:pt idx="93">
                  <c:v>196.64723199999997</c:v>
                </c:pt>
                <c:pt idx="94">
                  <c:v>54.376024000000001</c:v>
                </c:pt>
                <c:pt idx="95">
                  <c:v>119.42552759999998</c:v>
                </c:pt>
                <c:pt idx="96">
                  <c:v>74.015640000000005</c:v>
                </c:pt>
                <c:pt idx="97">
                  <c:v>211.87006479999997</c:v>
                </c:pt>
                <c:pt idx="98">
                  <c:v>1000.4863654019291</c:v>
                </c:pt>
                <c:pt idx="99">
                  <c:v>197.4446648</c:v>
                </c:pt>
                <c:pt idx="100">
                  <c:v>211.49754380000002</c:v>
                </c:pt>
                <c:pt idx="101">
                  <c:v>172.59710959999998</c:v>
                </c:pt>
                <c:pt idx="102">
                  <c:v>60.345406799999992</c:v>
                </c:pt>
                <c:pt idx="103">
                  <c:v>83.496613600000003</c:v>
                </c:pt>
                <c:pt idx="104">
                  <c:v>87.113948000000008</c:v>
                </c:pt>
                <c:pt idx="105">
                  <c:v>143.46334880000001</c:v>
                </c:pt>
                <c:pt idx="106">
                  <c:v>114.606272</c:v>
                </c:pt>
                <c:pt idx="107">
                  <c:v>55.656039999999997</c:v>
                </c:pt>
                <c:pt idx="108">
                  <c:v>74.749799999999993</c:v>
                </c:pt>
                <c:pt idx="109">
                  <c:v>59.621623999999997</c:v>
                </c:pt>
                <c:pt idx="110">
                  <c:v>59.621623999999997</c:v>
                </c:pt>
                <c:pt idx="111">
                  <c:v>196.647232</c:v>
                </c:pt>
                <c:pt idx="112">
                  <c:v>77.943563200000014</c:v>
                </c:pt>
                <c:pt idx="113">
                  <c:v>98.434674400000006</c:v>
                </c:pt>
                <c:pt idx="114">
                  <c:v>196.09317519999996</c:v>
                </c:pt>
                <c:pt idx="115">
                  <c:v>91.797999999999988</c:v>
                </c:pt>
                <c:pt idx="116">
                  <c:v>46.82014242264151</c:v>
                </c:pt>
              </c:numCache>
            </c:numRef>
          </c:xVal>
          <c:yVal>
            <c:numRef>
              <c:f>'Ni $Values'!$GQ$503:$GQ$619</c:f>
              <c:numCache>
                <c:formatCode>#,##0</c:formatCode>
                <c:ptCount val="117"/>
                <c:pt idx="0" formatCode="0.0">
                  <c:v>470.14</c:v>
                </c:pt>
                <c:pt idx="1">
                  <c:v>2910.3</c:v>
                </c:pt>
                <c:pt idx="2" formatCode="0.0">
                  <c:v>202.22</c:v>
                </c:pt>
                <c:pt idx="3" formatCode="0.0">
                  <c:v>834.5300000000002</c:v>
                </c:pt>
                <c:pt idx="4" formatCode="0.0">
                  <c:v>135.82930000000002</c:v>
                </c:pt>
                <c:pt idx="5" formatCode="0.0">
                  <c:v>696.8</c:v>
                </c:pt>
                <c:pt idx="6">
                  <c:v>1140.3736999999999</c:v>
                </c:pt>
                <c:pt idx="7" formatCode="0.0">
                  <c:v>488.13060000000013</c:v>
                </c:pt>
                <c:pt idx="8" formatCode="0.0">
                  <c:v>741.73680000000013</c:v>
                </c:pt>
                <c:pt idx="9" formatCode="0.0">
                  <c:v>620.4</c:v>
                </c:pt>
                <c:pt idx="10">
                  <c:v>15707.588</c:v>
                </c:pt>
                <c:pt idx="11" formatCode="0.0">
                  <c:v>53.806599999999996</c:v>
                </c:pt>
                <c:pt idx="12" formatCode="0.0">
                  <c:v>27.339000000000006</c:v>
                </c:pt>
                <c:pt idx="13" formatCode="0.0">
                  <c:v>17.225000000000005</c:v>
                </c:pt>
                <c:pt idx="14" formatCode="0.0">
                  <c:v>19.505800000000004</c:v>
                </c:pt>
                <c:pt idx="15" formatCode="0.0">
                  <c:v>657.2</c:v>
                </c:pt>
                <c:pt idx="16" formatCode="0.0">
                  <c:v>21.823466700000004</c:v>
                </c:pt>
                <c:pt idx="17" formatCode="0.0">
                  <c:v>192.24999999999997</c:v>
                </c:pt>
                <c:pt idx="18" formatCode="0.0">
                  <c:v>825.06</c:v>
                </c:pt>
                <c:pt idx="19" formatCode="0.0">
                  <c:v>28.7</c:v>
                </c:pt>
                <c:pt idx="20" formatCode="0.0">
                  <c:v>222.6</c:v>
                </c:pt>
                <c:pt idx="21" formatCode="0.0">
                  <c:v>171.12531759999999</c:v>
                </c:pt>
                <c:pt idx="22" formatCode="0.0">
                  <c:v>65.673146700000004</c:v>
                </c:pt>
                <c:pt idx="23" formatCode="0.0">
                  <c:v>211.35278430000002</c:v>
                </c:pt>
                <c:pt idx="24" formatCode="0.0">
                  <c:v>132.63798480000003</c:v>
                </c:pt>
                <c:pt idx="25" formatCode="0.0">
                  <c:v>64.818713900000006</c:v>
                </c:pt>
                <c:pt idx="26" formatCode="0.0">
                  <c:v>22.749568400000001</c:v>
                </c:pt>
                <c:pt idx="27" formatCode="0.0">
                  <c:v>294.46780000000001</c:v>
                </c:pt>
                <c:pt idx="28" formatCode="0.0">
                  <c:v>305.04000000000002</c:v>
                </c:pt>
                <c:pt idx="29" formatCode="0.0">
                  <c:v>6.6240999999999994</c:v>
                </c:pt>
                <c:pt idx="30" formatCode="0.0">
                  <c:v>30.038799999999995</c:v>
                </c:pt>
                <c:pt idx="31" formatCode="0.0">
                  <c:v>33.958800000000004</c:v>
                </c:pt>
                <c:pt idx="32" formatCode="0.0">
                  <c:v>45.737099999999998</c:v>
                </c:pt>
                <c:pt idx="33" formatCode="0.0">
                  <c:v>59.759999999999984</c:v>
                </c:pt>
                <c:pt idx="34" formatCode="0.0">
                  <c:v>16.443550400000003</c:v>
                </c:pt>
                <c:pt idx="35" formatCode="0.0">
                  <c:v>30.312239999999996</c:v>
                </c:pt>
                <c:pt idx="36">
                  <c:v>1168.01</c:v>
                </c:pt>
                <c:pt idx="37" formatCode="0.0">
                  <c:v>356.24544300000008</c:v>
                </c:pt>
                <c:pt idx="38" formatCode="0.0">
                  <c:v>167.02556640000003</c:v>
                </c:pt>
                <c:pt idx="39" formatCode="0.0">
                  <c:v>32.480000000000004</c:v>
                </c:pt>
                <c:pt idx="40" formatCode="0.0">
                  <c:v>24.259799999999998</c:v>
                </c:pt>
                <c:pt idx="41" formatCode="0.0">
                  <c:v>0.77700000000000002</c:v>
                </c:pt>
                <c:pt idx="42" formatCode="0.0">
                  <c:v>0.44719999999999999</c:v>
                </c:pt>
                <c:pt idx="43" formatCode="0.0">
                  <c:v>0.32879999999999998</c:v>
                </c:pt>
                <c:pt idx="44" formatCode="0.0">
                  <c:v>0.69599999999999995</c:v>
                </c:pt>
                <c:pt idx="45" formatCode="0.0">
                  <c:v>5.1547999999999998</c:v>
                </c:pt>
                <c:pt idx="46" formatCode="0.0">
                  <c:v>7.04</c:v>
                </c:pt>
                <c:pt idx="47" formatCode="0.0">
                  <c:v>27.007499999999997</c:v>
                </c:pt>
                <c:pt idx="48" formatCode="0.0">
                  <c:v>11.041699999999999</c:v>
                </c:pt>
                <c:pt idx="49" formatCode="0.0">
                  <c:v>145.80999999999997</c:v>
                </c:pt>
                <c:pt idx="50" formatCode="0.0">
                  <c:v>281.59800000000001</c:v>
                </c:pt>
                <c:pt idx="51" formatCode="0.0">
                  <c:v>34.917999999999999</c:v>
                </c:pt>
                <c:pt idx="52" formatCode="0.0">
                  <c:v>93.262</c:v>
                </c:pt>
                <c:pt idx="53" formatCode="0.0">
                  <c:v>326.83200000000005</c:v>
                </c:pt>
                <c:pt idx="54" formatCode="0.0">
                  <c:v>67.046000000000006</c:v>
                </c:pt>
                <c:pt idx="55">
                  <c:v>1526.1</c:v>
                </c:pt>
                <c:pt idx="56" formatCode="0.0">
                  <c:v>368.98250000000002</c:v>
                </c:pt>
                <c:pt idx="57" formatCode="0.0">
                  <c:v>140.64400000000003</c:v>
                </c:pt>
                <c:pt idx="58" formatCode="0.0">
                  <c:v>60.089000000000013</c:v>
                </c:pt>
                <c:pt idx="59" formatCode="0.0">
                  <c:v>1.170288</c:v>
                </c:pt>
                <c:pt idx="60" formatCode="0.0">
                  <c:v>0.12560000000000002</c:v>
                </c:pt>
                <c:pt idx="61" formatCode="0.0">
                  <c:v>1.7273088000000001</c:v>
                </c:pt>
                <c:pt idx="62">
                  <c:v>1569.7439999999999</c:v>
                </c:pt>
                <c:pt idx="63" formatCode="0.0">
                  <c:v>143.46418604651163</c:v>
                </c:pt>
                <c:pt idx="64" formatCode="0.0">
                  <c:v>34.473600000000005</c:v>
                </c:pt>
                <c:pt idx="65" formatCode="0.0">
                  <c:v>627.41951999999992</c:v>
                </c:pt>
                <c:pt idx="66" formatCode="0.0">
                  <c:v>16.343999999999998</c:v>
                </c:pt>
                <c:pt idx="67" formatCode="0.0">
                  <c:v>39.14</c:v>
                </c:pt>
                <c:pt idx="68" formatCode="0.0">
                  <c:v>405</c:v>
                </c:pt>
                <c:pt idx="69" formatCode="0.0">
                  <c:v>15.41</c:v>
                </c:pt>
                <c:pt idx="70" formatCode="0.0">
                  <c:v>57.8</c:v>
                </c:pt>
                <c:pt idx="71" formatCode="0.0">
                  <c:v>30</c:v>
                </c:pt>
                <c:pt idx="72" formatCode="0.0">
                  <c:v>83.825280000000006</c:v>
                </c:pt>
                <c:pt idx="73" formatCode="0.0">
                  <c:v>6.2463299999999995</c:v>
                </c:pt>
                <c:pt idx="74" formatCode="0.0">
                  <c:v>87.5</c:v>
                </c:pt>
                <c:pt idx="75" formatCode="0.0">
                  <c:v>5.2681725000000004</c:v>
                </c:pt>
                <c:pt idx="76" formatCode="0.0">
                  <c:v>9.7999999999999989</c:v>
                </c:pt>
                <c:pt idx="77" formatCode="0.0">
                  <c:v>8.4600000000000009</c:v>
                </c:pt>
                <c:pt idx="78" formatCode="0.0">
                  <c:v>9.2950000000000017</c:v>
                </c:pt>
                <c:pt idx="79">
                  <c:v>4270.580107863625</c:v>
                </c:pt>
                <c:pt idx="80">
                  <c:v>1004.8</c:v>
                </c:pt>
                <c:pt idx="81" formatCode="0.0">
                  <c:v>335.99999999999994</c:v>
                </c:pt>
                <c:pt idx="82" formatCode="0.0">
                  <c:v>210</c:v>
                </c:pt>
                <c:pt idx="83" formatCode="0.0">
                  <c:v>49.8</c:v>
                </c:pt>
                <c:pt idx="84" formatCode="0.0">
                  <c:v>204.7</c:v>
                </c:pt>
                <c:pt idx="85" formatCode="0.0">
                  <c:v>9.9600000000000009</c:v>
                </c:pt>
                <c:pt idx="86" formatCode="0.0">
                  <c:v>432</c:v>
                </c:pt>
                <c:pt idx="87" formatCode="0.0">
                  <c:v>0.25</c:v>
                </c:pt>
                <c:pt idx="88" formatCode="0.0">
                  <c:v>0.23499999999999999</c:v>
                </c:pt>
                <c:pt idx="89" formatCode="0.0">
                  <c:v>0.15</c:v>
                </c:pt>
                <c:pt idx="90" formatCode="0.0">
                  <c:v>12.349999999999998</c:v>
                </c:pt>
                <c:pt idx="91" formatCode="0.0">
                  <c:v>0.10600000000000001</c:v>
                </c:pt>
                <c:pt idx="92" formatCode="0.0">
                  <c:v>11.2</c:v>
                </c:pt>
                <c:pt idx="93" formatCode="0.0">
                  <c:v>0.42</c:v>
                </c:pt>
                <c:pt idx="94" formatCode="0.0">
                  <c:v>0.30599999999999999</c:v>
                </c:pt>
                <c:pt idx="95" formatCode="0.0">
                  <c:v>10.4</c:v>
                </c:pt>
                <c:pt idx="96" formatCode="0.0">
                  <c:v>0.22</c:v>
                </c:pt>
                <c:pt idx="97" formatCode="0.0">
                  <c:v>0.33839999999999998</c:v>
                </c:pt>
                <c:pt idx="98" formatCode="0.0">
                  <c:v>18.2</c:v>
                </c:pt>
                <c:pt idx="99" formatCode="0.0">
                  <c:v>22.393399999999996</c:v>
                </c:pt>
                <c:pt idx="100" formatCode="0.0">
                  <c:v>3.72</c:v>
                </c:pt>
                <c:pt idx="101" formatCode="0.0">
                  <c:v>19.5</c:v>
                </c:pt>
                <c:pt idx="102" formatCode="0.0">
                  <c:v>32.94</c:v>
                </c:pt>
                <c:pt idx="103" formatCode="0.0">
                  <c:v>8.2249999999999996</c:v>
                </c:pt>
                <c:pt idx="104" formatCode="0.0">
                  <c:v>8.6005000000000003</c:v>
                </c:pt>
                <c:pt idx="105" formatCode="0.0">
                  <c:v>183.59439999999998</c:v>
                </c:pt>
                <c:pt idx="106" formatCode="0.0">
                  <c:v>100.0025</c:v>
                </c:pt>
                <c:pt idx="107" formatCode="0.0">
                  <c:v>6.75</c:v>
                </c:pt>
                <c:pt idx="108" formatCode="0.0">
                  <c:v>9.997799999999998</c:v>
                </c:pt>
                <c:pt idx="109" formatCode="0.0">
                  <c:v>2.1280000000000001</c:v>
                </c:pt>
                <c:pt idx="110" formatCode="0.0">
                  <c:v>2.1280000000000001</c:v>
                </c:pt>
                <c:pt idx="111" formatCode="0.0">
                  <c:v>2.9819999999999998</c:v>
                </c:pt>
                <c:pt idx="112" formatCode="0.0">
                  <c:v>0.32200000000000001</c:v>
                </c:pt>
                <c:pt idx="113" formatCode="0.0">
                  <c:v>25.864000000000001</c:v>
                </c:pt>
                <c:pt idx="114" formatCode="0.0">
                  <c:v>2.1801000000000004</c:v>
                </c:pt>
                <c:pt idx="115" formatCode="0.0">
                  <c:v>5.0803200000000004</c:v>
                </c:pt>
                <c:pt idx="116" formatCode="0.0">
                  <c:v>279.41759999999999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2CF-4D0A-AED4-90718C636F15}"/>
            </c:ext>
          </c:extLst>
        </c:ser>
        <c:ser>
          <c:idx val="7"/>
          <c:order val="15"/>
          <c:tx>
            <c:v>Hydrothermal: Various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$Values'!$GS$47:$GS$51</c:f>
              <c:numCache>
                <c:formatCode>0.0</c:formatCode>
                <c:ptCount val="5"/>
                <c:pt idx="0">
                  <c:v>79.463160771704182</c:v>
                </c:pt>
                <c:pt idx="1">
                  <c:v>132.67876868635364</c:v>
                </c:pt>
                <c:pt idx="2">
                  <c:v>112.18268707482993</c:v>
                </c:pt>
                <c:pt idx="3">
                  <c:v>74.963542096032384</c:v>
                </c:pt>
                <c:pt idx="4">
                  <c:v>104.91200000000001</c:v>
                </c:pt>
              </c:numCache>
            </c:numRef>
          </c:xVal>
          <c:yVal>
            <c:numRef>
              <c:f>'Ni $Values'!$GQ$47:$GQ$51</c:f>
              <c:numCache>
                <c:formatCode>#,##0</c:formatCode>
                <c:ptCount val="5"/>
                <c:pt idx="0" formatCode="0.0">
                  <c:v>0.51300000000000001</c:v>
                </c:pt>
                <c:pt idx="1">
                  <c:v>1163.6199999999999</c:v>
                </c:pt>
                <c:pt idx="2" formatCode="0.0">
                  <c:v>251.5</c:v>
                </c:pt>
                <c:pt idx="3" formatCode="0.0">
                  <c:v>99.96</c:v>
                </c:pt>
                <c:pt idx="4" formatCode="0.0">
                  <c:v>8.1999999999999993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2CF-4D0A-AED4-90718C636F15}"/>
            </c:ext>
          </c:extLst>
        </c:ser>
        <c:ser>
          <c:idx val="17"/>
          <c:order val="16"/>
          <c:tx>
            <c:v>Tailings</c:v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'Ni $Values'!$GS$627:$GS$631</c:f>
              <c:numCache>
                <c:formatCode>0.0</c:formatCode>
                <c:ptCount val="5"/>
                <c:pt idx="0">
                  <c:v>27.539400000000001</c:v>
                </c:pt>
                <c:pt idx="1">
                  <c:v>60.293016000000001</c:v>
                </c:pt>
                <c:pt idx="2">
                  <c:v>59.940856467409652</c:v>
                </c:pt>
                <c:pt idx="3">
                  <c:v>98.19807999999999</c:v>
                </c:pt>
                <c:pt idx="4">
                  <c:v>199.63273521944669</c:v>
                </c:pt>
              </c:numCache>
            </c:numRef>
          </c:xVal>
          <c:yVal>
            <c:numRef>
              <c:f>'Ni $Values'!$GQ$627:$GQ$631</c:f>
              <c:numCache>
                <c:formatCode>0.0</c:formatCode>
                <c:ptCount val="5"/>
                <c:pt idx="0">
                  <c:v>214.16639999999998</c:v>
                </c:pt>
                <c:pt idx="1">
                  <c:v>133.82399999999998</c:v>
                </c:pt>
                <c:pt idx="2">
                  <c:v>135.34</c:v>
                </c:pt>
                <c:pt idx="3">
                  <c:v>2.26796</c:v>
                </c:pt>
                <c:pt idx="4">
                  <c:v>0.41277600000000009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2CF-4D0A-AED4-90718C636F15}"/>
            </c:ext>
          </c:extLst>
        </c:ser>
        <c:ser>
          <c:idx val="16"/>
          <c:order val="17"/>
          <c:tx>
            <c:v>MagS: Various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$Values'!$GS$620:$GS$626</c:f>
              <c:numCache>
                <c:formatCode>0.0</c:formatCode>
                <c:ptCount val="7"/>
                <c:pt idx="0">
                  <c:v>38.412430281601011</c:v>
                </c:pt>
                <c:pt idx="1">
                  <c:v>90.853281237427652</c:v>
                </c:pt>
                <c:pt idx="2">
                  <c:v>207.51942994144724</c:v>
                </c:pt>
                <c:pt idx="3">
                  <c:v>223.27250247999996</c:v>
                </c:pt>
                <c:pt idx="4">
                  <c:v>90.117862380704281</c:v>
                </c:pt>
                <c:pt idx="5">
                  <c:v>40.603185599999996</c:v>
                </c:pt>
                <c:pt idx="6">
                  <c:v>50.410440000000001</c:v>
                </c:pt>
              </c:numCache>
            </c:numRef>
          </c:xVal>
          <c:yVal>
            <c:numRef>
              <c:f>'Ni $Values'!$GQ$620:$GQ$626</c:f>
              <c:numCache>
                <c:formatCode>0.0</c:formatCode>
                <c:ptCount val="7"/>
                <c:pt idx="0" formatCode="#,##0">
                  <c:v>4874.3950000000004</c:v>
                </c:pt>
                <c:pt idx="1">
                  <c:v>49.61699999999999</c:v>
                </c:pt>
                <c:pt idx="2">
                  <c:v>54.56</c:v>
                </c:pt>
                <c:pt idx="3">
                  <c:v>24.4</c:v>
                </c:pt>
                <c:pt idx="4">
                  <c:v>16.802399999999999</c:v>
                </c:pt>
                <c:pt idx="5">
                  <c:v>0.83462400000000003</c:v>
                </c:pt>
                <c:pt idx="6">
                  <c:v>24.058943999999997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2CF-4D0A-AED4-90718C636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84303"/>
        <c:axId val="846392015"/>
      </c:scatterChart>
      <c:valAx>
        <c:axId val="845184303"/>
        <c:scaling>
          <c:logBase val="10"/>
          <c:orientation val="minMax"/>
          <c:max val="5000"/>
          <c:min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Unit Ore</a:t>
                </a:r>
                <a:r>
                  <a:rPr lang="en-AU" sz="1600" baseline="0"/>
                  <a:t> Value (US$/t ore)</a:t>
                </a:r>
                <a:endParaRPr lang="en-AU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CN"/>
            </a:p>
          </c:txPr>
        </c:title>
        <c:numFmt formatCode="#,##0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CN"/>
          </a:p>
        </c:txPr>
        <c:crossAx val="846392015"/>
        <c:crossesAt val="0.1"/>
        <c:crossBetween val="midCat"/>
      </c:valAx>
      <c:valAx>
        <c:axId val="846392015"/>
        <c:scaling>
          <c:logBase val="10"/>
          <c:orientation val="minMax"/>
          <c:max val="16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Contained Nickel (Mt Ni)</a:t>
                </a:r>
              </a:p>
            </c:rich>
          </c:tx>
          <c:layout>
            <c:manualLayout>
              <c:xMode val="edge"/>
              <c:yMode val="edge"/>
              <c:x val="3.2836773745035549E-3"/>
              <c:y val="0.240334809643321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CN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CN"/>
          </a:p>
        </c:txPr>
        <c:crossAx val="845184303"/>
        <c:crossesAt val="1.0000000000000002E-2"/>
        <c:crossBetween val="midCat"/>
        <c:dispUnits>
          <c:builtInUnit val="thousands"/>
        </c:dispUnits>
      </c:valAx>
      <c:spPr>
        <a:noFill/>
        <a:ln w="25400"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9.9213474735516213E-2"/>
          <c:y val="8.3685937220720832E-3"/>
          <c:w val="0.87259822209067806"/>
          <c:h val="0.209756824810574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CN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835836780628156E-2"/>
          <c:y val="0.24478136637060843"/>
          <c:w val="0.8840458148923136"/>
          <c:h val="0.65647285190307247"/>
        </c:manualLayout>
      </c:layout>
      <c:scatterChart>
        <c:scatterStyle val="lineMarker"/>
        <c:varyColors val="0"/>
        <c:ser>
          <c:idx val="0"/>
          <c:order val="0"/>
          <c:tx>
            <c:v>Hydrothermal: IOCG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$Values'!$HA$6:$HA$14</c:f>
              <c:numCache>
                <c:formatCode>General</c:formatCode>
                <c:ptCount val="9"/>
              </c:numCache>
            </c:numRef>
          </c:xVal>
          <c:yVal>
            <c:numRef>
              <c:f>'Ni $Values'!$GY$6:$GY$14</c:f>
              <c:numCache>
                <c:formatCode>General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BE-4D08-B433-311C8B0E33BF}"/>
            </c:ext>
          </c:extLst>
        </c:ser>
        <c:ser>
          <c:idx val="1"/>
          <c:order val="1"/>
          <c:tx>
            <c:v>Hydrothermal: Fe-Ni Alloy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$Values'!$HA$5</c:f>
              <c:numCache>
                <c:formatCode>General</c:formatCode>
                <c:ptCount val="1"/>
              </c:numCache>
            </c:numRef>
          </c:xVal>
          <c:yVal>
            <c:numRef>
              <c:f>'Ni $Values'!$GY$5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BE-4D08-B433-311C8B0E33BF}"/>
            </c:ext>
          </c:extLst>
        </c:ser>
        <c:ser>
          <c:idx val="11"/>
          <c:order val="2"/>
          <c:tx>
            <c:v>MagS: Archean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$Values'!$HA$286:$HA$356</c:f>
              <c:numCache>
                <c:formatCode>0.0</c:formatCode>
                <c:ptCount val="71"/>
                <c:pt idx="0">
                  <c:v>159.14775714285716</c:v>
                </c:pt>
                <c:pt idx="1">
                  <c:v>71.102193461710684</c:v>
                </c:pt>
                <c:pt idx="2">
                  <c:v>262.28000000000003</c:v>
                </c:pt>
                <c:pt idx="3">
                  <c:v>79.506839215686256</c:v>
                </c:pt>
                <c:pt idx="11">
                  <c:v>363.01032159436619</c:v>
                </c:pt>
                <c:pt idx="12">
                  <c:v>300.42080843076928</c:v>
                </c:pt>
                <c:pt idx="14">
                  <c:v>523.25304888493417</c:v>
                </c:pt>
                <c:pt idx="15">
                  <c:v>187.06570697012802</c:v>
                </c:pt>
                <c:pt idx="17">
                  <c:v>526.75127191848719</c:v>
                </c:pt>
                <c:pt idx="20">
                  <c:v>191.268878</c:v>
                </c:pt>
                <c:pt idx="33">
                  <c:v>385.55160000000001</c:v>
                </c:pt>
                <c:pt idx="48">
                  <c:v>44.233140204258859</c:v>
                </c:pt>
                <c:pt idx="54">
                  <c:v>91.798000000000002</c:v>
                </c:pt>
                <c:pt idx="55">
                  <c:v>137.27819969218928</c:v>
                </c:pt>
                <c:pt idx="59">
                  <c:v>120.32321428713692</c:v>
                </c:pt>
              </c:numCache>
            </c:numRef>
          </c:xVal>
          <c:yVal>
            <c:numRef>
              <c:f>'Ni $Values'!$GY$286:$GY$356</c:f>
              <c:numCache>
                <c:formatCode>0.0</c:formatCode>
                <c:ptCount val="71"/>
                <c:pt idx="0">
                  <c:v>135.92000000000002</c:v>
                </c:pt>
                <c:pt idx="1">
                  <c:v>121.07</c:v>
                </c:pt>
                <c:pt idx="2">
                  <c:v>11</c:v>
                </c:pt>
                <c:pt idx="3">
                  <c:v>927.59999999999991</c:v>
                </c:pt>
                <c:pt idx="11">
                  <c:v>28.428000000000008</c:v>
                </c:pt>
                <c:pt idx="12">
                  <c:v>4.2124000000000015</c:v>
                </c:pt>
                <c:pt idx="14">
                  <c:v>71.744799999999998</c:v>
                </c:pt>
                <c:pt idx="15">
                  <c:v>30.083999999999996</c:v>
                </c:pt>
                <c:pt idx="17">
                  <c:v>29.234400000000001</c:v>
                </c:pt>
                <c:pt idx="20">
                  <c:v>24.674400000000002</c:v>
                </c:pt>
                <c:pt idx="33">
                  <c:v>1.1446889999999998</c:v>
                </c:pt>
                <c:pt idx="48" formatCode="#,##0">
                  <c:v>2787.1228000000001</c:v>
                </c:pt>
                <c:pt idx="54">
                  <c:v>6.1040000000000001</c:v>
                </c:pt>
                <c:pt idx="55">
                  <c:v>2.7206500000000005</c:v>
                </c:pt>
                <c:pt idx="59">
                  <c:v>18.404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BE-4D08-B433-311C8B0E33BF}"/>
            </c:ext>
          </c:extLst>
        </c:ser>
        <c:ser>
          <c:idx val="3"/>
          <c:order val="3"/>
          <c:tx>
            <c:v>Hydrothermal: Sediment-hosted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$Values'!$HA$20:$HA$26</c:f>
              <c:numCache>
                <c:formatCode>General</c:formatCode>
                <c:ptCount val="7"/>
                <c:pt idx="5" formatCode="0.0">
                  <c:v>127.31693559322036</c:v>
                </c:pt>
              </c:numCache>
            </c:numRef>
          </c:xVal>
          <c:yVal>
            <c:numRef>
              <c:f>'Ni $Values'!$GY$20:$GY$25</c:f>
              <c:numCache>
                <c:formatCode>General</c:formatCode>
                <c:ptCount val="6"/>
                <c:pt idx="5" formatCode="0.0">
                  <c:v>343.68000000000006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BE-4D08-B433-311C8B0E33BF}"/>
            </c:ext>
          </c:extLst>
        </c:ser>
        <c:ser>
          <c:idx val="4"/>
          <c:order val="4"/>
          <c:tx>
            <c:v>Hydrothermal: Shale-hosted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$Values'!$HA$27:$HA$29</c:f>
              <c:numCache>
                <c:formatCode>General</c:formatCode>
                <c:ptCount val="3"/>
              </c:numCache>
            </c:numRef>
          </c:xVal>
          <c:yVal>
            <c:numRef>
              <c:f>'Ni $Values'!$GY$27:$GY$29</c:f>
              <c:numCache>
                <c:formatCode>General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BE-4D08-B433-311C8B0E33BF}"/>
            </c:ext>
          </c:extLst>
        </c:ser>
        <c:ser>
          <c:idx val="12"/>
          <c:order val="5"/>
          <c:tx>
            <c:v>MagS: Impact 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0000">
                  <a:alpha val="96000"/>
                </a:srgb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$Values'!$HA$357:$HA$370</c:f>
              <c:numCache>
                <c:formatCode>0.0</c:formatCode>
                <c:ptCount val="14"/>
                <c:pt idx="0">
                  <c:v>369.44286550999072</c:v>
                </c:pt>
                <c:pt idx="1">
                  <c:v>422.86277773220274</c:v>
                </c:pt>
                <c:pt idx="2">
                  <c:v>428.38530154561818</c:v>
                </c:pt>
              </c:numCache>
            </c:numRef>
          </c:xVal>
          <c:yVal>
            <c:numRef>
              <c:f>'Ni $Values'!$GY$357:$GY$370</c:f>
              <c:numCache>
                <c:formatCode>0.0</c:formatCode>
                <c:ptCount val="14"/>
                <c:pt idx="0">
                  <c:v>381.94200000000006</c:v>
                </c:pt>
                <c:pt idx="1">
                  <c:v>863.00999999999988</c:v>
                </c:pt>
                <c:pt idx="2">
                  <c:v>15.993149400000004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BE-4D08-B433-311C8B0E33BF}"/>
            </c:ext>
          </c:extLst>
        </c:ser>
        <c:ser>
          <c:idx val="5"/>
          <c:order val="6"/>
          <c:tx>
            <c:v>Hydrothermal: Unconformity Uranium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$Values'!$HA$30:$HA$33</c:f>
              <c:numCache>
                <c:formatCode>General</c:formatCode>
                <c:ptCount val="4"/>
              </c:numCache>
            </c:numRef>
          </c:xVal>
          <c:yVal>
            <c:numRef>
              <c:f>'Ni $Values'!$GY$30:$GY$33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BE-4D08-B433-311C8B0E33BF}"/>
            </c:ext>
          </c:extLst>
        </c:ser>
        <c:ser>
          <c:idx val="9"/>
          <c:order val="7"/>
          <c:tx>
            <c:v>Laterite: Hydrous Mg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$Values'!$HA$93:$HA$148</c:f>
              <c:numCache>
                <c:formatCode>General</c:formatCode>
                <c:ptCount val="56"/>
                <c:pt idx="0" formatCode="0.0">
                  <c:v>171.80600961538462</c:v>
                </c:pt>
                <c:pt idx="3" formatCode="0.0">
                  <c:v>165.2364</c:v>
                </c:pt>
                <c:pt idx="6" formatCode="0.0">
                  <c:v>200.55892442882248</c:v>
                </c:pt>
                <c:pt idx="9" formatCode="0.0">
                  <c:v>171.73446067415733</c:v>
                </c:pt>
                <c:pt idx="10" formatCode="0.0">
                  <c:v>228.82072652360517</c:v>
                </c:pt>
                <c:pt idx="11" formatCode="0.0">
                  <c:v>291.07746555023925</c:v>
                </c:pt>
                <c:pt idx="12" formatCode="0.0">
                  <c:v>331.87090413223143</c:v>
                </c:pt>
                <c:pt idx="15" formatCode="0.0">
                  <c:v>190.22939486139285</c:v>
                </c:pt>
                <c:pt idx="19" formatCode="0.0">
                  <c:v>184.63143464608837</c:v>
                </c:pt>
                <c:pt idx="23" formatCode="0.0">
                  <c:v>279.54603201936061</c:v>
                </c:pt>
                <c:pt idx="24" formatCode="0.0">
                  <c:v>255.51809438502593</c:v>
                </c:pt>
                <c:pt idx="25" formatCode="0.0">
                  <c:v>270.97556985284416</c:v>
                </c:pt>
                <c:pt idx="26" formatCode="0.0">
                  <c:v>293.04772735379288</c:v>
                </c:pt>
              </c:numCache>
            </c:numRef>
          </c:xVal>
          <c:yVal>
            <c:numRef>
              <c:f>'Ni $Values'!$GY$93:$GY$148</c:f>
              <c:numCache>
                <c:formatCode>General</c:formatCode>
                <c:ptCount val="56"/>
                <c:pt idx="0" formatCode="0.0">
                  <c:v>681.25</c:v>
                </c:pt>
                <c:pt idx="3" formatCode="0.0">
                  <c:v>104.58</c:v>
                </c:pt>
                <c:pt idx="6" formatCode="#,##0">
                  <c:v>1740.4</c:v>
                </c:pt>
                <c:pt idx="9" formatCode="0.0">
                  <c:v>932.40000000000009</c:v>
                </c:pt>
                <c:pt idx="10" formatCode="#,##0">
                  <c:v>2032.76</c:v>
                </c:pt>
                <c:pt idx="11" formatCode="0.0">
                  <c:v>927.79000000000019</c:v>
                </c:pt>
                <c:pt idx="12" formatCode="0.0">
                  <c:v>918.63</c:v>
                </c:pt>
                <c:pt idx="15" formatCode="0.0">
                  <c:v>36.087999999999994</c:v>
                </c:pt>
                <c:pt idx="19" formatCode="0.0">
                  <c:v>586.59120000000007</c:v>
                </c:pt>
                <c:pt idx="23" formatCode="#,##0">
                  <c:v>2512.538</c:v>
                </c:pt>
                <c:pt idx="24" formatCode="0.0">
                  <c:v>876.56799999999998</c:v>
                </c:pt>
                <c:pt idx="25" formatCode="0.0">
                  <c:v>339.91300000000001</c:v>
                </c:pt>
                <c:pt idx="26" formatCode="0.0">
                  <c:v>545.70100000000002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BE-4D08-B433-311C8B0E33BF}"/>
            </c:ext>
          </c:extLst>
        </c:ser>
        <c:ser>
          <c:idx val="13"/>
          <c:order val="8"/>
          <c:tx>
            <c:v>MagS: Layered Intrusive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chemeClr val="bg1">
                  <a:lumMod val="75000"/>
                </a:schemeClr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$Values'!$HA$371:$HA$482</c:f>
              <c:numCache>
                <c:formatCode>General</c:formatCode>
                <c:ptCount val="112"/>
                <c:pt idx="0" formatCode="0.0">
                  <c:v>107.2325817790329</c:v>
                </c:pt>
                <c:pt idx="4" formatCode="0.0">
                  <c:v>60.05592565054549</c:v>
                </c:pt>
                <c:pt idx="5" formatCode="0.0">
                  <c:v>168.7473527126424</c:v>
                </c:pt>
                <c:pt idx="7" formatCode="0.0">
                  <c:v>147.20521950949578</c:v>
                </c:pt>
                <c:pt idx="8" formatCode="0.0">
                  <c:v>111.9556140165821</c:v>
                </c:pt>
                <c:pt idx="9" formatCode="0.0">
                  <c:v>132.1248715794749</c:v>
                </c:pt>
                <c:pt idx="19" formatCode="0.0">
                  <c:v>225.13142659974582</c:v>
                </c:pt>
                <c:pt idx="20" formatCode="0.0">
                  <c:v>239.2067179299064</c:v>
                </c:pt>
                <c:pt idx="21" formatCode="0.0">
                  <c:v>164.93556226427373</c:v>
                </c:pt>
                <c:pt idx="25" formatCode="0.0">
                  <c:v>154.34618741615327</c:v>
                </c:pt>
                <c:pt idx="27" formatCode="0.0">
                  <c:v>101.61109630678649</c:v>
                </c:pt>
                <c:pt idx="33" formatCode="0.0">
                  <c:v>169.90704309040953</c:v>
                </c:pt>
                <c:pt idx="36" formatCode="0.0">
                  <c:v>167.97449424476872</c:v>
                </c:pt>
                <c:pt idx="40" formatCode="0.0">
                  <c:v>178.9891150451447</c:v>
                </c:pt>
                <c:pt idx="41" formatCode="0.0">
                  <c:v>154.15753847149364</c:v>
                </c:pt>
                <c:pt idx="42" formatCode="0.0">
                  <c:v>165.90254591721546</c:v>
                </c:pt>
                <c:pt idx="44" formatCode="0.0">
                  <c:v>164.16554317678543</c:v>
                </c:pt>
                <c:pt idx="47" formatCode="0.0">
                  <c:v>169.59294131446944</c:v>
                </c:pt>
                <c:pt idx="48" formatCode="0.0">
                  <c:v>159.65813742557725</c:v>
                </c:pt>
                <c:pt idx="49" formatCode="0.0">
                  <c:v>124.99580865440512</c:v>
                </c:pt>
                <c:pt idx="53" formatCode="0.0">
                  <c:v>116.11045713324759</c:v>
                </c:pt>
                <c:pt idx="54" formatCode="0.0">
                  <c:v>212.85149820796667</c:v>
                </c:pt>
                <c:pt idx="55" formatCode="0.0">
                  <c:v>162.60940941471648</c:v>
                </c:pt>
                <c:pt idx="56" formatCode="0.0">
                  <c:v>100.2496709741895</c:v>
                </c:pt>
                <c:pt idx="57" formatCode="0.0">
                  <c:v>174.34684837656354</c:v>
                </c:pt>
                <c:pt idx="62" formatCode="0.0">
                  <c:v>117.98374591383578</c:v>
                </c:pt>
                <c:pt idx="63" formatCode="0.0">
                  <c:v>167.23044531904878</c:v>
                </c:pt>
                <c:pt idx="65" formatCode="0.0">
                  <c:v>213.70278311005853</c:v>
                </c:pt>
                <c:pt idx="67" formatCode="0.0">
                  <c:v>200.29700893633444</c:v>
                </c:pt>
                <c:pt idx="72" formatCode="0.0">
                  <c:v>102.93776446586342</c:v>
                </c:pt>
                <c:pt idx="73" formatCode="0.0">
                  <c:v>591.37811624664289</c:v>
                </c:pt>
                <c:pt idx="74" formatCode="0.0">
                  <c:v>147.10474144776515</c:v>
                </c:pt>
                <c:pt idx="75" formatCode="0.0">
                  <c:v>180.47460414194674</c:v>
                </c:pt>
                <c:pt idx="76" formatCode="0.0">
                  <c:v>126.09876013661061</c:v>
                </c:pt>
                <c:pt idx="82" formatCode="0.0">
                  <c:v>304.72597973326833</c:v>
                </c:pt>
                <c:pt idx="93" formatCode="0.0">
                  <c:v>253.33877491704175</c:v>
                </c:pt>
                <c:pt idx="94" formatCode="0.0">
                  <c:v>142.08388740064308</c:v>
                </c:pt>
              </c:numCache>
            </c:numRef>
          </c:xVal>
          <c:yVal>
            <c:numRef>
              <c:f>'Ni $Values'!$GY$371:$GY$482</c:f>
              <c:numCache>
                <c:formatCode>General</c:formatCode>
                <c:ptCount val="112"/>
                <c:pt idx="0" formatCode="0.0">
                  <c:v>26.716700000000007</c:v>
                </c:pt>
                <c:pt idx="4" formatCode="0.0">
                  <c:v>187.00407370517928</c:v>
                </c:pt>
                <c:pt idx="5" formatCode="0.0">
                  <c:v>228.13800000000003</c:v>
                </c:pt>
                <c:pt idx="7" formatCode="0.0">
                  <c:v>163.2741</c:v>
                </c:pt>
                <c:pt idx="8" formatCode="0.0">
                  <c:v>17.82</c:v>
                </c:pt>
                <c:pt idx="9" formatCode="#,##0.0">
                  <c:v>2280.5700000000002</c:v>
                </c:pt>
                <c:pt idx="19" formatCode="0.0">
                  <c:v>89.07</c:v>
                </c:pt>
                <c:pt idx="20" formatCode="0.0">
                  <c:v>48.719999999999992</c:v>
                </c:pt>
                <c:pt idx="21" formatCode="0.0">
                  <c:v>95.646924467216337</c:v>
                </c:pt>
                <c:pt idx="25" formatCode="0.0">
                  <c:v>27.1170578125056</c:v>
                </c:pt>
                <c:pt idx="27" formatCode="0.0">
                  <c:v>8.8985000000000003</c:v>
                </c:pt>
                <c:pt idx="33" formatCode="0.0">
                  <c:v>72.390000000000015</c:v>
                </c:pt>
                <c:pt idx="36" formatCode="0.0">
                  <c:v>8</c:v>
                </c:pt>
                <c:pt idx="40" formatCode="0.0">
                  <c:v>4.2750000000000004</c:v>
                </c:pt>
                <c:pt idx="41" formatCode="0.0">
                  <c:v>5.1230838245975612</c:v>
                </c:pt>
                <c:pt idx="42" formatCode="0.0">
                  <c:v>395.36681225312009</c:v>
                </c:pt>
                <c:pt idx="44" formatCode="0.0">
                  <c:v>10.87</c:v>
                </c:pt>
                <c:pt idx="47" formatCode="0.0">
                  <c:v>61.88</c:v>
                </c:pt>
                <c:pt idx="48" formatCode="0.0">
                  <c:v>13.375875148966491</c:v>
                </c:pt>
                <c:pt idx="49" formatCode="0.0">
                  <c:v>35.28</c:v>
                </c:pt>
                <c:pt idx="53" formatCode="0.0">
                  <c:v>4.2330000000000005</c:v>
                </c:pt>
                <c:pt idx="54" formatCode="0.0">
                  <c:v>370.13348122866887</c:v>
                </c:pt>
                <c:pt idx="55" formatCode="0.0">
                  <c:v>18.067650273224043</c:v>
                </c:pt>
                <c:pt idx="56" formatCode="0.0">
                  <c:v>23.267278620471124</c:v>
                </c:pt>
                <c:pt idx="57" formatCode="0.0">
                  <c:v>3.2473758602730154</c:v>
                </c:pt>
                <c:pt idx="62" formatCode="0.0">
                  <c:v>28.388000000000002</c:v>
                </c:pt>
                <c:pt idx="63" formatCode="0.0">
                  <c:v>50.72941176470588</c:v>
                </c:pt>
                <c:pt idx="65" formatCode="0.0">
                  <c:v>125.92739999999998</c:v>
                </c:pt>
                <c:pt idx="67" formatCode="0.0">
                  <c:v>423.98</c:v>
                </c:pt>
                <c:pt idx="72" formatCode="0.0">
                  <c:v>261.77100000000002</c:v>
                </c:pt>
                <c:pt idx="73" formatCode="0.0">
                  <c:v>46.85469491214397</c:v>
                </c:pt>
                <c:pt idx="74" formatCode="0.0">
                  <c:v>115.28</c:v>
                </c:pt>
                <c:pt idx="75" formatCode="0.0">
                  <c:v>23.100000000000005</c:v>
                </c:pt>
                <c:pt idx="76" formatCode="0.0">
                  <c:v>226.3</c:v>
                </c:pt>
                <c:pt idx="82" formatCode="0.0">
                  <c:v>100.56310000000002</c:v>
                </c:pt>
                <c:pt idx="93" formatCode="0.0">
                  <c:v>2.5369000000000006</c:v>
                </c:pt>
                <c:pt idx="94" formatCode="0.0">
                  <c:v>15.255599999999999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BE-4D08-B433-311C8B0E33BF}"/>
            </c:ext>
          </c:extLst>
        </c:ser>
        <c:ser>
          <c:idx val="6"/>
          <c:order val="9"/>
          <c:tx>
            <c:v>Hydrothermal: VMS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$Values'!$HA$34:$HA$46</c:f>
              <c:numCache>
                <c:formatCode>General</c:formatCode>
                <c:ptCount val="13"/>
                <c:pt idx="0" formatCode="0.0">
                  <c:v>246.15127892048687</c:v>
                </c:pt>
              </c:numCache>
            </c:numRef>
          </c:xVal>
          <c:yVal>
            <c:numRef>
              <c:f>'Ni $Values'!$GY$34:$GY$46</c:f>
              <c:numCache>
                <c:formatCode>General</c:formatCode>
                <c:ptCount val="13"/>
                <c:pt idx="0" formatCode="0.0">
                  <c:v>3.1856999999999998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BE-4D08-B433-311C8B0E33BF}"/>
            </c:ext>
          </c:extLst>
        </c:ser>
        <c:ser>
          <c:idx val="8"/>
          <c:order val="10"/>
          <c:tx>
            <c:v>Laterite: Clay Silicates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8000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$Values'!$HA$52:$HA$92</c:f>
              <c:numCache>
                <c:formatCode>0.0</c:formatCode>
                <c:ptCount val="41"/>
                <c:pt idx="1">
                  <c:v>196.71608795007873</c:v>
                </c:pt>
                <c:pt idx="4">
                  <c:v>162.90911439999999</c:v>
                </c:pt>
                <c:pt idx="5">
                  <c:v>169.46611439999995</c:v>
                </c:pt>
                <c:pt idx="6">
                  <c:v>150.40156200000001</c:v>
                </c:pt>
                <c:pt idx="19">
                  <c:v>162.30337634408599</c:v>
                </c:pt>
              </c:numCache>
            </c:numRef>
          </c:xVal>
          <c:yVal>
            <c:numRef>
              <c:f>'Ni $Values'!$GY$52:$GY$92</c:f>
              <c:numCache>
                <c:formatCode>#,##0</c:formatCode>
                <c:ptCount val="41"/>
                <c:pt idx="1">
                  <c:v>1066.8</c:v>
                </c:pt>
                <c:pt idx="4" formatCode="0.0">
                  <c:v>42.77</c:v>
                </c:pt>
                <c:pt idx="5" formatCode="0.0">
                  <c:v>267.83999999999997</c:v>
                </c:pt>
                <c:pt idx="6" formatCode="0.0">
                  <c:v>280.14000000000004</c:v>
                </c:pt>
                <c:pt idx="19" formatCode="0.0">
                  <c:v>460.4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BE-4D08-B433-311C8B0E33BF}"/>
            </c:ext>
          </c:extLst>
        </c:ser>
        <c:ser>
          <c:idx val="14"/>
          <c:order val="11"/>
          <c:tx>
            <c:v>MagS: Proterozoic Komatiite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$Values'!$HA$483:$HA$502</c:f>
              <c:numCache>
                <c:formatCode>General</c:formatCode>
                <c:ptCount val="20"/>
                <c:pt idx="0" formatCode="0.0">
                  <c:v>111.28010035528689</c:v>
                </c:pt>
                <c:pt idx="2" formatCode="0.0">
                  <c:v>258.87547357761224</c:v>
                </c:pt>
                <c:pt idx="3" formatCode="0.0">
                  <c:v>342.65412397217386</c:v>
                </c:pt>
                <c:pt idx="14" formatCode="0.0">
                  <c:v>229.87484990487394</c:v>
                </c:pt>
                <c:pt idx="15" formatCode="0.0">
                  <c:v>549.23787582901082</c:v>
                </c:pt>
              </c:numCache>
            </c:numRef>
          </c:xVal>
          <c:yVal>
            <c:numRef>
              <c:f>'Ni $Values'!$GY$483:$GY$502</c:f>
              <c:numCache>
                <c:formatCode>General</c:formatCode>
                <c:ptCount val="20"/>
                <c:pt idx="0" formatCode="0.0">
                  <c:v>579.7399999999999</c:v>
                </c:pt>
                <c:pt idx="2" formatCode="0.0">
                  <c:v>266.07589999999999</c:v>
                </c:pt>
                <c:pt idx="3" formatCode="0.0">
                  <c:v>214.27999999999997</c:v>
                </c:pt>
                <c:pt idx="14" formatCode="0.0">
                  <c:v>37.522399999999998</c:v>
                </c:pt>
                <c:pt idx="15" formatCode="0.0">
                  <c:v>314.25099999999998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BE-4D08-B433-311C8B0E33BF}"/>
            </c:ext>
          </c:extLst>
        </c:ser>
        <c:ser>
          <c:idx val="2"/>
          <c:order val="12"/>
          <c:tx>
            <c:v>Hydrothermal: Mn Nodules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00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$Values'!$HA$15:$HA$19</c:f>
              <c:numCache>
                <c:formatCode>General</c:formatCode>
                <c:ptCount val="5"/>
              </c:numCache>
            </c:numRef>
          </c:xVal>
          <c:yVal>
            <c:numRef>
              <c:f>'Ni $Values'!$GY$15:$GY$19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BE-4D08-B433-311C8B0E33BF}"/>
            </c:ext>
          </c:extLst>
        </c:ser>
        <c:ser>
          <c:idx val="10"/>
          <c:order val="13"/>
          <c:tx>
            <c:v>Laterite: Oxides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$Values'!$HA$149:$HA$285</c:f>
              <c:numCache>
                <c:formatCode>General</c:formatCode>
                <c:ptCount val="137"/>
                <c:pt idx="4" formatCode="0.0">
                  <c:v>100.56694868073023</c:v>
                </c:pt>
                <c:pt idx="5" formatCode="0.0">
                  <c:v>172.79386680000002</c:v>
                </c:pt>
                <c:pt idx="7" formatCode="0.0">
                  <c:v>114.28880959999999</c:v>
                </c:pt>
                <c:pt idx="15" formatCode="0.0">
                  <c:v>277.60844177894734</c:v>
                </c:pt>
                <c:pt idx="19" formatCode="0.0">
                  <c:v>189.83556208321616</c:v>
                </c:pt>
                <c:pt idx="20" formatCode="0.0">
                  <c:v>196.73208375966684</c:v>
                </c:pt>
                <c:pt idx="41" formatCode="0.0">
                  <c:v>275.36316239999996</c:v>
                </c:pt>
                <c:pt idx="55" formatCode="0.0">
                  <c:v>157.21236685535956</c:v>
                </c:pt>
                <c:pt idx="59" formatCode="0.0">
                  <c:v>280.23360446666669</c:v>
                </c:pt>
                <c:pt idx="60" formatCode="0.0">
                  <c:v>293.75747691647058</c:v>
                </c:pt>
                <c:pt idx="61" formatCode="0.0">
                  <c:v>301.96453659797982</c:v>
                </c:pt>
                <c:pt idx="66" formatCode="0.0">
                  <c:v>180.48492647868849</c:v>
                </c:pt>
                <c:pt idx="68" formatCode="0.0">
                  <c:v>188.92041208329547</c:v>
                </c:pt>
                <c:pt idx="69" formatCode="0.0">
                  <c:v>214.96699352272086</c:v>
                </c:pt>
                <c:pt idx="71" formatCode="0.0">
                  <c:v>168.15471439999999</c:v>
                </c:pt>
                <c:pt idx="74" formatCode="0.0">
                  <c:v>203.5676292631579</c:v>
                </c:pt>
                <c:pt idx="80" formatCode="0.0">
                  <c:v>379.35700443419609</c:v>
                </c:pt>
                <c:pt idx="81" formatCode="0.0">
                  <c:v>550.98613569699216</c:v>
                </c:pt>
                <c:pt idx="83" formatCode="0.0">
                  <c:v>353.3866694186666</c:v>
                </c:pt>
                <c:pt idx="84" formatCode="0.0">
                  <c:v>365.71213617205086</c:v>
                </c:pt>
              </c:numCache>
            </c:numRef>
          </c:xVal>
          <c:yVal>
            <c:numRef>
              <c:f>'Ni $Values'!$GY$149:$GY$285</c:f>
              <c:numCache>
                <c:formatCode>General</c:formatCode>
                <c:ptCount val="137"/>
                <c:pt idx="4" formatCode="#,##0">
                  <c:v>1184.6600000000001</c:v>
                </c:pt>
                <c:pt idx="5" formatCode="#,##0">
                  <c:v>1566.1200000000003</c:v>
                </c:pt>
                <c:pt idx="7" formatCode="0.0">
                  <c:v>24.420500000000001</c:v>
                </c:pt>
                <c:pt idx="15" formatCode="0.0">
                  <c:v>5.1869999999999994</c:v>
                </c:pt>
                <c:pt idx="19" formatCode="0.0">
                  <c:v>444.35306629999997</c:v>
                </c:pt>
                <c:pt idx="20" formatCode="0.0">
                  <c:v>338.51849999999996</c:v>
                </c:pt>
                <c:pt idx="41" formatCode="0.0">
                  <c:v>449.6712</c:v>
                </c:pt>
                <c:pt idx="55" formatCode="0.0">
                  <c:v>827.06</c:v>
                </c:pt>
                <c:pt idx="59" formatCode="0.0">
                  <c:v>105.88</c:v>
                </c:pt>
                <c:pt idx="60" formatCode="0.0">
                  <c:v>400.4199999999999</c:v>
                </c:pt>
                <c:pt idx="61" formatCode="0.0">
                  <c:v>116.17</c:v>
                </c:pt>
                <c:pt idx="66" formatCode="#,##0">
                  <c:v>1423.24</c:v>
                </c:pt>
                <c:pt idx="68" formatCode="#,##0">
                  <c:v>1320.9518000000003</c:v>
                </c:pt>
                <c:pt idx="69" formatCode="0.0">
                  <c:v>486.10149999999993</c:v>
                </c:pt>
                <c:pt idx="71" formatCode="#,##0">
                  <c:v>1199.5650000000001</c:v>
                </c:pt>
                <c:pt idx="74" formatCode="0.0">
                  <c:v>512.99999999999989</c:v>
                </c:pt>
                <c:pt idx="80" formatCode="0.0">
                  <c:v>214.41100000000003</c:v>
                </c:pt>
                <c:pt idx="81" formatCode="0.0">
                  <c:v>888.5379999999999</c:v>
                </c:pt>
                <c:pt idx="83" formatCode="0.0">
                  <c:v>24.154</c:v>
                </c:pt>
                <c:pt idx="84" formatCode="0.0">
                  <c:v>85.679000000000002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BE-4D08-B433-311C8B0E33BF}"/>
            </c:ext>
          </c:extLst>
        </c:ser>
        <c:ser>
          <c:idx val="15"/>
          <c:order val="14"/>
          <c:tx>
            <c:v>MagS: Small M-UM Intrusion-related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$Values'!$HA$503:$HA$619</c:f>
              <c:numCache>
                <c:formatCode>General</c:formatCode>
                <c:ptCount val="117"/>
                <c:pt idx="3" formatCode="0.0">
                  <c:v>48.92703530927924</c:v>
                </c:pt>
                <c:pt idx="10" formatCode="0.0">
                  <c:v>445.21614380435</c:v>
                </c:pt>
                <c:pt idx="11" formatCode="0.0">
                  <c:v>109.36492478713826</c:v>
                </c:pt>
                <c:pt idx="15" formatCode="0.0">
                  <c:v>430.13199539999999</c:v>
                </c:pt>
                <c:pt idx="27" formatCode="0.0">
                  <c:v>406.81043320245158</c:v>
                </c:pt>
                <c:pt idx="37" formatCode="0.0">
                  <c:v>84.488009599999998</c:v>
                </c:pt>
                <c:pt idx="38" formatCode="0.0">
                  <c:v>146.56296</c:v>
                </c:pt>
                <c:pt idx="40" formatCode="0.0">
                  <c:v>92.879288984870342</c:v>
                </c:pt>
                <c:pt idx="51" formatCode="0.0">
                  <c:v>152.90194749190923</c:v>
                </c:pt>
                <c:pt idx="57" formatCode="0.0">
                  <c:v>608.08589565484738</c:v>
                </c:pt>
                <c:pt idx="98" formatCode="0.0">
                  <c:v>1000.4863654019292</c:v>
                </c:pt>
              </c:numCache>
            </c:numRef>
          </c:xVal>
          <c:yVal>
            <c:numRef>
              <c:f>'Ni $Values'!$GY$503:$GY$619</c:f>
              <c:numCache>
                <c:formatCode>General</c:formatCode>
                <c:ptCount val="117"/>
                <c:pt idx="3" formatCode="0.0">
                  <c:v>213.59282999999996</c:v>
                </c:pt>
                <c:pt idx="10" formatCode="#,##0">
                  <c:v>6148.2016999999996</c:v>
                </c:pt>
                <c:pt idx="11" formatCode="0.0">
                  <c:v>39.032400000000003</c:v>
                </c:pt>
                <c:pt idx="15" formatCode="0.0">
                  <c:v>657.2</c:v>
                </c:pt>
                <c:pt idx="27" formatCode="0.0">
                  <c:v>187.29739999999998</c:v>
                </c:pt>
                <c:pt idx="37" formatCode="0.0">
                  <c:v>145.81757119999997</c:v>
                </c:pt>
                <c:pt idx="38" formatCode="0.0">
                  <c:v>120.738614</c:v>
                </c:pt>
                <c:pt idx="40" formatCode="0.0">
                  <c:v>7.6770999999999994</c:v>
                </c:pt>
                <c:pt idx="51" formatCode="0.0">
                  <c:v>22.5</c:v>
                </c:pt>
                <c:pt idx="57" formatCode="0.0">
                  <c:v>107.22</c:v>
                </c:pt>
                <c:pt idx="98" formatCode="0.0">
                  <c:v>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BE-4D08-B433-311C8B0E33BF}"/>
            </c:ext>
          </c:extLst>
        </c:ser>
        <c:ser>
          <c:idx val="7"/>
          <c:order val="15"/>
          <c:tx>
            <c:v>Hydrothermal: Various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FF00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$Values'!$HA$47:$HA$51</c:f>
              <c:numCache>
                <c:formatCode>0.0</c:formatCode>
                <c:ptCount val="5"/>
                <c:pt idx="1">
                  <c:v>130.41391505414646</c:v>
                </c:pt>
              </c:numCache>
            </c:numRef>
          </c:xVal>
          <c:yVal>
            <c:numRef>
              <c:f>'Ni $Values'!$GY$47:$GY$51</c:f>
              <c:numCache>
                <c:formatCode>0.0</c:formatCode>
                <c:ptCount val="5"/>
                <c:pt idx="1">
                  <c:v>664.82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BE-4D08-B433-311C8B0E33BF}"/>
            </c:ext>
          </c:extLst>
        </c:ser>
        <c:ser>
          <c:idx val="17"/>
          <c:order val="16"/>
          <c:tx>
            <c:v>Tailings</c:v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25400">
                <a:solidFill>
                  <a:srgbClr val="FF0000"/>
                </a:solidFill>
              </a:ln>
              <a:effectLst/>
            </c:spPr>
          </c:marker>
          <c:xVal>
            <c:numRef>
              <c:f>'Ni $Values'!$HA$627:$HA$631</c:f>
              <c:numCache>
                <c:formatCode>General</c:formatCode>
                <c:ptCount val="5"/>
              </c:numCache>
            </c:numRef>
          </c:xVal>
          <c:yVal>
            <c:numRef>
              <c:f>'Ni $Values'!$GY$627:$GY$631</c:f>
              <c:numCache>
                <c:formatCode>General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BE-4D08-B433-311C8B0E33BF}"/>
            </c:ext>
          </c:extLst>
        </c:ser>
        <c:ser>
          <c:idx val="16"/>
          <c:order val="17"/>
          <c:tx>
            <c:v>MagS: Various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CCFFCC"/>
              </a:solidFill>
              <a:ln w="6350">
                <a:solidFill>
                  <a:schemeClr val="tx1"/>
                </a:solidFill>
              </a:ln>
              <a:effectLst/>
            </c:spPr>
          </c:marker>
          <c:xVal>
            <c:numRef>
              <c:f>'Ni $Values'!$HA$620:$HA$626</c:f>
              <c:numCache>
                <c:formatCode>General</c:formatCode>
                <c:ptCount val="7"/>
              </c:numCache>
            </c:numRef>
          </c:xVal>
          <c:yVal>
            <c:numRef>
              <c:f>'Ni $Values'!$GY$620:$GY$626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BE-4D08-B433-311C8B0E3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84303"/>
        <c:axId val="846392015"/>
      </c:scatterChart>
      <c:valAx>
        <c:axId val="845184303"/>
        <c:scaling>
          <c:logBase val="10"/>
          <c:orientation val="minMax"/>
          <c:max val="5000"/>
          <c:min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Unit Ore</a:t>
                </a:r>
                <a:r>
                  <a:rPr lang="en-AU" sz="1600" baseline="0"/>
                  <a:t> Value (US$/t ore)</a:t>
                </a:r>
                <a:endParaRPr lang="en-AU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CN"/>
            </a:p>
          </c:txPr>
        </c:title>
        <c:numFmt formatCode="#,##0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CN"/>
          </a:p>
        </c:txPr>
        <c:crossAx val="846392015"/>
        <c:crossesAt val="0.1"/>
        <c:crossBetween val="midCat"/>
      </c:valAx>
      <c:valAx>
        <c:axId val="846392015"/>
        <c:scaling>
          <c:logBase val="10"/>
          <c:orientation val="minMax"/>
          <c:max val="16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600"/>
                  <a:t>Contained Nickel (Mt Ni)</a:t>
                </a:r>
              </a:p>
            </c:rich>
          </c:tx>
          <c:layout>
            <c:manualLayout>
              <c:xMode val="edge"/>
              <c:yMode val="edge"/>
              <c:x val="1.9178086906245049E-3"/>
              <c:y val="0.244519106504357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CN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CN"/>
          </a:p>
        </c:txPr>
        <c:crossAx val="845184303"/>
        <c:crossesAt val="1.0000000000000002E-2"/>
        <c:crossBetween val="midCat"/>
        <c:dispUnits>
          <c:builtInUnit val="thousands"/>
        </c:dispUnits>
      </c:valAx>
      <c:spPr>
        <a:noFill/>
        <a:ln w="25400"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9.9213474735516213E-2"/>
          <c:y val="8.3685937220720832E-3"/>
          <c:w val="0.87259822209067806"/>
          <c:h val="0.209756824810574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CN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18989145323265"/>
          <c:y val="7.3413488426877352E-2"/>
          <c:w val="0.55487823764652433"/>
          <c:h val="0.8069192455416234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00CC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0000CC"/>
                </a:solidFill>
                <a:prstDash val="dash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241952452282786"/>
                  <c:y val="0.313671036840757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rgbClr val="0000CC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CN"/>
                </a:p>
              </c:txPr>
            </c:trendlineLbl>
          </c:trendline>
          <c:xVal>
            <c:numRef>
              <c:f>'Ni Master'!$EH$4:$EH$64</c:f>
            </c:numRef>
          </c:xVal>
          <c:yVal>
            <c:numRef>
              <c:f>'Ni Master'!$EJ$4:$EJ$64</c:f>
            </c:numRef>
          </c:yVal>
          <c:smooth val="0"/>
          <c:extLst>
            <c:ext xmlns:c16="http://schemas.microsoft.com/office/drawing/2014/chart" uri="{C3380CC4-5D6E-409C-BE32-E72D297353CC}">
              <c16:uniqueId val="{00000000-0CED-4834-9FD1-68392714B427}"/>
            </c:ext>
          </c:extLst>
        </c:ser>
        <c:ser>
          <c:idx val="1"/>
          <c:order val="1"/>
          <c:tx>
            <c:v>1v1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xVal>
            <c:numRef>
              <c:f>'Ni Master'!$EJ$55:$EJ$56</c:f>
            </c:numRef>
          </c:xVal>
          <c:yVal>
            <c:numRef>
              <c:f>'Ni Master'!$EK$55:$EK$56</c:f>
            </c:numRef>
          </c:yVal>
          <c:smooth val="0"/>
          <c:extLst>
            <c:ext xmlns:c16="http://schemas.microsoft.com/office/drawing/2014/chart" uri="{C3380CC4-5D6E-409C-BE32-E72D297353CC}">
              <c16:uniqueId val="{00000002-0CED-4834-9FD1-68392714B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271136"/>
        <c:axId val="602959232"/>
      </c:scatterChart>
      <c:valAx>
        <c:axId val="606271136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5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5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2011 Resources - Cumulative Production (Mt Ni)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5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CN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AU"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CN"/>
          </a:p>
        </c:txPr>
        <c:crossAx val="602959232"/>
        <c:crosses val="autoZero"/>
        <c:crossBetween val="midCat"/>
        <c:dispUnits>
          <c:builtInUnit val="thousands"/>
        </c:dispUnits>
      </c:valAx>
      <c:valAx>
        <c:axId val="60295923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5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2018 Resources (Mt Ni)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CN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CN"/>
          </a:p>
        </c:txPr>
        <c:crossAx val="606271136"/>
        <c:crosses val="autoZero"/>
        <c:crossBetween val="midCat"/>
        <c:dispUnits>
          <c:builtInUnit val="thousands"/>
        </c:dispUnits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CN"/>
    </a:p>
  </c:txPr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418989145323265"/>
          <c:y val="7.3413488426877352E-2"/>
          <c:w val="0.55487823764652433"/>
          <c:h val="0.8069192455416234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rgbClr val="800000"/>
              </a:solidFill>
              <a:ln w="12700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800000"/>
                </a:solidFill>
                <a:prstDash val="dash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26156761716787236"/>
                  <c:y val="0.321337031109588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rgbClr val="8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CN"/>
                </a:p>
              </c:txPr>
            </c:trendlineLbl>
          </c:trendline>
          <c:xVal>
            <c:numRef>
              <c:f>'Ni Master'!$EI$4:$EI$64</c:f>
            </c:numRef>
          </c:xVal>
          <c:yVal>
            <c:numRef>
              <c:f>'Ni Master'!$EK$4:$EK$64</c:f>
            </c:numRef>
          </c:yVal>
          <c:smooth val="0"/>
          <c:extLst>
            <c:ext xmlns:c16="http://schemas.microsoft.com/office/drawing/2014/chart" uri="{C3380CC4-5D6E-409C-BE32-E72D297353CC}">
              <c16:uniqueId val="{00000001-B4AB-4509-870A-4ADCF365101C}"/>
            </c:ext>
          </c:extLst>
        </c:ser>
        <c:ser>
          <c:idx val="1"/>
          <c:order val="1"/>
          <c:tx>
            <c:v>1v1</c:v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xVal>
            <c:numRef>
              <c:f>'Ni Master'!$EJ$55:$EJ$56</c:f>
            </c:numRef>
          </c:xVal>
          <c:yVal>
            <c:numRef>
              <c:f>'Ni Master'!$EK$55:$EK$56</c:f>
            </c:numRef>
          </c:yVal>
          <c:smooth val="0"/>
          <c:extLst>
            <c:ext xmlns:c16="http://schemas.microsoft.com/office/drawing/2014/chart" uri="{C3380CC4-5D6E-409C-BE32-E72D297353CC}">
              <c16:uniqueId val="{00000002-B4AB-4509-870A-4ADCF3651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271136"/>
        <c:axId val="602959232"/>
      </c:scatterChart>
      <c:valAx>
        <c:axId val="606271136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AU" sz="15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5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2011 Resources - Cumulative Production (Mt Ni)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AU" sz="15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CN"/>
            </a:p>
          </c:txPr>
        </c:title>
        <c:numFmt formatCode="#,##0.0" sourceLinked="1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AU"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CN"/>
          </a:p>
        </c:txPr>
        <c:crossAx val="602959232"/>
        <c:crosses val="autoZero"/>
        <c:crossBetween val="midCat"/>
        <c:dispUnits>
          <c:builtInUnit val="thousands"/>
        </c:dispUnits>
      </c:valAx>
      <c:valAx>
        <c:axId val="60295923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AU" sz="15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2018 Resources (Mt Ni)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CN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CN"/>
          </a:p>
        </c:txPr>
        <c:crossAx val="606271136"/>
        <c:crosses val="autoZero"/>
        <c:crossBetween val="midCat"/>
        <c:dispUnits>
          <c:builtInUnit val="thousands"/>
        </c:dispUnits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CN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E796CD-BA55-4E52-A7DE-EEFF95AEE706}">
  <sheetPr/>
  <sheetViews>
    <sheetView zoomScale="140" workbookViewId="0" zoomToFit="1"/>
  </sheetViews>
  <pageMargins left="0.7" right="0.7" top="0.75" bottom="0.75" header="0.3" footer="0.3"/>
  <pageSetup paperSize="9" orientation="landscape" horizontalDpi="1200" verticalDpi="1200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40E8A4-1CAB-4969-BB88-74F55E49C66A}">
  <sheetPr/>
  <sheetViews>
    <sheetView zoomScale="136" workbookViewId="0" zoomToFit="1"/>
  </sheetViews>
  <pageMargins left="0.7" right="0.7" top="0.75" bottom="0.75" header="0.3" footer="0.3"/>
  <pageSetup paperSize="9" orientation="landscape" horizontalDpi="1200" verticalDpi="1200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B938BA-AECA-49F9-BD47-3491B84A141B}">
  <sheetPr/>
  <sheetViews>
    <sheetView zoomScale="136" workbookViewId="0" zoomToFit="1"/>
  </sheetViews>
  <pageMargins left="0.7" right="0.7" top="0.75" bottom="0.75" header="0.3" footer="0.3"/>
  <pageSetup paperSize="9" orientation="landscape" horizontalDpi="1200" verticalDpi="1200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3E9F0A-C04C-47D2-A045-109ECE7475BD}">
  <sheetPr/>
  <sheetViews>
    <sheetView zoomScale="89" workbookViewId="0" zoomToFit="1"/>
  </sheetViews>
  <pageMargins left="0.7" right="0.7" top="0.75" bottom="0.75" header="0.3" footer="0.3"/>
  <pageSetup paperSize="9" orientation="landscape" horizontalDpi="1200" verticalDpi="1200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A45E3D-1E0A-4554-A838-2A1ECF16A3F9}">
  <sheetPr/>
  <sheetViews>
    <sheetView zoomScale="89" workbookViewId="0" zoomToFit="1"/>
  </sheetViews>
  <pageMargins left="0.7" right="0.7" top="0.75" bottom="0.75" header="0.3" footer="0.3"/>
  <pageSetup paperSize="9" orientation="landscape" horizontalDpi="1200" verticalDpi="1200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4A14A9-0810-4DF7-B05A-140FBE3B77F3}">
  <sheetPr/>
  <sheetViews>
    <sheetView zoomScale="136" workbookViewId="0" zoomToFit="1"/>
  </sheetViews>
  <pageMargins left="0.7" right="0.7" top="0.75" bottom="0.75" header="0.3" footer="0.3"/>
  <pageSetup paperSize="9" orientation="landscape" horizontalDpi="1200" verticalDpi="120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9559" cy="6079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5A9B1-5E01-48DC-8824-5B211D87F7C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0.09778</cdr:x>
      <cdr:y>0.2567</cdr:y>
    </cdr:from>
    <cdr:to>
      <cdr:x>0.34421</cdr:x>
      <cdr:y>0.29557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692D2F3-F8CF-43C8-8284-21370B16ECEE}"/>
            </a:ext>
          </a:extLst>
        </cdr:cNvPr>
        <cdr:cNvSpPr txBox="1"/>
      </cdr:nvSpPr>
      <cdr:spPr>
        <a:xfrm xmlns:a="http://schemas.openxmlformats.org/drawingml/2006/main">
          <a:off x="909169" y="1558241"/>
          <a:ext cx="2291332" cy="235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AU" sz="1600" b="1">
              <a:latin typeface="Arial" panose="020B0604020202020204" pitchFamily="34" charset="0"/>
              <a:cs typeface="Arial" panose="020B0604020202020204" pitchFamily="34" charset="0"/>
            </a:rPr>
            <a:t>MINERAL RESOURCES</a:t>
          </a:r>
        </a:p>
      </cdr:txBody>
    </cdr:sp>
  </cdr:relSizeAnchor>
  <cdr:relSizeAnchor xmlns:cdr="http://schemas.openxmlformats.org/drawingml/2006/chartDrawing">
    <cdr:from>
      <cdr:x>0.09253</cdr:x>
      <cdr:y>0.86591</cdr:y>
    </cdr:from>
    <cdr:to>
      <cdr:x>0.17684</cdr:x>
      <cdr:y>0.8902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8E2767E1-FD3B-4B09-82C9-6243DB6327D1}"/>
            </a:ext>
          </a:extLst>
        </cdr:cNvPr>
        <cdr:cNvSpPr txBox="1"/>
      </cdr:nvSpPr>
      <cdr:spPr>
        <a:xfrm xmlns:a="http://schemas.openxmlformats.org/drawingml/2006/main">
          <a:off x="860354" y="5256346"/>
          <a:ext cx="783933" cy="147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AU" sz="1000" b="1">
              <a:latin typeface="Arial" panose="020B0604020202020204" pitchFamily="34" charset="0"/>
              <a:cs typeface="Arial" panose="020B0604020202020204" pitchFamily="34" charset="0"/>
            </a:rPr>
            <a:t>(see note #1)</a:t>
          </a:r>
        </a:p>
      </cdr:txBody>
    </cdr:sp>
  </cdr:relSizeAnchor>
  <cdr:relSizeAnchor xmlns:cdr="http://schemas.openxmlformats.org/drawingml/2006/chartDrawing">
    <cdr:from>
      <cdr:x>0.96888</cdr:x>
      <cdr:y>0.91773</cdr:y>
    </cdr:from>
    <cdr:to>
      <cdr:x>0.97962</cdr:x>
      <cdr:y>0.95174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C850CA59-E835-4F3C-8534-92C7B365D6BA}"/>
            </a:ext>
          </a:extLst>
        </cdr:cNvPr>
        <cdr:cNvSpPr txBox="1"/>
      </cdr:nvSpPr>
      <cdr:spPr>
        <a:xfrm xmlns:a="http://schemas.openxmlformats.org/drawingml/2006/main">
          <a:off x="9008745" y="5570891"/>
          <a:ext cx="99836" cy="206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AU" sz="1400" b="1">
              <a:latin typeface="Arial" panose="020B0604020202020204" pitchFamily="34" charset="0"/>
              <a:cs typeface="Arial" panose="020B0604020202020204" pitchFamily="34" charset="0"/>
            </a:rPr>
            <a:t>6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9559" cy="6079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5B1D1-7E11-4499-BAA9-A50C7AA9E0E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0.10006</cdr:x>
      <cdr:y>0.25529</cdr:y>
    </cdr:from>
    <cdr:to>
      <cdr:x>0.2957</cdr:x>
      <cdr:y>0.29896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692D2F3-F8CF-43C8-8284-21370B16ECEE}"/>
            </a:ext>
          </a:extLst>
        </cdr:cNvPr>
        <cdr:cNvSpPr txBox="1"/>
      </cdr:nvSpPr>
      <cdr:spPr>
        <a:xfrm xmlns:a="http://schemas.openxmlformats.org/drawingml/2006/main">
          <a:off x="828008" y="1379215"/>
          <a:ext cx="1618969" cy="2359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AU" sz="1600" b="1">
              <a:latin typeface="Arial" panose="020B0604020202020204" pitchFamily="34" charset="0"/>
              <a:cs typeface="Arial" panose="020B0604020202020204" pitchFamily="34" charset="0"/>
            </a:rPr>
            <a:t>ORE RESERVES</a:t>
          </a:r>
        </a:p>
      </cdr:txBody>
    </cdr:sp>
  </cdr:relSizeAnchor>
  <cdr:relSizeAnchor xmlns:cdr="http://schemas.openxmlformats.org/drawingml/2006/chartDrawing">
    <cdr:from>
      <cdr:x>0.96949</cdr:x>
      <cdr:y>0.91778</cdr:y>
    </cdr:from>
    <cdr:to>
      <cdr:x>0.98023</cdr:x>
      <cdr:y>0.95179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081BA41-E0C0-474B-93F8-57465469C36E}"/>
            </a:ext>
          </a:extLst>
        </cdr:cNvPr>
        <cdr:cNvSpPr txBox="1"/>
      </cdr:nvSpPr>
      <cdr:spPr>
        <a:xfrm xmlns:a="http://schemas.openxmlformats.org/drawingml/2006/main">
          <a:off x="9014460" y="5571191"/>
          <a:ext cx="99836" cy="2064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AU" sz="1400" b="1">
              <a:latin typeface="Arial" panose="020B0604020202020204" pitchFamily="34" charset="0"/>
              <a:cs typeface="Arial" panose="020B0604020202020204" pitchFamily="34" charset="0"/>
            </a:rPr>
            <a:t>6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19559" cy="6079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97338-ED9F-4EE0-985E-B8D6C6E2DD3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0.1059</cdr:x>
      <cdr:y>0.26375</cdr:y>
    </cdr:from>
    <cdr:to>
      <cdr:x>0.24567</cdr:x>
      <cdr:y>0.34149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692D2F3-F8CF-43C8-8284-21370B16ECEE}"/>
            </a:ext>
          </a:extLst>
        </cdr:cNvPr>
        <cdr:cNvSpPr txBox="1"/>
      </cdr:nvSpPr>
      <cdr:spPr>
        <a:xfrm xmlns:a="http://schemas.openxmlformats.org/drawingml/2006/main">
          <a:off x="984636" y="1601046"/>
          <a:ext cx="1299597" cy="4719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AU" sz="1600" b="1">
              <a:latin typeface="Arial" panose="020B0604020202020204" pitchFamily="34" charset="0"/>
              <a:cs typeface="Arial" panose="020B0604020202020204" pitchFamily="34" charset="0"/>
            </a:rPr>
            <a:t>MINERAL</a:t>
          </a:r>
        </a:p>
        <a:p xmlns:a="http://schemas.openxmlformats.org/drawingml/2006/main">
          <a:pPr algn="ctr"/>
          <a:r>
            <a:rPr lang="en-AU" sz="1600" b="1">
              <a:latin typeface="Arial" panose="020B0604020202020204" pitchFamily="34" charset="0"/>
              <a:cs typeface="Arial" panose="020B0604020202020204" pitchFamily="34" charset="0"/>
            </a:rPr>
            <a:t>RESOURCES</a:t>
          </a:r>
        </a:p>
      </cdr:txBody>
    </cdr:sp>
  </cdr:relSizeAnchor>
  <cdr:relSizeAnchor xmlns:cdr="http://schemas.openxmlformats.org/drawingml/2006/chartDrawing">
    <cdr:from>
      <cdr:x>0.09478</cdr:x>
      <cdr:y>0.86591</cdr:y>
    </cdr:from>
    <cdr:to>
      <cdr:x>0.17909</cdr:x>
      <cdr:y>0.89021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ABA0CB80-45B8-4C81-A2BE-F3C192990FA7}"/>
            </a:ext>
          </a:extLst>
        </cdr:cNvPr>
        <cdr:cNvSpPr txBox="1"/>
      </cdr:nvSpPr>
      <cdr:spPr>
        <a:xfrm xmlns:a="http://schemas.openxmlformats.org/drawingml/2006/main">
          <a:off x="881294" y="5256373"/>
          <a:ext cx="783933" cy="147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AU" sz="1000" b="1">
              <a:latin typeface="Arial" panose="020B0604020202020204" pitchFamily="34" charset="0"/>
              <a:cs typeface="Arial" panose="020B0604020202020204" pitchFamily="34" charset="0"/>
            </a:rPr>
            <a:t>(see note #2)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80989" cy="6053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B9375-4337-4890-8046-30C024F54CA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0.10649</cdr:x>
      <cdr:y>0.26375</cdr:y>
    </cdr:from>
    <cdr:to>
      <cdr:x>0.22666</cdr:x>
      <cdr:y>0.34149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692D2F3-F8CF-43C8-8284-21370B16ECEE}"/>
            </a:ext>
          </a:extLst>
        </cdr:cNvPr>
        <cdr:cNvSpPr txBox="1"/>
      </cdr:nvSpPr>
      <cdr:spPr>
        <a:xfrm xmlns:a="http://schemas.openxmlformats.org/drawingml/2006/main">
          <a:off x="990173" y="1601046"/>
          <a:ext cx="1117357" cy="4719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horzOverflow="clip" wrap="none" lIns="0" tIns="0" rIns="0" bIns="0" rtlCol="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AU" sz="1600" b="1">
              <a:latin typeface="Arial" panose="020B0604020202020204" pitchFamily="34" charset="0"/>
              <a:cs typeface="Arial" panose="020B0604020202020204" pitchFamily="34" charset="0"/>
            </a:rPr>
            <a:t>ORE</a:t>
          </a:r>
        </a:p>
        <a:p xmlns:a="http://schemas.openxmlformats.org/drawingml/2006/main">
          <a:pPr algn="ctr"/>
          <a:r>
            <a:rPr lang="en-AU" sz="1600" b="1">
              <a:latin typeface="Arial" panose="020B0604020202020204" pitchFamily="34" charset="0"/>
              <a:cs typeface="Arial" panose="020B0604020202020204" pitchFamily="34" charset="0"/>
            </a:rPr>
            <a:t>RESERVES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298112" cy="607031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D5C1C6-BF34-4399-AAC9-163FFC67CDC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0.17956</cdr:x>
      <cdr:y>0.08604</cdr:y>
    </cdr:from>
    <cdr:to>
      <cdr:x>0.28286</cdr:x>
      <cdr:y>0.13203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2EC5FA-8F27-4B9B-B496-99AD2B8F1685}"/>
            </a:ext>
          </a:extLst>
        </cdr:cNvPr>
        <cdr:cNvSpPr txBox="1"/>
      </cdr:nvSpPr>
      <cdr:spPr>
        <a:xfrm xmlns:a="http://schemas.openxmlformats.org/drawingml/2006/main">
          <a:off x="1669551" y="522270"/>
          <a:ext cx="960510" cy="279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lIns="36000" tIns="36000" rIns="36000" bIns="36000" rtlCol="0">
          <a:spAutoFit/>
        </a:bodyPr>
        <a:lstStyle xmlns:a="http://schemas.openxmlformats.org/drawingml/2006/main"/>
        <a:p xmlns:a="http://schemas.openxmlformats.org/drawingml/2006/main">
          <a:r>
            <a:rPr lang="en-AU" sz="1400" b="1">
              <a:solidFill>
                <a:srgbClr val="0000CC"/>
              </a:solidFill>
              <a:latin typeface="Arial" panose="020B0604020202020204" pitchFamily="34" charset="0"/>
              <a:cs typeface="Arial" panose="020B0604020202020204" pitchFamily="34" charset="0"/>
            </a:rPr>
            <a:t>SULFIDES</a:t>
          </a:r>
        </a:p>
      </cdr:txBody>
    </cdr:sp>
  </cdr:relSizeAnchor>
  <cdr:relSizeAnchor xmlns:cdr="http://schemas.openxmlformats.org/drawingml/2006/chartDrawing">
    <cdr:from>
      <cdr:x>0.18963</cdr:x>
      <cdr:y>0.80809</cdr:y>
    </cdr:from>
    <cdr:to>
      <cdr:x>0.26107</cdr:x>
      <cdr:y>0.84436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B65B41F-2B67-4FCA-9D6B-DB716BD3F24D}"/>
            </a:ext>
          </a:extLst>
        </cdr:cNvPr>
        <cdr:cNvSpPr txBox="1"/>
      </cdr:nvSpPr>
      <cdr:spPr>
        <a:xfrm xmlns:a="http://schemas.openxmlformats.org/drawingml/2006/main" rot="18900000">
          <a:off x="1763159" y="4905339"/>
          <a:ext cx="664275" cy="22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36000" tIns="36000" rIns="36000" bIns="3600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AU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to 1 line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19559" cy="6079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FC236-C9A2-4104-AAE1-A5BE70CB70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0.17956</cdr:x>
      <cdr:y>0.08604</cdr:y>
    </cdr:from>
    <cdr:to>
      <cdr:x>0.29465</cdr:x>
      <cdr:y>0.13203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2EC5FA-8F27-4B9B-B496-99AD2B8F1685}"/>
            </a:ext>
          </a:extLst>
        </cdr:cNvPr>
        <cdr:cNvSpPr txBox="1"/>
      </cdr:nvSpPr>
      <cdr:spPr>
        <a:xfrm xmlns:a="http://schemas.openxmlformats.org/drawingml/2006/main">
          <a:off x="1669569" y="522290"/>
          <a:ext cx="1070156" cy="279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lIns="36000" tIns="36000" rIns="36000" bIns="36000" rtlCol="0">
          <a:spAutoFit/>
        </a:bodyPr>
        <a:lstStyle xmlns:a="http://schemas.openxmlformats.org/drawingml/2006/main"/>
        <a:p xmlns:a="http://schemas.openxmlformats.org/drawingml/2006/main">
          <a:r>
            <a:rPr lang="en-AU" sz="1400" b="1">
              <a:solidFill>
                <a:srgbClr val="800000"/>
              </a:solidFill>
              <a:latin typeface="Arial" panose="020B0604020202020204" pitchFamily="34" charset="0"/>
              <a:cs typeface="Arial" panose="020B0604020202020204" pitchFamily="34" charset="0"/>
            </a:rPr>
            <a:t>LATERITES</a:t>
          </a:r>
        </a:p>
      </cdr:txBody>
    </cdr:sp>
  </cdr:relSizeAnchor>
  <cdr:relSizeAnchor xmlns:cdr="http://schemas.openxmlformats.org/drawingml/2006/chartDrawing">
    <cdr:from>
      <cdr:x>0.18963</cdr:x>
      <cdr:y>0.80809</cdr:y>
    </cdr:from>
    <cdr:to>
      <cdr:x>0.26107</cdr:x>
      <cdr:y>0.84436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B65B41F-2B67-4FCA-9D6B-DB716BD3F24D}"/>
            </a:ext>
          </a:extLst>
        </cdr:cNvPr>
        <cdr:cNvSpPr txBox="1"/>
      </cdr:nvSpPr>
      <cdr:spPr>
        <a:xfrm xmlns:a="http://schemas.openxmlformats.org/drawingml/2006/main" rot="18900000">
          <a:off x="1763159" y="4905339"/>
          <a:ext cx="664275" cy="22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36000" tIns="36000" rIns="36000" bIns="36000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AU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rPr>
            <a:t>1 to 1 line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5393A-071D-4D2C-B977-00AB8802F074}">
  <sheetPr>
    <pageSetUpPr autoPageBreaks="0"/>
  </sheetPr>
  <dimension ref="A1:FV631"/>
  <sheetViews>
    <sheetView zoomScale="125" zoomScaleNormal="80" workbookViewId="0">
      <pane xSplit="3" ySplit="3" topLeftCell="D4" activePane="bottomRight" state="frozen"/>
      <selection pane="topRight" activeCell="D1" sqref="D1"/>
      <selection pane="bottomLeft" activeCell="A5" sqref="A5"/>
      <selection pane="bottomRight" activeCell="H13" sqref="H13"/>
    </sheetView>
  </sheetViews>
  <sheetFormatPr baseColWidth="10" defaultColWidth="9.6640625" defaultRowHeight="16.25" customHeight="1" x14ac:dyDescent="0.2"/>
  <cols>
    <col min="1" max="1" width="12.6640625" style="1" customWidth="1"/>
    <col min="2" max="2" width="14.6640625" style="1" customWidth="1"/>
    <col min="3" max="3" width="36.6640625" style="1" customWidth="1"/>
    <col min="4" max="4" width="11.6640625" style="1" bestFit="1" customWidth="1"/>
    <col min="5" max="5" width="8.6640625" style="1" bestFit="1" customWidth="1"/>
    <col min="6" max="6" width="12.6640625" style="1" customWidth="1"/>
    <col min="7" max="7" width="9.6640625" style="1"/>
    <col min="8" max="8" width="46.6640625" style="1" bestFit="1" customWidth="1"/>
    <col min="9" max="9" width="12.33203125" style="1" bestFit="1" customWidth="1"/>
    <col min="10" max="10" width="5" style="1" customWidth="1"/>
    <col min="11" max="11" width="7.6640625" style="1" hidden="1" customWidth="1"/>
    <col min="12" max="31" width="7.33203125" style="1" hidden="1" customWidth="1"/>
    <col min="32" max="32" width="7.6640625" style="1" hidden="1" customWidth="1"/>
    <col min="33" max="52" width="7.33203125" style="1" hidden="1" customWidth="1"/>
    <col min="53" max="53" width="7.6640625" style="1" hidden="1" customWidth="1"/>
    <col min="54" max="73" width="7.33203125" style="1" hidden="1" customWidth="1"/>
    <col min="74" max="74" width="7.6640625" style="1" hidden="1" customWidth="1"/>
    <col min="75" max="94" width="7.33203125" style="1" hidden="1" customWidth="1"/>
    <col min="95" max="95" width="7.6640625" style="1" hidden="1" customWidth="1"/>
    <col min="96" max="115" width="7.33203125" style="1" hidden="1" customWidth="1"/>
    <col min="116" max="117" width="5.6640625" style="1" hidden="1" customWidth="1"/>
    <col min="118" max="119" width="8.6640625" style="1" hidden="1" customWidth="1"/>
    <col min="120" max="120" width="0.1640625" style="1" hidden="1" customWidth="1"/>
    <col min="121" max="121" width="1.6640625" style="1" customWidth="1"/>
    <col min="122" max="122" width="9.6640625" style="16"/>
    <col min="123" max="123" width="7.6640625" style="16" customWidth="1"/>
    <col min="124" max="124" width="9.6640625" style="16"/>
    <col min="125" max="125" width="6" style="16" hidden="1" customWidth="1"/>
    <col min="126" max="126" width="9.6640625" style="16"/>
    <col min="127" max="127" width="7.6640625" style="16" customWidth="1"/>
    <col min="128" max="128" width="9.6640625" style="16"/>
    <col min="129" max="129" width="0" style="1" hidden="1" customWidth="1"/>
    <col min="130" max="130" width="1.6640625" style="1" hidden="1" customWidth="1"/>
    <col min="131" max="131" width="16.6640625" style="1" hidden="1" customWidth="1"/>
    <col min="132" max="133" width="0" style="5" hidden="1" customWidth="1"/>
    <col min="134" max="141" width="0" style="64" hidden="1" customWidth="1"/>
    <col min="142" max="142" width="12.6640625" style="71" hidden="1" customWidth="1"/>
    <col min="143" max="143" width="16.6640625" style="71" hidden="1" customWidth="1"/>
    <col min="144" max="161" width="10.6640625" style="1" hidden="1" customWidth="1"/>
    <col min="162" max="164" width="10.6640625" style="53" hidden="1" customWidth="1"/>
    <col min="165" max="165" width="10.6640625" style="1" hidden="1" customWidth="1"/>
    <col min="166" max="167" width="10.6640625" style="53" hidden="1" customWidth="1"/>
    <col min="168" max="168" width="10.6640625" style="38" hidden="1" customWidth="1"/>
    <col min="169" max="171" width="10.6640625" style="1" hidden="1" customWidth="1"/>
    <col min="172" max="172" width="16.6640625" style="53" hidden="1" customWidth="1"/>
    <col min="173" max="173" width="1.6640625" style="1" customWidth="1"/>
    <col min="174" max="174" width="28.6640625" style="1" customWidth="1"/>
    <col min="175" max="176" width="34.6640625" style="1" customWidth="1"/>
    <col min="177" max="177" width="22.6640625" style="1" customWidth="1"/>
    <col min="178" max="178" width="2.6640625" style="1" customWidth="1"/>
    <col min="179" max="16384" width="9.6640625" style="1"/>
  </cols>
  <sheetData>
    <row r="1" spans="1:178" ht="16.25" customHeight="1" x14ac:dyDescent="0.2">
      <c r="A1" s="1" t="s">
        <v>3</v>
      </c>
      <c r="B1" s="1" t="s">
        <v>4</v>
      </c>
      <c r="C1" s="1" t="s">
        <v>5</v>
      </c>
      <c r="D1" s="1" t="s">
        <v>6</v>
      </c>
      <c r="E1" s="83" t="s">
        <v>7</v>
      </c>
      <c r="F1" s="83"/>
      <c r="G1" s="1" t="s">
        <v>8</v>
      </c>
      <c r="H1" s="1" t="s">
        <v>9</v>
      </c>
      <c r="I1" s="1" t="s">
        <v>10</v>
      </c>
      <c r="J1" s="1" t="s">
        <v>11</v>
      </c>
      <c r="K1" s="84" t="s">
        <v>12</v>
      </c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 t="s">
        <v>13</v>
      </c>
      <c r="BW1" s="85"/>
      <c r="BX1" s="85"/>
      <c r="BY1" s="85"/>
      <c r="BZ1" s="85"/>
      <c r="CA1" s="85"/>
      <c r="CB1" s="85"/>
      <c r="CC1" s="85"/>
      <c r="CD1" s="85"/>
      <c r="CE1" s="85"/>
      <c r="CF1" s="85"/>
      <c r="CG1" s="85"/>
      <c r="CH1" s="85"/>
      <c r="CI1" s="85"/>
      <c r="CJ1" s="85"/>
      <c r="CK1" s="85"/>
      <c r="CL1" s="85"/>
      <c r="CM1" s="85"/>
      <c r="CN1" s="85"/>
      <c r="CO1" s="85"/>
      <c r="CP1" s="85"/>
      <c r="CQ1" s="85"/>
      <c r="CR1" s="85"/>
      <c r="CS1" s="85"/>
      <c r="CT1" s="85"/>
      <c r="CU1" s="85"/>
      <c r="CV1" s="85"/>
      <c r="CW1" s="85"/>
      <c r="CX1" s="85"/>
      <c r="CY1" s="85"/>
      <c r="CZ1" s="85"/>
      <c r="DA1" s="85"/>
      <c r="DB1" s="85"/>
      <c r="DC1" s="85"/>
      <c r="DD1" s="85"/>
      <c r="DE1" s="85"/>
      <c r="DF1" s="85"/>
      <c r="DG1" s="85"/>
      <c r="DH1" s="85"/>
      <c r="DI1" s="85"/>
      <c r="DJ1" s="85"/>
      <c r="DK1" s="85"/>
      <c r="DL1" s="90"/>
      <c r="DM1" s="90"/>
      <c r="DP1" s="6" t="s">
        <v>14</v>
      </c>
      <c r="DQ1" s="1" t="s">
        <v>2</v>
      </c>
      <c r="DR1" s="99" t="s">
        <v>15</v>
      </c>
      <c r="DS1" s="99"/>
      <c r="DT1" s="99"/>
      <c r="DU1" s="99"/>
      <c r="DV1" s="85" t="s">
        <v>16</v>
      </c>
      <c r="DW1" s="85"/>
      <c r="DX1" s="85"/>
      <c r="DY1" s="85"/>
      <c r="DZ1" s="1" t="s">
        <v>2</v>
      </c>
      <c r="EB1" s="86" t="s">
        <v>1385</v>
      </c>
      <c r="EC1" s="86"/>
      <c r="ED1" s="86" t="s">
        <v>1386</v>
      </c>
      <c r="EE1" s="86"/>
      <c r="EF1" s="91" t="s">
        <v>1387</v>
      </c>
      <c r="EG1" s="91"/>
      <c r="EH1" s="91" t="s">
        <v>1388</v>
      </c>
      <c r="EI1" s="91"/>
      <c r="EJ1" s="91" t="s">
        <v>1389</v>
      </c>
      <c r="EK1" s="91"/>
      <c r="EL1" s="77" t="s">
        <v>1390</v>
      </c>
      <c r="EN1" s="84" t="s">
        <v>15</v>
      </c>
      <c r="EO1" s="84"/>
      <c r="EP1" s="84"/>
      <c r="EQ1" s="84"/>
      <c r="ER1" s="84"/>
      <c r="ES1" s="84"/>
      <c r="ET1" s="84"/>
      <c r="EU1" s="84"/>
      <c r="EV1" s="84"/>
      <c r="EW1" s="84"/>
      <c r="EX1" s="84"/>
      <c r="EY1" s="84"/>
      <c r="EZ1" s="84"/>
      <c r="FA1" s="84"/>
      <c r="FB1" s="84"/>
      <c r="FC1" s="84"/>
      <c r="FD1" s="84"/>
      <c r="FE1" s="85" t="s">
        <v>16</v>
      </c>
      <c r="FF1" s="85"/>
      <c r="FG1" s="85"/>
      <c r="FH1" s="85"/>
      <c r="FI1" s="85"/>
      <c r="FJ1" s="85"/>
      <c r="FK1" s="85"/>
      <c r="FL1" s="85"/>
      <c r="FM1" s="85"/>
      <c r="FN1" s="85"/>
      <c r="FO1" s="85"/>
      <c r="FQ1" s="1" t="s">
        <v>2</v>
      </c>
      <c r="FR1" s="1" t="s">
        <v>17</v>
      </c>
      <c r="FS1" s="1" t="s">
        <v>17</v>
      </c>
      <c r="FT1" s="1" t="s">
        <v>17</v>
      </c>
      <c r="FU1" s="1" t="s">
        <v>17</v>
      </c>
      <c r="FV1" s="1" t="s">
        <v>2</v>
      </c>
    </row>
    <row r="2" spans="1:178" ht="16.25" customHeight="1" x14ac:dyDescent="0.2">
      <c r="A2" s="1" t="s">
        <v>18</v>
      </c>
      <c r="C2" s="79" t="s">
        <v>537</v>
      </c>
      <c r="D2" s="1" t="s">
        <v>157</v>
      </c>
      <c r="G2" s="1" t="s">
        <v>72</v>
      </c>
      <c r="H2" s="1" t="s">
        <v>131</v>
      </c>
      <c r="I2" s="1" t="s">
        <v>22</v>
      </c>
      <c r="J2" s="1" t="s">
        <v>23</v>
      </c>
      <c r="K2" s="87" t="s">
        <v>24</v>
      </c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8" t="s">
        <v>25</v>
      </c>
      <c r="AG2" s="88"/>
      <c r="AH2" s="88"/>
      <c r="AI2" s="88"/>
      <c r="AJ2" s="88"/>
      <c r="AK2" s="88"/>
      <c r="AL2" s="88"/>
      <c r="AM2" s="88"/>
      <c r="AN2" s="88"/>
      <c r="AO2" s="88"/>
      <c r="AP2" s="88"/>
      <c r="AQ2" s="88"/>
      <c r="AR2" s="88"/>
      <c r="AS2" s="88"/>
      <c r="AT2" s="88"/>
      <c r="AU2" s="88"/>
      <c r="AV2" s="88"/>
      <c r="AW2" s="88"/>
      <c r="AX2" s="88"/>
      <c r="AY2" s="88"/>
      <c r="AZ2" s="88"/>
      <c r="BA2" s="89" t="s">
        <v>26</v>
      </c>
      <c r="BB2" s="89"/>
      <c r="BC2" s="89"/>
      <c r="BD2" s="89"/>
      <c r="BE2" s="89"/>
      <c r="BF2" s="89"/>
      <c r="BG2" s="89"/>
      <c r="BH2" s="89"/>
      <c r="BI2" s="89"/>
      <c r="BJ2" s="89"/>
      <c r="BK2" s="89"/>
      <c r="BL2" s="89"/>
      <c r="BM2" s="89"/>
      <c r="BN2" s="89"/>
      <c r="BO2" s="89"/>
      <c r="BP2" s="89"/>
      <c r="BQ2" s="89"/>
      <c r="BR2" s="89"/>
      <c r="BS2" s="89"/>
      <c r="BT2" s="89"/>
      <c r="BU2" s="89"/>
      <c r="BV2" s="88" t="s">
        <v>27</v>
      </c>
      <c r="BW2" s="88"/>
      <c r="BX2" s="88"/>
      <c r="BY2" s="88"/>
      <c r="BZ2" s="88"/>
      <c r="CA2" s="88"/>
      <c r="CB2" s="88"/>
      <c r="CC2" s="88"/>
      <c r="CD2" s="88"/>
      <c r="CE2" s="88"/>
      <c r="CF2" s="88"/>
      <c r="CG2" s="88"/>
      <c r="CH2" s="88"/>
      <c r="CI2" s="88"/>
      <c r="CJ2" s="88"/>
      <c r="CK2" s="88"/>
      <c r="CL2" s="88"/>
      <c r="CM2" s="88"/>
      <c r="CN2" s="88"/>
      <c r="CO2" s="88"/>
      <c r="CP2" s="88"/>
      <c r="CQ2" s="89" t="s">
        <v>28</v>
      </c>
      <c r="CR2" s="89"/>
      <c r="CS2" s="89"/>
      <c r="CT2" s="89"/>
      <c r="CU2" s="89"/>
      <c r="CV2" s="89"/>
      <c r="CW2" s="89"/>
      <c r="CX2" s="89"/>
      <c r="CY2" s="89"/>
      <c r="CZ2" s="89"/>
      <c r="DA2" s="89"/>
      <c r="DB2" s="89"/>
      <c r="DC2" s="89"/>
      <c r="DD2" s="89"/>
      <c r="DE2" s="89"/>
      <c r="DF2" s="89"/>
      <c r="DG2" s="89"/>
      <c r="DH2" s="89"/>
      <c r="DI2" s="89"/>
      <c r="DJ2" s="89"/>
      <c r="DK2" s="89"/>
      <c r="DL2" s="90"/>
      <c r="DM2" s="90"/>
      <c r="DQ2" s="1" t="s">
        <v>2</v>
      </c>
      <c r="DR2" s="99"/>
      <c r="DS2" s="99"/>
      <c r="DT2" s="99"/>
      <c r="DU2" s="99"/>
      <c r="DV2" s="85"/>
      <c r="DW2" s="85"/>
      <c r="DX2" s="85"/>
      <c r="DY2" s="85"/>
      <c r="DZ2" s="1" t="s">
        <v>2</v>
      </c>
      <c r="EB2" s="48" t="s">
        <v>30</v>
      </c>
      <c r="EC2" s="8" t="s">
        <v>31</v>
      </c>
      <c r="ED2" s="66" t="s">
        <v>30</v>
      </c>
      <c r="EE2" s="8" t="s">
        <v>31</v>
      </c>
      <c r="EF2" s="66" t="s">
        <v>30</v>
      </c>
      <c r="EG2" s="8" t="s">
        <v>31</v>
      </c>
      <c r="EH2" s="66" t="s">
        <v>30</v>
      </c>
      <c r="EI2" s="8" t="s">
        <v>31</v>
      </c>
      <c r="EJ2" s="66" t="s">
        <v>30</v>
      </c>
      <c r="EK2" s="8" t="s">
        <v>31</v>
      </c>
      <c r="EL2" s="77" t="s">
        <v>1390</v>
      </c>
      <c r="EN2" s="7" t="s">
        <v>30</v>
      </c>
      <c r="EO2" s="7" t="s">
        <v>30</v>
      </c>
      <c r="EP2" s="7" t="s">
        <v>30</v>
      </c>
      <c r="EQ2" s="7" t="s">
        <v>30</v>
      </c>
      <c r="ER2" s="8" t="s">
        <v>31</v>
      </c>
      <c r="ES2" s="8" t="s">
        <v>31</v>
      </c>
      <c r="ET2" s="8" t="s">
        <v>31</v>
      </c>
      <c r="EU2" s="8" t="s">
        <v>31</v>
      </c>
      <c r="EV2" s="9" t="s">
        <v>1330</v>
      </c>
      <c r="EW2" s="9" t="s">
        <v>1330</v>
      </c>
      <c r="EX2" s="9" t="s">
        <v>1330</v>
      </c>
      <c r="EY2" s="9" t="s">
        <v>1330</v>
      </c>
      <c r="EZ2" s="39" t="s">
        <v>1331</v>
      </c>
      <c r="FA2" s="39" t="s">
        <v>1331</v>
      </c>
      <c r="FB2" s="39" t="s">
        <v>1331</v>
      </c>
      <c r="FC2" s="39" t="s">
        <v>1331</v>
      </c>
      <c r="FD2" s="10" t="s">
        <v>32</v>
      </c>
      <c r="FE2" s="7" t="s">
        <v>30</v>
      </c>
      <c r="FF2" s="54" t="s">
        <v>30</v>
      </c>
      <c r="FG2" s="54" t="s">
        <v>30</v>
      </c>
      <c r="FH2" s="54" t="s">
        <v>30</v>
      </c>
      <c r="FI2" s="8" t="s">
        <v>31</v>
      </c>
      <c r="FJ2" s="8" t="s">
        <v>31</v>
      </c>
      <c r="FK2" s="8" t="s">
        <v>31</v>
      </c>
      <c r="FL2" s="59" t="s">
        <v>31</v>
      </c>
      <c r="FM2" s="9" t="s">
        <v>1330</v>
      </c>
      <c r="FN2" s="39" t="s">
        <v>1331</v>
      </c>
      <c r="FO2" s="10" t="s">
        <v>32</v>
      </c>
      <c r="FQ2" s="1" t="s">
        <v>2</v>
      </c>
      <c r="FR2" s="1" t="s">
        <v>33</v>
      </c>
      <c r="FS2" s="1" t="s">
        <v>33</v>
      </c>
      <c r="FT2" s="1" t="s">
        <v>33</v>
      </c>
      <c r="FU2" s="1" t="s">
        <v>33</v>
      </c>
      <c r="FV2" s="1" t="s">
        <v>2</v>
      </c>
    </row>
    <row r="3" spans="1:178" ht="16.25" customHeight="1" x14ac:dyDescent="0.2">
      <c r="C3" s="80" t="s">
        <v>1179</v>
      </c>
      <c r="H3" s="35" t="s">
        <v>1180</v>
      </c>
      <c r="K3" s="1" t="s">
        <v>34</v>
      </c>
      <c r="L3" s="1" t="s">
        <v>35</v>
      </c>
      <c r="M3" s="1" t="s">
        <v>36</v>
      </c>
      <c r="N3" s="1" t="s">
        <v>37</v>
      </c>
      <c r="O3" s="1" t="s">
        <v>38</v>
      </c>
      <c r="P3" s="1" t="s">
        <v>39</v>
      </c>
      <c r="Q3" s="1" t="s">
        <v>40</v>
      </c>
      <c r="R3" s="1" t="s">
        <v>41</v>
      </c>
      <c r="S3" s="1" t="s">
        <v>42</v>
      </c>
      <c r="T3" s="1" t="s">
        <v>43</v>
      </c>
      <c r="U3" s="1" t="s">
        <v>44</v>
      </c>
      <c r="V3" s="1" t="s">
        <v>45</v>
      </c>
      <c r="W3" s="1" t="s">
        <v>46</v>
      </c>
      <c r="X3" s="1" t="s">
        <v>1325</v>
      </c>
      <c r="Y3" s="1" t="s">
        <v>1326</v>
      </c>
      <c r="Z3" s="1" t="s">
        <v>47</v>
      </c>
      <c r="AA3" s="1" t="s">
        <v>48</v>
      </c>
      <c r="AB3" s="1" t="s">
        <v>49</v>
      </c>
      <c r="AC3" s="1" t="s">
        <v>50</v>
      </c>
      <c r="AD3" s="1" t="s">
        <v>1302</v>
      </c>
      <c r="AE3" s="1" t="s">
        <v>1327</v>
      </c>
      <c r="AF3" s="1" t="s">
        <v>34</v>
      </c>
      <c r="AG3" s="1" t="s">
        <v>35</v>
      </c>
      <c r="AH3" s="1" t="s">
        <v>36</v>
      </c>
      <c r="AI3" s="1" t="s">
        <v>37</v>
      </c>
      <c r="AJ3" s="1" t="s">
        <v>38</v>
      </c>
      <c r="AK3" s="1" t="s">
        <v>39</v>
      </c>
      <c r="AL3" s="1" t="s">
        <v>40</v>
      </c>
      <c r="AM3" s="1" t="s">
        <v>41</v>
      </c>
      <c r="AN3" s="1" t="s">
        <v>42</v>
      </c>
      <c r="AO3" s="1" t="s">
        <v>43</v>
      </c>
      <c r="AP3" s="1" t="s">
        <v>44</v>
      </c>
      <c r="AQ3" s="1" t="s">
        <v>45</v>
      </c>
      <c r="AR3" s="1" t="s">
        <v>46</v>
      </c>
      <c r="AS3" s="1" t="s">
        <v>1325</v>
      </c>
      <c r="AT3" s="1" t="s">
        <v>1326</v>
      </c>
      <c r="AU3" s="1" t="s">
        <v>47</v>
      </c>
      <c r="AV3" s="1" t="s">
        <v>48</v>
      </c>
      <c r="AW3" s="1" t="s">
        <v>49</v>
      </c>
      <c r="AX3" s="1" t="s">
        <v>50</v>
      </c>
      <c r="AY3" s="1" t="s">
        <v>1302</v>
      </c>
      <c r="AZ3" s="1" t="s">
        <v>1327</v>
      </c>
      <c r="BA3" s="1" t="s">
        <v>34</v>
      </c>
      <c r="BB3" s="1" t="s">
        <v>35</v>
      </c>
      <c r="BC3" s="1" t="s">
        <v>36</v>
      </c>
      <c r="BD3" s="1" t="s">
        <v>37</v>
      </c>
      <c r="BE3" s="1" t="s">
        <v>38</v>
      </c>
      <c r="BF3" s="1" t="s">
        <v>39</v>
      </c>
      <c r="BG3" s="1" t="s">
        <v>40</v>
      </c>
      <c r="BH3" s="1" t="s">
        <v>41</v>
      </c>
      <c r="BI3" s="1" t="s">
        <v>42</v>
      </c>
      <c r="BJ3" s="1" t="s">
        <v>43</v>
      </c>
      <c r="BK3" s="1" t="s">
        <v>44</v>
      </c>
      <c r="BL3" s="1" t="s">
        <v>45</v>
      </c>
      <c r="BM3" s="1" t="s">
        <v>46</v>
      </c>
      <c r="BN3" s="1" t="s">
        <v>1325</v>
      </c>
      <c r="BO3" s="1" t="s">
        <v>1326</v>
      </c>
      <c r="BP3" s="1" t="s">
        <v>47</v>
      </c>
      <c r="BQ3" s="1" t="s">
        <v>48</v>
      </c>
      <c r="BR3" s="1" t="s">
        <v>49</v>
      </c>
      <c r="BS3" s="1" t="s">
        <v>50</v>
      </c>
      <c r="BT3" s="1" t="s">
        <v>1302</v>
      </c>
      <c r="BU3" s="1" t="s">
        <v>1327</v>
      </c>
      <c r="BV3" s="1" t="s">
        <v>34</v>
      </c>
      <c r="BW3" s="1" t="s">
        <v>35</v>
      </c>
      <c r="BX3" s="1" t="s">
        <v>36</v>
      </c>
      <c r="BY3" s="1" t="s">
        <v>37</v>
      </c>
      <c r="BZ3" s="1" t="s">
        <v>38</v>
      </c>
      <c r="CA3" s="1" t="s">
        <v>39</v>
      </c>
      <c r="CB3" s="1" t="s">
        <v>40</v>
      </c>
      <c r="CC3" s="1" t="s">
        <v>41</v>
      </c>
      <c r="CD3" s="1" t="s">
        <v>42</v>
      </c>
      <c r="CE3" s="1" t="s">
        <v>43</v>
      </c>
      <c r="CF3" s="1" t="s">
        <v>44</v>
      </c>
      <c r="CG3" s="1" t="s">
        <v>45</v>
      </c>
      <c r="CH3" s="1" t="s">
        <v>46</v>
      </c>
      <c r="CI3" s="1" t="s">
        <v>1325</v>
      </c>
      <c r="CJ3" s="1" t="s">
        <v>1326</v>
      </c>
      <c r="CK3" s="1" t="s">
        <v>47</v>
      </c>
      <c r="CL3" s="1" t="s">
        <v>48</v>
      </c>
      <c r="CM3" s="1" t="s">
        <v>49</v>
      </c>
      <c r="CN3" s="1" t="s">
        <v>50</v>
      </c>
      <c r="CO3" s="1" t="s">
        <v>1302</v>
      </c>
      <c r="CP3" s="1" t="s">
        <v>1327</v>
      </c>
      <c r="CQ3" s="1" t="s">
        <v>34</v>
      </c>
      <c r="CR3" s="1" t="s">
        <v>35</v>
      </c>
      <c r="CS3" s="1" t="s">
        <v>36</v>
      </c>
      <c r="CT3" s="1" t="s">
        <v>37</v>
      </c>
      <c r="CU3" s="1" t="s">
        <v>38</v>
      </c>
      <c r="CV3" s="1" t="s">
        <v>39</v>
      </c>
      <c r="CW3" s="1" t="s">
        <v>40</v>
      </c>
      <c r="CX3" s="1" t="s">
        <v>41</v>
      </c>
      <c r="CY3" s="1" t="s">
        <v>42</v>
      </c>
      <c r="CZ3" s="1" t="s">
        <v>43</v>
      </c>
      <c r="DA3" s="1" t="s">
        <v>44</v>
      </c>
      <c r="DB3" s="1" t="s">
        <v>45</v>
      </c>
      <c r="DC3" s="1" t="s">
        <v>46</v>
      </c>
      <c r="DD3" s="1" t="s">
        <v>1325</v>
      </c>
      <c r="DE3" s="1" t="s">
        <v>1326</v>
      </c>
      <c r="DF3" s="1" t="s">
        <v>47</v>
      </c>
      <c r="DG3" s="1" t="s">
        <v>48</v>
      </c>
      <c r="DH3" s="1" t="s">
        <v>49</v>
      </c>
      <c r="DI3" s="1" t="s">
        <v>50</v>
      </c>
      <c r="DJ3" s="1" t="s">
        <v>1302</v>
      </c>
      <c r="DK3" s="1" t="s">
        <v>1327</v>
      </c>
      <c r="DL3" s="90"/>
      <c r="DM3" s="90"/>
      <c r="DN3" s="1" t="s">
        <v>42</v>
      </c>
      <c r="DO3" s="1" t="s">
        <v>43</v>
      </c>
      <c r="DQ3" s="1" t="s">
        <v>2</v>
      </c>
      <c r="DR3" s="16" t="s">
        <v>59</v>
      </c>
      <c r="DS3" s="16" t="s">
        <v>42</v>
      </c>
      <c r="DT3" s="16" t="s">
        <v>54</v>
      </c>
      <c r="DU3" s="16" t="s">
        <v>1334</v>
      </c>
      <c r="DV3" s="16" t="s">
        <v>59</v>
      </c>
      <c r="DW3" s="16" t="s">
        <v>42</v>
      </c>
      <c r="DX3" s="16" t="s">
        <v>54</v>
      </c>
      <c r="DY3" s="1" t="s">
        <v>1334</v>
      </c>
      <c r="DZ3" s="1" t="s">
        <v>2</v>
      </c>
      <c r="EB3" s="5" t="s">
        <v>54</v>
      </c>
      <c r="EC3" s="5" t="s">
        <v>54</v>
      </c>
      <c r="ED3" s="64" t="s">
        <v>54</v>
      </c>
      <c r="EE3" s="64" t="s">
        <v>54</v>
      </c>
      <c r="EF3" s="64" t="s">
        <v>54</v>
      </c>
      <c r="EG3" s="64" t="s">
        <v>54</v>
      </c>
      <c r="EH3" s="64" t="s">
        <v>54</v>
      </c>
      <c r="EI3" s="64" t="s">
        <v>54</v>
      </c>
      <c r="EJ3" s="64" t="s">
        <v>54</v>
      </c>
      <c r="EK3" s="64" t="s">
        <v>54</v>
      </c>
      <c r="EL3" s="71" t="s">
        <v>54</v>
      </c>
      <c r="EN3" s="1" t="s">
        <v>59</v>
      </c>
      <c r="EO3" s="1" t="s">
        <v>42</v>
      </c>
      <c r="EP3" s="1" t="s">
        <v>54</v>
      </c>
      <c r="EQ3" s="1" t="s">
        <v>1333</v>
      </c>
      <c r="ER3" s="1" t="s">
        <v>59</v>
      </c>
      <c r="ES3" s="1" t="s">
        <v>42</v>
      </c>
      <c r="ET3" s="1" t="s">
        <v>54</v>
      </c>
      <c r="EU3" s="1" t="s">
        <v>1333</v>
      </c>
      <c r="EV3" s="1" t="s">
        <v>59</v>
      </c>
      <c r="EW3" s="1" t="s">
        <v>42</v>
      </c>
      <c r="EX3" s="1" t="s">
        <v>54</v>
      </c>
      <c r="EY3" s="1" t="s">
        <v>1333</v>
      </c>
      <c r="EZ3" s="1" t="s">
        <v>59</v>
      </c>
      <c r="FA3" s="1" t="s">
        <v>42</v>
      </c>
      <c r="FB3" s="1" t="s">
        <v>54</v>
      </c>
      <c r="FC3" s="1" t="s">
        <v>1333</v>
      </c>
      <c r="FD3" s="1" t="s">
        <v>54</v>
      </c>
      <c r="FE3" s="53" t="s">
        <v>59</v>
      </c>
      <c r="FF3" s="53" t="s">
        <v>42</v>
      </c>
      <c r="FG3" s="53" t="s">
        <v>54</v>
      </c>
      <c r="FH3" s="53" t="s">
        <v>1333</v>
      </c>
      <c r="FI3" s="53" t="s">
        <v>59</v>
      </c>
      <c r="FJ3" s="53" t="s">
        <v>42</v>
      </c>
      <c r="FK3" s="53" t="s">
        <v>54</v>
      </c>
      <c r="FL3" s="38" t="s">
        <v>1333</v>
      </c>
      <c r="FM3" s="1" t="s">
        <v>54</v>
      </c>
      <c r="FO3" s="1" t="s">
        <v>54</v>
      </c>
      <c r="FQ3" s="1" t="s">
        <v>2</v>
      </c>
      <c r="FR3" s="1" t="s">
        <v>60</v>
      </c>
      <c r="FS3" s="1" t="s">
        <v>61</v>
      </c>
      <c r="FT3" s="1" t="s">
        <v>62</v>
      </c>
      <c r="FU3" s="1" t="s">
        <v>62</v>
      </c>
      <c r="FV3" s="1" t="s">
        <v>2</v>
      </c>
    </row>
    <row r="4" spans="1:178" ht="16.25" customHeight="1" x14ac:dyDescent="0.2">
      <c r="A4" s="25" t="s">
        <v>190</v>
      </c>
      <c r="B4" s="1" t="s">
        <v>91</v>
      </c>
      <c r="C4" s="80" t="s">
        <v>1184</v>
      </c>
      <c r="H4" s="1" t="s">
        <v>1185</v>
      </c>
      <c r="K4" s="1">
        <v>0</v>
      </c>
      <c r="AF4" s="1">
        <v>0</v>
      </c>
      <c r="BA4" s="14">
        <v>81.056000000000012</v>
      </c>
      <c r="BI4" s="13">
        <v>1.0129362416107379</v>
      </c>
      <c r="BJ4" s="13">
        <v>5.0084386103434651E-2</v>
      </c>
      <c r="BP4" s="14">
        <v>25.75900241808132</v>
      </c>
      <c r="BQ4" s="14">
        <v>35.027782027240427</v>
      </c>
      <c r="BV4" s="1">
        <v>0</v>
      </c>
      <c r="CQ4" s="1">
        <v>0</v>
      </c>
      <c r="DL4" s="18" t="s">
        <v>163</v>
      </c>
      <c r="DM4" s="18" t="s">
        <v>163</v>
      </c>
      <c r="DN4" s="1">
        <f t="shared" ref="DN4:DN67" si="0">(S4*K4+AN4*AF4+BI4*BA4)/(K4+AF4+BA4)</f>
        <v>1.0129362416107379</v>
      </c>
      <c r="DO4" s="1">
        <f t="shared" ref="DO4:DO67" si="1">(T4*K4+AO4*AF4+BJ4*BA4)/(K4+AF4+BA4)</f>
        <v>5.0084386103434651E-2</v>
      </c>
      <c r="DP4" s="1" t="s">
        <v>893</v>
      </c>
      <c r="DQ4" s="1" t="s">
        <v>2</v>
      </c>
      <c r="DR4" s="100">
        <f t="shared" ref="DR4:DR67" si="2">K4+AF4+BA4</f>
        <v>81.056000000000012</v>
      </c>
      <c r="DS4" s="100">
        <f t="shared" ref="DS4:DS67" si="3">(K4*S4+AF4*AN4+BA4*BI4)/DR4</f>
        <v>1.0129362416107379</v>
      </c>
      <c r="DT4" s="101">
        <f t="shared" ref="DT4:DT67" si="4">1000*DR4*DS4/100</f>
        <v>821.04559999999981</v>
      </c>
      <c r="DV4" s="16">
        <f t="shared" ref="DV4:DV67" si="5">BV4+CQ4</f>
        <v>0</v>
      </c>
      <c r="DZ4" s="37" t="s">
        <v>2</v>
      </c>
      <c r="EA4" s="37" t="s">
        <v>91</v>
      </c>
      <c r="EB4" s="50" t="s">
        <v>1318</v>
      </c>
      <c r="EC4" s="14">
        <v>228.31008</v>
      </c>
      <c r="ED4" s="51" t="s">
        <v>1318</v>
      </c>
      <c r="EE4" s="41">
        <v>27.751000000000001</v>
      </c>
      <c r="EF4" s="51" t="s">
        <v>1318</v>
      </c>
      <c r="EG4" s="52">
        <v>1675.1352000000002</v>
      </c>
      <c r="EH4" s="51"/>
      <c r="EI4" s="52">
        <f>EG4-EE4</f>
        <v>1647.3842000000002</v>
      </c>
      <c r="EJ4" s="65"/>
      <c r="EK4" s="52">
        <f>ET4</f>
        <v>3349.9708000000001</v>
      </c>
      <c r="EL4" s="72">
        <f>EC4+FD4</f>
        <v>3578.2808800000003</v>
      </c>
      <c r="EM4" s="76" t="s">
        <v>91</v>
      </c>
      <c r="EN4" s="37" t="s">
        <v>1318</v>
      </c>
      <c r="EO4" s="37" t="s">
        <v>1318</v>
      </c>
      <c r="EP4" s="37" t="s">
        <v>1318</v>
      </c>
      <c r="EQ4" s="37" t="s">
        <v>1318</v>
      </c>
      <c r="ER4" s="41">
        <f>SUM(DR4:DR6)</f>
        <v>377.36899999999997</v>
      </c>
      <c r="ES4" s="13">
        <f>100*(ET4/1000)/ER4</f>
        <v>0.88771753906653705</v>
      </c>
      <c r="ET4" s="42">
        <f>SUM(DT4:DT6)</f>
        <v>3349.9708000000001</v>
      </c>
      <c r="EU4" s="38">
        <f>COUNT(DT4:DT6)</f>
        <v>3</v>
      </c>
      <c r="EV4" s="37" t="s">
        <v>1318</v>
      </c>
      <c r="EW4" s="37" t="s">
        <v>1318</v>
      </c>
      <c r="EX4" s="37" t="s">
        <v>1318</v>
      </c>
      <c r="EY4" s="38" t="s">
        <v>1318</v>
      </c>
      <c r="EZ4" s="37" t="s">
        <v>1318</v>
      </c>
      <c r="FA4" s="37" t="s">
        <v>1318</v>
      </c>
      <c r="FB4" s="37" t="s">
        <v>1318</v>
      </c>
      <c r="FC4" s="45" t="s">
        <v>1318</v>
      </c>
      <c r="FD4" s="42">
        <f t="shared" ref="FD4:FD49" si="6">SUM(EP4,ET4,EX4,FB4)</f>
        <v>3349.9708000000001</v>
      </c>
      <c r="FE4" s="55" t="s">
        <v>1318</v>
      </c>
      <c r="FF4" s="55" t="s">
        <v>1318</v>
      </c>
      <c r="FG4" s="37" t="s">
        <v>1318</v>
      </c>
      <c r="FH4" s="45" t="s">
        <v>1318</v>
      </c>
      <c r="FI4" s="45" t="s">
        <v>1318</v>
      </c>
      <c r="FJ4" s="45" t="s">
        <v>1318</v>
      </c>
      <c r="FK4" s="45" t="s">
        <v>1318</v>
      </c>
      <c r="FL4" s="45" t="s">
        <v>1318</v>
      </c>
      <c r="FM4" s="37" t="s">
        <v>1318</v>
      </c>
      <c r="FN4" s="37" t="s">
        <v>1318</v>
      </c>
      <c r="FO4" s="37" t="s">
        <v>1318</v>
      </c>
      <c r="FP4" s="55" t="s">
        <v>91</v>
      </c>
      <c r="FQ4" s="1" t="s">
        <v>2</v>
      </c>
      <c r="FR4" s="1" t="s">
        <v>31</v>
      </c>
      <c r="FS4" s="1" t="s">
        <v>894</v>
      </c>
      <c r="FT4" s="1" t="s">
        <v>894</v>
      </c>
      <c r="FV4" s="1" t="s">
        <v>2</v>
      </c>
    </row>
    <row r="5" spans="1:178" ht="16.25" customHeight="1" x14ac:dyDescent="0.2">
      <c r="A5" s="25" t="s">
        <v>190</v>
      </c>
      <c r="B5" s="1" t="s">
        <v>91</v>
      </c>
      <c r="C5" s="80" t="s">
        <v>811</v>
      </c>
      <c r="D5" s="1" t="s">
        <v>69</v>
      </c>
      <c r="H5" s="1" t="s">
        <v>131</v>
      </c>
      <c r="K5" s="1">
        <v>0</v>
      </c>
      <c r="AF5" s="1">
        <v>0</v>
      </c>
      <c r="BA5" s="14">
        <v>129.99799999999999</v>
      </c>
      <c r="BI5" s="13">
        <v>0.86440929860459403</v>
      </c>
      <c r="BJ5" s="13">
        <v>6.6948799212295573E-2</v>
      </c>
      <c r="BP5" s="14">
        <v>40.305776242711431</v>
      </c>
      <c r="BQ5" s="14">
        <v>15.339164448683825</v>
      </c>
      <c r="BV5" s="1">
        <v>0</v>
      </c>
      <c r="CQ5" s="1">
        <v>0</v>
      </c>
      <c r="DL5" s="18" t="s">
        <v>163</v>
      </c>
      <c r="DM5" s="18" t="s">
        <v>163</v>
      </c>
      <c r="DN5" s="1">
        <f t="shared" si="0"/>
        <v>0.86440929860459403</v>
      </c>
      <c r="DO5" s="1">
        <f t="shared" si="1"/>
        <v>6.6948799212295573E-2</v>
      </c>
      <c r="DP5" s="1" t="s">
        <v>893</v>
      </c>
      <c r="DQ5" s="1" t="s">
        <v>2</v>
      </c>
      <c r="DR5" s="101">
        <f t="shared" si="2"/>
        <v>129.99799999999999</v>
      </c>
      <c r="DS5" s="100">
        <f t="shared" si="3"/>
        <v>0.86440929860459403</v>
      </c>
      <c r="DT5" s="102">
        <f t="shared" si="4"/>
        <v>1123.7148</v>
      </c>
      <c r="DV5" s="16">
        <f t="shared" si="5"/>
        <v>0</v>
      </c>
      <c r="DZ5" s="37" t="s">
        <v>2</v>
      </c>
      <c r="EA5" s="37" t="s">
        <v>78</v>
      </c>
      <c r="EB5" s="50" t="s">
        <v>1318</v>
      </c>
      <c r="EC5" s="50" t="s">
        <v>1318</v>
      </c>
      <c r="ED5" s="51" t="s">
        <v>1318</v>
      </c>
      <c r="EE5" s="51" t="s">
        <v>1318</v>
      </c>
      <c r="EF5" s="51" t="s">
        <v>1318</v>
      </c>
      <c r="EG5" s="51" t="s">
        <v>1318</v>
      </c>
      <c r="EH5" s="51"/>
      <c r="EI5" s="51"/>
      <c r="EJ5" s="67">
        <f t="shared" ref="EJ5:EJ50" si="7">SUM(EP5,EX5,FB5)</f>
        <v>21.823466700000004</v>
      </c>
      <c r="EK5" s="65"/>
      <c r="EL5" s="14">
        <f>FD5</f>
        <v>21.823466700000004</v>
      </c>
      <c r="EM5" s="76" t="s">
        <v>78</v>
      </c>
      <c r="EN5" s="41">
        <f>DR7</f>
        <v>6.2291880000000006</v>
      </c>
      <c r="EO5" s="13">
        <f>100*(EP5/1000)/EN5</f>
        <v>0.35034207829335068</v>
      </c>
      <c r="EP5" s="41">
        <f>DT7</f>
        <v>21.823466700000004</v>
      </c>
      <c r="EQ5" s="38">
        <f>COUNT(DT7)</f>
        <v>1</v>
      </c>
      <c r="ER5" s="37" t="s">
        <v>1318</v>
      </c>
      <c r="ES5" s="37" t="s">
        <v>1318</v>
      </c>
      <c r="ET5" s="37" t="s">
        <v>1318</v>
      </c>
      <c r="EU5" s="38" t="s">
        <v>1318</v>
      </c>
      <c r="EV5" s="37" t="s">
        <v>1318</v>
      </c>
      <c r="EW5" s="37" t="s">
        <v>1318</v>
      </c>
      <c r="EX5" s="37" t="s">
        <v>1318</v>
      </c>
      <c r="EY5" s="38" t="s">
        <v>1318</v>
      </c>
      <c r="EZ5" s="37" t="s">
        <v>1318</v>
      </c>
      <c r="FA5" s="37" t="s">
        <v>1318</v>
      </c>
      <c r="FB5" s="37" t="s">
        <v>1318</v>
      </c>
      <c r="FC5" s="45" t="s">
        <v>1318</v>
      </c>
      <c r="FD5" s="42">
        <f t="shared" si="6"/>
        <v>21.823466700000004</v>
      </c>
      <c r="FE5" s="55" t="s">
        <v>1318</v>
      </c>
      <c r="FF5" s="55" t="s">
        <v>1318</v>
      </c>
      <c r="FG5" s="55" t="s">
        <v>1318</v>
      </c>
      <c r="FH5" s="45" t="s">
        <v>1318</v>
      </c>
      <c r="FI5" s="45" t="s">
        <v>1318</v>
      </c>
      <c r="FJ5" s="45" t="s">
        <v>1318</v>
      </c>
      <c r="FK5" s="45" t="s">
        <v>1318</v>
      </c>
      <c r="FL5" s="45" t="s">
        <v>1318</v>
      </c>
      <c r="FM5" s="37" t="s">
        <v>1318</v>
      </c>
      <c r="FN5" s="37" t="s">
        <v>1318</v>
      </c>
      <c r="FO5" s="37" t="s">
        <v>1318</v>
      </c>
      <c r="FP5" s="55" t="s">
        <v>78</v>
      </c>
      <c r="FQ5" s="1" t="s">
        <v>2</v>
      </c>
      <c r="FR5" s="1" t="s">
        <v>31</v>
      </c>
      <c r="FS5" s="1" t="s">
        <v>894</v>
      </c>
      <c r="FT5" s="1" t="s">
        <v>894</v>
      </c>
      <c r="FV5" s="1" t="s">
        <v>2</v>
      </c>
    </row>
    <row r="6" spans="1:178" ht="16.25" customHeight="1" x14ac:dyDescent="0.2">
      <c r="A6" s="25" t="s">
        <v>190</v>
      </c>
      <c r="B6" s="1" t="s">
        <v>91</v>
      </c>
      <c r="C6" s="21" t="s">
        <v>540</v>
      </c>
      <c r="D6" s="1" t="s">
        <v>69</v>
      </c>
      <c r="G6" s="1" t="s">
        <v>72</v>
      </c>
      <c r="H6" s="1" t="s">
        <v>541</v>
      </c>
      <c r="K6" s="1">
        <v>0</v>
      </c>
      <c r="AF6" s="1">
        <v>0</v>
      </c>
      <c r="BA6" s="14">
        <v>166.31499999999997</v>
      </c>
      <c r="BI6" s="13">
        <v>0.84490899798575025</v>
      </c>
      <c r="BJ6" s="13">
        <v>5.7316598021826065E-2</v>
      </c>
      <c r="BP6" s="14">
        <v>42.397044163184326</v>
      </c>
      <c r="BQ6" s="14">
        <v>9.5176676788022743</v>
      </c>
      <c r="BV6" s="1">
        <v>0</v>
      </c>
      <c r="CQ6" s="1">
        <v>0</v>
      </c>
      <c r="DL6" s="18" t="s">
        <v>163</v>
      </c>
      <c r="DM6" s="18" t="s">
        <v>163</v>
      </c>
      <c r="DN6" s="1">
        <f t="shared" si="0"/>
        <v>0.84490899798575025</v>
      </c>
      <c r="DO6" s="1">
        <f t="shared" si="1"/>
        <v>5.7316598021826065E-2</v>
      </c>
      <c r="DP6" s="1" t="s">
        <v>893</v>
      </c>
      <c r="DQ6" s="1" t="s">
        <v>2</v>
      </c>
      <c r="DR6" s="101">
        <f t="shared" si="2"/>
        <v>166.31499999999997</v>
      </c>
      <c r="DS6" s="100">
        <f t="shared" si="3"/>
        <v>0.84490899798575025</v>
      </c>
      <c r="DT6" s="102">
        <f t="shared" si="4"/>
        <v>1405.2104000000004</v>
      </c>
      <c r="DV6" s="16">
        <f t="shared" si="5"/>
        <v>0</v>
      </c>
      <c r="DZ6" s="37" t="s">
        <v>2</v>
      </c>
      <c r="EA6" s="37" t="s">
        <v>63</v>
      </c>
      <c r="EB6" s="42">
        <v>5819.82</v>
      </c>
      <c r="EC6" s="42">
        <v>1138.69579</v>
      </c>
      <c r="ED6" s="42">
        <v>1201.04093195053</v>
      </c>
      <c r="EE6" s="41">
        <v>435.76100000000002</v>
      </c>
      <c r="EF6" s="42">
        <v>11878.527865353848</v>
      </c>
      <c r="EG6" s="42">
        <v>31529.047370000008</v>
      </c>
      <c r="EH6" s="52">
        <f>EF6-ED6</f>
        <v>10677.486933403317</v>
      </c>
      <c r="EI6" s="52">
        <f>EG6-EE6</f>
        <v>31093.286370000009</v>
      </c>
      <c r="EJ6" s="42">
        <f t="shared" si="7"/>
        <v>12505.44950421429</v>
      </c>
      <c r="EK6" s="52">
        <f>ET6</f>
        <v>29834.606437739993</v>
      </c>
      <c r="EL6" s="72">
        <f t="shared" ref="EL6:EL47" si="8">EB6+EC6+FD6</f>
        <v>49298.571731954282</v>
      </c>
      <c r="EM6" s="76" t="s">
        <v>63</v>
      </c>
      <c r="EN6" s="42">
        <f>SUM(DR95:DR161)</f>
        <v>1861.8747697142862</v>
      </c>
      <c r="EO6" s="13">
        <f>100*(EP6/1000)/EN6</f>
        <v>0.62512252131760448</v>
      </c>
      <c r="EP6" s="42">
        <f>SUM(DT95:DT161)</f>
        <v>11638.998504214289</v>
      </c>
      <c r="EQ6" s="1">
        <f>COUNT(DT95:DT161)</f>
        <v>67</v>
      </c>
      <c r="ER6" s="42">
        <f>SUM(DR13:DR94)</f>
        <v>4144.8201484000001</v>
      </c>
      <c r="ES6" s="13">
        <f>100*(ET6/1000)/ER6</f>
        <v>0.7198046083919194</v>
      </c>
      <c r="ET6" s="42">
        <f>SUM(DT13:DT94)</f>
        <v>29834.606437739993</v>
      </c>
      <c r="EU6" s="38">
        <f>COUNT(DT13:DT94)</f>
        <v>82</v>
      </c>
      <c r="EV6" s="41">
        <f>SUM(DR8:DR12,DR165)</f>
        <v>95.36699999999999</v>
      </c>
      <c r="EW6" s="13">
        <f>100*(EX6/1000)/EV6</f>
        <v>0.40173288454077405</v>
      </c>
      <c r="EX6" s="41">
        <f>SUM(DT8:DT12,DT165)</f>
        <v>383.12059999999997</v>
      </c>
      <c r="EY6" s="38">
        <f>COUNT(DT8:DT12,DT165)</f>
        <v>6</v>
      </c>
      <c r="EZ6" s="41">
        <f>SUM(DR162:DR164)</f>
        <v>164.23399999999998</v>
      </c>
      <c r="FA6" s="13">
        <f>100*(FB6/1000)/EZ6</f>
        <v>0.29429375159832921</v>
      </c>
      <c r="FB6" s="41">
        <f>SUM(DT162:DT164)</f>
        <v>483.33039999999994</v>
      </c>
      <c r="FC6" s="45">
        <f>COUNT(DT162:DT164)</f>
        <v>3</v>
      </c>
      <c r="FD6" s="42">
        <f t="shared" si="6"/>
        <v>42340.055941954284</v>
      </c>
      <c r="FE6" s="41">
        <f>SUM(DV95:DV161)</f>
        <v>216.25563499999998</v>
      </c>
      <c r="FF6" s="13">
        <f>100*(FG6/1000)/FE6</f>
        <v>0.7860862395562549</v>
      </c>
      <c r="FG6" s="42">
        <f>SUM(DX95:DX161)</f>
        <v>1699.9557890000001</v>
      </c>
      <c r="FH6" s="45">
        <f>COUNT(DX95:DX161)</f>
        <v>13</v>
      </c>
      <c r="FI6" s="41">
        <f>SUM(DV13:DV94)</f>
        <v>687.14699999999993</v>
      </c>
      <c r="FJ6" s="13">
        <f>100*(FK6/1000)/FI6</f>
        <v>0.76621123282208903</v>
      </c>
      <c r="FK6" s="42">
        <f>SUM(DX13:DX94)</f>
        <v>5264.9974999999995</v>
      </c>
      <c r="FL6" s="45">
        <f>COUNT(DX13:DX94)</f>
        <v>9</v>
      </c>
      <c r="FM6" s="37" t="s">
        <v>1318</v>
      </c>
      <c r="FN6" s="37" t="s">
        <v>1318</v>
      </c>
      <c r="FO6" s="42">
        <f>SUM(FG6,FK6,FM6,FN6)</f>
        <v>6964.9532889999991</v>
      </c>
      <c r="FP6" s="55" t="s">
        <v>63</v>
      </c>
      <c r="FQ6" s="1" t="s">
        <v>2</v>
      </c>
      <c r="FR6" s="1" t="s">
        <v>31</v>
      </c>
      <c r="FS6" s="1" t="s">
        <v>894</v>
      </c>
      <c r="FT6" s="1" t="s">
        <v>894</v>
      </c>
      <c r="FV6" s="1" t="s">
        <v>2</v>
      </c>
    </row>
    <row r="7" spans="1:178" ht="16.25" customHeight="1" x14ac:dyDescent="0.2">
      <c r="A7" s="18" t="s">
        <v>177</v>
      </c>
      <c r="B7" s="1" t="s">
        <v>78</v>
      </c>
      <c r="C7" s="79" t="s">
        <v>1111</v>
      </c>
      <c r="D7" s="1" t="s">
        <v>64</v>
      </c>
      <c r="H7" s="1" t="s">
        <v>1112</v>
      </c>
      <c r="K7" s="1">
        <v>0</v>
      </c>
      <c r="AF7" s="2">
        <v>4.223821</v>
      </c>
      <c r="AG7" s="1">
        <v>0.38</v>
      </c>
      <c r="AH7" s="1">
        <v>0.04</v>
      </c>
      <c r="AN7" s="1">
        <v>0.36</v>
      </c>
      <c r="AO7" s="1">
        <v>0.03</v>
      </c>
      <c r="AP7" s="1">
        <v>0.14000000000000001</v>
      </c>
      <c r="AQ7" s="1">
        <v>0.17</v>
      </c>
      <c r="BA7" s="2">
        <v>2.0053670000000001</v>
      </c>
      <c r="BB7" s="1">
        <v>0.34</v>
      </c>
      <c r="BC7" s="1">
        <v>0.02</v>
      </c>
      <c r="BI7" s="1">
        <v>0.33</v>
      </c>
      <c r="BJ7" s="1">
        <v>0.02</v>
      </c>
      <c r="BK7" s="1">
        <v>0.02</v>
      </c>
      <c r="BL7" s="1">
        <v>0.02</v>
      </c>
      <c r="BV7" s="1">
        <v>0</v>
      </c>
      <c r="CQ7" s="1">
        <v>0</v>
      </c>
      <c r="DL7" s="18" t="s">
        <v>96</v>
      </c>
      <c r="DM7" s="18" t="s">
        <v>96</v>
      </c>
      <c r="DN7" s="1">
        <f t="shared" si="0"/>
        <v>0.35034207829335062</v>
      </c>
      <c r="DO7" s="1">
        <f t="shared" si="1"/>
        <v>2.6780692764450192E-2</v>
      </c>
      <c r="DP7" s="1" t="s">
        <v>580</v>
      </c>
      <c r="DQ7" s="1" t="s">
        <v>2</v>
      </c>
      <c r="DR7" s="103">
        <f t="shared" si="2"/>
        <v>6.2291880000000006</v>
      </c>
      <c r="DS7" s="100">
        <f t="shared" si="3"/>
        <v>0.35034207829335062</v>
      </c>
      <c r="DT7" s="101">
        <f t="shared" si="4"/>
        <v>21.823466700000004</v>
      </c>
      <c r="DV7" s="16">
        <f t="shared" si="5"/>
        <v>0</v>
      </c>
      <c r="DZ7" s="37" t="s">
        <v>2</v>
      </c>
      <c r="EA7" s="37" t="s">
        <v>102</v>
      </c>
      <c r="EB7" s="14">
        <v>840.02</v>
      </c>
      <c r="EC7" s="50" t="s">
        <v>1318</v>
      </c>
      <c r="ED7" s="41">
        <v>86.816000000000003</v>
      </c>
      <c r="EE7" s="51" t="s">
        <v>1318</v>
      </c>
      <c r="EF7" s="52">
        <v>1481.4634472999999</v>
      </c>
      <c r="EG7" s="51" t="s">
        <v>1318</v>
      </c>
      <c r="EH7" s="52">
        <f>EF7-ED7</f>
        <v>1394.6474472999998</v>
      </c>
      <c r="EI7" s="51"/>
      <c r="EJ7" s="42">
        <f t="shared" si="7"/>
        <v>1212.6179473</v>
      </c>
      <c r="EK7" s="65"/>
      <c r="EL7" s="72">
        <f>EB7+FD7</f>
        <v>2052.6379472999997</v>
      </c>
      <c r="EM7" s="76" t="s">
        <v>102</v>
      </c>
      <c r="EN7" s="41">
        <f>SUM(DR166:DR173)</f>
        <v>339.27449099999995</v>
      </c>
      <c r="EO7" s="13">
        <f>100*(EP7/1000)/EN7</f>
        <v>0.35741500745483401</v>
      </c>
      <c r="EP7" s="42">
        <f>SUM(DT166:DT173)</f>
        <v>1212.6179473</v>
      </c>
      <c r="EQ7" s="1">
        <f>COUNT(DT166:DT173)</f>
        <v>8</v>
      </c>
      <c r="ER7" s="37" t="s">
        <v>1318</v>
      </c>
      <c r="ES7" s="37" t="s">
        <v>1318</v>
      </c>
      <c r="ET7" s="37" t="s">
        <v>1318</v>
      </c>
      <c r="EU7" s="38" t="s">
        <v>1318</v>
      </c>
      <c r="EV7" s="37" t="s">
        <v>1318</v>
      </c>
      <c r="EW7" s="37" t="s">
        <v>1318</v>
      </c>
      <c r="EX7" s="37" t="s">
        <v>1318</v>
      </c>
      <c r="EY7" s="38" t="s">
        <v>1318</v>
      </c>
      <c r="EZ7" s="37" t="s">
        <v>1318</v>
      </c>
      <c r="FA7" s="37" t="s">
        <v>1318</v>
      </c>
      <c r="FB7" s="37" t="s">
        <v>1318</v>
      </c>
      <c r="FC7" s="45" t="s">
        <v>1318</v>
      </c>
      <c r="FD7" s="42">
        <f t="shared" si="6"/>
        <v>1212.6179473</v>
      </c>
      <c r="FE7" s="55" t="s">
        <v>1318</v>
      </c>
      <c r="FF7" s="55" t="s">
        <v>1318</v>
      </c>
      <c r="FG7" s="55" t="s">
        <v>1318</v>
      </c>
      <c r="FH7" s="45" t="s">
        <v>1318</v>
      </c>
      <c r="FI7" s="45" t="s">
        <v>1318</v>
      </c>
      <c r="FJ7" s="45" t="s">
        <v>1318</v>
      </c>
      <c r="FK7" s="45" t="s">
        <v>1318</v>
      </c>
      <c r="FL7" s="45" t="s">
        <v>1318</v>
      </c>
      <c r="FM7" s="37" t="s">
        <v>1318</v>
      </c>
      <c r="FN7" s="37" t="s">
        <v>1318</v>
      </c>
      <c r="FO7" s="37" t="s">
        <v>1318</v>
      </c>
      <c r="FP7" s="55" t="s">
        <v>102</v>
      </c>
      <c r="FQ7" s="1" t="s">
        <v>2</v>
      </c>
      <c r="FR7" s="1" t="s">
        <v>113</v>
      </c>
      <c r="FS7" s="1" t="s">
        <v>129</v>
      </c>
      <c r="FV7" s="1" t="s">
        <v>2</v>
      </c>
    </row>
    <row r="8" spans="1:178" ht="16.25" customHeight="1" x14ac:dyDescent="0.2">
      <c r="A8" s="11" t="s">
        <v>173</v>
      </c>
      <c r="B8" s="1" t="s">
        <v>63</v>
      </c>
      <c r="C8" s="79" t="s">
        <v>628</v>
      </c>
      <c r="D8" s="1" t="s">
        <v>69</v>
      </c>
      <c r="G8" s="81"/>
      <c r="H8" s="1" t="s">
        <v>131</v>
      </c>
      <c r="J8" s="1" t="s">
        <v>70</v>
      </c>
      <c r="K8" s="1">
        <v>0</v>
      </c>
      <c r="AF8" s="1">
        <f>0.406+0.286</f>
        <v>0.69199999999999995</v>
      </c>
      <c r="AG8" s="13">
        <f>(0.16*0.406+0.09*0.286)/AF8</f>
        <v>0.13106936416184972</v>
      </c>
      <c r="AN8" s="13">
        <f>(0.05*0.406+0.09*0.286)/AF8</f>
        <v>6.6531791907514459E-2</v>
      </c>
      <c r="AO8" s="13">
        <f>(0.12*0.406+0.18*0.286)/AF8</f>
        <v>0.14479768786127167</v>
      </c>
      <c r="BA8" s="1">
        <f>0.008+0.242</f>
        <v>0.25</v>
      </c>
      <c r="BB8" s="13">
        <f>(0.21*0.008+0.08*0.242)/BA8</f>
        <v>8.4159999999999999E-2</v>
      </c>
      <c r="BI8" s="13">
        <f>(0.03*0.008+0.04*0.242)/BA8</f>
        <v>3.968E-2</v>
      </c>
      <c r="BJ8" s="13">
        <f>(0.05*0.008+0.08*0.242)/BA8</f>
        <v>7.9039999999999999E-2</v>
      </c>
      <c r="BV8" s="1">
        <v>0</v>
      </c>
      <c r="CQ8" s="1">
        <v>0</v>
      </c>
      <c r="DL8" s="18" t="s">
        <v>163</v>
      </c>
      <c r="DM8" s="18" t="s">
        <v>163</v>
      </c>
      <c r="DN8" s="1">
        <f t="shared" si="0"/>
        <v>5.9405520169851386E-2</v>
      </c>
      <c r="DO8" s="1">
        <f t="shared" si="1"/>
        <v>0.12734607218683652</v>
      </c>
      <c r="DP8" s="1" t="s">
        <v>162</v>
      </c>
      <c r="DQ8" s="1" t="s">
        <v>2</v>
      </c>
      <c r="DR8" s="16">
        <f t="shared" si="2"/>
        <v>0.94199999999999995</v>
      </c>
      <c r="DS8" s="103">
        <f t="shared" si="3"/>
        <v>5.9405520169851386E-2</v>
      </c>
      <c r="DT8" s="101">
        <f t="shared" si="4"/>
        <v>0.5596000000000001</v>
      </c>
      <c r="DV8" s="16">
        <f t="shared" si="5"/>
        <v>0</v>
      </c>
      <c r="DZ8" s="37" t="s">
        <v>2</v>
      </c>
      <c r="EA8" s="37" t="s">
        <v>79</v>
      </c>
      <c r="EB8" s="14">
        <v>249.24600000000001</v>
      </c>
      <c r="EC8" s="42">
        <v>1647.4775999999999</v>
      </c>
      <c r="ED8" s="67">
        <v>126</v>
      </c>
      <c r="EE8" s="51">
        <v>592.6</v>
      </c>
      <c r="EF8" s="42">
        <v>1617.4504167210885</v>
      </c>
      <c r="EG8" s="42">
        <v>14824.174832030001</v>
      </c>
      <c r="EH8" s="52">
        <f>EF8-ED8</f>
        <v>1491.4504167210885</v>
      </c>
      <c r="EI8" s="52">
        <f>EG8-EE8</f>
        <v>14231.574832030001</v>
      </c>
      <c r="EJ8" s="42">
        <f t="shared" si="7"/>
        <v>1010.6000376046717</v>
      </c>
      <c r="EK8" s="52">
        <f t="shared" ref="EK8:EK10" si="9">ET8</f>
        <v>16686.2621</v>
      </c>
      <c r="EL8" s="72">
        <f t="shared" si="8"/>
        <v>19593.585737604673</v>
      </c>
      <c r="EM8" s="76" t="s">
        <v>79</v>
      </c>
      <c r="EN8" s="41">
        <f>SUM(DR194:DR198)</f>
        <v>324.50799999999998</v>
      </c>
      <c r="EO8" s="13">
        <f>100*(EP8/1000)/EN8</f>
        <v>0.21439226077775331</v>
      </c>
      <c r="EP8" s="41">
        <f>SUM(DT194:DT198)</f>
        <v>695.72003760467169</v>
      </c>
      <c r="EQ8" s="1">
        <f>COUNT(DT194:DT198)</f>
        <v>5</v>
      </c>
      <c r="ER8" s="42">
        <f>SUM(DR175:DR193)</f>
        <v>1314.5210000000002</v>
      </c>
      <c r="ES8" s="13">
        <f t="shared" ref="ES8:ES10" si="10">100*(ET8/1000)/ER8</f>
        <v>1.2693796523600611</v>
      </c>
      <c r="ET8" s="42">
        <f>SUM(DT175:DT193)</f>
        <v>16686.2621</v>
      </c>
      <c r="EU8" s="38">
        <f>COUNT(DT175:DT193)</f>
        <v>19</v>
      </c>
      <c r="EV8" s="41">
        <f>DR174</f>
        <v>40.4</v>
      </c>
      <c r="EW8" s="13">
        <f>100*(EX8/1000)/EV8</f>
        <v>0.77940594059405943</v>
      </c>
      <c r="EX8" s="41">
        <f>DT174</f>
        <v>314.88</v>
      </c>
      <c r="EY8" s="38">
        <f>COUNT(DT174)</f>
        <v>1</v>
      </c>
      <c r="EZ8" s="37" t="s">
        <v>1318</v>
      </c>
      <c r="FA8" s="37" t="s">
        <v>1318</v>
      </c>
      <c r="FB8" s="37" t="s">
        <v>1318</v>
      </c>
      <c r="FC8" s="45" t="s">
        <v>1318</v>
      </c>
      <c r="FD8" s="42">
        <f t="shared" si="6"/>
        <v>17696.862137604672</v>
      </c>
      <c r="FE8" s="55" t="s">
        <v>1318</v>
      </c>
      <c r="FF8" s="55" t="s">
        <v>1318</v>
      </c>
      <c r="FG8" s="55" t="s">
        <v>1318</v>
      </c>
      <c r="FH8" s="45" t="s">
        <v>1318</v>
      </c>
      <c r="FI8" s="41">
        <f>SUM(DV175:DV193)</f>
        <v>174.10000000000002</v>
      </c>
      <c r="FJ8" s="13">
        <f>100*(FK8/1000)/FI8</f>
        <v>1.4510224009190118</v>
      </c>
      <c r="FK8" s="42">
        <f>SUM(DX175:DX193)</f>
        <v>2526.23</v>
      </c>
      <c r="FL8" s="45">
        <f>COUNT(DX175:DX193)</f>
        <v>3</v>
      </c>
      <c r="FM8" s="37" t="s">
        <v>1318</v>
      </c>
      <c r="FN8" s="37" t="s">
        <v>1318</v>
      </c>
      <c r="FO8" s="42">
        <f>SUM(FG8,FK8,FM8,FN8)</f>
        <v>2526.23</v>
      </c>
      <c r="FP8" s="55" t="s">
        <v>79</v>
      </c>
      <c r="FQ8" s="1" t="s">
        <v>2</v>
      </c>
      <c r="FR8" s="1" t="s">
        <v>118</v>
      </c>
      <c r="FS8" s="1" t="s">
        <v>176</v>
      </c>
      <c r="FV8" s="1" t="s">
        <v>2</v>
      </c>
    </row>
    <row r="9" spans="1:178" ht="16.25" customHeight="1" x14ac:dyDescent="0.2">
      <c r="A9" s="18" t="s">
        <v>177</v>
      </c>
      <c r="B9" s="1" t="s">
        <v>63</v>
      </c>
      <c r="C9" s="80" t="s">
        <v>1086</v>
      </c>
      <c r="D9" s="1" t="s">
        <v>71</v>
      </c>
      <c r="H9" s="1" t="s">
        <v>1045</v>
      </c>
      <c r="J9" s="1" t="s">
        <v>70</v>
      </c>
      <c r="K9" s="1">
        <v>3.8</v>
      </c>
      <c r="S9" s="1">
        <v>1.1000000000000001</v>
      </c>
      <c r="AF9" s="1">
        <v>4.9000000000000004</v>
      </c>
      <c r="AN9" s="1">
        <v>0.9</v>
      </c>
      <c r="BA9" s="1">
        <v>20.7</v>
      </c>
      <c r="BI9" s="1">
        <v>0.8</v>
      </c>
      <c r="BV9" s="1">
        <v>0</v>
      </c>
      <c r="CQ9" s="1">
        <v>0</v>
      </c>
      <c r="DL9" s="18" t="s">
        <v>96</v>
      </c>
      <c r="DN9" s="1">
        <f t="shared" si="0"/>
        <v>0.85544217687074831</v>
      </c>
      <c r="DO9" s="1">
        <f t="shared" si="1"/>
        <v>0</v>
      </c>
      <c r="DP9" s="1" t="s">
        <v>360</v>
      </c>
      <c r="DQ9" s="1" t="s">
        <v>2</v>
      </c>
      <c r="DR9" s="16">
        <f t="shared" si="2"/>
        <v>29.4</v>
      </c>
      <c r="DS9" s="100">
        <f t="shared" si="3"/>
        <v>0.85544217687074831</v>
      </c>
      <c r="DT9" s="101">
        <f t="shared" si="4"/>
        <v>251.5</v>
      </c>
      <c r="DV9" s="16">
        <f t="shared" si="5"/>
        <v>0</v>
      </c>
      <c r="DZ9" s="37" t="s">
        <v>2</v>
      </c>
      <c r="EA9" s="37" t="s">
        <v>117</v>
      </c>
      <c r="EB9" s="50" t="s">
        <v>1318</v>
      </c>
      <c r="EC9" s="50" t="s">
        <v>1318</v>
      </c>
      <c r="ED9" s="51" t="s">
        <v>1318</v>
      </c>
      <c r="EE9" s="51" t="s">
        <v>1318</v>
      </c>
      <c r="EF9" s="51" t="s">
        <v>1318</v>
      </c>
      <c r="EG9" s="52">
        <v>3579.3000000000011</v>
      </c>
      <c r="EH9" s="51"/>
      <c r="EI9" s="52">
        <v>3579.3000000000011</v>
      </c>
      <c r="EJ9" s="65"/>
      <c r="EK9" s="52">
        <f t="shared" si="9"/>
        <v>3162.92</v>
      </c>
      <c r="EL9" s="72">
        <f t="shared" ref="EL9:EL10" si="11">FD9</f>
        <v>3162.92</v>
      </c>
      <c r="EM9" s="76" t="s">
        <v>117</v>
      </c>
      <c r="EN9" s="37" t="s">
        <v>1318</v>
      </c>
      <c r="EO9" s="37" t="s">
        <v>1318</v>
      </c>
      <c r="EP9" s="37" t="s">
        <v>1318</v>
      </c>
      <c r="EQ9" s="37" t="s">
        <v>1318</v>
      </c>
      <c r="ER9" s="41">
        <f>SUM(DR199:DR201)</f>
        <v>234.18</v>
      </c>
      <c r="ES9" s="13">
        <f t="shared" si="10"/>
        <v>1.350636262703903</v>
      </c>
      <c r="ET9" s="42">
        <f>SUM(DT199:DT201)</f>
        <v>3162.92</v>
      </c>
      <c r="EU9" s="38">
        <f>COUNT(DT199:DT201)</f>
        <v>3</v>
      </c>
      <c r="EV9" s="37" t="s">
        <v>1318</v>
      </c>
      <c r="EW9" s="37" t="s">
        <v>1318</v>
      </c>
      <c r="EX9" s="37" t="s">
        <v>1318</v>
      </c>
      <c r="EY9" s="38" t="s">
        <v>1318</v>
      </c>
      <c r="EZ9" s="37" t="s">
        <v>1318</v>
      </c>
      <c r="FA9" s="37" t="s">
        <v>1318</v>
      </c>
      <c r="FB9" s="37" t="s">
        <v>1318</v>
      </c>
      <c r="FC9" s="45" t="s">
        <v>1318</v>
      </c>
      <c r="FD9" s="42">
        <f t="shared" si="6"/>
        <v>3162.92</v>
      </c>
      <c r="FE9" s="55" t="s">
        <v>1318</v>
      </c>
      <c r="FF9" s="55" t="s">
        <v>1318</v>
      </c>
      <c r="FG9" s="55" t="s">
        <v>1318</v>
      </c>
      <c r="FH9" s="45" t="s">
        <v>1318</v>
      </c>
      <c r="FI9" s="45" t="s">
        <v>1318</v>
      </c>
      <c r="FJ9" s="45" t="s">
        <v>1318</v>
      </c>
      <c r="FK9" s="45" t="s">
        <v>1318</v>
      </c>
      <c r="FL9" s="45" t="s">
        <v>1318</v>
      </c>
      <c r="FM9" s="37" t="s">
        <v>1318</v>
      </c>
      <c r="FN9" s="37" t="s">
        <v>1318</v>
      </c>
      <c r="FO9" s="37" t="s">
        <v>1318</v>
      </c>
      <c r="FP9" s="55" t="s">
        <v>117</v>
      </c>
      <c r="FQ9" s="1" t="s">
        <v>2</v>
      </c>
      <c r="FR9" s="1" t="s">
        <v>118</v>
      </c>
      <c r="FS9" s="1" t="s">
        <v>168</v>
      </c>
      <c r="FV9" s="1" t="s">
        <v>2</v>
      </c>
    </row>
    <row r="10" spans="1:178" ht="16.25" customHeight="1" x14ac:dyDescent="0.2">
      <c r="A10" s="11" t="s">
        <v>115</v>
      </c>
      <c r="B10" s="1" t="s">
        <v>63</v>
      </c>
      <c r="C10" s="80" t="s">
        <v>918</v>
      </c>
      <c r="D10" s="1" t="s">
        <v>69</v>
      </c>
      <c r="H10" s="1" t="s">
        <v>131</v>
      </c>
      <c r="J10" s="1" t="s">
        <v>95</v>
      </c>
      <c r="K10" s="1">
        <v>0</v>
      </c>
      <c r="AF10" s="14">
        <v>4</v>
      </c>
      <c r="AG10" s="1">
        <v>0.37</v>
      </c>
      <c r="AN10" s="1">
        <v>0.13</v>
      </c>
      <c r="AO10" s="13">
        <v>0.1</v>
      </c>
      <c r="BA10" s="1">
        <v>1.3</v>
      </c>
      <c r="BB10" s="1">
        <v>0.31</v>
      </c>
      <c r="BI10" s="1">
        <v>0.11</v>
      </c>
      <c r="BJ10" s="1">
        <v>0.08</v>
      </c>
      <c r="BV10" s="1">
        <v>0</v>
      </c>
      <c r="CQ10" s="1">
        <v>0</v>
      </c>
      <c r="DL10" s="18" t="s">
        <v>96</v>
      </c>
      <c r="DM10" s="1" t="s">
        <v>96</v>
      </c>
      <c r="DN10" s="1">
        <f t="shared" si="0"/>
        <v>0.12509433962264152</v>
      </c>
      <c r="DO10" s="1">
        <f t="shared" si="1"/>
        <v>9.5094339622641508E-2</v>
      </c>
      <c r="DP10" s="1" t="s">
        <v>111</v>
      </c>
      <c r="DQ10" s="1" t="s">
        <v>2</v>
      </c>
      <c r="DR10" s="16">
        <f t="shared" si="2"/>
        <v>5.3</v>
      </c>
      <c r="DS10" s="100">
        <f t="shared" si="3"/>
        <v>0.12509433962264152</v>
      </c>
      <c r="DT10" s="101">
        <f t="shared" si="4"/>
        <v>6.6300000000000008</v>
      </c>
      <c r="DV10" s="16">
        <f t="shared" si="5"/>
        <v>0</v>
      </c>
      <c r="DZ10" s="37" t="s">
        <v>2</v>
      </c>
      <c r="EA10" s="37" t="s">
        <v>145</v>
      </c>
      <c r="EB10" s="50" t="s">
        <v>1318</v>
      </c>
      <c r="EC10" s="50" t="s">
        <v>1318</v>
      </c>
      <c r="ED10" s="51" t="s">
        <v>1318</v>
      </c>
      <c r="EE10" s="51" t="s">
        <v>1318</v>
      </c>
      <c r="EF10" s="51" t="s">
        <v>1318</v>
      </c>
      <c r="EG10" s="42">
        <v>1977.9198000000004</v>
      </c>
      <c r="EH10" s="51"/>
      <c r="EI10" s="42">
        <v>1977.9198000000004</v>
      </c>
      <c r="EJ10" s="65"/>
      <c r="EK10" s="52">
        <f t="shared" si="9"/>
        <v>1935.0708999999999</v>
      </c>
      <c r="EL10" s="72">
        <f t="shared" si="11"/>
        <v>1935.0708999999999</v>
      </c>
      <c r="EM10" s="76" t="s">
        <v>145</v>
      </c>
      <c r="EN10" s="37" t="s">
        <v>1318</v>
      </c>
      <c r="EO10" s="37" t="s">
        <v>1318</v>
      </c>
      <c r="EP10" s="37" t="s">
        <v>1318</v>
      </c>
      <c r="EQ10" s="37" t="s">
        <v>1318</v>
      </c>
      <c r="ER10" s="41">
        <f>DR202</f>
        <v>316.524</v>
      </c>
      <c r="ES10" s="13">
        <f t="shared" si="10"/>
        <v>0.61135045051876002</v>
      </c>
      <c r="ET10" s="42">
        <f>DT202</f>
        <v>1935.0708999999999</v>
      </c>
      <c r="EU10" s="38">
        <f>COUNT(DT202)</f>
        <v>1</v>
      </c>
      <c r="EV10" s="37" t="s">
        <v>1318</v>
      </c>
      <c r="EW10" s="37" t="s">
        <v>1318</v>
      </c>
      <c r="EX10" s="37" t="s">
        <v>1318</v>
      </c>
      <c r="EY10" s="38" t="s">
        <v>1318</v>
      </c>
      <c r="EZ10" s="37" t="s">
        <v>1318</v>
      </c>
      <c r="FA10" s="37" t="s">
        <v>1318</v>
      </c>
      <c r="FB10" s="37" t="s">
        <v>1318</v>
      </c>
      <c r="FC10" s="45" t="s">
        <v>1318</v>
      </c>
      <c r="FD10" s="42">
        <f t="shared" si="6"/>
        <v>1935.0708999999999</v>
      </c>
      <c r="FE10" s="55" t="s">
        <v>1318</v>
      </c>
      <c r="FF10" s="55" t="s">
        <v>1318</v>
      </c>
      <c r="FG10" s="55" t="s">
        <v>1318</v>
      </c>
      <c r="FH10" s="45" t="s">
        <v>1318</v>
      </c>
      <c r="FI10" s="45" t="s">
        <v>1318</v>
      </c>
      <c r="FJ10" s="45" t="s">
        <v>1318</v>
      </c>
      <c r="FK10" s="45" t="s">
        <v>1318</v>
      </c>
      <c r="FL10" s="45" t="s">
        <v>1318</v>
      </c>
      <c r="FM10" s="37" t="s">
        <v>1318</v>
      </c>
      <c r="FN10" s="37" t="s">
        <v>1318</v>
      </c>
      <c r="FO10" s="41">
        <f>DX202</f>
        <v>449.6712</v>
      </c>
      <c r="FP10" s="55" t="s">
        <v>145</v>
      </c>
      <c r="FQ10" s="1" t="s">
        <v>2</v>
      </c>
      <c r="FR10" s="1" t="s">
        <v>118</v>
      </c>
      <c r="FS10" s="1" t="s">
        <v>119</v>
      </c>
      <c r="FV10" s="1" t="s">
        <v>2</v>
      </c>
    </row>
    <row r="11" spans="1:178" ht="16.25" customHeight="1" x14ac:dyDescent="0.2">
      <c r="A11" s="18" t="s">
        <v>177</v>
      </c>
      <c r="B11" s="1" t="s">
        <v>63</v>
      </c>
      <c r="C11" s="80" t="s">
        <v>1278</v>
      </c>
      <c r="D11" s="1" t="s">
        <v>69</v>
      </c>
      <c r="H11" s="1" t="s">
        <v>669</v>
      </c>
      <c r="J11" s="1" t="s">
        <v>70</v>
      </c>
      <c r="K11" s="1">
        <v>12.5</v>
      </c>
      <c r="L11" s="1">
        <v>0.11</v>
      </c>
      <c r="S11" s="1">
        <v>0.38</v>
      </c>
      <c r="T11" s="1">
        <v>2.5000000000000001E-2</v>
      </c>
      <c r="AF11" s="1">
        <v>6.1</v>
      </c>
      <c r="AG11" s="1">
        <v>0.08</v>
      </c>
      <c r="AN11" s="1">
        <v>0.59</v>
      </c>
      <c r="AO11" s="1">
        <v>2.1999999999999999E-2</v>
      </c>
      <c r="BA11" s="1">
        <v>6.1</v>
      </c>
      <c r="BB11" s="1">
        <v>0.06</v>
      </c>
      <c r="BI11" s="1">
        <v>0.27</v>
      </c>
      <c r="BJ11" s="1">
        <v>1.6E-2</v>
      </c>
      <c r="BV11" s="1">
        <v>0</v>
      </c>
      <c r="CQ11" s="1">
        <v>0</v>
      </c>
      <c r="DL11" s="18" t="s">
        <v>96</v>
      </c>
      <c r="DM11" s="1" t="s">
        <v>96</v>
      </c>
      <c r="DN11" s="1">
        <f t="shared" si="0"/>
        <v>0.40469635627530359</v>
      </c>
      <c r="DO11" s="1">
        <f t="shared" si="1"/>
        <v>2.203643724696356E-2</v>
      </c>
      <c r="DP11" s="1" t="s">
        <v>67</v>
      </c>
      <c r="DQ11" s="1" t="s">
        <v>2</v>
      </c>
      <c r="DR11" s="16">
        <f t="shared" si="2"/>
        <v>24.700000000000003</v>
      </c>
      <c r="DS11" s="100">
        <f t="shared" si="3"/>
        <v>0.40469635627530359</v>
      </c>
      <c r="DT11" s="101">
        <f t="shared" si="4"/>
        <v>99.96</v>
      </c>
      <c r="DV11" s="16">
        <f t="shared" si="5"/>
        <v>0</v>
      </c>
      <c r="DZ11" s="37" t="s">
        <v>2</v>
      </c>
      <c r="EA11" s="37" t="s">
        <v>82</v>
      </c>
      <c r="EB11" s="52">
        <f>15635.4229+7.909</f>
        <v>15643.331899999999</v>
      </c>
      <c r="EC11" s="50" t="s">
        <v>1318</v>
      </c>
      <c r="ED11" s="52">
        <v>1480.6010000000001</v>
      </c>
      <c r="EE11" s="51" t="s">
        <v>1318</v>
      </c>
      <c r="EF11" s="42">
        <v>21923.144605854432</v>
      </c>
      <c r="EG11" s="51" t="s">
        <v>1318</v>
      </c>
      <c r="EH11" s="52">
        <f>EF11-ED11</f>
        <v>20442.543605854433</v>
      </c>
      <c r="EI11" s="51"/>
      <c r="EJ11" s="42">
        <f t="shared" si="7"/>
        <v>23697.273043693451</v>
      </c>
      <c r="EK11" s="65"/>
      <c r="EL11" s="72">
        <f t="shared" ref="EL11:EL12" si="12">EB11+FD11</f>
        <v>39340.604943693448</v>
      </c>
      <c r="EM11" s="76" t="s">
        <v>82</v>
      </c>
      <c r="EN11" s="42">
        <f>SUM(DR208:DR267)</f>
        <v>6640.016945999997</v>
      </c>
      <c r="EO11" s="13">
        <f>100*(EP11/1000)/EN11</f>
        <v>0.30865319235773325</v>
      </c>
      <c r="EP11" s="42">
        <f>SUM(DT208:DT267)</f>
        <v>20494.624276923452</v>
      </c>
      <c r="EQ11" s="1">
        <f>COUNT(DT208:DT267)</f>
        <v>60</v>
      </c>
      <c r="ER11" s="37" t="s">
        <v>1318</v>
      </c>
      <c r="ES11" s="37" t="s">
        <v>1318</v>
      </c>
      <c r="ET11" s="37" t="s">
        <v>1318</v>
      </c>
      <c r="EU11" s="38" t="s">
        <v>1318</v>
      </c>
      <c r="EV11" s="42">
        <f>SUM(DR203:DR207)</f>
        <v>7652.2725740000005</v>
      </c>
      <c r="EW11" s="13">
        <f>100*(EX11/1000)/EV11</f>
        <v>4.1817224880912864E-2</v>
      </c>
      <c r="EX11" s="42">
        <f>SUM(DT203:DT207)</f>
        <v>3199.9680307699991</v>
      </c>
      <c r="EY11" s="38">
        <f>COUNT(DT203:DT207)</f>
        <v>5</v>
      </c>
      <c r="EZ11" s="41">
        <f>SUM(DR268:DR269)</f>
        <v>1.2791440000000001</v>
      </c>
      <c r="FA11" s="13">
        <f>100*(FB11/1000)/EZ11</f>
        <v>0.20957265171083161</v>
      </c>
      <c r="FB11" s="41">
        <f>SUM(DT268:DT269)</f>
        <v>2.680736</v>
      </c>
      <c r="FC11" s="45">
        <f>COUNT(DT268:DT269)</f>
        <v>2</v>
      </c>
      <c r="FD11" s="42">
        <f t="shared" si="6"/>
        <v>23697.273043693451</v>
      </c>
      <c r="FE11" s="42">
        <f>SUM(DV208:DV267)</f>
        <v>1235.0938599999999</v>
      </c>
      <c r="FF11" s="13">
        <f>100*(FG11/1000)/FE11</f>
        <v>0.45219141478041197</v>
      </c>
      <c r="FG11" s="42">
        <f>SUM(DX208:DX267)</f>
        <v>5584.9883994000002</v>
      </c>
      <c r="FH11" s="45">
        <f>COUNT(DX208:DX267)</f>
        <v>13</v>
      </c>
      <c r="FI11" s="45" t="s">
        <v>1318</v>
      </c>
      <c r="FJ11" s="45" t="s">
        <v>1318</v>
      </c>
      <c r="FK11" s="45" t="s">
        <v>1318</v>
      </c>
      <c r="FL11" s="45" t="s">
        <v>1318</v>
      </c>
      <c r="FM11" s="37" t="s">
        <v>1318</v>
      </c>
      <c r="FN11" s="37" t="s">
        <v>1318</v>
      </c>
      <c r="FO11" s="42">
        <f>SUM(FG11,FK11,FM11,FN11)</f>
        <v>5584.9883994000002</v>
      </c>
      <c r="FP11" s="55" t="s">
        <v>82</v>
      </c>
      <c r="FQ11" s="1" t="s">
        <v>2</v>
      </c>
      <c r="FR11" s="1" t="s">
        <v>118</v>
      </c>
      <c r="FV11" s="1" t="s">
        <v>2</v>
      </c>
    </row>
    <row r="12" spans="1:178" ht="16.25" customHeight="1" x14ac:dyDescent="0.2">
      <c r="A12" s="18" t="s">
        <v>177</v>
      </c>
      <c r="B12" s="1" t="s">
        <v>63</v>
      </c>
      <c r="C12" s="80" t="s">
        <v>814</v>
      </c>
      <c r="D12" s="1" t="s">
        <v>69</v>
      </c>
      <c r="H12" s="1" t="s">
        <v>131</v>
      </c>
      <c r="J12" s="1" t="s">
        <v>70</v>
      </c>
      <c r="K12" s="1">
        <v>0</v>
      </c>
      <c r="AF12" s="1">
        <v>0</v>
      </c>
      <c r="BA12" s="1">
        <v>1.0249999999999999</v>
      </c>
      <c r="BI12" s="1">
        <v>0.8</v>
      </c>
      <c r="BV12" s="1">
        <v>0</v>
      </c>
      <c r="CQ12" s="1">
        <v>0</v>
      </c>
      <c r="DL12" s="18" t="s">
        <v>96</v>
      </c>
      <c r="DN12" s="1">
        <f t="shared" si="0"/>
        <v>0.8</v>
      </c>
      <c r="DO12" s="1">
        <f t="shared" si="1"/>
        <v>0</v>
      </c>
      <c r="DP12" s="1" t="s">
        <v>148</v>
      </c>
      <c r="DQ12" s="1" t="s">
        <v>2</v>
      </c>
      <c r="DR12" s="16">
        <f t="shared" si="2"/>
        <v>1.0249999999999999</v>
      </c>
      <c r="DS12" s="16">
        <f t="shared" si="3"/>
        <v>0.8</v>
      </c>
      <c r="DT12" s="101">
        <f t="shared" si="4"/>
        <v>8.1999999999999993</v>
      </c>
      <c r="DV12" s="16">
        <f t="shared" si="5"/>
        <v>0</v>
      </c>
      <c r="DZ12" s="37" t="s">
        <v>2</v>
      </c>
      <c r="EA12" s="37" t="s">
        <v>105</v>
      </c>
      <c r="EB12" s="42">
        <v>2239.34</v>
      </c>
      <c r="EC12" s="50" t="s">
        <v>1318</v>
      </c>
      <c r="ED12" s="41">
        <v>699.64</v>
      </c>
      <c r="EE12" s="51" t="s">
        <v>1318</v>
      </c>
      <c r="EF12" s="52">
        <v>6002.1167999999998</v>
      </c>
      <c r="EG12" s="51" t="s">
        <v>1318</v>
      </c>
      <c r="EH12" s="52">
        <f>EF12-ED12</f>
        <v>5302.4767999999995</v>
      </c>
      <c r="EI12" s="51"/>
      <c r="EJ12" s="42">
        <f t="shared" si="7"/>
        <v>7588.4611172636251</v>
      </c>
      <c r="EK12" s="65"/>
      <c r="EL12" s="72">
        <f t="shared" si="12"/>
        <v>9827.8011172636252</v>
      </c>
      <c r="EM12" s="76" t="s">
        <v>105</v>
      </c>
      <c r="EN12" s="41">
        <f>SUM(DR270:DR284)</f>
        <v>994.80521646301906</v>
      </c>
      <c r="EO12" s="13">
        <f>100*(EP12/1000)/EN12</f>
        <v>0.76280873800039217</v>
      </c>
      <c r="EP12" s="42">
        <f>SUM(DT270:DT284)</f>
        <v>7588.4611172636251</v>
      </c>
      <c r="EQ12" s="1">
        <f>COUNT(DT270:DT284)</f>
        <v>15</v>
      </c>
      <c r="ER12" s="37" t="s">
        <v>1318</v>
      </c>
      <c r="ES12" s="37" t="s">
        <v>1318</v>
      </c>
      <c r="ET12" s="37" t="s">
        <v>1318</v>
      </c>
      <c r="EU12" s="38" t="s">
        <v>1318</v>
      </c>
      <c r="EV12" s="37" t="s">
        <v>1318</v>
      </c>
      <c r="EW12" s="37" t="s">
        <v>1318</v>
      </c>
      <c r="EX12" s="37" t="s">
        <v>1318</v>
      </c>
      <c r="EY12" s="38" t="s">
        <v>1318</v>
      </c>
      <c r="EZ12" s="37" t="s">
        <v>1318</v>
      </c>
      <c r="FA12" s="37" t="s">
        <v>1318</v>
      </c>
      <c r="FB12" s="37" t="s">
        <v>1318</v>
      </c>
      <c r="FC12" s="45" t="s">
        <v>1318</v>
      </c>
      <c r="FD12" s="42">
        <f t="shared" si="6"/>
        <v>7588.4611172636251</v>
      </c>
      <c r="FE12" s="41">
        <f>SUM(DV270:DV284)</f>
        <v>49.232658000000001</v>
      </c>
      <c r="FF12" s="13">
        <f>100*(FG12/1000)/FE12</f>
        <v>0.54142147921406147</v>
      </c>
      <c r="FG12" s="41">
        <f>SUM(DX270:DX284)</f>
        <v>266.55618519999996</v>
      </c>
      <c r="FH12" s="45">
        <f>COUNT(DX270:DX284)</f>
        <v>2</v>
      </c>
      <c r="FI12" s="45" t="s">
        <v>1318</v>
      </c>
      <c r="FJ12" s="45" t="s">
        <v>1318</v>
      </c>
      <c r="FK12" s="45" t="s">
        <v>1318</v>
      </c>
      <c r="FL12" s="45" t="s">
        <v>1318</v>
      </c>
      <c r="FM12" s="37" t="s">
        <v>1318</v>
      </c>
      <c r="FN12" s="37" t="s">
        <v>1318</v>
      </c>
      <c r="FO12" s="41">
        <f>SUM(FG12,FK12,FM12,FN12)</f>
        <v>266.55618519999996</v>
      </c>
      <c r="FP12" s="55" t="s">
        <v>105</v>
      </c>
      <c r="FQ12" s="1" t="s">
        <v>2</v>
      </c>
      <c r="FR12" s="1" t="s">
        <v>118</v>
      </c>
      <c r="FV12" s="1" t="s">
        <v>2</v>
      </c>
    </row>
    <row r="13" spans="1:178" ht="16.25" customHeight="1" x14ac:dyDescent="0.2">
      <c r="A13" s="18" t="s">
        <v>190</v>
      </c>
      <c r="B13" s="1" t="s">
        <v>63</v>
      </c>
      <c r="C13" s="80" t="s">
        <v>639</v>
      </c>
      <c r="D13" s="1" t="s">
        <v>71</v>
      </c>
      <c r="H13" s="1" t="s">
        <v>640</v>
      </c>
      <c r="J13" s="1" t="s">
        <v>204</v>
      </c>
      <c r="K13" s="1">
        <v>138.4</v>
      </c>
      <c r="S13" s="1">
        <v>1.01</v>
      </c>
      <c r="T13" s="1">
        <v>7.4999999999999997E-2</v>
      </c>
      <c r="AF13" s="1">
        <v>75.5</v>
      </c>
      <c r="AN13" s="1">
        <v>0.99</v>
      </c>
      <c r="AO13" s="1">
        <v>8.4000000000000005E-2</v>
      </c>
      <c r="BA13" s="1">
        <v>17</v>
      </c>
      <c r="BI13" s="1">
        <v>0.9</v>
      </c>
      <c r="BJ13" s="1">
        <v>7.0000000000000007E-2</v>
      </c>
      <c r="BV13" s="1">
        <v>83.1</v>
      </c>
      <c r="CD13" s="1">
        <v>1.05</v>
      </c>
      <c r="CE13" s="1">
        <v>8.2000000000000003E-2</v>
      </c>
      <c r="CQ13" s="1">
        <v>18.5</v>
      </c>
      <c r="CY13" s="1">
        <v>1.05</v>
      </c>
      <c r="CZ13" s="1">
        <v>7.8E-2</v>
      </c>
      <c r="DL13" s="18" t="s">
        <v>96</v>
      </c>
      <c r="DM13" s="1" t="s">
        <v>96</v>
      </c>
      <c r="DN13" s="1">
        <f t="shared" si="0"/>
        <v>0.99536162841056752</v>
      </c>
      <c r="DO13" s="1">
        <f t="shared" si="1"/>
        <v>7.7574707665656134E-2</v>
      </c>
      <c r="DP13" s="1" t="s">
        <v>67</v>
      </c>
      <c r="DQ13" s="1" t="s">
        <v>2</v>
      </c>
      <c r="DR13" s="16">
        <f t="shared" si="2"/>
        <v>230.9</v>
      </c>
      <c r="DS13" s="100">
        <f t="shared" si="3"/>
        <v>0.99536162841056752</v>
      </c>
      <c r="DT13" s="102">
        <f t="shared" si="4"/>
        <v>2298.2900000000004</v>
      </c>
      <c r="DV13" s="16">
        <f t="shared" si="5"/>
        <v>101.6</v>
      </c>
      <c r="DW13" s="100">
        <f>(BV13*CD13+CQ13*CY13)/DV13</f>
        <v>1.05</v>
      </c>
      <c r="DX13" s="102">
        <f>1000*DV13*DW13/100</f>
        <v>1066.8</v>
      </c>
      <c r="DZ13" s="37" t="s">
        <v>2</v>
      </c>
      <c r="EA13" s="37" t="s">
        <v>135</v>
      </c>
      <c r="EB13" s="50" t="s">
        <v>1318</v>
      </c>
      <c r="EC13" s="42">
        <v>1650.88114</v>
      </c>
      <c r="ED13" s="51" t="s">
        <v>1318</v>
      </c>
      <c r="EE13" s="51">
        <v>373.7</v>
      </c>
      <c r="EF13" s="51" t="s">
        <v>1318</v>
      </c>
      <c r="EG13" s="52">
        <v>3227</v>
      </c>
      <c r="EH13" s="51"/>
      <c r="EI13" s="52">
        <f t="shared" ref="EH13:EI20" si="13">EG13-EE13</f>
        <v>2853.3</v>
      </c>
      <c r="EJ13" s="65"/>
      <c r="EK13" s="52">
        <f t="shared" ref="EK13:EK40" si="14">ET13</f>
        <v>2293</v>
      </c>
      <c r="EL13" s="72">
        <f t="shared" ref="EL13:EL16" si="15">EC13+FD13</f>
        <v>3943.88114</v>
      </c>
      <c r="EM13" s="76" t="s">
        <v>135</v>
      </c>
      <c r="EN13" s="37" t="s">
        <v>1318</v>
      </c>
      <c r="EO13" s="37" t="s">
        <v>1318</v>
      </c>
      <c r="EP13" s="37" t="s">
        <v>1318</v>
      </c>
      <c r="EQ13" s="37" t="s">
        <v>1318</v>
      </c>
      <c r="ER13" s="41">
        <f>DR285</f>
        <v>266</v>
      </c>
      <c r="ES13" s="13">
        <f t="shared" ref="ES13:ES17" si="16">100*(ET13/1000)/ER13</f>
        <v>0.86203007518796992</v>
      </c>
      <c r="ET13" s="42">
        <f>DT285</f>
        <v>2293</v>
      </c>
      <c r="EU13" s="38">
        <f>COUNT(DT285)</f>
        <v>1</v>
      </c>
      <c r="EV13" s="37" t="s">
        <v>1318</v>
      </c>
      <c r="EW13" s="37" t="s">
        <v>1318</v>
      </c>
      <c r="EX13" s="37" t="s">
        <v>1318</v>
      </c>
      <c r="EY13" s="38" t="s">
        <v>1318</v>
      </c>
      <c r="EZ13" s="37" t="s">
        <v>1318</v>
      </c>
      <c r="FA13" s="37" t="s">
        <v>1318</v>
      </c>
      <c r="FB13" s="37" t="s">
        <v>1318</v>
      </c>
      <c r="FC13" s="45" t="s">
        <v>1318</v>
      </c>
      <c r="FD13" s="42">
        <f t="shared" si="6"/>
        <v>2293</v>
      </c>
      <c r="FE13" s="55" t="s">
        <v>1318</v>
      </c>
      <c r="FF13" s="55" t="s">
        <v>1318</v>
      </c>
      <c r="FG13" s="55" t="s">
        <v>1318</v>
      </c>
      <c r="FH13" s="45" t="s">
        <v>1318</v>
      </c>
      <c r="FI13" s="41">
        <f>DV285</f>
        <v>37.200000000000003</v>
      </c>
      <c r="FJ13" s="13">
        <f>100*(FK13/1000)/FI13</f>
        <v>1.2376344086021505</v>
      </c>
      <c r="FK13" s="42">
        <f>DX285</f>
        <v>460.4</v>
      </c>
      <c r="FL13" s="45">
        <f>COUNT(DX285)</f>
        <v>1</v>
      </c>
      <c r="FM13" s="37" t="s">
        <v>1318</v>
      </c>
      <c r="FN13" s="37" t="s">
        <v>1318</v>
      </c>
      <c r="FO13" s="41">
        <f>SUM(FG13,FK13,FM13,FN13)</f>
        <v>460.4</v>
      </c>
      <c r="FP13" s="55" t="s">
        <v>135</v>
      </c>
      <c r="FQ13" s="1" t="s">
        <v>2</v>
      </c>
      <c r="FR13" s="1" t="s">
        <v>31</v>
      </c>
      <c r="FS13" s="1" t="s">
        <v>230</v>
      </c>
      <c r="FT13" s="1" t="s">
        <v>230</v>
      </c>
      <c r="FV13" s="1" t="s">
        <v>2</v>
      </c>
    </row>
    <row r="14" spans="1:178" ht="16.25" customHeight="1" x14ac:dyDescent="0.2">
      <c r="A14" s="18" t="s">
        <v>190</v>
      </c>
      <c r="B14" s="1" t="s">
        <v>63</v>
      </c>
      <c r="C14" s="21" t="s">
        <v>543</v>
      </c>
      <c r="D14" s="1" t="s">
        <v>518</v>
      </c>
      <c r="G14" s="1" t="s">
        <v>72</v>
      </c>
      <c r="H14" s="1" t="s">
        <v>544</v>
      </c>
      <c r="J14" s="1" t="s">
        <v>204</v>
      </c>
      <c r="K14" s="1">
        <v>0</v>
      </c>
      <c r="AF14" s="1">
        <v>0</v>
      </c>
      <c r="BA14" s="1">
        <v>14.2</v>
      </c>
      <c r="BI14" s="1">
        <v>0.84</v>
      </c>
      <c r="BJ14" s="1">
        <v>0.05</v>
      </c>
      <c r="BV14" s="1">
        <v>0</v>
      </c>
      <c r="CQ14" s="1">
        <v>0</v>
      </c>
      <c r="DL14" s="18" t="s">
        <v>96</v>
      </c>
      <c r="DM14" s="1" t="s">
        <v>96</v>
      </c>
      <c r="DN14" s="1">
        <f t="shared" si="0"/>
        <v>0.84</v>
      </c>
      <c r="DO14" s="1">
        <f t="shared" si="1"/>
        <v>0.05</v>
      </c>
      <c r="DP14" s="1" t="s">
        <v>67</v>
      </c>
      <c r="DQ14" s="1" t="s">
        <v>2</v>
      </c>
      <c r="DR14" s="16">
        <f t="shared" si="2"/>
        <v>14.2</v>
      </c>
      <c r="DS14" s="16">
        <f t="shared" si="3"/>
        <v>0.84</v>
      </c>
      <c r="DT14" s="101">
        <f t="shared" si="4"/>
        <v>119.28</v>
      </c>
      <c r="DV14" s="16">
        <f t="shared" si="5"/>
        <v>0</v>
      </c>
      <c r="DZ14" s="37" t="s">
        <v>2</v>
      </c>
      <c r="EA14" s="37" t="s">
        <v>84</v>
      </c>
      <c r="EB14" s="50" t="s">
        <v>1318</v>
      </c>
      <c r="EC14" s="5">
        <v>12.7</v>
      </c>
      <c r="ED14" s="51" t="s">
        <v>1318</v>
      </c>
      <c r="EE14" s="64">
        <v>12.7</v>
      </c>
      <c r="EF14" s="51" t="s">
        <v>1318</v>
      </c>
      <c r="EG14" s="42">
        <v>4277.8</v>
      </c>
      <c r="EH14" s="51"/>
      <c r="EI14" s="42">
        <f t="shared" si="13"/>
        <v>4265.1000000000004</v>
      </c>
      <c r="EJ14" s="67">
        <f t="shared" si="7"/>
        <v>97.533599999999993</v>
      </c>
      <c r="EK14" s="52">
        <f t="shared" si="14"/>
        <v>4277.8</v>
      </c>
      <c r="EL14" s="72">
        <f t="shared" si="15"/>
        <v>4388.0335999999998</v>
      </c>
      <c r="EM14" s="76" t="s">
        <v>84</v>
      </c>
      <c r="EN14" s="41">
        <f>DR287</f>
        <v>40.639000000000003</v>
      </c>
      <c r="EO14" s="13">
        <f>100*(EP14/1000)/EN14</f>
        <v>0.24</v>
      </c>
      <c r="EP14" s="41">
        <f>DT287</f>
        <v>97.533599999999993</v>
      </c>
      <c r="EQ14" s="38">
        <f>COUNT(DT287)</f>
        <v>1</v>
      </c>
      <c r="ER14" s="41">
        <f>DR286</f>
        <v>293</v>
      </c>
      <c r="ES14" s="13">
        <f t="shared" si="16"/>
        <v>1.4600000000000002</v>
      </c>
      <c r="ET14" s="42">
        <f>DT286</f>
        <v>4277.8</v>
      </c>
      <c r="EU14" s="38">
        <f>COUNT(DT286)</f>
        <v>1</v>
      </c>
      <c r="EV14" s="37" t="s">
        <v>1318</v>
      </c>
      <c r="EW14" s="37" t="s">
        <v>1318</v>
      </c>
      <c r="EX14" s="37" t="s">
        <v>1318</v>
      </c>
      <c r="EY14" s="38" t="s">
        <v>1318</v>
      </c>
      <c r="EZ14" s="37" t="s">
        <v>1318</v>
      </c>
      <c r="FA14" s="37" t="s">
        <v>1318</v>
      </c>
      <c r="FB14" s="37" t="s">
        <v>1318</v>
      </c>
      <c r="FC14" s="45" t="s">
        <v>1318</v>
      </c>
      <c r="FD14" s="42">
        <f t="shared" si="6"/>
        <v>4375.3335999999999</v>
      </c>
      <c r="FE14" s="55" t="s">
        <v>1318</v>
      </c>
      <c r="FF14" s="55" t="s">
        <v>1318</v>
      </c>
      <c r="FG14" s="55" t="s">
        <v>1318</v>
      </c>
      <c r="FH14" s="45" t="s">
        <v>1318</v>
      </c>
      <c r="FI14" s="45" t="s">
        <v>1318</v>
      </c>
      <c r="FJ14" s="45" t="s">
        <v>1318</v>
      </c>
      <c r="FK14" s="45" t="s">
        <v>1318</v>
      </c>
      <c r="FL14" s="45" t="s">
        <v>1318</v>
      </c>
      <c r="FM14" s="37" t="s">
        <v>1318</v>
      </c>
      <c r="FN14" s="37" t="s">
        <v>1318</v>
      </c>
      <c r="FO14" s="37" t="s">
        <v>1318</v>
      </c>
      <c r="FP14" s="55" t="s">
        <v>84</v>
      </c>
      <c r="FQ14" s="1" t="s">
        <v>2</v>
      </c>
      <c r="FR14" s="1" t="s">
        <v>31</v>
      </c>
      <c r="FS14" s="1" t="s">
        <v>230</v>
      </c>
      <c r="FT14" s="1" t="s">
        <v>230</v>
      </c>
      <c r="FV14" s="1" t="s">
        <v>2</v>
      </c>
    </row>
    <row r="15" spans="1:178" ht="16.25" customHeight="1" x14ac:dyDescent="0.2">
      <c r="A15" s="18" t="s">
        <v>190</v>
      </c>
      <c r="B15" s="1" t="s">
        <v>63</v>
      </c>
      <c r="C15" s="80" t="s">
        <v>1186</v>
      </c>
      <c r="H15" s="1" t="s">
        <v>1009</v>
      </c>
      <c r="J15" s="1" t="s">
        <v>204</v>
      </c>
      <c r="K15" s="1">
        <v>0</v>
      </c>
      <c r="AF15" s="1">
        <v>15.9</v>
      </c>
      <c r="AN15" s="1">
        <v>1.06</v>
      </c>
      <c r="AO15" s="1">
        <v>0.06</v>
      </c>
      <c r="BA15" s="14">
        <v>24</v>
      </c>
      <c r="BI15" s="1">
        <v>0.79</v>
      </c>
      <c r="BJ15" s="1">
        <v>0.05</v>
      </c>
      <c r="BV15" s="1">
        <v>0</v>
      </c>
      <c r="CQ15" s="1">
        <v>0</v>
      </c>
      <c r="DL15" s="18" t="s">
        <v>96</v>
      </c>
      <c r="DM15" s="1" t="s">
        <v>96</v>
      </c>
      <c r="DN15" s="1">
        <f t="shared" si="0"/>
        <v>0.89759398496240628</v>
      </c>
      <c r="DO15" s="1">
        <f t="shared" si="1"/>
        <v>5.3984962406015038E-2</v>
      </c>
      <c r="DP15" s="1" t="s">
        <v>67</v>
      </c>
      <c r="DQ15" s="1" t="s">
        <v>2</v>
      </c>
      <c r="DR15" s="16">
        <f t="shared" si="2"/>
        <v>39.9</v>
      </c>
      <c r="DS15" s="100">
        <f t="shared" si="3"/>
        <v>0.89759398496240628</v>
      </c>
      <c r="DT15" s="101">
        <f t="shared" si="4"/>
        <v>358.1400000000001</v>
      </c>
      <c r="DV15" s="16">
        <f t="shared" si="5"/>
        <v>0</v>
      </c>
      <c r="DZ15" s="37" t="s">
        <v>2</v>
      </c>
      <c r="EA15" s="37" t="s">
        <v>142</v>
      </c>
      <c r="EB15" s="50" t="s">
        <v>1318</v>
      </c>
      <c r="EC15" s="42">
        <v>2771.3850000000002</v>
      </c>
      <c r="ED15" s="51" t="s">
        <v>1318</v>
      </c>
      <c r="EE15" s="64">
        <v>368.1</v>
      </c>
      <c r="EF15" s="51" t="s">
        <v>1318</v>
      </c>
      <c r="EG15" s="52">
        <v>16173.66129</v>
      </c>
      <c r="EH15" s="51"/>
      <c r="EI15" s="52">
        <f t="shared" si="13"/>
        <v>15805.56129</v>
      </c>
      <c r="EJ15" s="65"/>
      <c r="EK15" s="52">
        <f t="shared" si="14"/>
        <v>16149.746000000001</v>
      </c>
      <c r="EL15" s="72">
        <f t="shared" si="15"/>
        <v>18921.131000000001</v>
      </c>
      <c r="EM15" s="76" t="s">
        <v>142</v>
      </c>
      <c r="EN15" s="37" t="s">
        <v>1318</v>
      </c>
      <c r="EO15" s="37" t="s">
        <v>1318</v>
      </c>
      <c r="EP15" s="37" t="s">
        <v>1318</v>
      </c>
      <c r="EQ15" s="37" t="s">
        <v>1318</v>
      </c>
      <c r="ER15" s="42">
        <f>SUM(DR288:DR296)</f>
        <v>1403.2</v>
      </c>
      <c r="ES15" s="13">
        <f t="shared" si="16"/>
        <v>1.150922605473204</v>
      </c>
      <c r="ET15" s="42">
        <f>SUM(DT288:DT296)</f>
        <v>16149.746000000001</v>
      </c>
      <c r="EU15" s="38">
        <f>COUNT(DT288:DT296)</f>
        <v>9</v>
      </c>
      <c r="EV15" s="37" t="s">
        <v>1318</v>
      </c>
      <c r="EW15" s="37" t="s">
        <v>1318</v>
      </c>
      <c r="EX15" s="37" t="s">
        <v>1318</v>
      </c>
      <c r="EY15" s="38" t="s">
        <v>1318</v>
      </c>
      <c r="EZ15" s="37" t="s">
        <v>1318</v>
      </c>
      <c r="FA15" s="37" t="s">
        <v>1318</v>
      </c>
      <c r="FB15" s="37" t="s">
        <v>1318</v>
      </c>
      <c r="FC15" s="45" t="s">
        <v>1318</v>
      </c>
      <c r="FD15" s="42">
        <f t="shared" si="6"/>
        <v>16149.746000000001</v>
      </c>
      <c r="FE15" s="55" t="s">
        <v>1318</v>
      </c>
      <c r="FF15" s="55" t="s">
        <v>1318</v>
      </c>
      <c r="FG15" s="55" t="s">
        <v>1318</v>
      </c>
      <c r="FH15" s="45" t="s">
        <v>1318</v>
      </c>
      <c r="FI15" s="41">
        <f>SUM(DV288:DV296)</f>
        <v>53.5</v>
      </c>
      <c r="FJ15" s="13">
        <f>100*(FK15/1000)/FI15</f>
        <v>1.1634953271028037</v>
      </c>
      <c r="FK15" s="41">
        <f>SUM(DX288:DX296)</f>
        <v>622.46999999999991</v>
      </c>
      <c r="FL15" s="45">
        <f>COUNT(DX288:DX296)</f>
        <v>3</v>
      </c>
      <c r="FM15" s="37" t="s">
        <v>1318</v>
      </c>
      <c r="FN15" s="37" t="s">
        <v>1318</v>
      </c>
      <c r="FO15" s="41">
        <f>SUM(FG15,FK15,FM15,FN15)</f>
        <v>622.46999999999991</v>
      </c>
      <c r="FP15" s="55" t="s">
        <v>142</v>
      </c>
      <c r="FQ15" s="1" t="s">
        <v>2</v>
      </c>
      <c r="FR15" s="1" t="s">
        <v>31</v>
      </c>
      <c r="FS15" s="1" t="s">
        <v>230</v>
      </c>
      <c r="FT15" s="1" t="s">
        <v>230</v>
      </c>
      <c r="FV15" s="1" t="s">
        <v>2</v>
      </c>
    </row>
    <row r="16" spans="1:178" ht="16.25" customHeight="1" x14ac:dyDescent="0.2">
      <c r="A16" s="18" t="s">
        <v>190</v>
      </c>
      <c r="B16" s="1" t="s">
        <v>63</v>
      </c>
      <c r="C16" s="80" t="s">
        <v>1187</v>
      </c>
      <c r="H16" s="1" t="s">
        <v>1009</v>
      </c>
      <c r="J16" s="1" t="s">
        <v>211</v>
      </c>
      <c r="K16" s="1">
        <v>0</v>
      </c>
      <c r="AF16" s="1">
        <v>0</v>
      </c>
      <c r="BA16" s="11">
        <v>1</v>
      </c>
      <c r="BI16" s="11">
        <v>1</v>
      </c>
      <c r="BV16" s="1">
        <v>0</v>
      </c>
      <c r="CQ16" s="1">
        <v>0</v>
      </c>
      <c r="DL16" s="18" t="s">
        <v>163</v>
      </c>
      <c r="DN16" s="1">
        <f t="shared" si="0"/>
        <v>1</v>
      </c>
      <c r="DO16" s="1">
        <f t="shared" si="1"/>
        <v>0</v>
      </c>
      <c r="DP16" s="1" t="s">
        <v>148</v>
      </c>
      <c r="DQ16" s="1" t="s">
        <v>2</v>
      </c>
      <c r="DR16" s="16">
        <f t="shared" si="2"/>
        <v>1</v>
      </c>
      <c r="DS16" s="16">
        <f t="shared" si="3"/>
        <v>1</v>
      </c>
      <c r="DT16" s="101">
        <f t="shared" si="4"/>
        <v>10</v>
      </c>
      <c r="DV16" s="16">
        <f t="shared" si="5"/>
        <v>0</v>
      </c>
      <c r="DZ16" s="37" t="s">
        <v>2</v>
      </c>
      <c r="EA16" s="37" t="s">
        <v>139</v>
      </c>
      <c r="EB16" s="50" t="s">
        <v>1318</v>
      </c>
      <c r="EC16" s="42">
        <v>1241.2460000000001</v>
      </c>
      <c r="ED16" s="51" t="s">
        <v>1318</v>
      </c>
      <c r="EE16" s="64">
        <v>69.3</v>
      </c>
      <c r="EF16" s="51" t="s">
        <v>1318</v>
      </c>
      <c r="EG16" s="52">
        <v>1282.6999999999998</v>
      </c>
      <c r="EH16" s="51"/>
      <c r="EI16" s="52">
        <f t="shared" si="13"/>
        <v>1213.3999999999999</v>
      </c>
      <c r="EJ16" s="65"/>
      <c r="EK16" s="52">
        <f t="shared" si="14"/>
        <v>1212.2300000000002</v>
      </c>
      <c r="EL16" s="72">
        <f t="shared" si="15"/>
        <v>2453.4760000000006</v>
      </c>
      <c r="EM16" s="76" t="s">
        <v>139</v>
      </c>
      <c r="EN16" s="37" t="s">
        <v>1318</v>
      </c>
      <c r="EO16" s="37" t="s">
        <v>1318</v>
      </c>
      <c r="EP16" s="37" t="s">
        <v>1318</v>
      </c>
      <c r="EQ16" s="37" t="s">
        <v>1318</v>
      </c>
      <c r="ER16" s="41">
        <f>SUM(DR297:DR298)</f>
        <v>82.7</v>
      </c>
      <c r="ES16" s="13">
        <f t="shared" si="16"/>
        <v>1.4658162031438937</v>
      </c>
      <c r="ET16" s="42">
        <f>SUM(DT297:DT298)</f>
        <v>1212.2300000000002</v>
      </c>
      <c r="EU16" s="38">
        <f>COUNT(DT297:DT298)</f>
        <v>2</v>
      </c>
      <c r="EV16" s="37" t="s">
        <v>1318</v>
      </c>
      <c r="EW16" s="37" t="s">
        <v>1318</v>
      </c>
      <c r="EX16" s="37" t="s">
        <v>1318</v>
      </c>
      <c r="EY16" s="38" t="s">
        <v>1318</v>
      </c>
      <c r="EZ16" s="37" t="s">
        <v>1318</v>
      </c>
      <c r="FA16" s="37" t="s">
        <v>1318</v>
      </c>
      <c r="FB16" s="37" t="s">
        <v>1318</v>
      </c>
      <c r="FC16" s="45" t="s">
        <v>1318</v>
      </c>
      <c r="FD16" s="42">
        <f t="shared" si="6"/>
        <v>1212.2300000000002</v>
      </c>
      <c r="FE16" s="55" t="s">
        <v>1318</v>
      </c>
      <c r="FF16" s="55" t="s">
        <v>1318</v>
      </c>
      <c r="FG16" s="55" t="s">
        <v>1318</v>
      </c>
      <c r="FH16" s="45" t="s">
        <v>1318</v>
      </c>
      <c r="FI16" s="41">
        <f>SUM(DV297:DV298)</f>
        <v>71.2</v>
      </c>
      <c r="FJ16" s="13">
        <f>100*(FK16/1000)/FI16</f>
        <v>1.309550561797753</v>
      </c>
      <c r="FK16" s="42">
        <f>SUM(DX297:DX298)</f>
        <v>932.40000000000009</v>
      </c>
      <c r="FL16" s="45">
        <f>COUNT(DX297:DX298)</f>
        <v>1</v>
      </c>
      <c r="FM16" s="37" t="s">
        <v>1318</v>
      </c>
      <c r="FN16" s="37" t="s">
        <v>1318</v>
      </c>
      <c r="FO16" s="41">
        <f>SUM(FG16,FK16,FM16,FN16)</f>
        <v>932.40000000000009</v>
      </c>
      <c r="FP16" s="55" t="s">
        <v>139</v>
      </c>
      <c r="FQ16" s="1" t="s">
        <v>2</v>
      </c>
      <c r="FR16" s="1" t="s">
        <v>31</v>
      </c>
      <c r="FS16" s="1" t="s">
        <v>230</v>
      </c>
      <c r="FT16" s="1" t="s">
        <v>230</v>
      </c>
      <c r="FV16" s="1" t="s">
        <v>2</v>
      </c>
    </row>
    <row r="17" spans="1:178" ht="16.25" customHeight="1" x14ac:dyDescent="0.2">
      <c r="A17" s="18" t="s">
        <v>190</v>
      </c>
      <c r="B17" s="1" t="s">
        <v>63</v>
      </c>
      <c r="C17" s="21" t="s">
        <v>1129</v>
      </c>
      <c r="D17" s="1" t="s">
        <v>64</v>
      </c>
      <c r="H17" s="1" t="s">
        <v>1130</v>
      </c>
      <c r="J17" s="1" t="s">
        <v>92</v>
      </c>
      <c r="K17" s="1">
        <v>1.6</v>
      </c>
      <c r="S17" s="13">
        <v>1.2</v>
      </c>
      <c r="T17" s="1">
        <v>7.8E-2</v>
      </c>
      <c r="AF17" s="1">
        <v>1.5</v>
      </c>
      <c r="AN17" s="1">
        <v>1.01</v>
      </c>
      <c r="AO17" s="1">
        <v>7.2999999999999995E-2</v>
      </c>
      <c r="BA17" s="1">
        <v>1.4</v>
      </c>
      <c r="BI17" s="1">
        <v>0.95</v>
      </c>
      <c r="BJ17" s="1">
        <v>7.3999999999999996E-2</v>
      </c>
      <c r="BV17" s="1">
        <v>0</v>
      </c>
      <c r="CQ17" s="1">
        <v>4.7</v>
      </c>
      <c r="CY17" s="1">
        <v>0.91</v>
      </c>
      <c r="CZ17" s="1">
        <v>0.06</v>
      </c>
      <c r="DL17" s="18" t="s">
        <v>96</v>
      </c>
      <c r="DM17" s="1" t="s">
        <v>96</v>
      </c>
      <c r="DN17" s="1">
        <f t="shared" si="0"/>
        <v>1.0588888888888888</v>
      </c>
      <c r="DO17" s="1">
        <f t="shared" si="1"/>
        <v>7.5088888888888886E-2</v>
      </c>
      <c r="DP17" s="1" t="s">
        <v>67</v>
      </c>
      <c r="DQ17" s="1" t="s">
        <v>2</v>
      </c>
      <c r="DR17" s="16">
        <f t="shared" si="2"/>
        <v>4.5</v>
      </c>
      <c r="DS17" s="100">
        <f t="shared" si="3"/>
        <v>1.0588888888888888</v>
      </c>
      <c r="DT17" s="101">
        <f t="shared" si="4"/>
        <v>47.649999999999991</v>
      </c>
      <c r="DV17" s="16">
        <f t="shared" si="5"/>
        <v>4.7</v>
      </c>
      <c r="DW17" s="100">
        <f>(BV17*CD17+CQ17*CY17)/DV17</f>
        <v>0.91</v>
      </c>
      <c r="DX17" s="101">
        <f>1000*DV17*DW17/100</f>
        <v>42.77</v>
      </c>
      <c r="DZ17" s="37" t="s">
        <v>2</v>
      </c>
      <c r="EA17" s="37" t="s">
        <v>146</v>
      </c>
      <c r="EB17" s="50" t="s">
        <v>1318</v>
      </c>
      <c r="EC17" s="50" t="s">
        <v>1318</v>
      </c>
      <c r="ED17" s="51" t="s">
        <v>1318</v>
      </c>
      <c r="EE17" s="51" t="s">
        <v>1318</v>
      </c>
      <c r="EF17" s="51" t="s">
        <v>1318</v>
      </c>
      <c r="EG17" s="52">
        <v>221</v>
      </c>
      <c r="EH17" s="51"/>
      <c r="EI17" s="52">
        <v>221</v>
      </c>
      <c r="EJ17" s="65"/>
      <c r="EK17" s="67">
        <f t="shared" si="14"/>
        <v>221</v>
      </c>
      <c r="EL17" s="14">
        <f>FD17</f>
        <v>221</v>
      </c>
      <c r="EM17" s="76" t="s">
        <v>146</v>
      </c>
      <c r="EN17" s="37" t="s">
        <v>1318</v>
      </c>
      <c r="EO17" s="37" t="s">
        <v>1318</v>
      </c>
      <c r="EP17" s="37" t="s">
        <v>1318</v>
      </c>
      <c r="EQ17" s="37" t="s">
        <v>1318</v>
      </c>
      <c r="ER17" s="41">
        <f>DR299</f>
        <v>17</v>
      </c>
      <c r="ES17" s="13">
        <f t="shared" si="16"/>
        <v>1.3</v>
      </c>
      <c r="ET17" s="41">
        <f>DT299</f>
        <v>221</v>
      </c>
      <c r="EU17" s="38">
        <f>COUNT(DT299)</f>
        <v>1</v>
      </c>
      <c r="EV17" s="37" t="s">
        <v>1318</v>
      </c>
      <c r="EW17" s="37" t="s">
        <v>1318</v>
      </c>
      <c r="EX17" s="37" t="s">
        <v>1318</v>
      </c>
      <c r="EY17" s="38" t="s">
        <v>1318</v>
      </c>
      <c r="EZ17" s="37" t="s">
        <v>1318</v>
      </c>
      <c r="FA17" s="37" t="s">
        <v>1318</v>
      </c>
      <c r="FB17" s="37" t="s">
        <v>1318</v>
      </c>
      <c r="FC17" s="45" t="s">
        <v>1318</v>
      </c>
      <c r="FD17" s="42">
        <f t="shared" si="6"/>
        <v>221</v>
      </c>
      <c r="FE17" s="55" t="s">
        <v>1318</v>
      </c>
      <c r="FF17" s="55" t="s">
        <v>1318</v>
      </c>
      <c r="FG17" s="55" t="s">
        <v>1318</v>
      </c>
      <c r="FH17" s="45" t="s">
        <v>1318</v>
      </c>
      <c r="FI17" s="45" t="s">
        <v>1318</v>
      </c>
      <c r="FJ17" s="45" t="s">
        <v>1318</v>
      </c>
      <c r="FK17" s="45" t="s">
        <v>1318</v>
      </c>
      <c r="FL17" s="45" t="s">
        <v>1318</v>
      </c>
      <c r="FM17" s="37" t="s">
        <v>1318</v>
      </c>
      <c r="FN17" s="37" t="s">
        <v>1318</v>
      </c>
      <c r="FO17" s="37" t="s">
        <v>1318</v>
      </c>
      <c r="FP17" s="55" t="s">
        <v>146</v>
      </c>
      <c r="FQ17" s="1" t="s">
        <v>2</v>
      </c>
      <c r="FR17" s="1" t="s">
        <v>31</v>
      </c>
      <c r="FS17" s="1" t="s">
        <v>230</v>
      </c>
      <c r="FT17" s="1" t="s">
        <v>230</v>
      </c>
      <c r="FV17" s="1" t="s">
        <v>2</v>
      </c>
    </row>
    <row r="18" spans="1:178" ht="16.25" customHeight="1" x14ac:dyDescent="0.2">
      <c r="A18" s="18" t="s">
        <v>190</v>
      </c>
      <c r="B18" s="1" t="s">
        <v>63</v>
      </c>
      <c r="C18" s="80" t="s">
        <v>592</v>
      </c>
      <c r="D18" s="1" t="s">
        <v>69</v>
      </c>
      <c r="H18" s="1" t="s">
        <v>593</v>
      </c>
      <c r="J18" s="1" t="s">
        <v>92</v>
      </c>
      <c r="K18" s="1">
        <v>8.8000000000000007</v>
      </c>
      <c r="S18" s="1">
        <v>1.1000000000000001</v>
      </c>
      <c r="T18" s="1">
        <v>6.3E-2</v>
      </c>
      <c r="AF18" s="1">
        <v>12.7</v>
      </c>
      <c r="AN18" s="1">
        <v>1.0900000000000001</v>
      </c>
      <c r="AO18" s="1">
        <v>7.9000000000000001E-2</v>
      </c>
      <c r="BA18" s="1">
        <v>4.5</v>
      </c>
      <c r="BI18" s="1">
        <v>0.98</v>
      </c>
      <c r="BJ18" s="1">
        <v>5.0999999999999997E-2</v>
      </c>
      <c r="BV18" s="1">
        <v>0</v>
      </c>
      <c r="CQ18" s="1">
        <v>27.9</v>
      </c>
      <c r="CY18" s="1">
        <v>0.96</v>
      </c>
      <c r="CZ18" s="1">
        <v>0.06</v>
      </c>
      <c r="DL18" s="18" t="s">
        <v>96</v>
      </c>
      <c r="DM18" s="1" t="s">
        <v>96</v>
      </c>
      <c r="DN18" s="1">
        <f t="shared" si="0"/>
        <v>1.0743461538461541</v>
      </c>
      <c r="DO18" s="1">
        <f t="shared" si="1"/>
        <v>6.873846153846154E-2</v>
      </c>
      <c r="DP18" s="1" t="s">
        <v>67</v>
      </c>
      <c r="DQ18" s="1" t="s">
        <v>2</v>
      </c>
      <c r="DR18" s="16">
        <f t="shared" si="2"/>
        <v>26</v>
      </c>
      <c r="DS18" s="100">
        <f t="shared" si="3"/>
        <v>1.0743461538461541</v>
      </c>
      <c r="DT18" s="101">
        <f t="shared" si="4"/>
        <v>279.3300000000001</v>
      </c>
      <c r="DV18" s="16">
        <f t="shared" si="5"/>
        <v>27.9</v>
      </c>
      <c r="DW18" s="100">
        <f>(BV18*CD18+CQ18*CY18)/DV18</f>
        <v>0.96</v>
      </c>
      <c r="DX18" s="101">
        <f>1000*DV18*DW18/100</f>
        <v>267.83999999999997</v>
      </c>
      <c r="DZ18" s="37" t="s">
        <v>2</v>
      </c>
      <c r="EA18" s="37" t="s">
        <v>103</v>
      </c>
      <c r="EB18" s="14">
        <f>451.333+4.343</f>
        <v>455.67600000000004</v>
      </c>
      <c r="EC18" s="50" t="s">
        <v>1318</v>
      </c>
      <c r="ED18" s="41">
        <v>156.65389999999999</v>
      </c>
      <c r="EE18" s="51" t="s">
        <v>1318</v>
      </c>
      <c r="EF18" s="52">
        <v>4796.258627000002</v>
      </c>
      <c r="EG18" s="51" t="s">
        <v>1318</v>
      </c>
      <c r="EH18" s="52">
        <f t="shared" si="13"/>
        <v>4639.6047270000017</v>
      </c>
      <c r="EI18" s="51"/>
      <c r="EJ18" s="42">
        <f t="shared" si="7"/>
        <v>5018.3478335778236</v>
      </c>
      <c r="EK18" s="65"/>
      <c r="EL18" s="72">
        <f>EB18+FD18</f>
        <v>5474.023833577824</v>
      </c>
      <c r="EM18" s="76" t="s">
        <v>103</v>
      </c>
      <c r="EN18" s="41">
        <f>SUM(DR322:DR346)</f>
        <v>563.2879999999999</v>
      </c>
      <c r="EO18" s="13">
        <f>100*(EP18/1000)/EN18</f>
        <v>0.13655152672839158</v>
      </c>
      <c r="EP18" s="41">
        <f>SUM(DT322:DT346)</f>
        <v>769.17836387782222</v>
      </c>
      <c r="EQ18" s="1">
        <f>COUNT(DT322:DT346)</f>
        <v>25</v>
      </c>
      <c r="ER18" s="37" t="s">
        <v>1318</v>
      </c>
      <c r="ES18" s="37" t="s">
        <v>1318</v>
      </c>
      <c r="ET18" s="37" t="s">
        <v>1318</v>
      </c>
      <c r="EU18" s="38" t="s">
        <v>1318</v>
      </c>
      <c r="EV18" s="42">
        <f>SUM(DR300:DR321)</f>
        <v>1609.9620660000003</v>
      </c>
      <c r="EW18" s="13">
        <f>100*(EX18/1000)/EV18</f>
        <v>0.26392978812582779</v>
      </c>
      <c r="EX18" s="42">
        <f>SUM(DT300:DT321)</f>
        <v>4249.1694697000012</v>
      </c>
      <c r="EY18" s="38">
        <f>COUNT(DT300:DT321)</f>
        <v>22</v>
      </c>
      <c r="EZ18" s="37" t="s">
        <v>1318</v>
      </c>
      <c r="FA18" s="37" t="s">
        <v>1318</v>
      </c>
      <c r="FB18" s="37" t="s">
        <v>1318</v>
      </c>
      <c r="FC18" s="45" t="s">
        <v>1318</v>
      </c>
      <c r="FD18" s="42">
        <f t="shared" si="6"/>
        <v>5018.3478335778236</v>
      </c>
      <c r="FE18" s="41">
        <f>SUM(DV322:DV346)</f>
        <v>130.256</v>
      </c>
      <c r="FF18" s="13">
        <f>100*(FG18/1000)/FE18</f>
        <v>0.14946042693248626</v>
      </c>
      <c r="FG18" s="41">
        <f>SUM(DX322:DX346)</f>
        <v>194.68117370517928</v>
      </c>
      <c r="FH18" s="45">
        <f>COUNT(DX322:DX346)</f>
        <v>2</v>
      </c>
      <c r="FI18" s="45" t="s">
        <v>1318</v>
      </c>
      <c r="FJ18" s="45" t="s">
        <v>1318</v>
      </c>
      <c r="FK18" s="45" t="s">
        <v>1318</v>
      </c>
      <c r="FL18" s="45" t="s">
        <v>1318</v>
      </c>
      <c r="FM18" s="41">
        <f>SUM(DX300:DX321)</f>
        <v>3.1856999999999998</v>
      </c>
      <c r="FN18" s="37" t="s">
        <v>1318</v>
      </c>
      <c r="FO18" s="41">
        <f>SUM(FG18,FK18,FM18,FN18)</f>
        <v>197.86687370517927</v>
      </c>
      <c r="FP18" s="55" t="s">
        <v>103</v>
      </c>
      <c r="FQ18" s="1" t="s">
        <v>2</v>
      </c>
      <c r="FR18" s="1" t="s">
        <v>31</v>
      </c>
      <c r="FS18" s="1" t="s">
        <v>230</v>
      </c>
      <c r="FT18" s="1" t="s">
        <v>230</v>
      </c>
      <c r="FV18" s="1" t="s">
        <v>2</v>
      </c>
    </row>
    <row r="19" spans="1:178" ht="16.25" customHeight="1" x14ac:dyDescent="0.2">
      <c r="A19" s="18" t="s">
        <v>190</v>
      </c>
      <c r="B19" s="1" t="s">
        <v>63</v>
      </c>
      <c r="C19" s="113" t="s">
        <v>581</v>
      </c>
      <c r="D19" s="1" t="s">
        <v>69</v>
      </c>
      <c r="H19" s="1" t="s">
        <v>582</v>
      </c>
      <c r="J19" s="1" t="s">
        <v>92</v>
      </c>
      <c r="K19" s="1">
        <v>0</v>
      </c>
      <c r="AF19" s="1">
        <v>23.7</v>
      </c>
      <c r="AN19" s="1">
        <v>1.04</v>
      </c>
      <c r="AO19" s="1">
        <v>6.4000000000000001E-2</v>
      </c>
      <c r="BA19" s="1">
        <v>12.8</v>
      </c>
      <c r="BI19" s="1">
        <v>0.95</v>
      </c>
      <c r="BJ19" s="1">
        <v>5.6000000000000001E-2</v>
      </c>
      <c r="BV19" s="1">
        <v>0</v>
      </c>
      <c r="CQ19" s="1">
        <v>32.200000000000003</v>
      </c>
      <c r="CY19" s="1">
        <v>0.87</v>
      </c>
      <c r="CZ19" s="1">
        <v>0.05</v>
      </c>
      <c r="DL19" s="18" t="s">
        <v>96</v>
      </c>
      <c r="DM19" s="1" t="s">
        <v>96</v>
      </c>
      <c r="DN19" s="1">
        <f t="shared" si="0"/>
        <v>1.0084383561643835</v>
      </c>
      <c r="DO19" s="1">
        <f t="shared" si="1"/>
        <v>6.1194520547945205E-2</v>
      </c>
      <c r="DP19" s="1" t="s">
        <v>67</v>
      </c>
      <c r="DQ19" s="1" t="s">
        <v>2</v>
      </c>
      <c r="DR19" s="16">
        <f t="shared" si="2"/>
        <v>36.5</v>
      </c>
      <c r="DS19" s="100">
        <f t="shared" si="3"/>
        <v>1.0084383561643835</v>
      </c>
      <c r="DT19" s="101">
        <f t="shared" si="4"/>
        <v>368.08</v>
      </c>
      <c r="DV19" s="16">
        <f t="shared" si="5"/>
        <v>32.200000000000003</v>
      </c>
      <c r="DW19" s="100">
        <f>(BV19*CD19+CQ19*CY19)/DV19</f>
        <v>0.87</v>
      </c>
      <c r="DX19" s="101">
        <f>1000*DV19*DW19/100</f>
        <v>280.14000000000004</v>
      </c>
      <c r="DZ19" s="37" t="s">
        <v>2</v>
      </c>
      <c r="EA19" s="37" t="s">
        <v>137</v>
      </c>
      <c r="EB19" s="50" t="s">
        <v>1318</v>
      </c>
      <c r="EC19" s="14">
        <v>838.95399999999995</v>
      </c>
      <c r="ED19" s="51" t="s">
        <v>1318</v>
      </c>
      <c r="EE19" s="51">
        <v>140.6</v>
      </c>
      <c r="EF19" s="51" t="s">
        <v>1318</v>
      </c>
      <c r="EG19" s="52">
        <v>3217.39</v>
      </c>
      <c r="EH19" s="51"/>
      <c r="EI19" s="52">
        <f t="shared" si="13"/>
        <v>3076.79</v>
      </c>
      <c r="EJ19" s="65"/>
      <c r="EK19" s="52">
        <f t="shared" si="14"/>
        <v>2210.0149999999999</v>
      </c>
      <c r="EL19" s="72">
        <f t="shared" ref="EL19:EL20" si="17">EC19+FD19</f>
        <v>3048.9690000000001</v>
      </c>
      <c r="EM19" s="76" t="s">
        <v>137</v>
      </c>
      <c r="EN19" s="37" t="s">
        <v>1318</v>
      </c>
      <c r="EO19" s="37" t="s">
        <v>1318</v>
      </c>
      <c r="EP19" s="37" t="s">
        <v>1318</v>
      </c>
      <c r="EQ19" s="37" t="s">
        <v>1318</v>
      </c>
      <c r="ER19" s="41">
        <f>SUM(DR347:DR349)</f>
        <v>269.45000000000005</v>
      </c>
      <c r="ES19" s="13">
        <f t="shared" ref="ES19:ES23" si="18">100*(ET19/1000)/ER19</f>
        <v>0.82019484134347731</v>
      </c>
      <c r="ET19" s="42">
        <f>SUM(DT347:DT349)</f>
        <v>2210.0149999999999</v>
      </c>
      <c r="EU19" s="38">
        <f>COUNT(DT347:DT349)</f>
        <v>3</v>
      </c>
      <c r="EV19" s="37" t="s">
        <v>1318</v>
      </c>
      <c r="EW19" s="37" t="s">
        <v>1318</v>
      </c>
      <c r="EX19" s="37" t="s">
        <v>1318</v>
      </c>
      <c r="EY19" s="38" t="s">
        <v>1318</v>
      </c>
      <c r="EZ19" s="37" t="s">
        <v>1318</v>
      </c>
      <c r="FA19" s="37" t="s">
        <v>1318</v>
      </c>
      <c r="FB19" s="37" t="s">
        <v>1318</v>
      </c>
      <c r="FC19" s="45" t="s">
        <v>1318</v>
      </c>
      <c r="FD19" s="42">
        <f t="shared" si="6"/>
        <v>2210.0149999999999</v>
      </c>
      <c r="FE19" s="55" t="s">
        <v>1318</v>
      </c>
      <c r="FF19" s="55" t="s">
        <v>1318</v>
      </c>
      <c r="FG19" s="55" t="s">
        <v>1318</v>
      </c>
      <c r="FH19" s="45" t="s">
        <v>1318</v>
      </c>
      <c r="FI19" s="45" t="s">
        <v>1318</v>
      </c>
      <c r="FJ19" s="45" t="s">
        <v>1318</v>
      </c>
      <c r="FK19" s="45" t="s">
        <v>1318</v>
      </c>
      <c r="FL19" s="45" t="s">
        <v>1318</v>
      </c>
      <c r="FM19" s="37" t="s">
        <v>1318</v>
      </c>
      <c r="FN19" s="37" t="s">
        <v>1318</v>
      </c>
      <c r="FO19" s="37" t="s">
        <v>1318</v>
      </c>
      <c r="FP19" s="55" t="s">
        <v>137</v>
      </c>
      <c r="FQ19" s="1" t="s">
        <v>2</v>
      </c>
      <c r="FR19" s="1" t="s">
        <v>31</v>
      </c>
      <c r="FS19" s="1" t="s">
        <v>230</v>
      </c>
      <c r="FT19" s="1" t="s">
        <v>230</v>
      </c>
      <c r="FV19" s="1" t="s">
        <v>2</v>
      </c>
    </row>
    <row r="20" spans="1:178" ht="16.25" customHeight="1" x14ac:dyDescent="0.2">
      <c r="A20" s="18" t="s">
        <v>190</v>
      </c>
      <c r="B20" s="1" t="s">
        <v>63</v>
      </c>
      <c r="C20" s="80" t="s">
        <v>920</v>
      </c>
      <c r="D20" s="1" t="s">
        <v>69</v>
      </c>
      <c r="H20" s="1" t="s">
        <v>921</v>
      </c>
      <c r="J20" s="1" t="s">
        <v>92</v>
      </c>
      <c r="K20" s="1">
        <v>0</v>
      </c>
      <c r="AF20" s="1">
        <v>10.1</v>
      </c>
      <c r="AN20" s="1">
        <v>1.03</v>
      </c>
      <c r="AO20" s="1">
        <v>6.6000000000000003E-2</v>
      </c>
      <c r="BA20" s="1">
        <v>0.7</v>
      </c>
      <c r="BI20" s="1">
        <v>0.99</v>
      </c>
      <c r="BJ20" s="2">
        <v>7.0000000000000007E-2</v>
      </c>
      <c r="BV20" s="1">
        <v>0</v>
      </c>
      <c r="CQ20" s="1">
        <v>0</v>
      </c>
      <c r="DL20" s="18" t="s">
        <v>96</v>
      </c>
      <c r="DM20" s="1" t="s">
        <v>96</v>
      </c>
      <c r="DN20" s="1">
        <f t="shared" si="0"/>
        <v>1.0274074074074075</v>
      </c>
      <c r="DO20" s="1">
        <f t="shared" si="1"/>
        <v>6.6259259259259268E-2</v>
      </c>
      <c r="DP20" s="1" t="s">
        <v>67</v>
      </c>
      <c r="DQ20" s="1" t="s">
        <v>2</v>
      </c>
      <c r="DR20" s="16">
        <f t="shared" si="2"/>
        <v>10.799999999999999</v>
      </c>
      <c r="DS20" s="100">
        <f t="shared" si="3"/>
        <v>1.0274074074074075</v>
      </c>
      <c r="DT20" s="101">
        <f t="shared" si="4"/>
        <v>110.96</v>
      </c>
      <c r="DV20" s="16">
        <f t="shared" si="5"/>
        <v>0</v>
      </c>
      <c r="DZ20" s="37" t="s">
        <v>2</v>
      </c>
      <c r="EA20" s="37" t="s">
        <v>134</v>
      </c>
      <c r="EB20" s="50" t="s">
        <v>1318</v>
      </c>
      <c r="EC20" s="14">
        <v>266.57299999999998</v>
      </c>
      <c r="ED20" s="51" t="s">
        <v>1318</v>
      </c>
      <c r="EE20" s="41">
        <v>252.24600000000001</v>
      </c>
      <c r="EF20" s="51" t="s">
        <v>1318</v>
      </c>
      <c r="EG20" s="52">
        <v>3950.2955000000006</v>
      </c>
      <c r="EH20" s="51"/>
      <c r="EI20" s="52">
        <f t="shared" si="13"/>
        <v>3698.0495000000005</v>
      </c>
      <c r="EJ20" s="65"/>
      <c r="EK20" s="52">
        <f t="shared" si="14"/>
        <v>4255.3695000000007</v>
      </c>
      <c r="EL20" s="72">
        <f t="shared" si="17"/>
        <v>4521.942500000001</v>
      </c>
      <c r="EM20" s="76" t="s">
        <v>134</v>
      </c>
      <c r="EN20" s="37" t="s">
        <v>1318</v>
      </c>
      <c r="EO20" s="37" t="s">
        <v>1318</v>
      </c>
      <c r="EP20" s="37" t="s">
        <v>1318</v>
      </c>
      <c r="EQ20" s="37" t="s">
        <v>1318</v>
      </c>
      <c r="ER20" s="41">
        <f>SUM(DR350:DR352)</f>
        <v>326.19499999999999</v>
      </c>
      <c r="ES20" s="13">
        <f t="shared" si="18"/>
        <v>1.3045477398488636</v>
      </c>
      <c r="ET20" s="42">
        <f>SUM(DT350:DT352)</f>
        <v>4255.3695000000007</v>
      </c>
      <c r="EU20" s="38">
        <f>COUNT(DT350:DT352)</f>
        <v>3</v>
      </c>
      <c r="EV20" s="37" t="s">
        <v>1318</v>
      </c>
      <c r="EW20" s="37" t="s">
        <v>1318</v>
      </c>
      <c r="EX20" s="37" t="s">
        <v>1318</v>
      </c>
      <c r="EY20" s="38" t="s">
        <v>1318</v>
      </c>
      <c r="EZ20" s="37" t="s">
        <v>1318</v>
      </c>
      <c r="FA20" s="37" t="s">
        <v>1318</v>
      </c>
      <c r="FB20" s="37" t="s">
        <v>1318</v>
      </c>
      <c r="FC20" s="45" t="s">
        <v>1318</v>
      </c>
      <c r="FD20" s="42">
        <f t="shared" si="6"/>
        <v>4255.3695000000007</v>
      </c>
      <c r="FE20" s="55" t="s">
        <v>1318</v>
      </c>
      <c r="FF20" s="55" t="s">
        <v>1318</v>
      </c>
      <c r="FG20" s="55" t="s">
        <v>1318</v>
      </c>
      <c r="FH20" s="45" t="s">
        <v>1318</v>
      </c>
      <c r="FI20" s="45" t="s">
        <v>1318</v>
      </c>
      <c r="FJ20" s="45" t="s">
        <v>1318</v>
      </c>
      <c r="FK20" s="45" t="s">
        <v>1318</v>
      </c>
      <c r="FL20" s="45" t="s">
        <v>1318</v>
      </c>
      <c r="FM20" s="37" t="s">
        <v>1318</v>
      </c>
      <c r="FN20" s="37" t="s">
        <v>1318</v>
      </c>
      <c r="FO20" s="37" t="s">
        <v>1318</v>
      </c>
      <c r="FP20" s="55" t="s">
        <v>134</v>
      </c>
      <c r="FQ20" s="1" t="s">
        <v>2</v>
      </c>
      <c r="FR20" s="1" t="s">
        <v>31</v>
      </c>
      <c r="FS20" s="1" t="s">
        <v>230</v>
      </c>
      <c r="FT20" s="1" t="s">
        <v>230</v>
      </c>
      <c r="FV20" s="1" t="s">
        <v>2</v>
      </c>
    </row>
    <row r="21" spans="1:178" ht="16.25" customHeight="1" x14ac:dyDescent="0.2">
      <c r="A21" s="18" t="s">
        <v>190</v>
      </c>
      <c r="B21" s="1" t="s">
        <v>63</v>
      </c>
      <c r="C21" s="80" t="s">
        <v>120</v>
      </c>
      <c r="D21" s="1" t="s">
        <v>69</v>
      </c>
      <c r="G21" s="1" t="s">
        <v>72</v>
      </c>
      <c r="H21" s="1" t="s">
        <v>110</v>
      </c>
      <c r="J21" s="1" t="s">
        <v>92</v>
      </c>
      <c r="K21" s="1">
        <v>3.4</v>
      </c>
      <c r="S21" s="1">
        <v>0.98</v>
      </c>
      <c r="T21" s="1">
        <v>6.2E-2</v>
      </c>
      <c r="AF21" s="1">
        <v>0.1</v>
      </c>
      <c r="AN21" s="1">
        <v>0.88</v>
      </c>
      <c r="AO21" s="1">
        <v>5.0999999999999997E-2</v>
      </c>
      <c r="BA21" s="1">
        <v>0.1</v>
      </c>
      <c r="BI21" s="1">
        <v>0.86</v>
      </c>
      <c r="BJ21" s="1">
        <v>8.3000000000000004E-2</v>
      </c>
      <c r="BV21" s="1">
        <v>0</v>
      </c>
      <c r="CQ21" s="1">
        <v>0</v>
      </c>
      <c r="DL21" s="18" t="s">
        <v>96</v>
      </c>
      <c r="DM21" s="1" t="s">
        <v>96</v>
      </c>
      <c r="DN21" s="1">
        <f t="shared" si="0"/>
        <v>0.9738888888888888</v>
      </c>
      <c r="DO21" s="1">
        <f t="shared" si="1"/>
        <v>6.2277777777777772E-2</v>
      </c>
      <c r="DP21" s="1" t="s">
        <v>67</v>
      </c>
      <c r="DQ21" s="1" t="s">
        <v>2</v>
      </c>
      <c r="DR21" s="16">
        <f t="shared" si="2"/>
        <v>3.6</v>
      </c>
      <c r="DS21" s="100">
        <f t="shared" si="3"/>
        <v>0.9738888888888888</v>
      </c>
      <c r="DT21" s="101">
        <f t="shared" si="4"/>
        <v>35.059999999999995</v>
      </c>
      <c r="DV21" s="16">
        <f t="shared" si="5"/>
        <v>0</v>
      </c>
      <c r="DZ21" s="37" t="s">
        <v>2</v>
      </c>
      <c r="EA21" s="37" t="s">
        <v>80</v>
      </c>
      <c r="EB21" s="50" t="s">
        <v>1318</v>
      </c>
      <c r="EC21" s="50" t="s">
        <v>1318</v>
      </c>
      <c r="ED21" s="51" t="s">
        <v>1318</v>
      </c>
      <c r="EE21" s="51" t="s">
        <v>1318</v>
      </c>
      <c r="EF21" s="51" t="s">
        <v>1318</v>
      </c>
      <c r="EG21" s="51" t="s">
        <v>1318</v>
      </c>
      <c r="EH21" s="51"/>
      <c r="EI21" s="51"/>
      <c r="EJ21" s="65"/>
      <c r="EK21" s="67">
        <f t="shared" si="14"/>
        <v>574.5920000000001</v>
      </c>
      <c r="EL21" s="14">
        <f t="shared" ref="EL21:EL22" si="19">FD21</f>
        <v>574.5920000000001</v>
      </c>
      <c r="EM21" s="76" t="s">
        <v>80</v>
      </c>
      <c r="EN21" s="37" t="s">
        <v>1318</v>
      </c>
      <c r="EO21" s="37" t="s">
        <v>1318</v>
      </c>
      <c r="EP21" s="37" t="s">
        <v>1318</v>
      </c>
      <c r="EQ21" s="37" t="s">
        <v>1318</v>
      </c>
      <c r="ER21" s="41">
        <f>DR353</f>
        <v>44.89</v>
      </c>
      <c r="ES21" s="13">
        <f t="shared" si="18"/>
        <v>1.2800000000000002</v>
      </c>
      <c r="ET21" s="41">
        <f>DT353</f>
        <v>574.5920000000001</v>
      </c>
      <c r="EU21" s="38">
        <f>COUNT(DT353)</f>
        <v>1</v>
      </c>
      <c r="EV21" s="37" t="s">
        <v>1318</v>
      </c>
      <c r="EW21" s="37" t="s">
        <v>1318</v>
      </c>
      <c r="EX21" s="37" t="s">
        <v>1318</v>
      </c>
      <c r="EY21" s="38" t="s">
        <v>1318</v>
      </c>
      <c r="EZ21" s="37" t="s">
        <v>1318</v>
      </c>
      <c r="FA21" s="37" t="s">
        <v>1318</v>
      </c>
      <c r="FB21" s="37" t="s">
        <v>1318</v>
      </c>
      <c r="FC21" s="45" t="s">
        <v>1318</v>
      </c>
      <c r="FD21" s="42">
        <f t="shared" si="6"/>
        <v>574.5920000000001</v>
      </c>
      <c r="FE21" s="55" t="s">
        <v>1318</v>
      </c>
      <c r="FF21" s="55" t="s">
        <v>1318</v>
      </c>
      <c r="FG21" s="55" t="s">
        <v>1318</v>
      </c>
      <c r="FH21" s="45" t="s">
        <v>1318</v>
      </c>
      <c r="FI21" s="45" t="s">
        <v>1318</v>
      </c>
      <c r="FJ21" s="45" t="s">
        <v>1318</v>
      </c>
      <c r="FK21" s="45" t="s">
        <v>1318</v>
      </c>
      <c r="FL21" s="45" t="s">
        <v>1318</v>
      </c>
      <c r="FM21" s="37" t="s">
        <v>1318</v>
      </c>
      <c r="FN21" s="37" t="s">
        <v>1318</v>
      </c>
      <c r="FO21" s="37" t="s">
        <v>1318</v>
      </c>
      <c r="FP21" s="55" t="s">
        <v>80</v>
      </c>
      <c r="FQ21" s="1" t="s">
        <v>2</v>
      </c>
      <c r="FR21" s="1" t="s">
        <v>31</v>
      </c>
      <c r="FS21" s="1" t="s">
        <v>230</v>
      </c>
      <c r="FT21" s="1" t="s">
        <v>230</v>
      </c>
      <c r="FV21" s="1" t="s">
        <v>2</v>
      </c>
    </row>
    <row r="22" spans="1:178" ht="16.25" customHeight="1" x14ac:dyDescent="0.2">
      <c r="A22" s="18" t="s">
        <v>190</v>
      </c>
      <c r="B22" s="1" t="s">
        <v>63</v>
      </c>
      <c r="C22" s="80" t="s">
        <v>1289</v>
      </c>
      <c r="D22" s="1" t="s">
        <v>69</v>
      </c>
      <c r="H22" s="1" t="s">
        <v>1282</v>
      </c>
      <c r="J22" s="1" t="s">
        <v>92</v>
      </c>
      <c r="K22" s="1">
        <v>1.5</v>
      </c>
      <c r="S22" s="1">
        <v>1.01</v>
      </c>
      <c r="T22" s="1">
        <v>6.2E-2</v>
      </c>
      <c r="AF22" s="1">
        <v>0.3</v>
      </c>
      <c r="AN22" s="1">
        <v>0.91</v>
      </c>
      <c r="AO22" s="1">
        <v>2.5000000000000001E-2</v>
      </c>
      <c r="BA22" s="1">
        <v>0</v>
      </c>
      <c r="BV22" s="1">
        <v>0</v>
      </c>
      <c r="CQ22" s="1">
        <v>0</v>
      </c>
      <c r="DL22" s="18" t="s">
        <v>96</v>
      </c>
      <c r="DM22" s="1" t="s">
        <v>96</v>
      </c>
      <c r="DN22" s="1">
        <f t="shared" si="0"/>
        <v>0.9933333333333334</v>
      </c>
      <c r="DO22" s="1">
        <f t="shared" si="1"/>
        <v>5.5833333333333332E-2</v>
      </c>
      <c r="DP22" s="1" t="s">
        <v>67</v>
      </c>
      <c r="DQ22" s="1" t="s">
        <v>2</v>
      </c>
      <c r="DR22" s="16">
        <f t="shared" si="2"/>
        <v>1.8</v>
      </c>
      <c r="DS22" s="100">
        <f t="shared" si="3"/>
        <v>0.9933333333333334</v>
      </c>
      <c r="DT22" s="101">
        <f t="shared" si="4"/>
        <v>17.880000000000003</v>
      </c>
      <c r="DV22" s="16">
        <f t="shared" si="5"/>
        <v>0</v>
      </c>
      <c r="DZ22" s="37" t="s">
        <v>2</v>
      </c>
      <c r="EA22" s="37" t="s">
        <v>143</v>
      </c>
      <c r="EB22" s="50" t="s">
        <v>1318</v>
      </c>
      <c r="EC22" s="50" t="s">
        <v>1318</v>
      </c>
      <c r="ED22" s="51" t="s">
        <v>1318</v>
      </c>
      <c r="EE22" s="51" t="s">
        <v>1318</v>
      </c>
      <c r="EF22" s="51" t="s">
        <v>1318</v>
      </c>
      <c r="EG22" s="42">
        <v>1992.97</v>
      </c>
      <c r="EH22" s="51"/>
      <c r="EI22" s="42">
        <v>1992.97</v>
      </c>
      <c r="EJ22" s="65"/>
      <c r="EK22" s="52">
        <f t="shared" si="14"/>
        <v>1992.97</v>
      </c>
      <c r="EL22" s="72">
        <f t="shared" si="19"/>
        <v>1992.97</v>
      </c>
      <c r="EM22" s="76" t="s">
        <v>143</v>
      </c>
      <c r="EN22" s="37" t="s">
        <v>1318</v>
      </c>
      <c r="EO22" s="37" t="s">
        <v>1318</v>
      </c>
      <c r="EP22" s="37" t="s">
        <v>1318</v>
      </c>
      <c r="EQ22" s="37" t="s">
        <v>1318</v>
      </c>
      <c r="ER22" s="41">
        <f>SUM(DR354:DR358)</f>
        <v>214.78</v>
      </c>
      <c r="ES22" s="13">
        <f t="shared" si="18"/>
        <v>0.92791228233541312</v>
      </c>
      <c r="ET22" s="42">
        <f>SUM(DT354:DT358)</f>
        <v>1992.97</v>
      </c>
      <c r="EU22" s="38">
        <f>COUNT(DT354:DT358)</f>
        <v>5</v>
      </c>
      <c r="EV22" s="37" t="s">
        <v>1318</v>
      </c>
      <c r="EW22" s="37" t="s">
        <v>1318</v>
      </c>
      <c r="EX22" s="37" t="s">
        <v>1318</v>
      </c>
      <c r="EY22" s="38" t="s">
        <v>1318</v>
      </c>
      <c r="EZ22" s="37" t="s">
        <v>1318</v>
      </c>
      <c r="FA22" s="37" t="s">
        <v>1318</v>
      </c>
      <c r="FB22" s="37" t="s">
        <v>1318</v>
      </c>
      <c r="FC22" s="45" t="s">
        <v>1318</v>
      </c>
      <c r="FD22" s="42">
        <f t="shared" si="6"/>
        <v>1992.97</v>
      </c>
      <c r="FE22" s="55" t="s">
        <v>1318</v>
      </c>
      <c r="FF22" s="55" t="s">
        <v>1318</v>
      </c>
      <c r="FG22" s="55" t="s">
        <v>1318</v>
      </c>
      <c r="FH22" s="45" t="s">
        <v>1318</v>
      </c>
      <c r="FI22" s="45" t="s">
        <v>1318</v>
      </c>
      <c r="FJ22" s="45" t="s">
        <v>1318</v>
      </c>
      <c r="FK22" s="45" t="s">
        <v>1318</v>
      </c>
      <c r="FL22" s="45" t="s">
        <v>1318</v>
      </c>
      <c r="FM22" s="37" t="s">
        <v>1318</v>
      </c>
      <c r="FN22" s="37" t="s">
        <v>1318</v>
      </c>
      <c r="FO22" s="37" t="s">
        <v>1318</v>
      </c>
      <c r="FP22" s="55" t="s">
        <v>143</v>
      </c>
      <c r="FQ22" s="1" t="s">
        <v>2</v>
      </c>
      <c r="FR22" s="1" t="s">
        <v>31</v>
      </c>
      <c r="FS22" s="1" t="s">
        <v>230</v>
      </c>
      <c r="FT22" s="1" t="s">
        <v>230</v>
      </c>
      <c r="FV22" s="1" t="s">
        <v>2</v>
      </c>
    </row>
    <row r="23" spans="1:178" ht="16.25" customHeight="1" x14ac:dyDescent="0.2">
      <c r="A23" s="18" t="s">
        <v>190</v>
      </c>
      <c r="B23" s="1" t="s">
        <v>63</v>
      </c>
      <c r="C23" s="21" t="s">
        <v>252</v>
      </c>
      <c r="D23" s="1" t="s">
        <v>71</v>
      </c>
      <c r="G23" s="1" t="s">
        <v>72</v>
      </c>
      <c r="H23" s="1" t="s">
        <v>253</v>
      </c>
      <c r="J23" s="1" t="s">
        <v>92</v>
      </c>
      <c r="K23" s="1">
        <v>0</v>
      </c>
      <c r="AF23" s="1">
        <v>1.9</v>
      </c>
      <c r="AN23" s="1">
        <v>0.98</v>
      </c>
      <c r="AO23" s="2">
        <v>7.0000000000000007E-2</v>
      </c>
      <c r="BA23" s="1">
        <v>0</v>
      </c>
      <c r="BV23" s="1">
        <v>0</v>
      </c>
      <c r="CQ23" s="1">
        <v>0</v>
      </c>
      <c r="DL23" s="18" t="s">
        <v>96</v>
      </c>
      <c r="DM23" s="1" t="s">
        <v>96</v>
      </c>
      <c r="DN23" s="1">
        <f t="shared" si="0"/>
        <v>0.98</v>
      </c>
      <c r="DO23" s="1">
        <f t="shared" si="1"/>
        <v>7.0000000000000007E-2</v>
      </c>
      <c r="DP23" s="1" t="s">
        <v>67</v>
      </c>
      <c r="DQ23" s="1" t="s">
        <v>2</v>
      </c>
      <c r="DR23" s="16">
        <f t="shared" si="2"/>
        <v>1.9</v>
      </c>
      <c r="DS23" s="16">
        <f t="shared" si="3"/>
        <v>0.98</v>
      </c>
      <c r="DT23" s="101">
        <f t="shared" si="4"/>
        <v>18.62</v>
      </c>
      <c r="DV23" s="16">
        <f t="shared" si="5"/>
        <v>0</v>
      </c>
      <c r="DZ23" s="37" t="s">
        <v>2</v>
      </c>
      <c r="EA23" s="37" t="s">
        <v>74</v>
      </c>
      <c r="EB23" s="50" t="s">
        <v>1318</v>
      </c>
      <c r="EC23" s="42">
        <v>6990.5969999999998</v>
      </c>
      <c r="ED23" s="51" t="s">
        <v>1318</v>
      </c>
      <c r="EE23" s="42">
        <v>3010.8</v>
      </c>
      <c r="EF23" s="51" t="s">
        <v>1318</v>
      </c>
      <c r="EG23" s="42">
        <v>33291.16618812448</v>
      </c>
      <c r="EH23" s="51"/>
      <c r="EI23" s="52">
        <f t="shared" ref="EH23:EI36" si="20">EG23-EE23</f>
        <v>30280.366188124481</v>
      </c>
      <c r="EJ23" s="65"/>
      <c r="EK23" s="52">
        <f t="shared" si="14"/>
        <v>45982.184236999994</v>
      </c>
      <c r="EL23" s="72">
        <f>EC23+FD23</f>
        <v>52972.781236999996</v>
      </c>
      <c r="EM23" s="76" t="s">
        <v>74</v>
      </c>
      <c r="EN23" s="37" t="s">
        <v>1318</v>
      </c>
      <c r="EO23" s="37" t="s">
        <v>1318</v>
      </c>
      <c r="EP23" s="37" t="s">
        <v>1318</v>
      </c>
      <c r="EQ23" s="37" t="s">
        <v>1318</v>
      </c>
      <c r="ER23" s="42">
        <f>SUM(DR359:DR378)</f>
        <v>3009.2190700000001</v>
      </c>
      <c r="ES23" s="13">
        <f t="shared" si="18"/>
        <v>1.5280437604364907</v>
      </c>
      <c r="ET23" s="42">
        <f>SUM(DT359:DT378)</f>
        <v>45982.184236999994</v>
      </c>
      <c r="EU23" s="38">
        <f>COUNT(DT359:DT378)</f>
        <v>20</v>
      </c>
      <c r="EV23" s="37" t="s">
        <v>1318</v>
      </c>
      <c r="EW23" s="37" t="s">
        <v>1318</v>
      </c>
      <c r="EX23" s="37" t="s">
        <v>1318</v>
      </c>
      <c r="EY23" s="38" t="s">
        <v>1318</v>
      </c>
      <c r="EZ23" s="37" t="s">
        <v>1318</v>
      </c>
      <c r="FA23" s="37" t="s">
        <v>1318</v>
      </c>
      <c r="FB23" s="37" t="s">
        <v>1318</v>
      </c>
      <c r="FC23" s="45" t="s">
        <v>1318</v>
      </c>
      <c r="FD23" s="42">
        <f t="shared" si="6"/>
        <v>45982.184236999994</v>
      </c>
      <c r="FE23" s="55" t="s">
        <v>1318</v>
      </c>
      <c r="FF23" s="55" t="s">
        <v>1318</v>
      </c>
      <c r="FG23" s="55" t="s">
        <v>1318</v>
      </c>
      <c r="FH23" s="45" t="s">
        <v>1318</v>
      </c>
      <c r="FI23" s="41">
        <f>SUM(DV359:DV378)</f>
        <v>436.9</v>
      </c>
      <c r="FJ23" s="13">
        <f>100*(FK23/1000)/FI23</f>
        <v>1.7212776379034105</v>
      </c>
      <c r="FK23" s="42">
        <f>SUM(DX359:DX378)</f>
        <v>7520.2619999999997</v>
      </c>
      <c r="FL23" s="45">
        <f>COUNT(DX359:DX378)</f>
        <v>9</v>
      </c>
      <c r="FM23" s="37" t="s">
        <v>1318</v>
      </c>
      <c r="FN23" s="37" t="s">
        <v>1318</v>
      </c>
      <c r="FO23" s="42">
        <f>SUM(FG23,FK23,FM23,FN23)</f>
        <v>7520.2619999999997</v>
      </c>
      <c r="FP23" s="55" t="s">
        <v>74</v>
      </c>
      <c r="FQ23" s="1" t="s">
        <v>2</v>
      </c>
      <c r="FR23" s="1" t="s">
        <v>31</v>
      </c>
      <c r="FS23" s="1" t="s">
        <v>230</v>
      </c>
      <c r="FT23" s="1" t="s">
        <v>230</v>
      </c>
      <c r="FV23" s="1" t="s">
        <v>2</v>
      </c>
    </row>
    <row r="24" spans="1:178" ht="16.25" customHeight="1" x14ac:dyDescent="0.2">
      <c r="A24" s="18" t="s">
        <v>190</v>
      </c>
      <c r="B24" s="1" t="s">
        <v>63</v>
      </c>
      <c r="C24" s="16" t="s">
        <v>358</v>
      </c>
      <c r="D24" s="1" t="s">
        <v>71</v>
      </c>
      <c r="G24" s="1" t="s">
        <v>65</v>
      </c>
      <c r="H24" s="1" t="s">
        <v>359</v>
      </c>
      <c r="J24" s="1" t="s">
        <v>204</v>
      </c>
      <c r="K24" s="1">
        <v>0</v>
      </c>
      <c r="AF24" s="1">
        <v>0</v>
      </c>
      <c r="BA24" s="1">
        <v>5.7</v>
      </c>
      <c r="BI24" s="14">
        <v>1</v>
      </c>
      <c r="BJ24" s="1">
        <v>0.08</v>
      </c>
      <c r="BV24" s="1">
        <v>0</v>
      </c>
      <c r="CQ24" s="1">
        <v>0</v>
      </c>
      <c r="DL24" s="18" t="s">
        <v>96</v>
      </c>
      <c r="DM24" s="1" t="s">
        <v>96</v>
      </c>
      <c r="DN24" s="1">
        <f t="shared" si="0"/>
        <v>1</v>
      </c>
      <c r="DO24" s="1">
        <f t="shared" si="1"/>
        <v>0.08</v>
      </c>
      <c r="DP24" s="1" t="s">
        <v>275</v>
      </c>
      <c r="DQ24" s="1" t="s">
        <v>2</v>
      </c>
      <c r="DR24" s="16">
        <f t="shared" si="2"/>
        <v>5.7</v>
      </c>
      <c r="DS24" s="16">
        <f t="shared" si="3"/>
        <v>1</v>
      </c>
      <c r="DT24" s="101">
        <f t="shared" si="4"/>
        <v>57</v>
      </c>
      <c r="DV24" s="16">
        <f t="shared" si="5"/>
        <v>0</v>
      </c>
      <c r="DZ24" s="37" t="s">
        <v>2</v>
      </c>
      <c r="EA24" s="37" t="s">
        <v>150</v>
      </c>
      <c r="EB24" s="50" t="s">
        <v>1318</v>
      </c>
      <c r="EC24" s="50" t="s">
        <v>1318</v>
      </c>
      <c r="ED24" s="51" t="s">
        <v>1318</v>
      </c>
      <c r="EE24" s="51" t="s">
        <v>1318</v>
      </c>
      <c r="EF24" s="42">
        <v>3696.0000000000005</v>
      </c>
      <c r="EG24" s="51" t="s">
        <v>1318</v>
      </c>
      <c r="EH24" s="42">
        <v>3696.0000000000005</v>
      </c>
      <c r="EI24" s="51"/>
      <c r="EJ24" s="42">
        <f t="shared" si="7"/>
        <v>23690.168000000001</v>
      </c>
      <c r="EK24" s="65"/>
      <c r="EL24" s="72">
        <f t="shared" ref="EL24" si="21">FD24</f>
        <v>23690.168000000001</v>
      </c>
      <c r="EM24" s="76" t="s">
        <v>150</v>
      </c>
      <c r="EN24" s="37" t="s">
        <v>1318</v>
      </c>
      <c r="EO24" s="37" t="s">
        <v>1318</v>
      </c>
      <c r="EP24" s="37" t="s">
        <v>1318</v>
      </c>
      <c r="EQ24" s="37" t="s">
        <v>1318</v>
      </c>
      <c r="ER24" s="37" t="s">
        <v>1318</v>
      </c>
      <c r="ES24" s="37" t="s">
        <v>1318</v>
      </c>
      <c r="ET24" s="37" t="s">
        <v>1318</v>
      </c>
      <c r="EU24" s="38" t="s">
        <v>1318</v>
      </c>
      <c r="EV24" s="42">
        <f>SUM(DR379:DR383)</f>
        <v>1807.0600000000002</v>
      </c>
      <c r="EW24" s="13">
        <f>100*(EX24/1000)/EV24</f>
        <v>1.3109784954567085</v>
      </c>
      <c r="EX24" s="42">
        <f>SUM(DT379:DT383)</f>
        <v>23690.168000000001</v>
      </c>
      <c r="EY24" s="38">
        <f>COUNT(DT379:DT383)</f>
        <v>5</v>
      </c>
      <c r="EZ24" s="37" t="s">
        <v>1318</v>
      </c>
      <c r="FA24" s="37" t="s">
        <v>1318</v>
      </c>
      <c r="FB24" s="37" t="s">
        <v>1318</v>
      </c>
      <c r="FC24" s="45" t="s">
        <v>1318</v>
      </c>
      <c r="FD24" s="42">
        <f t="shared" si="6"/>
        <v>23690.168000000001</v>
      </c>
      <c r="FE24" s="55" t="s">
        <v>1318</v>
      </c>
      <c r="FF24" s="55" t="s">
        <v>1318</v>
      </c>
      <c r="FG24" s="55" t="s">
        <v>1318</v>
      </c>
      <c r="FH24" s="45" t="s">
        <v>1318</v>
      </c>
      <c r="FI24" s="45" t="s">
        <v>1318</v>
      </c>
      <c r="FJ24" s="45" t="s">
        <v>1318</v>
      </c>
      <c r="FK24" s="45" t="s">
        <v>1318</v>
      </c>
      <c r="FL24" s="45" t="s">
        <v>1318</v>
      </c>
      <c r="FM24" s="37" t="s">
        <v>1318</v>
      </c>
      <c r="FN24" s="37" t="s">
        <v>1318</v>
      </c>
      <c r="FO24" s="37" t="s">
        <v>1318</v>
      </c>
      <c r="FP24" s="55" t="s">
        <v>150</v>
      </c>
      <c r="FQ24" s="1" t="s">
        <v>2</v>
      </c>
      <c r="FR24" s="1" t="s">
        <v>31</v>
      </c>
      <c r="FS24" s="1" t="s">
        <v>230</v>
      </c>
      <c r="FT24" s="1" t="s">
        <v>230</v>
      </c>
      <c r="FV24" s="1" t="s">
        <v>2</v>
      </c>
    </row>
    <row r="25" spans="1:178" ht="16.25" customHeight="1" x14ac:dyDescent="0.2">
      <c r="A25" s="18" t="s">
        <v>190</v>
      </c>
      <c r="B25" s="1" t="s">
        <v>63</v>
      </c>
      <c r="C25" s="21" t="s">
        <v>901</v>
      </c>
      <c r="D25" s="1" t="s">
        <v>69</v>
      </c>
      <c r="H25" s="1" t="s">
        <v>131</v>
      </c>
      <c r="J25" s="1" t="s">
        <v>204</v>
      </c>
      <c r="K25" s="1">
        <v>0</v>
      </c>
      <c r="AF25" s="1">
        <v>0</v>
      </c>
      <c r="BA25" s="1">
        <v>0.3</v>
      </c>
      <c r="BI25" s="1">
        <v>1.4</v>
      </c>
      <c r="BJ25" s="1">
        <v>0.15</v>
      </c>
      <c r="BV25" s="1">
        <v>0</v>
      </c>
      <c r="CQ25" s="1">
        <v>0</v>
      </c>
      <c r="DL25" s="18" t="s">
        <v>96</v>
      </c>
      <c r="DM25" s="1" t="s">
        <v>96</v>
      </c>
      <c r="DN25" s="1">
        <f t="shared" si="0"/>
        <v>1.4</v>
      </c>
      <c r="DO25" s="1">
        <f t="shared" si="1"/>
        <v>0.15</v>
      </c>
      <c r="DP25" s="1" t="s">
        <v>148</v>
      </c>
      <c r="DQ25" s="1" t="s">
        <v>2</v>
      </c>
      <c r="DR25" s="16">
        <f t="shared" si="2"/>
        <v>0.3</v>
      </c>
      <c r="DS25" s="16">
        <f t="shared" si="3"/>
        <v>1.4</v>
      </c>
      <c r="DT25" s="101">
        <f t="shared" si="4"/>
        <v>4.2</v>
      </c>
      <c r="DV25" s="16">
        <f t="shared" si="5"/>
        <v>0</v>
      </c>
      <c r="DZ25" s="37" t="s">
        <v>2</v>
      </c>
      <c r="EA25" s="37" t="s">
        <v>140</v>
      </c>
      <c r="EB25" s="50" t="s">
        <v>1318</v>
      </c>
      <c r="EC25" s="14">
        <v>53.036999999999999</v>
      </c>
      <c r="ED25" s="51" t="s">
        <v>1318</v>
      </c>
      <c r="EE25" s="41">
        <v>0.45</v>
      </c>
      <c r="EF25" s="51" t="s">
        <v>1318</v>
      </c>
      <c r="EG25" s="52">
        <v>1251.4970000000001</v>
      </c>
      <c r="EH25" s="51"/>
      <c r="EI25" s="52">
        <f t="shared" si="20"/>
        <v>1251.047</v>
      </c>
      <c r="EJ25" s="65"/>
      <c r="EK25" s="52">
        <f t="shared" si="14"/>
        <v>1089.6100000000001</v>
      </c>
      <c r="EL25" s="72">
        <f t="shared" ref="EL25:EL27" si="22">EC25+FD25</f>
        <v>1142.6470000000002</v>
      </c>
      <c r="EM25" s="76" t="s">
        <v>140</v>
      </c>
      <c r="EN25" s="37" t="s">
        <v>1318</v>
      </c>
      <c r="EO25" s="37" t="s">
        <v>1318</v>
      </c>
      <c r="EP25" s="37" t="s">
        <v>1318</v>
      </c>
      <c r="EQ25" s="37" t="s">
        <v>1318</v>
      </c>
      <c r="ER25" s="41">
        <f>SUM(DR384:DR386)</f>
        <v>125.80000000000001</v>
      </c>
      <c r="ES25" s="13">
        <f t="shared" ref="ES25:ES28" si="23">100*(ET25/1000)/ER25</f>
        <v>0.86614467408585061</v>
      </c>
      <c r="ET25" s="42">
        <f>SUM(DT384:DT386)</f>
        <v>1089.6100000000001</v>
      </c>
      <c r="EU25" s="38">
        <f>COUNT(DT384:DT386)</f>
        <v>3</v>
      </c>
      <c r="EV25" s="37" t="s">
        <v>1318</v>
      </c>
      <c r="EW25" s="37" t="s">
        <v>1318</v>
      </c>
      <c r="EX25" s="37" t="s">
        <v>1318</v>
      </c>
      <c r="EY25" s="38" t="s">
        <v>1318</v>
      </c>
      <c r="EZ25" s="37" t="s">
        <v>1318</v>
      </c>
      <c r="FA25" s="37" t="s">
        <v>1318</v>
      </c>
      <c r="FB25" s="37" t="s">
        <v>1318</v>
      </c>
      <c r="FC25" s="45" t="s">
        <v>1318</v>
      </c>
      <c r="FD25" s="42">
        <f t="shared" si="6"/>
        <v>1089.6100000000001</v>
      </c>
      <c r="FE25" s="55" t="s">
        <v>1318</v>
      </c>
      <c r="FF25" s="55" t="s">
        <v>1318</v>
      </c>
      <c r="FG25" s="55" t="s">
        <v>1318</v>
      </c>
      <c r="FH25" s="45" t="s">
        <v>1318</v>
      </c>
      <c r="FI25" s="45" t="s">
        <v>1318</v>
      </c>
      <c r="FJ25" s="45" t="s">
        <v>1318</v>
      </c>
      <c r="FK25" s="45" t="s">
        <v>1318</v>
      </c>
      <c r="FL25" s="45" t="s">
        <v>1318</v>
      </c>
      <c r="FM25" s="37" t="s">
        <v>1318</v>
      </c>
      <c r="FN25" s="37" t="s">
        <v>1318</v>
      </c>
      <c r="FO25" s="37" t="s">
        <v>1318</v>
      </c>
      <c r="FP25" s="55" t="s">
        <v>140</v>
      </c>
      <c r="FQ25" s="1" t="s">
        <v>2</v>
      </c>
      <c r="FR25" s="1" t="s">
        <v>31</v>
      </c>
      <c r="FS25" s="1" t="s">
        <v>230</v>
      </c>
      <c r="FT25" s="1" t="s">
        <v>230</v>
      </c>
      <c r="FV25" s="1" t="s">
        <v>2</v>
      </c>
    </row>
    <row r="26" spans="1:178" ht="16.25" customHeight="1" x14ac:dyDescent="0.2">
      <c r="A26" s="18" t="s">
        <v>190</v>
      </c>
      <c r="B26" s="1" t="s">
        <v>63</v>
      </c>
      <c r="C26" s="80" t="s">
        <v>1072</v>
      </c>
      <c r="D26" s="1" t="s">
        <v>69</v>
      </c>
      <c r="H26" s="1" t="s">
        <v>131</v>
      </c>
      <c r="J26" s="1" t="s">
        <v>211</v>
      </c>
      <c r="K26" s="1">
        <v>0</v>
      </c>
      <c r="AF26" s="1">
        <v>0</v>
      </c>
      <c r="BA26" s="1">
        <v>1.3</v>
      </c>
      <c r="BI26" s="1">
        <v>0.9</v>
      </c>
      <c r="BJ26" s="1">
        <v>7.0000000000000007E-2</v>
      </c>
      <c r="BV26" s="1">
        <v>0</v>
      </c>
      <c r="CQ26" s="1">
        <v>0</v>
      </c>
      <c r="DL26" s="18" t="s">
        <v>96</v>
      </c>
      <c r="DM26" s="1" t="s">
        <v>96</v>
      </c>
      <c r="DN26" s="1">
        <f t="shared" si="0"/>
        <v>0.90000000000000013</v>
      </c>
      <c r="DO26" s="1">
        <f t="shared" si="1"/>
        <v>7.0000000000000007E-2</v>
      </c>
      <c r="DP26" s="1" t="s">
        <v>148</v>
      </c>
      <c r="DQ26" s="1" t="s">
        <v>2</v>
      </c>
      <c r="DR26" s="16">
        <f t="shared" si="2"/>
        <v>1.3</v>
      </c>
      <c r="DS26" s="16">
        <f t="shared" si="3"/>
        <v>0.90000000000000013</v>
      </c>
      <c r="DT26" s="101">
        <f t="shared" si="4"/>
        <v>11.700000000000003</v>
      </c>
      <c r="DV26" s="16">
        <f t="shared" si="5"/>
        <v>0</v>
      </c>
      <c r="DZ26" s="37" t="s">
        <v>2</v>
      </c>
      <c r="EA26" s="37" t="s">
        <v>94</v>
      </c>
      <c r="EB26" s="50" t="s">
        <v>1318</v>
      </c>
      <c r="EC26" s="14">
        <v>117.128</v>
      </c>
      <c r="ED26" s="51" t="s">
        <v>1318</v>
      </c>
      <c r="EE26" s="41">
        <v>42.360999999999997</v>
      </c>
      <c r="EF26" s="51" t="s">
        <v>1318</v>
      </c>
      <c r="EG26" s="52">
        <v>283.95</v>
      </c>
      <c r="EH26" s="51"/>
      <c r="EI26" s="52">
        <f t="shared" si="20"/>
        <v>241.589</v>
      </c>
      <c r="EJ26" s="65"/>
      <c r="EK26" s="67">
        <f t="shared" si="14"/>
        <v>147.5</v>
      </c>
      <c r="EL26" s="14">
        <f t="shared" si="22"/>
        <v>264.62799999999999</v>
      </c>
      <c r="EM26" s="76" t="s">
        <v>94</v>
      </c>
      <c r="EN26" s="37" t="s">
        <v>1318</v>
      </c>
      <c r="EO26" s="37" t="s">
        <v>1318</v>
      </c>
      <c r="EP26" s="37" t="s">
        <v>1318</v>
      </c>
      <c r="EQ26" s="37" t="s">
        <v>1318</v>
      </c>
      <c r="ER26" s="41">
        <f>SUM(DR387:DR388)</f>
        <v>13</v>
      </c>
      <c r="ES26" s="13">
        <f t="shared" si="23"/>
        <v>1.1346153846153846</v>
      </c>
      <c r="ET26" s="42">
        <f>SUM(DT387:DT388)</f>
        <v>147.5</v>
      </c>
      <c r="EU26" s="38">
        <f>COUNT(DT387:DT388)</f>
        <v>2</v>
      </c>
      <c r="EV26" s="37" t="s">
        <v>1318</v>
      </c>
      <c r="EW26" s="37" t="s">
        <v>1318</v>
      </c>
      <c r="EX26" s="37" t="s">
        <v>1318</v>
      </c>
      <c r="EY26" s="38" t="s">
        <v>1318</v>
      </c>
      <c r="EZ26" s="37" t="s">
        <v>1318</v>
      </c>
      <c r="FA26" s="37" t="s">
        <v>1318</v>
      </c>
      <c r="FB26" s="37" t="s">
        <v>1318</v>
      </c>
      <c r="FC26" s="45" t="s">
        <v>1318</v>
      </c>
      <c r="FD26" s="42">
        <f t="shared" si="6"/>
        <v>147.5</v>
      </c>
      <c r="FE26" s="55" t="s">
        <v>1318</v>
      </c>
      <c r="FF26" s="55" t="s">
        <v>1318</v>
      </c>
      <c r="FG26" s="55" t="s">
        <v>1318</v>
      </c>
      <c r="FH26" s="45" t="s">
        <v>1318</v>
      </c>
      <c r="FI26" s="45" t="s">
        <v>1318</v>
      </c>
      <c r="FJ26" s="45" t="s">
        <v>1318</v>
      </c>
      <c r="FK26" s="45" t="s">
        <v>1318</v>
      </c>
      <c r="FL26" s="45" t="s">
        <v>1318</v>
      </c>
      <c r="FM26" s="37" t="s">
        <v>1318</v>
      </c>
      <c r="FN26" s="37" t="s">
        <v>1318</v>
      </c>
      <c r="FO26" s="37" t="s">
        <v>1318</v>
      </c>
      <c r="FP26" s="55" t="s">
        <v>94</v>
      </c>
      <c r="FQ26" s="1" t="s">
        <v>2</v>
      </c>
      <c r="FR26" s="1" t="s">
        <v>31</v>
      </c>
      <c r="FS26" s="1" t="s">
        <v>230</v>
      </c>
      <c r="FT26" s="1" t="s">
        <v>230</v>
      </c>
      <c r="FV26" s="1" t="s">
        <v>2</v>
      </c>
    </row>
    <row r="27" spans="1:178" ht="16.25" customHeight="1" x14ac:dyDescent="0.2">
      <c r="A27" s="18" t="s">
        <v>190</v>
      </c>
      <c r="B27" s="1" t="s">
        <v>63</v>
      </c>
      <c r="C27" s="80" t="s">
        <v>1167</v>
      </c>
      <c r="D27" s="1" t="s">
        <v>69</v>
      </c>
      <c r="H27" s="1" t="s">
        <v>131</v>
      </c>
      <c r="J27" s="1" t="s">
        <v>204</v>
      </c>
      <c r="K27" s="1">
        <v>4.2</v>
      </c>
      <c r="S27" s="13">
        <v>1</v>
      </c>
      <c r="T27" s="1">
        <v>0.08</v>
      </c>
      <c r="AF27" s="1">
        <v>6.3</v>
      </c>
      <c r="AN27" s="1">
        <v>0.98</v>
      </c>
      <c r="AO27" s="1">
        <v>0.09</v>
      </c>
      <c r="BA27" s="1">
        <v>0</v>
      </c>
      <c r="BV27" s="1">
        <v>0</v>
      </c>
      <c r="CQ27" s="1">
        <v>0</v>
      </c>
      <c r="DL27" s="18" t="s">
        <v>96</v>
      </c>
      <c r="DM27" s="1" t="s">
        <v>96</v>
      </c>
      <c r="DN27" s="1">
        <f t="shared" si="0"/>
        <v>0.98799999999999988</v>
      </c>
      <c r="DO27" s="1">
        <f t="shared" si="1"/>
        <v>8.6000000000000007E-2</v>
      </c>
      <c r="DP27" s="1" t="s">
        <v>67</v>
      </c>
      <c r="DQ27" s="1" t="s">
        <v>2</v>
      </c>
      <c r="DR27" s="16">
        <f t="shared" si="2"/>
        <v>10.5</v>
      </c>
      <c r="DS27" s="100">
        <f t="shared" si="3"/>
        <v>0.98799999999999988</v>
      </c>
      <c r="DT27" s="101">
        <f t="shared" si="4"/>
        <v>103.73999999999998</v>
      </c>
      <c r="DV27" s="16">
        <f t="shared" si="5"/>
        <v>0</v>
      </c>
      <c r="DZ27" s="37" t="s">
        <v>2</v>
      </c>
      <c r="EA27" s="37" t="s">
        <v>141</v>
      </c>
      <c r="EB27" s="50" t="s">
        <v>1318</v>
      </c>
      <c r="EC27" s="14">
        <v>225.92699999999999</v>
      </c>
      <c r="ED27" s="51" t="s">
        <v>1318</v>
      </c>
      <c r="EE27" s="41">
        <v>225.92699999999999</v>
      </c>
      <c r="EF27" s="51" t="s">
        <v>1318</v>
      </c>
      <c r="EG27" s="52">
        <v>2286.8220000000001</v>
      </c>
      <c r="EH27" s="51"/>
      <c r="EI27" s="52">
        <f t="shared" si="20"/>
        <v>2060.895</v>
      </c>
      <c r="EJ27" s="65"/>
      <c r="EK27" s="52">
        <f t="shared" si="14"/>
        <v>2138.5700000000002</v>
      </c>
      <c r="EL27" s="72">
        <f t="shared" si="22"/>
        <v>2364.4970000000003</v>
      </c>
      <c r="EM27" s="76" t="s">
        <v>141</v>
      </c>
      <c r="EN27" s="37" t="s">
        <v>1318</v>
      </c>
      <c r="EO27" s="37" t="s">
        <v>1318</v>
      </c>
      <c r="EP27" s="37" t="s">
        <v>1318</v>
      </c>
      <c r="EQ27" s="37" t="s">
        <v>1318</v>
      </c>
      <c r="ER27" s="41">
        <f>SUM(DR389:DR390)</f>
        <v>232.5</v>
      </c>
      <c r="ES27" s="13">
        <f t="shared" si="23"/>
        <v>0.91981505376344086</v>
      </c>
      <c r="ET27" s="42">
        <f>SUM(DT389:DT390)</f>
        <v>2138.5700000000002</v>
      </c>
      <c r="EU27" s="38">
        <f>COUNT(DT389:DT390)</f>
        <v>2</v>
      </c>
      <c r="EV27" s="37" t="s">
        <v>1318</v>
      </c>
      <c r="EW27" s="37" t="s">
        <v>1318</v>
      </c>
      <c r="EX27" s="37" t="s">
        <v>1318</v>
      </c>
      <c r="EY27" s="38" t="s">
        <v>1318</v>
      </c>
      <c r="EZ27" s="37" t="s">
        <v>1318</v>
      </c>
      <c r="FA27" s="37" t="s">
        <v>1318</v>
      </c>
      <c r="FB27" s="37" t="s">
        <v>1318</v>
      </c>
      <c r="FC27" s="45" t="s">
        <v>1318</v>
      </c>
      <c r="FD27" s="42">
        <f t="shared" si="6"/>
        <v>2138.5700000000002</v>
      </c>
      <c r="FE27" s="55" t="s">
        <v>1318</v>
      </c>
      <c r="FF27" s="55" t="s">
        <v>1318</v>
      </c>
      <c r="FG27" s="55" t="s">
        <v>1318</v>
      </c>
      <c r="FH27" s="45" t="s">
        <v>1318</v>
      </c>
      <c r="FI27" s="41">
        <f>SUM(DV389:DV390)</f>
        <v>152.5</v>
      </c>
      <c r="FJ27" s="13">
        <f>100*(FK27/1000)/FI27</f>
        <v>0.93327213114754104</v>
      </c>
      <c r="FK27" s="42">
        <f>SUM(DX389:DX390)</f>
        <v>1423.24</v>
      </c>
      <c r="FL27" s="45">
        <f>COUNT(DX389:DX390)</f>
        <v>1</v>
      </c>
      <c r="FM27" s="37" t="s">
        <v>1318</v>
      </c>
      <c r="FN27" s="37" t="s">
        <v>1318</v>
      </c>
      <c r="FO27" s="42">
        <f>SUM(FG27,FK27,FM27,FN27)</f>
        <v>1423.24</v>
      </c>
      <c r="FP27" s="55" t="s">
        <v>141</v>
      </c>
      <c r="FQ27" s="1" t="s">
        <v>2</v>
      </c>
      <c r="FR27" s="1" t="s">
        <v>31</v>
      </c>
      <c r="FS27" s="1" t="s">
        <v>230</v>
      </c>
      <c r="FT27" s="1" t="s">
        <v>230</v>
      </c>
      <c r="FV27" s="1" t="s">
        <v>2</v>
      </c>
    </row>
    <row r="28" spans="1:178" ht="16.25" customHeight="1" x14ac:dyDescent="0.2">
      <c r="A28" s="18" t="s">
        <v>190</v>
      </c>
      <c r="B28" s="1" t="s">
        <v>63</v>
      </c>
      <c r="C28" s="80" t="s">
        <v>1188</v>
      </c>
      <c r="H28" s="1" t="s">
        <v>1189</v>
      </c>
      <c r="J28" s="1" t="s">
        <v>204</v>
      </c>
      <c r="K28" s="1">
        <v>0</v>
      </c>
      <c r="AF28" s="1">
        <v>0</v>
      </c>
      <c r="BA28" s="1">
        <v>5.39</v>
      </c>
      <c r="BI28" s="1">
        <v>0.96299999999999997</v>
      </c>
      <c r="BJ28" s="1">
        <v>8.4000000000000005E-2</v>
      </c>
      <c r="BQ28" s="1">
        <v>21.1</v>
      </c>
      <c r="BV28" s="1">
        <v>0</v>
      </c>
      <c r="CQ28" s="1">
        <v>0</v>
      </c>
      <c r="DL28" s="18" t="s">
        <v>96</v>
      </c>
      <c r="DM28" s="1" t="s">
        <v>96</v>
      </c>
      <c r="DN28" s="1">
        <f t="shared" si="0"/>
        <v>0.96299999999999997</v>
      </c>
      <c r="DO28" s="1">
        <f t="shared" si="1"/>
        <v>8.4000000000000005E-2</v>
      </c>
      <c r="DP28" s="1" t="s">
        <v>148</v>
      </c>
      <c r="DQ28" s="1" t="s">
        <v>2</v>
      </c>
      <c r="DR28" s="16">
        <f t="shared" si="2"/>
        <v>5.39</v>
      </c>
      <c r="DS28" s="100">
        <f t="shared" si="3"/>
        <v>0.96299999999999997</v>
      </c>
      <c r="DT28" s="101">
        <f t="shared" si="4"/>
        <v>51.905699999999996</v>
      </c>
      <c r="DV28" s="16">
        <f t="shared" si="5"/>
        <v>0</v>
      </c>
      <c r="DZ28" s="37" t="s">
        <v>2</v>
      </c>
      <c r="EA28" s="37" t="s">
        <v>132</v>
      </c>
      <c r="EB28" s="50" t="s">
        <v>1318</v>
      </c>
      <c r="EC28" s="50" t="s">
        <v>1318</v>
      </c>
      <c r="ED28" s="51" t="s">
        <v>1318</v>
      </c>
      <c r="EE28" s="51" t="s">
        <v>1318</v>
      </c>
      <c r="EF28" s="51" t="s">
        <v>1318</v>
      </c>
      <c r="EG28" s="52">
        <v>30.790799999999994</v>
      </c>
      <c r="EH28" s="51"/>
      <c r="EI28" s="52">
        <v>30.790799999999994</v>
      </c>
      <c r="EJ28" s="65"/>
      <c r="EK28" s="67">
        <f t="shared" si="14"/>
        <v>31.026899999999998</v>
      </c>
      <c r="EL28" s="14">
        <f t="shared" ref="EL28" si="24">FD28</f>
        <v>31.026899999999998</v>
      </c>
      <c r="EM28" s="76" t="s">
        <v>132</v>
      </c>
      <c r="EN28" s="37" t="s">
        <v>1318</v>
      </c>
      <c r="EO28" s="37" t="s">
        <v>1318</v>
      </c>
      <c r="EP28" s="37" t="s">
        <v>1318</v>
      </c>
      <c r="EQ28" s="37" t="s">
        <v>1318</v>
      </c>
      <c r="ER28" s="41">
        <f>DR391</f>
        <v>8.5530000000000008</v>
      </c>
      <c r="ES28" s="13">
        <f t="shared" si="23"/>
        <v>0.3627604349351104</v>
      </c>
      <c r="ET28" s="41">
        <f>DT391</f>
        <v>31.026899999999998</v>
      </c>
      <c r="EU28" s="38">
        <f>COUNT(DT391)</f>
        <v>1</v>
      </c>
      <c r="EV28" s="37" t="s">
        <v>1318</v>
      </c>
      <c r="EW28" s="37" t="s">
        <v>1318</v>
      </c>
      <c r="EX28" s="37" t="s">
        <v>1318</v>
      </c>
      <c r="EY28" s="38" t="s">
        <v>1318</v>
      </c>
      <c r="EZ28" s="37" t="s">
        <v>1318</v>
      </c>
      <c r="FA28" s="37" t="s">
        <v>1318</v>
      </c>
      <c r="FB28" s="37" t="s">
        <v>1318</v>
      </c>
      <c r="FC28" s="45" t="s">
        <v>1318</v>
      </c>
      <c r="FD28" s="42">
        <f t="shared" si="6"/>
        <v>31.026899999999998</v>
      </c>
      <c r="FE28" s="55" t="s">
        <v>1318</v>
      </c>
      <c r="FF28" s="55" t="s">
        <v>1318</v>
      </c>
      <c r="FG28" s="55" t="s">
        <v>1318</v>
      </c>
      <c r="FH28" s="45" t="s">
        <v>1318</v>
      </c>
      <c r="FI28" s="45" t="s">
        <v>1318</v>
      </c>
      <c r="FJ28" s="45" t="s">
        <v>1318</v>
      </c>
      <c r="FK28" s="45" t="s">
        <v>1318</v>
      </c>
      <c r="FL28" s="45" t="s">
        <v>1318</v>
      </c>
      <c r="FM28" s="37" t="s">
        <v>1318</v>
      </c>
      <c r="FN28" s="37" t="s">
        <v>1318</v>
      </c>
      <c r="FO28" s="37" t="s">
        <v>1318</v>
      </c>
      <c r="FP28" s="55" t="s">
        <v>132</v>
      </c>
      <c r="FQ28" s="1" t="s">
        <v>2</v>
      </c>
      <c r="FR28" s="1" t="s">
        <v>31</v>
      </c>
      <c r="FS28" s="1" t="s">
        <v>230</v>
      </c>
      <c r="FT28" s="1" t="s">
        <v>230</v>
      </c>
      <c r="FV28" s="1" t="s">
        <v>2</v>
      </c>
    </row>
    <row r="29" spans="1:178" ht="16.25" customHeight="1" x14ac:dyDescent="0.2">
      <c r="A29" s="18" t="s">
        <v>190</v>
      </c>
      <c r="B29" s="1" t="s">
        <v>63</v>
      </c>
      <c r="C29" s="21" t="s">
        <v>465</v>
      </c>
      <c r="D29" s="1" t="s">
        <v>69</v>
      </c>
      <c r="H29" s="1" t="s">
        <v>466</v>
      </c>
      <c r="J29" s="1" t="s">
        <v>211</v>
      </c>
      <c r="K29" s="1">
        <v>0</v>
      </c>
      <c r="AF29" s="1">
        <v>0</v>
      </c>
      <c r="BA29" s="1">
        <v>5.2</v>
      </c>
      <c r="BI29" s="1">
        <v>0.8</v>
      </c>
      <c r="BJ29" s="1">
        <v>0.08</v>
      </c>
      <c r="BV29" s="1">
        <v>0</v>
      </c>
      <c r="CQ29" s="1">
        <v>0</v>
      </c>
      <c r="DL29" s="18" t="s">
        <v>96</v>
      </c>
      <c r="DM29" s="1" t="s">
        <v>96</v>
      </c>
      <c r="DN29" s="1">
        <f t="shared" si="0"/>
        <v>0.8</v>
      </c>
      <c r="DO29" s="1">
        <f t="shared" si="1"/>
        <v>0.08</v>
      </c>
      <c r="DP29" s="1" t="s">
        <v>148</v>
      </c>
      <c r="DQ29" s="1" t="s">
        <v>2</v>
      </c>
      <c r="DR29" s="16">
        <f t="shared" si="2"/>
        <v>5.2</v>
      </c>
      <c r="DS29" s="16">
        <f t="shared" si="3"/>
        <v>0.8</v>
      </c>
      <c r="DT29" s="101">
        <f t="shared" si="4"/>
        <v>41.6</v>
      </c>
      <c r="DV29" s="16">
        <f t="shared" si="5"/>
        <v>0</v>
      </c>
      <c r="DZ29" s="37" t="s">
        <v>2</v>
      </c>
      <c r="EA29" s="37" t="s">
        <v>144</v>
      </c>
      <c r="EB29" s="14">
        <v>11.763</v>
      </c>
      <c r="EC29" s="50" t="s">
        <v>1318</v>
      </c>
      <c r="ED29" s="41">
        <v>1.23</v>
      </c>
      <c r="EE29" s="51" t="s">
        <v>1318</v>
      </c>
      <c r="EF29" s="67">
        <v>18.425000000000001</v>
      </c>
      <c r="EG29" s="51" t="s">
        <v>1318</v>
      </c>
      <c r="EH29" s="67">
        <f t="shared" si="20"/>
        <v>17.195</v>
      </c>
      <c r="EI29" s="51"/>
      <c r="EJ29" s="51">
        <f t="shared" si="7"/>
        <v>18.2</v>
      </c>
      <c r="EK29" s="65"/>
      <c r="EL29" s="14">
        <f>EB29+FD29</f>
        <v>29.963000000000001</v>
      </c>
      <c r="EM29" s="76" t="s">
        <v>144</v>
      </c>
      <c r="EN29" s="45">
        <f>DR392</f>
        <v>1.82</v>
      </c>
      <c r="EO29" s="13">
        <f>100*(EP29/1000)/EN29</f>
        <v>1</v>
      </c>
      <c r="EP29" s="45">
        <f>DT392</f>
        <v>18.2</v>
      </c>
      <c r="EQ29" s="38">
        <f>COUNT(DT392)</f>
        <v>1</v>
      </c>
      <c r="ER29" s="37" t="s">
        <v>1318</v>
      </c>
      <c r="ES29" s="37" t="s">
        <v>1318</v>
      </c>
      <c r="ET29" s="37" t="s">
        <v>1318</v>
      </c>
      <c r="EU29" s="38" t="s">
        <v>1318</v>
      </c>
      <c r="EV29" s="37" t="s">
        <v>1318</v>
      </c>
      <c r="EW29" s="37" t="s">
        <v>1318</v>
      </c>
      <c r="EX29" s="37" t="s">
        <v>1318</v>
      </c>
      <c r="EY29" s="38" t="s">
        <v>1318</v>
      </c>
      <c r="EZ29" s="37" t="s">
        <v>1318</v>
      </c>
      <c r="FA29" s="37" t="s">
        <v>1318</v>
      </c>
      <c r="FB29" s="37" t="s">
        <v>1318</v>
      </c>
      <c r="FC29" s="45" t="s">
        <v>1318</v>
      </c>
      <c r="FD29" s="42">
        <f t="shared" si="6"/>
        <v>18.2</v>
      </c>
      <c r="FE29" s="41">
        <f>DV392</f>
        <v>5.9999999999999991E-2</v>
      </c>
      <c r="FF29" s="13">
        <f>100*(FG29/1000)/FE29</f>
        <v>1.0000000000000002</v>
      </c>
      <c r="FG29" s="41">
        <f>DX392</f>
        <v>0.6</v>
      </c>
      <c r="FH29" s="45">
        <f>COUNT(DX392)</f>
        <v>1</v>
      </c>
      <c r="FI29" s="45" t="s">
        <v>1318</v>
      </c>
      <c r="FJ29" s="45" t="s">
        <v>1318</v>
      </c>
      <c r="FK29" s="45" t="s">
        <v>1318</v>
      </c>
      <c r="FL29" s="45" t="s">
        <v>1318</v>
      </c>
      <c r="FM29" s="37" t="s">
        <v>1318</v>
      </c>
      <c r="FN29" s="37" t="s">
        <v>1318</v>
      </c>
      <c r="FO29" s="42">
        <f>SUM(FG29,FK29,FM29,FN29)</f>
        <v>0.6</v>
      </c>
      <c r="FP29" s="55" t="s">
        <v>144</v>
      </c>
      <c r="FQ29" s="1" t="s">
        <v>2</v>
      </c>
      <c r="FR29" s="1" t="s">
        <v>31</v>
      </c>
      <c r="FS29" s="1" t="s">
        <v>230</v>
      </c>
      <c r="FT29" s="1" t="s">
        <v>230</v>
      </c>
      <c r="FV29" s="1" t="s">
        <v>2</v>
      </c>
    </row>
    <row r="30" spans="1:178" ht="16.25" customHeight="1" x14ac:dyDescent="0.2">
      <c r="A30" s="18" t="s">
        <v>190</v>
      </c>
      <c r="B30" s="1" t="s">
        <v>63</v>
      </c>
      <c r="C30" s="80" t="s">
        <v>994</v>
      </c>
      <c r="H30" s="1" t="s">
        <v>131</v>
      </c>
      <c r="J30" s="1" t="s">
        <v>211</v>
      </c>
      <c r="K30" s="1">
        <v>0</v>
      </c>
      <c r="AF30" s="1">
        <v>0.46</v>
      </c>
      <c r="AN30" s="1">
        <v>1.1200000000000001</v>
      </c>
      <c r="BA30" s="1">
        <v>0.37</v>
      </c>
      <c r="BI30" s="1">
        <v>1.1499999999999999</v>
      </c>
      <c r="BV30" s="1">
        <v>0</v>
      </c>
      <c r="CQ30" s="1">
        <v>0</v>
      </c>
      <c r="DL30" s="18" t="s">
        <v>96</v>
      </c>
      <c r="DN30" s="1">
        <f t="shared" si="0"/>
        <v>1.1333734939759037</v>
      </c>
      <c r="DO30" s="1">
        <f t="shared" si="1"/>
        <v>0</v>
      </c>
      <c r="DP30" s="1" t="s">
        <v>148</v>
      </c>
      <c r="DQ30" s="1" t="s">
        <v>2</v>
      </c>
      <c r="DR30" s="16">
        <f t="shared" si="2"/>
        <v>0.83000000000000007</v>
      </c>
      <c r="DS30" s="100">
        <f t="shared" si="3"/>
        <v>1.1333734939759037</v>
      </c>
      <c r="DT30" s="101">
        <f t="shared" si="4"/>
        <v>9.4070000000000018</v>
      </c>
      <c r="DV30" s="16">
        <f t="shared" si="5"/>
        <v>0</v>
      </c>
      <c r="DZ30" s="37" t="s">
        <v>2</v>
      </c>
      <c r="EA30" s="37" t="s">
        <v>76</v>
      </c>
      <c r="EB30" s="14">
        <v>16.998999999999999</v>
      </c>
      <c r="EC30" s="14">
        <v>113.73399999999999</v>
      </c>
      <c r="ED30" s="51" t="s">
        <v>1318</v>
      </c>
      <c r="EE30" s="41">
        <v>112.934</v>
      </c>
      <c r="EF30" s="51" t="s">
        <v>1318</v>
      </c>
      <c r="EG30" s="42">
        <v>2169</v>
      </c>
      <c r="EH30" s="51"/>
      <c r="EI30" s="42">
        <f t="shared" si="20"/>
        <v>2056.0659999999998</v>
      </c>
      <c r="EJ30" s="65"/>
      <c r="EK30" s="52">
        <f t="shared" si="14"/>
        <v>2059</v>
      </c>
      <c r="EL30" s="72">
        <f t="shared" si="8"/>
        <v>2189.7330000000002</v>
      </c>
      <c r="EM30" s="76" t="s">
        <v>76</v>
      </c>
      <c r="EN30" s="37" t="s">
        <v>1318</v>
      </c>
      <c r="EO30" s="37" t="s">
        <v>1318</v>
      </c>
      <c r="EP30" s="37" t="s">
        <v>1318</v>
      </c>
      <c r="EQ30" s="37" t="s">
        <v>1318</v>
      </c>
      <c r="ER30" s="41">
        <f>SUM(DR393:DR394)</f>
        <v>150</v>
      </c>
      <c r="ES30" s="13">
        <f t="shared" ref="ES30:ES31" si="25">100*(ET30/1000)/ER30</f>
        <v>1.3726666666666667</v>
      </c>
      <c r="ET30" s="42">
        <f>SUM(DT393:DT394)</f>
        <v>2059</v>
      </c>
      <c r="EU30" s="38">
        <f>COUNT(DT393:DT394)</f>
        <v>2</v>
      </c>
      <c r="EV30" s="37" t="s">
        <v>1318</v>
      </c>
      <c r="EW30" s="37" t="s">
        <v>1318</v>
      </c>
      <c r="EX30" s="37" t="s">
        <v>1318</v>
      </c>
      <c r="EY30" s="38" t="s">
        <v>1318</v>
      </c>
      <c r="EZ30" s="37" t="s">
        <v>1318</v>
      </c>
      <c r="FA30" s="37" t="s">
        <v>1318</v>
      </c>
      <c r="FB30" s="37" t="s">
        <v>1318</v>
      </c>
      <c r="FC30" s="45" t="s">
        <v>1318</v>
      </c>
      <c r="FD30" s="42">
        <f t="shared" si="6"/>
        <v>2059</v>
      </c>
      <c r="FE30" s="55" t="s">
        <v>1318</v>
      </c>
      <c r="FF30" s="55" t="s">
        <v>1318</v>
      </c>
      <c r="FG30" s="55" t="s">
        <v>1318</v>
      </c>
      <c r="FH30" s="45" t="s">
        <v>1318</v>
      </c>
      <c r="FI30" s="45" t="s">
        <v>1318</v>
      </c>
      <c r="FJ30" s="45" t="s">
        <v>1318</v>
      </c>
      <c r="FK30" s="45" t="s">
        <v>1318</v>
      </c>
      <c r="FL30" s="45" t="s">
        <v>1318</v>
      </c>
      <c r="FM30" s="37" t="s">
        <v>1318</v>
      </c>
      <c r="FN30" s="37" t="s">
        <v>1318</v>
      </c>
      <c r="FO30" s="37" t="s">
        <v>1318</v>
      </c>
      <c r="FP30" s="55" t="s">
        <v>76</v>
      </c>
      <c r="FQ30" s="1" t="s">
        <v>2</v>
      </c>
      <c r="FR30" s="1" t="s">
        <v>31</v>
      </c>
      <c r="FS30" s="1" t="s">
        <v>230</v>
      </c>
      <c r="FT30" s="1" t="s">
        <v>230</v>
      </c>
      <c r="FV30" s="1" t="s">
        <v>2</v>
      </c>
    </row>
    <row r="31" spans="1:178" ht="16.25" customHeight="1" x14ac:dyDescent="0.2">
      <c r="A31" s="18" t="s">
        <v>190</v>
      </c>
      <c r="B31" s="1" t="s">
        <v>63</v>
      </c>
      <c r="C31" s="21" t="s">
        <v>1104</v>
      </c>
      <c r="D31" s="1" t="s">
        <v>69</v>
      </c>
      <c r="H31" s="1" t="s">
        <v>131</v>
      </c>
      <c r="J31" s="1" t="s">
        <v>211</v>
      </c>
      <c r="K31" s="1">
        <v>11.68</v>
      </c>
      <c r="S31" s="1">
        <v>0.99</v>
      </c>
      <c r="T31" s="1">
        <v>0.06</v>
      </c>
      <c r="AA31" s="1">
        <v>11.4</v>
      </c>
      <c r="AF31" s="1">
        <v>42.96</v>
      </c>
      <c r="AN31" s="1">
        <v>0.91</v>
      </c>
      <c r="AO31" s="1">
        <v>0.06</v>
      </c>
      <c r="AV31" s="1">
        <v>11.9</v>
      </c>
      <c r="BA31" s="1">
        <v>16.260000000000002</v>
      </c>
      <c r="BI31" s="1">
        <v>0.88</v>
      </c>
      <c r="BJ31" s="1">
        <v>0.06</v>
      </c>
      <c r="BQ31" s="1">
        <v>11.8</v>
      </c>
      <c r="BV31" s="1">
        <v>0</v>
      </c>
      <c r="CQ31" s="1">
        <v>0</v>
      </c>
      <c r="DL31" s="18" t="s">
        <v>96</v>
      </c>
      <c r="DM31" s="1" t="s">
        <v>96</v>
      </c>
      <c r="DN31" s="1">
        <f t="shared" si="0"/>
        <v>0.91629901269393521</v>
      </c>
      <c r="DO31" s="1">
        <f t="shared" si="1"/>
        <v>5.9999999999999991E-2</v>
      </c>
      <c r="DP31" s="1" t="s">
        <v>342</v>
      </c>
      <c r="DQ31" s="1" t="s">
        <v>2</v>
      </c>
      <c r="DR31" s="16">
        <f t="shared" si="2"/>
        <v>70.900000000000006</v>
      </c>
      <c r="DS31" s="100">
        <f t="shared" si="3"/>
        <v>0.91629901269393521</v>
      </c>
      <c r="DT31" s="101">
        <f t="shared" si="4"/>
        <v>649.65600000000006</v>
      </c>
      <c r="DV31" s="16">
        <f t="shared" si="5"/>
        <v>0</v>
      </c>
      <c r="DZ31" s="37" t="s">
        <v>2</v>
      </c>
      <c r="EA31" s="37" t="s">
        <v>77</v>
      </c>
      <c r="EB31" s="50" t="s">
        <v>1318</v>
      </c>
      <c r="EC31" s="42">
        <v>7286.1580000000004</v>
      </c>
      <c r="ED31" s="51" t="s">
        <v>1318</v>
      </c>
      <c r="EE31" s="42">
        <v>1300.2860000000001</v>
      </c>
      <c r="EF31" s="51" t="s">
        <v>1318</v>
      </c>
      <c r="EG31" s="42">
        <v>15016.018720000004</v>
      </c>
      <c r="EH31" s="51"/>
      <c r="EI31" s="42">
        <f t="shared" si="20"/>
        <v>13715.732720000004</v>
      </c>
      <c r="EJ31" s="65"/>
      <c r="EK31" s="52">
        <f t="shared" si="14"/>
        <v>11666.886200000001</v>
      </c>
      <c r="EL31" s="72">
        <f>EC31+FD31</f>
        <v>18953.0442</v>
      </c>
      <c r="EM31" s="76" t="s">
        <v>77</v>
      </c>
      <c r="EN31" s="37" t="s">
        <v>1318</v>
      </c>
      <c r="EO31" s="37" t="s">
        <v>1318</v>
      </c>
      <c r="EP31" s="37" t="s">
        <v>1318</v>
      </c>
      <c r="EQ31" s="37" t="s">
        <v>1318</v>
      </c>
      <c r="ER31" s="41">
        <f>SUM(DR395:DR398)</f>
        <v>590.17000000000007</v>
      </c>
      <c r="ES31" s="13">
        <f t="shared" si="25"/>
        <v>1.9768687327380245</v>
      </c>
      <c r="ET31" s="42">
        <f>SUM(DT395:DT398)</f>
        <v>11666.886200000001</v>
      </c>
      <c r="EU31" s="38">
        <f>COUNT(DT395:DT398)</f>
        <v>4</v>
      </c>
      <c r="EV31" s="37" t="s">
        <v>1318</v>
      </c>
      <c r="EW31" s="37" t="s">
        <v>1318</v>
      </c>
      <c r="EX31" s="37" t="s">
        <v>1318</v>
      </c>
      <c r="EY31" s="38" t="s">
        <v>1318</v>
      </c>
      <c r="EZ31" s="37" t="s">
        <v>1318</v>
      </c>
      <c r="FA31" s="37" t="s">
        <v>1318</v>
      </c>
      <c r="FB31" s="37" t="s">
        <v>1318</v>
      </c>
      <c r="FC31" s="45" t="s">
        <v>1318</v>
      </c>
      <c r="FD31" s="42">
        <f t="shared" si="6"/>
        <v>11666.886200000001</v>
      </c>
      <c r="FE31" s="55" t="s">
        <v>1318</v>
      </c>
      <c r="FF31" s="55" t="s">
        <v>1318</v>
      </c>
      <c r="FG31" s="55" t="s">
        <v>1318</v>
      </c>
      <c r="FH31" s="45" t="s">
        <v>1318</v>
      </c>
      <c r="FI31" s="41">
        <f>SUM(DV395:DV398)</f>
        <v>78.099999999999994</v>
      </c>
      <c r="FJ31" s="13">
        <f>100*(FK31/1000)/FI31</f>
        <v>2.3641741357234318</v>
      </c>
      <c r="FK31" s="42">
        <f>SUM(DX395:DX398)</f>
        <v>1846.42</v>
      </c>
      <c r="FL31" s="45">
        <f>COUNT(DX395:DX398)</f>
        <v>2</v>
      </c>
      <c r="FM31" s="37" t="s">
        <v>1318</v>
      </c>
      <c r="FN31" s="37" t="s">
        <v>1318</v>
      </c>
      <c r="FO31" s="42">
        <f>SUM(FG31,FK31,FM31,FN31)</f>
        <v>1846.42</v>
      </c>
      <c r="FP31" s="55" t="s">
        <v>77</v>
      </c>
      <c r="FQ31" s="1" t="s">
        <v>2</v>
      </c>
      <c r="FR31" s="1" t="s">
        <v>31</v>
      </c>
      <c r="FS31" s="1" t="s">
        <v>343</v>
      </c>
      <c r="FT31" s="1" t="s">
        <v>343</v>
      </c>
      <c r="FV31" s="1" t="s">
        <v>2</v>
      </c>
    </row>
    <row r="32" spans="1:178" ht="16.25" customHeight="1" x14ac:dyDescent="0.2">
      <c r="A32" s="18" t="s">
        <v>190</v>
      </c>
      <c r="B32" s="1" t="s">
        <v>63</v>
      </c>
      <c r="C32" s="80" t="s">
        <v>1190</v>
      </c>
      <c r="H32" s="1" t="s">
        <v>1191</v>
      </c>
      <c r="J32" s="1" t="s">
        <v>204</v>
      </c>
      <c r="K32" s="1">
        <v>0</v>
      </c>
      <c r="AF32" s="1">
        <v>0</v>
      </c>
      <c r="BA32" s="14">
        <v>75</v>
      </c>
      <c r="BI32" s="1">
        <v>0.73</v>
      </c>
      <c r="BJ32" s="1">
        <v>4.3999999999999997E-2</v>
      </c>
      <c r="BV32" s="1">
        <v>0</v>
      </c>
      <c r="CQ32" s="1">
        <v>0</v>
      </c>
      <c r="DL32" s="18" t="s">
        <v>96</v>
      </c>
      <c r="DM32" s="1" t="s">
        <v>96</v>
      </c>
      <c r="DN32" s="1">
        <f t="shared" si="0"/>
        <v>0.73</v>
      </c>
      <c r="DO32" s="1">
        <f t="shared" si="1"/>
        <v>4.3999999999999997E-2</v>
      </c>
      <c r="DP32" s="1" t="s">
        <v>67</v>
      </c>
      <c r="DQ32" s="1" t="s">
        <v>2</v>
      </c>
      <c r="DR32" s="16">
        <f t="shared" si="2"/>
        <v>75</v>
      </c>
      <c r="DS32" s="16">
        <f t="shared" si="3"/>
        <v>0.73</v>
      </c>
      <c r="DT32" s="101">
        <f t="shared" si="4"/>
        <v>547.5</v>
      </c>
      <c r="DV32" s="16">
        <f t="shared" si="5"/>
        <v>0</v>
      </c>
      <c r="DZ32" s="37" t="s">
        <v>2</v>
      </c>
      <c r="EA32" s="37" t="s">
        <v>130</v>
      </c>
      <c r="EB32" s="14">
        <v>76.739999999999995</v>
      </c>
      <c r="EC32" s="50" t="s">
        <v>1318</v>
      </c>
      <c r="ED32" s="41">
        <v>2.0369999999999999</v>
      </c>
      <c r="EE32" s="51" t="s">
        <v>1318</v>
      </c>
      <c r="EF32" s="52">
        <v>60.442599999999992</v>
      </c>
      <c r="EG32" s="51" t="s">
        <v>1318</v>
      </c>
      <c r="EH32" s="52">
        <f t="shared" si="20"/>
        <v>58.405599999999993</v>
      </c>
      <c r="EI32" s="51"/>
      <c r="EJ32" s="67">
        <f t="shared" si="7"/>
        <v>116.6026</v>
      </c>
      <c r="EK32" s="65"/>
      <c r="EL32" s="14">
        <f>EB32+FD32</f>
        <v>193.3426</v>
      </c>
      <c r="EM32" s="76" t="s">
        <v>130</v>
      </c>
      <c r="EN32" s="41">
        <f>SUM(DR399:DR404)</f>
        <v>25.834000000000003</v>
      </c>
      <c r="EO32" s="13">
        <f>100*(EP32/1000)/EN32</f>
        <v>0.45135325539986065</v>
      </c>
      <c r="EP32" s="41">
        <f>SUM(DT399:DT404)</f>
        <v>116.6026</v>
      </c>
      <c r="EQ32" s="1">
        <f>COUNT(DT399:DT404)</f>
        <v>6</v>
      </c>
      <c r="ER32" s="37" t="s">
        <v>1318</v>
      </c>
      <c r="ES32" s="37" t="s">
        <v>1318</v>
      </c>
      <c r="ET32" s="37" t="s">
        <v>1318</v>
      </c>
      <c r="EU32" s="38" t="s">
        <v>1318</v>
      </c>
      <c r="EV32" s="37" t="s">
        <v>1318</v>
      </c>
      <c r="EW32" s="37" t="s">
        <v>1318</v>
      </c>
      <c r="EX32" s="37" t="s">
        <v>1318</v>
      </c>
      <c r="EY32" s="38" t="s">
        <v>1318</v>
      </c>
      <c r="EZ32" s="37" t="s">
        <v>1318</v>
      </c>
      <c r="FA32" s="37" t="s">
        <v>1318</v>
      </c>
      <c r="FB32" s="37" t="s">
        <v>1318</v>
      </c>
      <c r="FC32" s="45" t="s">
        <v>1318</v>
      </c>
      <c r="FD32" s="42">
        <f t="shared" si="6"/>
        <v>116.6026</v>
      </c>
      <c r="FE32" s="55" t="s">
        <v>1318</v>
      </c>
      <c r="FF32" s="55" t="s">
        <v>1318</v>
      </c>
      <c r="FG32" s="55" t="s">
        <v>1318</v>
      </c>
      <c r="FH32" s="45" t="s">
        <v>1318</v>
      </c>
      <c r="FI32" s="45" t="s">
        <v>1318</v>
      </c>
      <c r="FJ32" s="45" t="s">
        <v>1318</v>
      </c>
      <c r="FK32" s="45" t="s">
        <v>1318</v>
      </c>
      <c r="FL32" s="45" t="s">
        <v>1318</v>
      </c>
      <c r="FM32" s="37" t="s">
        <v>1318</v>
      </c>
      <c r="FN32" s="37" t="s">
        <v>1318</v>
      </c>
      <c r="FO32" s="37" t="s">
        <v>1318</v>
      </c>
      <c r="FP32" s="55" t="s">
        <v>130</v>
      </c>
      <c r="FQ32" s="1" t="s">
        <v>2</v>
      </c>
      <c r="FR32" s="1" t="s">
        <v>31</v>
      </c>
      <c r="FS32" s="1" t="s">
        <v>244</v>
      </c>
      <c r="FT32" s="1" t="s">
        <v>245</v>
      </c>
      <c r="FV32" s="1" t="s">
        <v>2</v>
      </c>
    </row>
    <row r="33" spans="1:178" ht="16.25" customHeight="1" x14ac:dyDescent="0.2">
      <c r="A33" s="18" t="s">
        <v>190</v>
      </c>
      <c r="B33" s="1" t="s">
        <v>63</v>
      </c>
      <c r="C33" s="16" t="s">
        <v>393</v>
      </c>
      <c r="D33" s="1" t="s">
        <v>69</v>
      </c>
      <c r="G33" s="1" t="s">
        <v>65</v>
      </c>
      <c r="H33" s="1" t="s">
        <v>394</v>
      </c>
      <c r="J33" s="1" t="s">
        <v>204</v>
      </c>
      <c r="K33" s="1">
        <v>0</v>
      </c>
      <c r="AF33" s="1">
        <v>0</v>
      </c>
      <c r="BA33" s="1">
        <f>3.444+4.338</f>
        <v>7.782</v>
      </c>
      <c r="BI33" s="13">
        <f>(1.04*3.444+0.97*4.338)/BA33</f>
        <v>1.0009791827293755</v>
      </c>
      <c r="BJ33" s="2">
        <f>(0.079*3.444+0.084*4.338)/BA33</f>
        <v>8.1787201233616047E-2</v>
      </c>
      <c r="BQ33" s="14">
        <f>(18.1*3.444+21.1*4.338)/BA33</f>
        <v>19.772320740169622</v>
      </c>
      <c r="BV33" s="1">
        <v>0</v>
      </c>
      <c r="CQ33" s="1">
        <v>0</v>
      </c>
      <c r="DL33" s="18" t="s">
        <v>96</v>
      </c>
      <c r="DM33" s="1" t="s">
        <v>96</v>
      </c>
      <c r="DN33" s="1">
        <f t="shared" si="0"/>
        <v>1.0009791827293755</v>
      </c>
      <c r="DO33" s="1">
        <f t="shared" si="1"/>
        <v>8.1787201233616047E-2</v>
      </c>
      <c r="DP33" s="1" t="s">
        <v>148</v>
      </c>
      <c r="DQ33" s="1" t="s">
        <v>2</v>
      </c>
      <c r="DR33" s="16">
        <f t="shared" si="2"/>
        <v>7.782</v>
      </c>
      <c r="DS33" s="100">
        <f t="shared" si="3"/>
        <v>1.0009791827293755</v>
      </c>
      <c r="DT33" s="101">
        <f t="shared" si="4"/>
        <v>77.896199999999993</v>
      </c>
      <c r="DV33" s="16">
        <f t="shared" si="5"/>
        <v>0</v>
      </c>
      <c r="DZ33" s="37" t="s">
        <v>2</v>
      </c>
      <c r="EA33" s="37" t="s">
        <v>97</v>
      </c>
      <c r="EB33" s="50" t="s">
        <v>1318</v>
      </c>
      <c r="EC33" s="50" t="s">
        <v>1318</v>
      </c>
      <c r="ED33" s="51" t="s">
        <v>1318</v>
      </c>
      <c r="EE33" s="51" t="s">
        <v>1318</v>
      </c>
      <c r="EF33" s="51" t="s">
        <v>1318</v>
      </c>
      <c r="EG33" s="42">
        <v>1050</v>
      </c>
      <c r="EH33" s="51"/>
      <c r="EI33" s="42">
        <v>1050</v>
      </c>
      <c r="EJ33" s="65"/>
      <c r="EK33" s="52">
        <f t="shared" si="14"/>
        <v>1050</v>
      </c>
      <c r="EL33" s="72">
        <f t="shared" ref="EL33" si="26">FD33</f>
        <v>1050</v>
      </c>
      <c r="EM33" s="76" t="s">
        <v>97</v>
      </c>
      <c r="EN33" s="37" t="s">
        <v>1318</v>
      </c>
      <c r="EO33" s="37" t="s">
        <v>1318</v>
      </c>
      <c r="EP33" s="37" t="s">
        <v>1318</v>
      </c>
      <c r="EQ33" s="37" t="s">
        <v>1318</v>
      </c>
      <c r="ER33" s="41">
        <f>DR405</f>
        <v>150</v>
      </c>
      <c r="ES33" s="13">
        <f t="shared" ref="ES33:ES40" si="27">100*(ET33/1000)/ER33</f>
        <v>0.7</v>
      </c>
      <c r="ET33" s="42">
        <f>DT405</f>
        <v>1050</v>
      </c>
      <c r="EU33" s="38">
        <f>COUNT(DT405)</f>
        <v>1</v>
      </c>
      <c r="EV33" s="37" t="s">
        <v>1318</v>
      </c>
      <c r="EW33" s="37" t="s">
        <v>1318</v>
      </c>
      <c r="EX33" s="37" t="s">
        <v>1318</v>
      </c>
      <c r="EY33" s="38" t="s">
        <v>1318</v>
      </c>
      <c r="EZ33" s="37" t="s">
        <v>1318</v>
      </c>
      <c r="FA33" s="37" t="s">
        <v>1318</v>
      </c>
      <c r="FB33" s="37" t="s">
        <v>1318</v>
      </c>
      <c r="FC33" s="45" t="s">
        <v>1318</v>
      </c>
      <c r="FD33" s="42">
        <f t="shared" si="6"/>
        <v>1050</v>
      </c>
      <c r="FE33" s="55" t="s">
        <v>1318</v>
      </c>
      <c r="FF33" s="55" t="s">
        <v>1318</v>
      </c>
      <c r="FG33" s="55" t="s">
        <v>1318</v>
      </c>
      <c r="FH33" s="45" t="s">
        <v>1318</v>
      </c>
      <c r="FI33" s="45" t="s">
        <v>1318</v>
      </c>
      <c r="FJ33" s="45" t="s">
        <v>1318</v>
      </c>
      <c r="FK33" s="45" t="s">
        <v>1318</v>
      </c>
      <c r="FL33" s="45" t="s">
        <v>1318</v>
      </c>
      <c r="FM33" s="37" t="s">
        <v>1318</v>
      </c>
      <c r="FN33" s="37" t="s">
        <v>1318</v>
      </c>
      <c r="FO33" s="37" t="s">
        <v>1318</v>
      </c>
      <c r="FP33" s="55" t="s">
        <v>97</v>
      </c>
      <c r="FQ33" s="1" t="s">
        <v>2</v>
      </c>
      <c r="FR33" s="1" t="s">
        <v>31</v>
      </c>
      <c r="FS33" s="1" t="s">
        <v>244</v>
      </c>
      <c r="FT33" s="1" t="s">
        <v>245</v>
      </c>
      <c r="FV33" s="1" t="s">
        <v>2</v>
      </c>
    </row>
    <row r="34" spans="1:178" ht="16.25" customHeight="1" x14ac:dyDescent="0.2">
      <c r="A34" s="18" t="s">
        <v>190</v>
      </c>
      <c r="B34" s="1" t="s">
        <v>63</v>
      </c>
      <c r="C34" s="21" t="s">
        <v>325</v>
      </c>
      <c r="D34" s="1" t="s">
        <v>69</v>
      </c>
      <c r="G34" s="1" t="s">
        <v>72</v>
      </c>
      <c r="H34" s="1" t="s">
        <v>151</v>
      </c>
      <c r="J34" s="1" t="s">
        <v>211</v>
      </c>
      <c r="K34" s="1">
        <v>0</v>
      </c>
      <c r="AF34" s="1">
        <v>2.6</v>
      </c>
      <c r="AN34" s="1">
        <v>0.78</v>
      </c>
      <c r="BA34" s="1">
        <v>27</v>
      </c>
      <c r="BI34" s="1">
        <v>0.7</v>
      </c>
      <c r="BV34" s="1">
        <v>0</v>
      </c>
      <c r="CQ34" s="1">
        <v>0</v>
      </c>
      <c r="DL34" s="18" t="s">
        <v>96</v>
      </c>
      <c r="DN34" s="1">
        <f t="shared" si="0"/>
        <v>0.70702702702702691</v>
      </c>
      <c r="DO34" s="1">
        <f t="shared" si="1"/>
        <v>0</v>
      </c>
      <c r="DP34" s="1" t="s">
        <v>148</v>
      </c>
      <c r="DQ34" s="1" t="s">
        <v>2</v>
      </c>
      <c r="DR34" s="16">
        <f t="shared" si="2"/>
        <v>29.6</v>
      </c>
      <c r="DS34" s="100">
        <f t="shared" si="3"/>
        <v>0.70702702702702691</v>
      </c>
      <c r="DT34" s="101">
        <f t="shared" si="4"/>
        <v>209.27999999999997</v>
      </c>
      <c r="DV34" s="16">
        <f t="shared" si="5"/>
        <v>0</v>
      </c>
      <c r="DZ34" s="37" t="s">
        <v>2</v>
      </c>
      <c r="EA34" s="37" t="s">
        <v>75</v>
      </c>
      <c r="EB34" s="50" t="s">
        <v>1318</v>
      </c>
      <c r="EC34" s="42">
        <v>3907.0889999999999</v>
      </c>
      <c r="ED34" s="51" t="s">
        <v>1318</v>
      </c>
      <c r="EE34" s="42">
        <v>2429.6570000000002</v>
      </c>
      <c r="EF34" s="51" t="s">
        <v>1318</v>
      </c>
      <c r="EG34" s="42">
        <v>18013.350446499993</v>
      </c>
      <c r="EH34" s="51"/>
      <c r="EI34" s="42">
        <f t="shared" si="20"/>
        <v>15583.693446499994</v>
      </c>
      <c r="EJ34" s="65"/>
      <c r="EK34" s="52">
        <f t="shared" si="14"/>
        <v>18866.236538299996</v>
      </c>
      <c r="EL34" s="72">
        <f t="shared" ref="EL34:EL36" si="28">EC34+FD34</f>
        <v>22773.325538299996</v>
      </c>
      <c r="EM34" s="76" t="s">
        <v>75</v>
      </c>
      <c r="EN34" s="37" t="s">
        <v>1318</v>
      </c>
      <c r="EO34" s="37" t="s">
        <v>1318</v>
      </c>
      <c r="EP34" s="37" t="s">
        <v>1318</v>
      </c>
      <c r="EQ34" s="37" t="s">
        <v>1318</v>
      </c>
      <c r="ER34" s="42">
        <f>SUM(DR406:DR439)</f>
        <v>1631.1565950000002</v>
      </c>
      <c r="ES34" s="13">
        <f t="shared" si="27"/>
        <v>1.1566171265303928</v>
      </c>
      <c r="ET34" s="42">
        <f>SUM(DT406:DT439)</f>
        <v>18866.236538299996</v>
      </c>
      <c r="EU34" s="38">
        <f>COUNT(DT406:DT439)</f>
        <v>34</v>
      </c>
      <c r="EV34" s="37" t="s">
        <v>1318</v>
      </c>
      <c r="EW34" s="37" t="s">
        <v>1318</v>
      </c>
      <c r="EX34" s="37" t="s">
        <v>1318</v>
      </c>
      <c r="EY34" s="38" t="s">
        <v>1318</v>
      </c>
      <c r="EZ34" s="37" t="s">
        <v>1318</v>
      </c>
      <c r="FA34" s="37" t="s">
        <v>1318</v>
      </c>
      <c r="FB34" s="37" t="s">
        <v>1318</v>
      </c>
      <c r="FC34" s="45" t="s">
        <v>1318</v>
      </c>
      <c r="FD34" s="42">
        <f t="shared" si="6"/>
        <v>18866.236538299996</v>
      </c>
      <c r="FE34" s="55" t="s">
        <v>1318</v>
      </c>
      <c r="FF34" s="55" t="s">
        <v>1318</v>
      </c>
      <c r="FG34" s="55" t="s">
        <v>1318</v>
      </c>
      <c r="FH34" s="45" t="s">
        <v>1318</v>
      </c>
      <c r="FI34" s="41">
        <f>SUM(DV406:DV439)</f>
        <v>385.30367100000001</v>
      </c>
      <c r="FJ34" s="13">
        <f t="shared" ref="FJ34:FJ35" si="29">100*(FK34/1000)/FI34</f>
        <v>1.1451147233684156</v>
      </c>
      <c r="FK34" s="42">
        <f>SUM(DX406:DX439)</f>
        <v>4412.1690662999999</v>
      </c>
      <c r="FL34" s="45">
        <f>COUNT(DX406:DX439)</f>
        <v>7</v>
      </c>
      <c r="FM34" s="37" t="s">
        <v>1318</v>
      </c>
      <c r="FN34" s="37" t="s">
        <v>1318</v>
      </c>
      <c r="FO34" s="42">
        <f>SUM(FG34,FK34,FM34,FN34)</f>
        <v>4412.1690662999999</v>
      </c>
      <c r="FP34" s="55" t="s">
        <v>75</v>
      </c>
      <c r="FQ34" s="1" t="s">
        <v>2</v>
      </c>
      <c r="FR34" s="1" t="s">
        <v>31</v>
      </c>
      <c r="FS34" s="1" t="s">
        <v>245</v>
      </c>
      <c r="FT34" s="1" t="s">
        <v>245</v>
      </c>
      <c r="FV34" s="1" t="s">
        <v>2</v>
      </c>
    </row>
    <row r="35" spans="1:178" ht="16.25" customHeight="1" x14ac:dyDescent="0.2">
      <c r="A35" s="18" t="s">
        <v>190</v>
      </c>
      <c r="B35" s="1" t="s">
        <v>63</v>
      </c>
      <c r="C35" s="21" t="s">
        <v>610</v>
      </c>
      <c r="D35" s="1" t="s">
        <v>64</v>
      </c>
      <c r="H35" s="1" t="s">
        <v>611</v>
      </c>
      <c r="J35" s="1" t="s">
        <v>204</v>
      </c>
      <c r="K35" s="1">
        <v>0</v>
      </c>
      <c r="AF35" s="1">
        <v>10.4</v>
      </c>
      <c r="AN35" s="1">
        <v>0.76</v>
      </c>
      <c r="AO35" s="2">
        <v>0.05</v>
      </c>
      <c r="BA35" s="1">
        <v>4.2</v>
      </c>
      <c r="BI35" s="1">
        <v>0.74</v>
      </c>
      <c r="BJ35" s="1">
        <v>4.7E-2</v>
      </c>
      <c r="BV35" s="1">
        <v>0</v>
      </c>
      <c r="CQ35" s="1">
        <v>0</v>
      </c>
      <c r="DL35" s="18" t="s">
        <v>96</v>
      </c>
      <c r="DM35" s="1" t="s">
        <v>96</v>
      </c>
      <c r="DN35" s="1">
        <f t="shared" si="0"/>
        <v>0.75424657534246575</v>
      </c>
      <c r="DO35" s="1">
        <f t="shared" si="1"/>
        <v>4.913698630136986E-2</v>
      </c>
      <c r="DP35" s="1" t="s">
        <v>67</v>
      </c>
      <c r="DQ35" s="1" t="s">
        <v>2</v>
      </c>
      <c r="DR35" s="16">
        <f t="shared" si="2"/>
        <v>14.600000000000001</v>
      </c>
      <c r="DS35" s="100">
        <f t="shared" si="3"/>
        <v>0.75424657534246575</v>
      </c>
      <c r="DT35" s="101">
        <f t="shared" si="4"/>
        <v>110.12000000000002</v>
      </c>
      <c r="DV35" s="16">
        <f t="shared" si="5"/>
        <v>0</v>
      </c>
      <c r="DZ35" s="37" t="s">
        <v>2</v>
      </c>
      <c r="EA35" s="37" t="s">
        <v>197</v>
      </c>
      <c r="EB35" s="50" t="s">
        <v>1318</v>
      </c>
      <c r="EC35" s="14">
        <v>155.511</v>
      </c>
      <c r="ED35" s="51" t="s">
        <v>1318</v>
      </c>
      <c r="EE35" s="41">
        <v>155.511</v>
      </c>
      <c r="EF35" s="51" t="s">
        <v>1318</v>
      </c>
      <c r="EG35" s="42">
        <v>4298.82</v>
      </c>
      <c r="EH35" s="51"/>
      <c r="EI35" s="42">
        <f t="shared" si="20"/>
        <v>4143.3089999999993</v>
      </c>
      <c r="EJ35" s="65"/>
      <c r="EK35" s="52">
        <f t="shared" si="14"/>
        <v>4906.5602111999997</v>
      </c>
      <c r="EL35" s="72">
        <f t="shared" si="28"/>
        <v>5062.0712112000001</v>
      </c>
      <c r="EM35" s="76" t="s">
        <v>197</v>
      </c>
      <c r="EN35" s="37" t="s">
        <v>1318</v>
      </c>
      <c r="EO35" s="37" t="s">
        <v>1318</v>
      </c>
      <c r="EP35" s="37" t="s">
        <v>1318</v>
      </c>
      <c r="EQ35" s="37" t="s">
        <v>1318</v>
      </c>
      <c r="ER35" s="41">
        <f>SUM(DR440:DR445)</f>
        <v>530.15512533333333</v>
      </c>
      <c r="ES35" s="13">
        <f t="shared" si="27"/>
        <v>0.92549519503654998</v>
      </c>
      <c r="ET35" s="42">
        <f>SUM(DT440:DT445)</f>
        <v>4906.5602111999997</v>
      </c>
      <c r="EU35" s="38">
        <f>COUNT(DT440:DT445)</f>
        <v>6</v>
      </c>
      <c r="EV35" s="37" t="s">
        <v>1318</v>
      </c>
      <c r="EW35" s="37" t="s">
        <v>1318</v>
      </c>
      <c r="EX35" s="37" t="s">
        <v>1318</v>
      </c>
      <c r="EY35" s="38" t="s">
        <v>1318</v>
      </c>
      <c r="EZ35" s="37" t="s">
        <v>1318</v>
      </c>
      <c r="FA35" s="37" t="s">
        <v>1318</v>
      </c>
      <c r="FB35" s="37" t="s">
        <v>1318</v>
      </c>
      <c r="FC35" s="45" t="s">
        <v>1318</v>
      </c>
      <c r="FD35" s="42">
        <f t="shared" si="6"/>
        <v>4906.5602111999997</v>
      </c>
      <c r="FE35" s="55" t="s">
        <v>1318</v>
      </c>
      <c r="FF35" s="55" t="s">
        <v>1318</v>
      </c>
      <c r="FG35" s="55" t="s">
        <v>1318</v>
      </c>
      <c r="FH35" s="45" t="s">
        <v>1318</v>
      </c>
      <c r="FI35" s="41">
        <f>SUM(DV440:DV445)</f>
        <v>57</v>
      </c>
      <c r="FJ35" s="13">
        <f t="shared" si="29"/>
        <v>0.8999999999999998</v>
      </c>
      <c r="FK35" s="42">
        <f>SUM(DX440:DX445)</f>
        <v>512.99999999999989</v>
      </c>
      <c r="FL35" s="45">
        <f>COUNT(DX440:DX445)</f>
        <v>1</v>
      </c>
      <c r="FM35" s="37" t="s">
        <v>1318</v>
      </c>
      <c r="FN35" s="37" t="s">
        <v>1318</v>
      </c>
      <c r="FO35" s="41">
        <f>SUM(FG35,FK35,FM35,FN35)</f>
        <v>512.99999999999989</v>
      </c>
      <c r="FP35" s="55" t="s">
        <v>197</v>
      </c>
      <c r="FQ35" s="1" t="s">
        <v>2</v>
      </c>
      <c r="FR35" s="1" t="s">
        <v>31</v>
      </c>
      <c r="FS35" s="1" t="s">
        <v>244</v>
      </c>
      <c r="FT35" s="1" t="s">
        <v>245</v>
      </c>
      <c r="FV35" s="1" t="s">
        <v>2</v>
      </c>
    </row>
    <row r="36" spans="1:178" ht="16.25" customHeight="1" x14ac:dyDescent="0.2">
      <c r="A36" s="18" t="s">
        <v>190</v>
      </c>
      <c r="B36" s="1" t="s">
        <v>63</v>
      </c>
      <c r="C36" s="80" t="s">
        <v>1082</v>
      </c>
      <c r="D36" s="1" t="s">
        <v>69</v>
      </c>
      <c r="H36" s="1" t="s">
        <v>131</v>
      </c>
      <c r="J36" s="1" t="s">
        <v>204</v>
      </c>
      <c r="K36" s="1">
        <v>0</v>
      </c>
      <c r="AF36" s="13">
        <v>5.6740000000000004</v>
      </c>
      <c r="AN36" s="1">
        <v>0.82</v>
      </c>
      <c r="AO36" s="1">
        <v>0.06</v>
      </c>
      <c r="AV36" s="14">
        <f>26.3*(2*55.85/(2*55.85+3*16.001))</f>
        <v>18.394832908586565</v>
      </c>
      <c r="BA36" s="13">
        <v>0.93300000000000005</v>
      </c>
      <c r="BI36" s="1">
        <v>0.77</v>
      </c>
      <c r="BJ36" s="1">
        <v>0.05</v>
      </c>
      <c r="BQ36" s="14">
        <f>24.7*(2*55.85/(2*55.85+3*16.001))</f>
        <v>17.27575562137217</v>
      </c>
      <c r="BV36" s="1">
        <v>0</v>
      </c>
      <c r="CQ36" s="1">
        <v>0</v>
      </c>
      <c r="DL36" s="18" t="s">
        <v>96</v>
      </c>
      <c r="DM36" s="1" t="s">
        <v>96</v>
      </c>
      <c r="DN36" s="1">
        <f t="shared" si="0"/>
        <v>0.81293930679582271</v>
      </c>
      <c r="DO36" s="1">
        <f t="shared" si="1"/>
        <v>5.8587861359164529E-2</v>
      </c>
      <c r="DP36" s="1" t="s">
        <v>156</v>
      </c>
      <c r="DQ36" s="1" t="s">
        <v>2</v>
      </c>
      <c r="DR36" s="16">
        <f t="shared" si="2"/>
        <v>6.6070000000000002</v>
      </c>
      <c r="DS36" s="100">
        <f t="shared" si="3"/>
        <v>0.81293930679582271</v>
      </c>
      <c r="DT36" s="101">
        <f t="shared" si="4"/>
        <v>53.710900000000009</v>
      </c>
      <c r="DV36" s="16">
        <f t="shared" si="5"/>
        <v>0</v>
      </c>
      <c r="DZ36" s="37" t="s">
        <v>2</v>
      </c>
      <c r="EA36" s="37" t="s">
        <v>100</v>
      </c>
      <c r="EB36" s="50" t="s">
        <v>1318</v>
      </c>
      <c r="EC36" s="14">
        <v>46.8735</v>
      </c>
      <c r="ED36" s="51" t="s">
        <v>1318</v>
      </c>
      <c r="EE36" s="41">
        <v>5.22</v>
      </c>
      <c r="EF36" s="51" t="s">
        <v>1318</v>
      </c>
      <c r="EG36" s="52">
        <v>100.8</v>
      </c>
      <c r="EH36" s="51"/>
      <c r="EI36" s="52">
        <f t="shared" si="20"/>
        <v>95.58</v>
      </c>
      <c r="EJ36" s="65"/>
      <c r="EK36" s="67">
        <f t="shared" si="14"/>
        <v>100.8</v>
      </c>
      <c r="EL36" s="14">
        <f t="shared" si="28"/>
        <v>147.67349999999999</v>
      </c>
      <c r="EM36" s="76" t="s">
        <v>100</v>
      </c>
      <c r="EN36" s="37" t="s">
        <v>1318</v>
      </c>
      <c r="EO36" s="37" t="s">
        <v>1318</v>
      </c>
      <c r="EP36" s="37" t="s">
        <v>1318</v>
      </c>
      <c r="EQ36" s="37" t="s">
        <v>1318</v>
      </c>
      <c r="ER36" s="41">
        <f>DR446</f>
        <v>16.8</v>
      </c>
      <c r="ES36" s="13">
        <f t="shared" si="27"/>
        <v>0.6</v>
      </c>
      <c r="ET36" s="41">
        <f>DT446</f>
        <v>100.8</v>
      </c>
      <c r="EU36" s="38">
        <f>COUNT(DT446)</f>
        <v>1</v>
      </c>
      <c r="EV36" s="37" t="s">
        <v>1318</v>
      </c>
      <c r="EW36" s="37" t="s">
        <v>1318</v>
      </c>
      <c r="EX36" s="37" t="s">
        <v>1318</v>
      </c>
      <c r="EY36" s="38" t="s">
        <v>1318</v>
      </c>
      <c r="EZ36" s="37" t="s">
        <v>1318</v>
      </c>
      <c r="FA36" s="37" t="s">
        <v>1318</v>
      </c>
      <c r="FB36" s="37" t="s">
        <v>1318</v>
      </c>
      <c r="FC36" s="45" t="s">
        <v>1318</v>
      </c>
      <c r="FD36" s="42">
        <f t="shared" si="6"/>
        <v>100.8</v>
      </c>
      <c r="FE36" s="55" t="s">
        <v>1318</v>
      </c>
      <c r="FF36" s="55" t="s">
        <v>1318</v>
      </c>
      <c r="FG36" s="55" t="s">
        <v>1318</v>
      </c>
      <c r="FH36" s="45" t="s">
        <v>1318</v>
      </c>
      <c r="FI36" s="45" t="s">
        <v>1318</v>
      </c>
      <c r="FJ36" s="45" t="s">
        <v>1318</v>
      </c>
      <c r="FK36" s="45" t="s">
        <v>1318</v>
      </c>
      <c r="FL36" s="45" t="s">
        <v>1318</v>
      </c>
      <c r="FM36" s="37" t="s">
        <v>1318</v>
      </c>
      <c r="FN36" s="37" t="s">
        <v>1318</v>
      </c>
      <c r="FO36" s="37" t="s">
        <v>1318</v>
      </c>
      <c r="FP36" s="55" t="s">
        <v>100</v>
      </c>
      <c r="FQ36" s="1" t="s">
        <v>2</v>
      </c>
      <c r="FR36" s="1" t="s">
        <v>31</v>
      </c>
      <c r="FS36" s="1" t="s">
        <v>245</v>
      </c>
      <c r="FT36" s="1" t="s">
        <v>245</v>
      </c>
      <c r="FV36" s="1" t="s">
        <v>2</v>
      </c>
    </row>
    <row r="37" spans="1:178" ht="16.25" customHeight="1" x14ac:dyDescent="0.2">
      <c r="A37" s="18" t="s">
        <v>190</v>
      </c>
      <c r="B37" s="1" t="s">
        <v>63</v>
      </c>
      <c r="C37" s="80" t="s">
        <v>1192</v>
      </c>
      <c r="H37" s="1" t="s">
        <v>1193</v>
      </c>
      <c r="J37" s="1" t="s">
        <v>211</v>
      </c>
      <c r="K37" s="1">
        <v>0</v>
      </c>
      <c r="AF37" s="1">
        <v>0</v>
      </c>
      <c r="BA37" s="1">
        <v>2.8</v>
      </c>
      <c r="BI37" s="1">
        <v>0.91</v>
      </c>
      <c r="BJ37" s="1">
        <v>0.09</v>
      </c>
      <c r="BV37" s="1">
        <v>0</v>
      </c>
      <c r="CQ37" s="1">
        <v>0</v>
      </c>
      <c r="DL37" s="18" t="s">
        <v>96</v>
      </c>
      <c r="DM37" s="1" t="s">
        <v>96</v>
      </c>
      <c r="DN37" s="1">
        <f t="shared" si="0"/>
        <v>0.91</v>
      </c>
      <c r="DO37" s="1">
        <f t="shared" si="1"/>
        <v>9.0000000000000011E-2</v>
      </c>
      <c r="DP37" s="1" t="s">
        <v>148</v>
      </c>
      <c r="DQ37" s="1" t="s">
        <v>2</v>
      </c>
      <c r="DR37" s="16">
        <f t="shared" si="2"/>
        <v>2.8</v>
      </c>
      <c r="DS37" s="16">
        <f t="shared" si="3"/>
        <v>0.91</v>
      </c>
      <c r="DT37" s="101">
        <f t="shared" si="4"/>
        <v>25.48</v>
      </c>
      <c r="DV37" s="16">
        <f t="shared" si="5"/>
        <v>0</v>
      </c>
      <c r="DZ37" s="37" t="s">
        <v>2</v>
      </c>
      <c r="EA37" s="37" t="s">
        <v>86</v>
      </c>
      <c r="EB37" s="50" t="s">
        <v>1318</v>
      </c>
      <c r="EC37" s="50" t="s">
        <v>1318</v>
      </c>
      <c r="ED37" s="51" t="s">
        <v>1318</v>
      </c>
      <c r="EE37" s="51" t="s">
        <v>1318</v>
      </c>
      <c r="EF37" s="51" t="s">
        <v>1318</v>
      </c>
      <c r="EG37" s="52">
        <v>742.07198400000027</v>
      </c>
      <c r="EH37" s="51"/>
      <c r="EI37" s="52">
        <v>742.07198400000027</v>
      </c>
      <c r="EJ37" s="65"/>
      <c r="EK37" s="67">
        <f t="shared" si="14"/>
        <v>722.4492479999999</v>
      </c>
      <c r="EL37" s="14">
        <f t="shared" ref="EL37" si="30">FD37</f>
        <v>722.4492479999999</v>
      </c>
      <c r="EM37" s="76" t="s">
        <v>86</v>
      </c>
      <c r="EN37" s="37" t="s">
        <v>1318</v>
      </c>
      <c r="EO37" s="37" t="s">
        <v>1318</v>
      </c>
      <c r="EP37" s="37" t="s">
        <v>1318</v>
      </c>
      <c r="EQ37" s="37" t="s">
        <v>1318</v>
      </c>
      <c r="ER37" s="41">
        <f>SUM(DR447:DR450)</f>
        <v>82.068799999999996</v>
      </c>
      <c r="ES37" s="13">
        <f t="shared" si="27"/>
        <v>0.88029707757393794</v>
      </c>
      <c r="ET37" s="41">
        <f>SUM(DT447:DT450)</f>
        <v>722.4492479999999</v>
      </c>
      <c r="EU37" s="38">
        <f>COUNT(DT447:DT450)</f>
        <v>4</v>
      </c>
      <c r="EV37" s="37" t="s">
        <v>1318</v>
      </c>
      <c r="EW37" s="37" t="s">
        <v>1318</v>
      </c>
      <c r="EX37" s="37" t="s">
        <v>1318</v>
      </c>
      <c r="EY37" s="38" t="s">
        <v>1318</v>
      </c>
      <c r="EZ37" s="37" t="s">
        <v>1318</v>
      </c>
      <c r="FA37" s="37" t="s">
        <v>1318</v>
      </c>
      <c r="FB37" s="37" t="s">
        <v>1318</v>
      </c>
      <c r="FC37" s="45" t="s">
        <v>1318</v>
      </c>
      <c r="FD37" s="42">
        <f t="shared" si="6"/>
        <v>722.4492479999999</v>
      </c>
      <c r="FE37" s="55" t="s">
        <v>1318</v>
      </c>
      <c r="FF37" s="55" t="s">
        <v>1318</v>
      </c>
      <c r="FG37" s="55" t="s">
        <v>1318</v>
      </c>
      <c r="FH37" s="45" t="s">
        <v>1318</v>
      </c>
      <c r="FI37" s="45" t="s">
        <v>1318</v>
      </c>
      <c r="FJ37" s="45" t="s">
        <v>1318</v>
      </c>
      <c r="FK37" s="45" t="s">
        <v>1318</v>
      </c>
      <c r="FL37" s="45" t="s">
        <v>1318</v>
      </c>
      <c r="FM37" s="37" t="s">
        <v>1318</v>
      </c>
      <c r="FN37" s="37" t="s">
        <v>1318</v>
      </c>
      <c r="FO37" s="37" t="s">
        <v>1318</v>
      </c>
      <c r="FP37" s="55" t="s">
        <v>86</v>
      </c>
      <c r="FQ37" s="1" t="s">
        <v>2</v>
      </c>
      <c r="FR37" s="1" t="s">
        <v>31</v>
      </c>
      <c r="FS37" s="1" t="s">
        <v>244</v>
      </c>
      <c r="FT37" s="1" t="s">
        <v>245</v>
      </c>
      <c r="FV37" s="1" t="s">
        <v>2</v>
      </c>
    </row>
    <row r="38" spans="1:178" ht="16.25" customHeight="1" x14ac:dyDescent="0.2">
      <c r="A38" s="18" t="s">
        <v>190</v>
      </c>
      <c r="B38" s="1" t="s">
        <v>63</v>
      </c>
      <c r="C38" s="21" t="s">
        <v>498</v>
      </c>
      <c r="D38" s="1" t="s">
        <v>64</v>
      </c>
      <c r="G38" s="1" t="s">
        <v>72</v>
      </c>
      <c r="H38" s="1" t="s">
        <v>499</v>
      </c>
      <c r="J38" s="1" t="s">
        <v>211</v>
      </c>
      <c r="K38" s="1">
        <v>0</v>
      </c>
      <c r="AF38" s="1">
        <v>0</v>
      </c>
      <c r="BA38" s="1">
        <v>19.2</v>
      </c>
      <c r="BI38" s="1">
        <v>0.63</v>
      </c>
      <c r="BJ38" s="1">
        <v>0.1</v>
      </c>
      <c r="BS38" s="1">
        <v>40</v>
      </c>
      <c r="BV38" s="1">
        <v>0</v>
      </c>
      <c r="CQ38" s="1">
        <v>0</v>
      </c>
      <c r="DL38" s="18" t="s">
        <v>163</v>
      </c>
      <c r="DM38" s="1" t="s">
        <v>163</v>
      </c>
      <c r="DN38" s="1">
        <f t="shared" si="0"/>
        <v>0.63</v>
      </c>
      <c r="DO38" s="1">
        <f t="shared" si="1"/>
        <v>0.1</v>
      </c>
      <c r="DP38" s="1" t="s">
        <v>169</v>
      </c>
      <c r="DQ38" s="1" t="s">
        <v>2</v>
      </c>
      <c r="DR38" s="16">
        <f t="shared" si="2"/>
        <v>19.2</v>
      </c>
      <c r="DS38" s="16">
        <f t="shared" si="3"/>
        <v>0.63</v>
      </c>
      <c r="DT38" s="101">
        <f t="shared" si="4"/>
        <v>120.96</v>
      </c>
      <c r="DV38" s="16">
        <f t="shared" si="5"/>
        <v>0</v>
      </c>
      <c r="DZ38" s="37" t="s">
        <v>2</v>
      </c>
      <c r="EA38" s="37" t="s">
        <v>85</v>
      </c>
      <c r="EB38" s="42">
        <v>9778.7466999999997</v>
      </c>
      <c r="EC38" s="42">
        <v>2131.3321599999999</v>
      </c>
      <c r="ED38" s="42">
        <v>1813.51</v>
      </c>
      <c r="EE38" s="41">
        <v>62.62</v>
      </c>
      <c r="EF38" s="42">
        <v>20457.527211589073</v>
      </c>
      <c r="EG38" s="42">
        <v>3960.53</v>
      </c>
      <c r="EH38" s="42">
        <f t="shared" ref="EH38" si="31">EF38-ED38</f>
        <v>18644.017211589075</v>
      </c>
      <c r="EI38" s="42">
        <f t="shared" ref="EI38" si="32">EG38-EE38</f>
        <v>3897.9100000000003</v>
      </c>
      <c r="EJ38" s="42">
        <f t="shared" si="7"/>
        <v>38033.740046999992</v>
      </c>
      <c r="EK38" s="52">
        <f t="shared" si="14"/>
        <v>7464.9124000000002</v>
      </c>
      <c r="EL38" s="72">
        <f t="shared" si="8"/>
        <v>57408.731306999995</v>
      </c>
      <c r="EM38" s="76" t="s">
        <v>85</v>
      </c>
      <c r="EN38" s="42">
        <f>SUM(DR458:DR497)</f>
        <v>8088.5557000000017</v>
      </c>
      <c r="EO38" s="13">
        <f>100*(EP38/1000)/EN38</f>
        <v>0.45579361031042881</v>
      </c>
      <c r="EP38" s="42">
        <f>SUM(DT458:DT497)</f>
        <v>36867.120046999989</v>
      </c>
      <c r="EQ38" s="1">
        <f>COUNT(DT458:DT497)</f>
        <v>40</v>
      </c>
      <c r="ER38" s="41">
        <f>SUM(DR453:DR457)</f>
        <v>905.86850000000004</v>
      </c>
      <c r="ES38" s="13">
        <f t="shared" si="27"/>
        <v>0.82406137314632311</v>
      </c>
      <c r="ET38" s="42">
        <f>SUM(DT453:DT457)</f>
        <v>7464.9124000000002</v>
      </c>
      <c r="EU38" s="38">
        <f>COUNT(DT453:DT457)</f>
        <v>5</v>
      </c>
      <c r="EV38" s="41">
        <f>SUM(DR451:DR452)</f>
        <v>156.19999999999999</v>
      </c>
      <c r="EW38" s="13">
        <f>100*(EX38/1000)/EV38</f>
        <v>0.74687580025608202</v>
      </c>
      <c r="EX38" s="42">
        <f>SUM(DT451:DT452)</f>
        <v>1166.6199999999999</v>
      </c>
      <c r="EY38" s="38">
        <f>COUNT(DT451:DT452)</f>
        <v>2</v>
      </c>
      <c r="EZ38" s="37" t="s">
        <v>1318</v>
      </c>
      <c r="FA38" s="37" t="s">
        <v>1318</v>
      </c>
      <c r="FB38" s="37" t="s">
        <v>1318</v>
      </c>
      <c r="FC38" s="45" t="s">
        <v>1318</v>
      </c>
      <c r="FD38" s="42">
        <f t="shared" si="6"/>
        <v>45498.652446999993</v>
      </c>
      <c r="FE38" s="41">
        <f>SUM(DV458:DV497)</f>
        <v>754.92700000000002</v>
      </c>
      <c r="FF38" s="13">
        <f>100*(FG38/1000)/FE38</f>
        <v>0.89356112577772429</v>
      </c>
      <c r="FG38" s="42">
        <f>SUM(DX458:DX497)</f>
        <v>6745.7341999999999</v>
      </c>
      <c r="FH38" s="45">
        <f>COUNT(DX458:DX497)</f>
        <v>4</v>
      </c>
      <c r="FI38" s="45" t="s">
        <v>1318</v>
      </c>
      <c r="FJ38" s="45" t="s">
        <v>1318</v>
      </c>
      <c r="FK38" s="45" t="s">
        <v>1318</v>
      </c>
      <c r="FL38" s="45" t="s">
        <v>1318</v>
      </c>
      <c r="FM38" s="41">
        <f>SUM(DX451:DX452)</f>
        <v>664.82</v>
      </c>
      <c r="FN38" s="37" t="s">
        <v>1318</v>
      </c>
      <c r="FO38" s="42">
        <f>SUM(FG38,FK38,FM38,FN38)</f>
        <v>7410.5541999999996</v>
      </c>
      <c r="FP38" s="55" t="s">
        <v>85</v>
      </c>
      <c r="FQ38" s="1" t="s">
        <v>2</v>
      </c>
      <c r="FR38" s="1" t="s">
        <v>31</v>
      </c>
      <c r="FS38" s="1" t="s">
        <v>244</v>
      </c>
      <c r="FV38" s="1" t="s">
        <v>2</v>
      </c>
    </row>
    <row r="39" spans="1:178" ht="16.25" customHeight="1" x14ac:dyDescent="0.2">
      <c r="A39" s="18" t="s">
        <v>190</v>
      </c>
      <c r="B39" s="1" t="s">
        <v>63</v>
      </c>
      <c r="C39" s="21" t="s">
        <v>1144</v>
      </c>
      <c r="D39" s="1" t="s">
        <v>69</v>
      </c>
      <c r="H39" s="1" t="s">
        <v>1145</v>
      </c>
      <c r="J39" s="1" t="s">
        <v>204</v>
      </c>
      <c r="K39" s="1">
        <v>0</v>
      </c>
      <c r="AF39" s="1">
        <v>0</v>
      </c>
      <c r="BA39" s="1">
        <v>0.5</v>
      </c>
      <c r="BI39" s="1">
        <v>0.75</v>
      </c>
      <c r="BJ39" s="1">
        <v>0.04</v>
      </c>
      <c r="BV39" s="1">
        <v>0</v>
      </c>
      <c r="CQ39" s="1">
        <v>0</v>
      </c>
      <c r="DL39" s="18" t="s">
        <v>96</v>
      </c>
      <c r="DM39" s="1" t="s">
        <v>96</v>
      </c>
      <c r="DN39" s="1">
        <f t="shared" si="0"/>
        <v>0.75</v>
      </c>
      <c r="DO39" s="1">
        <f t="shared" si="1"/>
        <v>0.04</v>
      </c>
      <c r="DP39" s="1" t="s">
        <v>148</v>
      </c>
      <c r="DQ39" s="1" t="s">
        <v>2</v>
      </c>
      <c r="DR39" s="16">
        <f t="shared" si="2"/>
        <v>0.5</v>
      </c>
      <c r="DS39" s="16">
        <f t="shared" si="3"/>
        <v>0.75</v>
      </c>
      <c r="DT39" s="101">
        <f t="shared" si="4"/>
        <v>3.75</v>
      </c>
      <c r="DV39" s="16">
        <f t="shared" si="5"/>
        <v>0</v>
      </c>
      <c r="DZ39" s="37" t="s">
        <v>2</v>
      </c>
      <c r="EA39" s="37" t="s">
        <v>93</v>
      </c>
      <c r="EB39" s="50" t="s">
        <v>1318</v>
      </c>
      <c r="EC39" s="14">
        <v>20.742999999999999</v>
      </c>
      <c r="ED39" s="51" t="s">
        <v>1318</v>
      </c>
      <c r="EE39" s="51" t="s">
        <v>1318</v>
      </c>
      <c r="EF39" s="51" t="s">
        <v>1318</v>
      </c>
      <c r="EG39" s="52">
        <v>1910.1000000000004</v>
      </c>
      <c r="EH39" s="51"/>
      <c r="EI39" s="52">
        <v>1910.1000000000004</v>
      </c>
      <c r="EJ39" s="65"/>
      <c r="EK39" s="52">
        <f t="shared" si="14"/>
        <v>1948.8500000000004</v>
      </c>
      <c r="EL39" s="72">
        <f>EC39+FD39</f>
        <v>1969.5930000000003</v>
      </c>
      <c r="EM39" s="76" t="s">
        <v>93</v>
      </c>
      <c r="EN39" s="37" t="s">
        <v>1318</v>
      </c>
      <c r="EO39" s="37" t="s">
        <v>1318</v>
      </c>
      <c r="EP39" s="37" t="s">
        <v>1318</v>
      </c>
      <c r="EQ39" s="37" t="s">
        <v>1318</v>
      </c>
      <c r="ER39" s="41">
        <f>SUM(DR498:DR501)</f>
        <v>264.10000000000002</v>
      </c>
      <c r="ES39" s="13">
        <f t="shared" si="27"/>
        <v>0.73792124195380548</v>
      </c>
      <c r="ET39" s="42">
        <f>SUM(DT498:DT501)</f>
        <v>1948.8500000000004</v>
      </c>
      <c r="EU39" s="38">
        <f>COUNT(DT498:DT501)</f>
        <v>4</v>
      </c>
      <c r="EV39" s="37" t="s">
        <v>1318</v>
      </c>
      <c r="EW39" s="37" t="s">
        <v>1318</v>
      </c>
      <c r="EX39" s="37" t="s">
        <v>1318</v>
      </c>
      <c r="EY39" s="38" t="s">
        <v>1318</v>
      </c>
      <c r="EZ39" s="37" t="s">
        <v>1318</v>
      </c>
      <c r="FA39" s="37" t="s">
        <v>1318</v>
      </c>
      <c r="FB39" s="37" t="s">
        <v>1318</v>
      </c>
      <c r="FC39" s="45" t="s">
        <v>1318</v>
      </c>
      <c r="FD39" s="42">
        <f t="shared" si="6"/>
        <v>1948.8500000000004</v>
      </c>
      <c r="FE39" s="55" t="s">
        <v>1318</v>
      </c>
      <c r="FF39" s="55" t="s">
        <v>1318</v>
      </c>
      <c r="FG39" s="55" t="s">
        <v>1318</v>
      </c>
      <c r="FH39" s="45" t="s">
        <v>1318</v>
      </c>
      <c r="FI39" s="45" t="s">
        <v>1318</v>
      </c>
      <c r="FJ39" s="45" t="s">
        <v>1318</v>
      </c>
      <c r="FK39" s="45" t="s">
        <v>1318</v>
      </c>
      <c r="FL39" s="45" t="s">
        <v>1318</v>
      </c>
      <c r="FM39" s="37" t="s">
        <v>1318</v>
      </c>
      <c r="FN39" s="37" t="s">
        <v>1318</v>
      </c>
      <c r="FO39" s="37" t="s">
        <v>1318</v>
      </c>
      <c r="FP39" s="55" t="s">
        <v>93</v>
      </c>
      <c r="FQ39" s="1" t="s">
        <v>2</v>
      </c>
      <c r="FR39" s="1" t="s">
        <v>31</v>
      </c>
      <c r="FS39" s="1" t="s">
        <v>244</v>
      </c>
      <c r="FT39" s="1" t="s">
        <v>245</v>
      </c>
      <c r="FV39" s="1" t="s">
        <v>2</v>
      </c>
    </row>
    <row r="40" spans="1:178" ht="16.25" customHeight="1" x14ac:dyDescent="0.2">
      <c r="A40" s="18" t="s">
        <v>190</v>
      </c>
      <c r="B40" s="1" t="s">
        <v>63</v>
      </c>
      <c r="C40" s="80" t="s">
        <v>1006</v>
      </c>
      <c r="D40" s="1" t="s">
        <v>620</v>
      </c>
      <c r="H40" s="1" t="s">
        <v>1007</v>
      </c>
      <c r="J40" s="1" t="s">
        <v>188</v>
      </c>
      <c r="K40" s="1">
        <v>0</v>
      </c>
      <c r="AF40" s="2">
        <v>29.830577999999999</v>
      </c>
      <c r="AN40" s="1">
        <v>0.8</v>
      </c>
      <c r="AO40" s="1">
        <v>7.1999999999999995E-2</v>
      </c>
      <c r="AU40" s="1">
        <v>1.48</v>
      </c>
      <c r="AV40" s="1">
        <v>41</v>
      </c>
      <c r="AW40" s="1">
        <v>10.9</v>
      </c>
      <c r="BA40" s="2">
        <v>18.627089999999999</v>
      </c>
      <c r="BI40" s="1">
        <v>0.42</v>
      </c>
      <c r="BJ40" s="1">
        <v>3.5000000000000003E-2</v>
      </c>
      <c r="BP40" s="1">
        <v>1.77</v>
      </c>
      <c r="BQ40" s="1">
        <v>41</v>
      </c>
      <c r="BR40" s="1">
        <v>10.9</v>
      </c>
      <c r="BV40" s="1">
        <v>0</v>
      </c>
      <c r="CQ40" s="1">
        <v>0</v>
      </c>
      <c r="DL40" s="18" t="s">
        <v>96</v>
      </c>
      <c r="DM40" s="1" t="s">
        <v>96</v>
      </c>
      <c r="DN40" s="1">
        <f t="shared" si="0"/>
        <v>0.65392829469218372</v>
      </c>
      <c r="DO40" s="1">
        <f t="shared" si="1"/>
        <v>5.7777228693712622E-2</v>
      </c>
      <c r="DP40" s="1" t="s">
        <v>148</v>
      </c>
      <c r="DQ40" s="1" t="s">
        <v>2</v>
      </c>
      <c r="DR40" s="100">
        <f t="shared" si="2"/>
        <v>48.457667999999998</v>
      </c>
      <c r="DS40" s="100">
        <f t="shared" si="3"/>
        <v>0.65392829469218372</v>
      </c>
      <c r="DT40" s="101">
        <f t="shared" si="4"/>
        <v>316.87840199999999</v>
      </c>
      <c r="DV40" s="16">
        <f t="shared" si="5"/>
        <v>0</v>
      </c>
      <c r="DZ40" s="37" t="s">
        <v>2</v>
      </c>
      <c r="EA40" s="37" t="s">
        <v>133</v>
      </c>
      <c r="EB40" s="50" t="s">
        <v>1318</v>
      </c>
      <c r="EC40" s="50" t="s">
        <v>1318</v>
      </c>
      <c r="ED40" s="51" t="s">
        <v>1318</v>
      </c>
      <c r="EE40" s="51" t="s">
        <v>1318</v>
      </c>
      <c r="EF40" s="51" t="s">
        <v>1318</v>
      </c>
      <c r="EG40" s="52">
        <v>1671.7500000000002</v>
      </c>
      <c r="EH40" s="51"/>
      <c r="EI40" s="52">
        <v>1671.7500000000002</v>
      </c>
      <c r="EJ40" s="65"/>
      <c r="EK40" s="67">
        <f t="shared" si="14"/>
        <v>212.87000000000003</v>
      </c>
      <c r="EL40" s="14">
        <f t="shared" ref="EL40" si="33">FD40</f>
        <v>212.87000000000003</v>
      </c>
      <c r="EM40" s="76" t="s">
        <v>133</v>
      </c>
      <c r="EN40" s="37" t="s">
        <v>1318</v>
      </c>
      <c r="EO40" s="37" t="s">
        <v>1318</v>
      </c>
      <c r="EP40" s="37" t="s">
        <v>1318</v>
      </c>
      <c r="EQ40" s="37" t="s">
        <v>1318</v>
      </c>
      <c r="ER40" s="41">
        <f>SUM(DR502:DR503)</f>
        <v>17.695</v>
      </c>
      <c r="ES40" s="13">
        <f t="shared" si="27"/>
        <v>1.2029951963831591</v>
      </c>
      <c r="ET40" s="41">
        <f>SUM(DT502:DT503)</f>
        <v>212.87000000000003</v>
      </c>
      <c r="EU40" s="38">
        <f>COUNT(DT502:DT503)</f>
        <v>2</v>
      </c>
      <c r="EV40" s="37" t="s">
        <v>1318</v>
      </c>
      <c r="EW40" s="37" t="s">
        <v>1318</v>
      </c>
      <c r="EX40" s="37" t="s">
        <v>1318</v>
      </c>
      <c r="EY40" s="38" t="s">
        <v>1318</v>
      </c>
      <c r="EZ40" s="37" t="s">
        <v>1318</v>
      </c>
      <c r="FA40" s="37" t="s">
        <v>1318</v>
      </c>
      <c r="FB40" s="37" t="s">
        <v>1318</v>
      </c>
      <c r="FC40" s="45" t="s">
        <v>1318</v>
      </c>
      <c r="FD40" s="42">
        <f t="shared" si="6"/>
        <v>212.87000000000003</v>
      </c>
      <c r="FE40" s="55" t="s">
        <v>1318</v>
      </c>
      <c r="FF40" s="55" t="s">
        <v>1318</v>
      </c>
      <c r="FG40" s="55" t="s">
        <v>1318</v>
      </c>
      <c r="FH40" s="45" t="s">
        <v>1318</v>
      </c>
      <c r="FI40" s="45" t="s">
        <v>1318</v>
      </c>
      <c r="FJ40" s="45" t="s">
        <v>1318</v>
      </c>
      <c r="FK40" s="45" t="s">
        <v>1318</v>
      </c>
      <c r="FL40" s="45" t="s">
        <v>1318</v>
      </c>
      <c r="FM40" s="37" t="s">
        <v>1318</v>
      </c>
      <c r="FN40" s="37" t="s">
        <v>1318</v>
      </c>
      <c r="FO40" s="37" t="s">
        <v>1318</v>
      </c>
      <c r="FP40" s="55" t="s">
        <v>133</v>
      </c>
      <c r="FQ40" s="1" t="s">
        <v>2</v>
      </c>
      <c r="FR40" s="1" t="s">
        <v>31</v>
      </c>
      <c r="FS40" s="1" t="s">
        <v>244</v>
      </c>
      <c r="FV40" s="1" t="s">
        <v>2</v>
      </c>
    </row>
    <row r="41" spans="1:178" ht="16.25" customHeight="1" x14ac:dyDescent="0.2">
      <c r="A41" s="18" t="s">
        <v>190</v>
      </c>
      <c r="B41" s="1" t="s">
        <v>63</v>
      </c>
      <c r="C41" s="21" t="s">
        <v>333</v>
      </c>
      <c r="D41" s="1" t="s">
        <v>69</v>
      </c>
      <c r="G41" s="1" t="s">
        <v>72</v>
      </c>
      <c r="H41" s="1" t="s">
        <v>334</v>
      </c>
      <c r="J41" s="1" t="s">
        <v>211</v>
      </c>
      <c r="K41" s="1">
        <v>0</v>
      </c>
      <c r="AF41" s="1">
        <v>0</v>
      </c>
      <c r="BA41" s="1">
        <v>0.7</v>
      </c>
      <c r="BI41" s="1">
        <v>0.83</v>
      </c>
      <c r="BJ41" s="1">
        <v>0.04</v>
      </c>
      <c r="BV41" s="1">
        <v>0</v>
      </c>
      <c r="CQ41" s="1">
        <v>0</v>
      </c>
      <c r="DL41" s="18" t="s">
        <v>96</v>
      </c>
      <c r="DM41" s="1" t="s">
        <v>96</v>
      </c>
      <c r="DN41" s="1">
        <f t="shared" si="0"/>
        <v>0.83</v>
      </c>
      <c r="DO41" s="1">
        <f t="shared" si="1"/>
        <v>0.04</v>
      </c>
      <c r="DP41" s="1" t="s">
        <v>148</v>
      </c>
      <c r="DQ41" s="1" t="s">
        <v>2</v>
      </c>
      <c r="DR41" s="16">
        <f t="shared" si="2"/>
        <v>0.7</v>
      </c>
      <c r="DS41" s="16">
        <f t="shared" si="3"/>
        <v>0.83</v>
      </c>
      <c r="DT41" s="101">
        <f t="shared" si="4"/>
        <v>5.81</v>
      </c>
      <c r="DV41" s="16">
        <f t="shared" si="5"/>
        <v>0</v>
      </c>
      <c r="DZ41" s="37" t="s">
        <v>2</v>
      </c>
      <c r="EA41" s="37" t="s">
        <v>149</v>
      </c>
      <c r="EB41" s="42">
        <v>1648.462</v>
      </c>
      <c r="EC41" s="50" t="s">
        <v>1318</v>
      </c>
      <c r="ED41" s="41">
        <v>349.411</v>
      </c>
      <c r="EE41" s="51" t="s">
        <v>1318</v>
      </c>
      <c r="EF41" s="52">
        <v>33216.287094229294</v>
      </c>
      <c r="EG41" s="51" t="s">
        <v>1318</v>
      </c>
      <c r="EH41" s="52">
        <f t="shared" ref="EH41:EH42" si="34">EF41-ED41</f>
        <v>32866.876094229294</v>
      </c>
      <c r="EI41" s="51"/>
      <c r="EJ41" s="42">
        <f t="shared" si="7"/>
        <v>30684.23961705247</v>
      </c>
      <c r="EK41" s="65"/>
      <c r="EL41" s="72">
        <f t="shared" ref="EL41:EL43" si="35">EB41+FD41</f>
        <v>32332.701617052469</v>
      </c>
      <c r="EM41" s="76" t="s">
        <v>149</v>
      </c>
      <c r="EN41" s="42">
        <f>SUM(DR504:DR572)</f>
        <v>18258.136228255073</v>
      </c>
      <c r="EO41" s="13">
        <f>100*(EP41/1000)/EN41</f>
        <v>0.16805789612615329</v>
      </c>
      <c r="EP41" s="42">
        <f>SUM(DT504:DT572)</f>
        <v>30684.23961705247</v>
      </c>
      <c r="EQ41" s="1">
        <f>COUNT(DT504:DT572)</f>
        <v>69</v>
      </c>
      <c r="ER41" s="37" t="s">
        <v>1318</v>
      </c>
      <c r="ES41" s="37" t="s">
        <v>1318</v>
      </c>
      <c r="ET41" s="37" t="s">
        <v>1318</v>
      </c>
      <c r="EU41" s="38" t="s">
        <v>1318</v>
      </c>
      <c r="EV41" s="37" t="s">
        <v>1318</v>
      </c>
      <c r="EW41" s="37" t="s">
        <v>1318</v>
      </c>
      <c r="EX41" s="37" t="s">
        <v>1318</v>
      </c>
      <c r="EY41" s="38" t="s">
        <v>1318</v>
      </c>
      <c r="EZ41" s="37" t="s">
        <v>1318</v>
      </c>
      <c r="FA41" s="37" t="s">
        <v>1318</v>
      </c>
      <c r="FB41" s="37" t="s">
        <v>1318</v>
      </c>
      <c r="FC41" s="45" t="s">
        <v>1318</v>
      </c>
      <c r="FD41" s="42">
        <f t="shared" si="6"/>
        <v>30684.23961705247</v>
      </c>
      <c r="FE41" s="42">
        <f>SUM(DV504:DV572)</f>
        <v>2982.146481245195</v>
      </c>
      <c r="FF41" s="13">
        <f>100*(FG41/1000)/FE41</f>
        <v>0.16349163201460043</v>
      </c>
      <c r="FG41" s="42">
        <f>SUM(DX504:DX572)</f>
        <v>4875.5599512537492</v>
      </c>
      <c r="FH41" s="45">
        <f>COUNT(DX504:DX572)</f>
        <v>28</v>
      </c>
      <c r="FI41" s="45" t="s">
        <v>1318</v>
      </c>
      <c r="FJ41" s="45" t="s">
        <v>1318</v>
      </c>
      <c r="FK41" s="45" t="s">
        <v>1318</v>
      </c>
      <c r="FL41" s="45" t="s">
        <v>1318</v>
      </c>
      <c r="FM41" s="37" t="s">
        <v>1318</v>
      </c>
      <c r="FN41" s="37" t="s">
        <v>1318</v>
      </c>
      <c r="FO41" s="42">
        <f>SUM(FG41,FK41,FM41,FN41)</f>
        <v>4875.5599512537492</v>
      </c>
      <c r="FP41" s="55" t="s">
        <v>149</v>
      </c>
      <c r="FQ41" s="1" t="s">
        <v>2</v>
      </c>
      <c r="FR41" s="1" t="s">
        <v>31</v>
      </c>
      <c r="FS41" s="1" t="s">
        <v>245</v>
      </c>
      <c r="FV41" s="1" t="s">
        <v>2</v>
      </c>
    </row>
    <row r="42" spans="1:178" ht="16.25" customHeight="1" x14ac:dyDescent="0.2">
      <c r="A42" s="18" t="s">
        <v>190</v>
      </c>
      <c r="B42" s="1" t="s">
        <v>63</v>
      </c>
      <c r="C42" s="80" t="s">
        <v>1041</v>
      </c>
      <c r="D42" s="1" t="s">
        <v>69</v>
      </c>
      <c r="H42" s="1" t="s">
        <v>1042</v>
      </c>
      <c r="J42" s="1" t="s">
        <v>204</v>
      </c>
      <c r="K42" s="1">
        <v>0</v>
      </c>
      <c r="AF42" s="1">
        <v>88</v>
      </c>
      <c r="AN42" s="1">
        <v>0.86</v>
      </c>
      <c r="AO42" s="1">
        <v>5.2999999999999999E-2</v>
      </c>
      <c r="BA42" s="1">
        <v>81.8</v>
      </c>
      <c r="BI42" s="1">
        <v>0.79</v>
      </c>
      <c r="BJ42" s="1">
        <v>0.06</v>
      </c>
      <c r="BV42" s="1">
        <v>0</v>
      </c>
      <c r="CQ42" s="1">
        <v>0</v>
      </c>
      <c r="DL42" s="18" t="s">
        <v>96</v>
      </c>
      <c r="DM42" s="1" t="s">
        <v>96</v>
      </c>
      <c r="DN42" s="1">
        <f t="shared" si="0"/>
        <v>0.8262779740871613</v>
      </c>
      <c r="DO42" s="1">
        <f t="shared" si="1"/>
        <v>5.6372202591283851E-2</v>
      </c>
      <c r="DP42" s="1" t="s">
        <v>148</v>
      </c>
      <c r="DQ42" s="1" t="s">
        <v>2</v>
      </c>
      <c r="DR42" s="16">
        <f t="shared" si="2"/>
        <v>169.8</v>
      </c>
      <c r="DS42" s="100">
        <f t="shared" si="3"/>
        <v>0.8262779740871613</v>
      </c>
      <c r="DT42" s="102">
        <f t="shared" si="4"/>
        <v>1403.02</v>
      </c>
      <c r="DV42" s="16">
        <f t="shared" si="5"/>
        <v>0</v>
      </c>
      <c r="DZ42" s="37" t="s">
        <v>2</v>
      </c>
      <c r="EA42" s="37" t="s">
        <v>128</v>
      </c>
      <c r="EB42" s="14">
        <v>66.685599999999994</v>
      </c>
      <c r="EC42" s="50" t="s">
        <v>1318</v>
      </c>
      <c r="ED42" s="41">
        <v>25.815999999999999</v>
      </c>
      <c r="EE42" s="51" t="s">
        <v>1318</v>
      </c>
      <c r="EF42" s="67">
        <v>72.875999999999991</v>
      </c>
      <c r="EG42" s="51" t="s">
        <v>1318</v>
      </c>
      <c r="EH42" s="67">
        <f t="shared" si="34"/>
        <v>47.059999999999988</v>
      </c>
      <c r="EI42" s="51"/>
      <c r="EJ42" s="51">
        <f t="shared" si="7"/>
        <v>34.917999999999999</v>
      </c>
      <c r="EK42" s="65"/>
      <c r="EL42" s="14">
        <f t="shared" si="35"/>
        <v>101.6036</v>
      </c>
      <c r="EM42" s="76" t="s">
        <v>128</v>
      </c>
      <c r="EN42" s="41">
        <f>DR573</f>
        <v>5.8340000000000005</v>
      </c>
      <c r="EO42" s="13">
        <f>100*(EP42/1000)/EN42</f>
        <v>0.59852588275625629</v>
      </c>
      <c r="EP42" s="41">
        <f>DT573</f>
        <v>34.917999999999999</v>
      </c>
      <c r="EQ42" s="38">
        <f>COUNT(DT573)</f>
        <v>1</v>
      </c>
      <c r="ER42" s="37" t="s">
        <v>1318</v>
      </c>
      <c r="ES42" s="37" t="s">
        <v>1318</v>
      </c>
      <c r="ET42" s="37" t="s">
        <v>1318</v>
      </c>
      <c r="EU42" s="38" t="s">
        <v>1318</v>
      </c>
      <c r="EV42" s="37" t="s">
        <v>1318</v>
      </c>
      <c r="EW42" s="37" t="s">
        <v>1318</v>
      </c>
      <c r="EX42" s="37" t="s">
        <v>1318</v>
      </c>
      <c r="EY42" s="38" t="s">
        <v>1318</v>
      </c>
      <c r="EZ42" s="37" t="s">
        <v>1318</v>
      </c>
      <c r="FA42" s="37" t="s">
        <v>1318</v>
      </c>
      <c r="FB42" s="37" t="s">
        <v>1318</v>
      </c>
      <c r="FC42" s="45" t="s">
        <v>1318</v>
      </c>
      <c r="FD42" s="42">
        <f t="shared" si="6"/>
        <v>34.917999999999999</v>
      </c>
      <c r="FE42" s="41">
        <f>DV573</f>
        <v>3.45</v>
      </c>
      <c r="FF42" s="13">
        <f>100*(FG42/1000)/FE42</f>
        <v>0.65217391304347827</v>
      </c>
      <c r="FG42" s="41">
        <f>DX573</f>
        <v>22.5</v>
      </c>
      <c r="FH42" s="45">
        <f>COUNT(DX573)</f>
        <v>1</v>
      </c>
      <c r="FI42" s="45" t="s">
        <v>1318</v>
      </c>
      <c r="FJ42" s="45" t="s">
        <v>1318</v>
      </c>
      <c r="FK42" s="45" t="s">
        <v>1318</v>
      </c>
      <c r="FL42" s="45" t="s">
        <v>1318</v>
      </c>
      <c r="FM42" s="37" t="s">
        <v>1318</v>
      </c>
      <c r="FN42" s="37" t="s">
        <v>1318</v>
      </c>
      <c r="FO42" s="41">
        <f>SUM(FG42,FK42,FM42,FN42)</f>
        <v>22.5</v>
      </c>
      <c r="FP42" s="55" t="s">
        <v>128</v>
      </c>
      <c r="FQ42" s="1" t="s">
        <v>2</v>
      </c>
      <c r="FR42" s="1" t="s">
        <v>31</v>
      </c>
      <c r="FS42" s="1" t="s">
        <v>254</v>
      </c>
      <c r="FT42" s="1" t="s">
        <v>254</v>
      </c>
      <c r="FV42" s="1" t="s">
        <v>2</v>
      </c>
    </row>
    <row r="43" spans="1:178" ht="16.25" customHeight="1" x14ac:dyDescent="0.2">
      <c r="A43" s="18" t="s">
        <v>190</v>
      </c>
      <c r="B43" s="1" t="s">
        <v>63</v>
      </c>
      <c r="C43" s="21" t="s">
        <v>302</v>
      </c>
      <c r="D43" s="1" t="s">
        <v>69</v>
      </c>
      <c r="G43" s="1" t="s">
        <v>72</v>
      </c>
      <c r="H43" s="1" t="s">
        <v>303</v>
      </c>
      <c r="J43" s="1" t="s">
        <v>192</v>
      </c>
      <c r="K43" s="1">
        <v>0</v>
      </c>
      <c r="AF43" s="1">
        <v>0</v>
      </c>
      <c r="BA43" s="2">
        <v>7.7690999999999996E-2</v>
      </c>
      <c r="BI43" s="1">
        <v>0.3</v>
      </c>
      <c r="BJ43" s="1">
        <v>0.44600000000000001</v>
      </c>
      <c r="BV43" s="1">
        <v>0</v>
      </c>
      <c r="CQ43" s="1">
        <v>0</v>
      </c>
      <c r="DL43" s="18" t="s">
        <v>163</v>
      </c>
      <c r="DM43" s="1" t="s">
        <v>163</v>
      </c>
      <c r="DN43" s="1">
        <f t="shared" si="0"/>
        <v>0.3</v>
      </c>
      <c r="DO43" s="1">
        <f t="shared" si="1"/>
        <v>0.44600000000000001</v>
      </c>
      <c r="DP43" s="1" t="s">
        <v>161</v>
      </c>
      <c r="DQ43" s="1" t="s">
        <v>2</v>
      </c>
      <c r="DR43" s="103">
        <f t="shared" si="2"/>
        <v>7.7690999999999996E-2</v>
      </c>
      <c r="DS43" s="16">
        <f t="shared" si="3"/>
        <v>0.3</v>
      </c>
      <c r="DT43" s="101">
        <f t="shared" si="4"/>
        <v>0.233073</v>
      </c>
      <c r="DV43" s="16">
        <f t="shared" si="5"/>
        <v>0</v>
      </c>
      <c r="DZ43" s="37" t="s">
        <v>2</v>
      </c>
      <c r="EA43" s="37" t="s">
        <v>147</v>
      </c>
      <c r="EB43" s="14">
        <v>3.2719999999999998</v>
      </c>
      <c r="EC43" s="50" t="s">
        <v>1318</v>
      </c>
      <c r="ED43" s="50" t="s">
        <v>1318</v>
      </c>
      <c r="EE43" s="51" t="s">
        <v>1318</v>
      </c>
      <c r="EF43" s="52">
        <v>1534.91984</v>
      </c>
      <c r="EG43" s="51" t="s">
        <v>1318</v>
      </c>
      <c r="EH43" s="52">
        <v>1534.91984</v>
      </c>
      <c r="EI43" s="51"/>
      <c r="EJ43" s="42">
        <f t="shared" si="7"/>
        <v>2380.8065000000001</v>
      </c>
      <c r="EK43" s="65"/>
      <c r="EL43" s="72">
        <f t="shared" si="35"/>
        <v>2384.0785000000001</v>
      </c>
      <c r="EM43" s="76" t="s">
        <v>147</v>
      </c>
      <c r="EN43" s="41">
        <f>SUM(DR576:DR585)</f>
        <v>568.846</v>
      </c>
      <c r="EO43" s="13">
        <f>100*(EP43/1000)/EN43</f>
        <v>9.8396842027543507E-2</v>
      </c>
      <c r="EP43" s="41">
        <f>SUM(DT576:DT585)</f>
        <v>559.7265000000001</v>
      </c>
      <c r="EQ43" s="1">
        <f>COUNT(DT576:DT585)</f>
        <v>10</v>
      </c>
      <c r="ER43" s="37" t="s">
        <v>1318</v>
      </c>
      <c r="ES43" s="37" t="s">
        <v>1318</v>
      </c>
      <c r="ET43" s="37" t="s">
        <v>1318</v>
      </c>
      <c r="EU43" s="38" t="s">
        <v>1318</v>
      </c>
      <c r="EV43" s="42">
        <f>SUM(DR574:DR575)</f>
        <v>5662</v>
      </c>
      <c r="EW43" s="2">
        <f>100*(EX43/1000)/EV43</f>
        <v>3.2163193217944197E-2</v>
      </c>
      <c r="EX43" s="42">
        <f>SUM(DT574:DT575)</f>
        <v>1821.0800000000002</v>
      </c>
      <c r="EY43" s="38">
        <f>COUNT(DT574:DT575)</f>
        <v>2</v>
      </c>
      <c r="EZ43" s="37" t="s">
        <v>1318</v>
      </c>
      <c r="FA43" s="37" t="s">
        <v>1318</v>
      </c>
      <c r="FB43" s="37" t="s">
        <v>1318</v>
      </c>
      <c r="FC43" s="45" t="s">
        <v>1318</v>
      </c>
      <c r="FD43" s="42">
        <f t="shared" si="6"/>
        <v>2380.8065000000001</v>
      </c>
      <c r="FE43" s="55" t="s">
        <v>1318</v>
      </c>
      <c r="FF43" s="55" t="s">
        <v>1318</v>
      </c>
      <c r="FG43" s="55" t="s">
        <v>1318</v>
      </c>
      <c r="FH43" s="45" t="s">
        <v>1318</v>
      </c>
      <c r="FI43" s="45" t="s">
        <v>1318</v>
      </c>
      <c r="FJ43" s="45" t="s">
        <v>1318</v>
      </c>
      <c r="FK43" s="45" t="s">
        <v>1318</v>
      </c>
      <c r="FL43" s="45" t="s">
        <v>1318</v>
      </c>
      <c r="FM43" s="37" t="s">
        <v>1318</v>
      </c>
      <c r="FN43" s="37" t="s">
        <v>1318</v>
      </c>
      <c r="FO43" s="37" t="s">
        <v>1318</v>
      </c>
      <c r="FP43" s="55" t="s">
        <v>147</v>
      </c>
      <c r="FQ43" s="1" t="s">
        <v>2</v>
      </c>
      <c r="FR43" s="1" t="s">
        <v>31</v>
      </c>
      <c r="FS43" s="1" t="s">
        <v>193</v>
      </c>
      <c r="FV43" s="1" t="s">
        <v>2</v>
      </c>
    </row>
    <row r="44" spans="1:178" ht="16.25" customHeight="1" x14ac:dyDescent="0.2">
      <c r="A44" s="18" t="s">
        <v>190</v>
      </c>
      <c r="B44" s="1" t="s">
        <v>63</v>
      </c>
      <c r="C44" s="80" t="s">
        <v>382</v>
      </c>
      <c r="D44" s="1" t="s">
        <v>71</v>
      </c>
      <c r="G44" s="1" t="s">
        <v>65</v>
      </c>
      <c r="H44" s="1" t="s">
        <v>379</v>
      </c>
      <c r="J44" s="1" t="s">
        <v>204</v>
      </c>
      <c r="K44" s="1">
        <v>0</v>
      </c>
      <c r="AF44" s="1">
        <v>34.200000000000003</v>
      </c>
      <c r="AN44" s="1">
        <v>0.71</v>
      </c>
      <c r="AO44" s="1">
        <v>0.08</v>
      </c>
      <c r="BA44" s="1">
        <v>7.6</v>
      </c>
      <c r="BI44" s="1">
        <v>0.61</v>
      </c>
      <c r="BJ44" s="1">
        <v>0.09</v>
      </c>
      <c r="BV44" s="1">
        <v>0</v>
      </c>
      <c r="CQ44" s="1">
        <v>0</v>
      </c>
      <c r="DL44" s="18" t="s">
        <v>96</v>
      </c>
      <c r="DM44" s="1" t="s">
        <v>96</v>
      </c>
      <c r="DN44" s="1">
        <f t="shared" si="0"/>
        <v>0.69181818181818178</v>
      </c>
      <c r="DO44" s="1">
        <f t="shared" si="1"/>
        <v>8.1818181818181804E-2</v>
      </c>
      <c r="DP44" s="1" t="s">
        <v>67</v>
      </c>
      <c r="DQ44" s="1" t="s">
        <v>2</v>
      </c>
      <c r="DR44" s="16">
        <f t="shared" si="2"/>
        <v>41.800000000000004</v>
      </c>
      <c r="DS44" s="100">
        <f t="shared" si="3"/>
        <v>0.69181818181818178</v>
      </c>
      <c r="DT44" s="101">
        <f t="shared" si="4"/>
        <v>289.18000000000006</v>
      </c>
      <c r="DV44" s="16">
        <f t="shared" si="5"/>
        <v>0</v>
      </c>
      <c r="DZ44" s="37" t="s">
        <v>2</v>
      </c>
      <c r="EA44" s="37" t="s">
        <v>122</v>
      </c>
      <c r="EB44" s="50" t="s">
        <v>1318</v>
      </c>
      <c r="EC44" s="50" t="s">
        <v>1318</v>
      </c>
      <c r="ED44" s="51" t="s">
        <v>1318</v>
      </c>
      <c r="EE44" s="51" t="s">
        <v>1318</v>
      </c>
      <c r="EF44" s="52">
        <v>1723.4564000000005</v>
      </c>
      <c r="EG44" s="52">
        <v>1911.3970000000002</v>
      </c>
      <c r="EH44" s="52">
        <v>1723.4564000000005</v>
      </c>
      <c r="EI44" s="52">
        <v>1911.3970000000002</v>
      </c>
      <c r="EJ44" s="42">
        <f t="shared" si="7"/>
        <v>1895.0825</v>
      </c>
      <c r="EK44" s="52">
        <f t="shared" ref="EK44:EK48" si="36">ET44</f>
        <v>1512.9369999999999</v>
      </c>
      <c r="EL44" s="72">
        <f t="shared" ref="EL44:EL45" si="37">FD44</f>
        <v>3408.0194999999999</v>
      </c>
      <c r="EM44" s="76" t="s">
        <v>122</v>
      </c>
      <c r="EN44" s="41">
        <f>SUM(DR588:DR589)</f>
        <v>114.453</v>
      </c>
      <c r="EO44" s="13">
        <f>100*(EP44/1000)/EN44</f>
        <v>1.6557735489676986</v>
      </c>
      <c r="EP44" s="42">
        <f>SUM(DT588:DT589)</f>
        <v>1895.0825</v>
      </c>
      <c r="EQ44" s="1">
        <f>COUNT(DT588:DT589)</f>
        <v>2</v>
      </c>
      <c r="ER44" s="41">
        <f>SUM(DR586:DR587)</f>
        <v>161.82</v>
      </c>
      <c r="ES44" s="13">
        <f t="shared" ref="ES44:ES48" si="38">100*(ET44/1000)/ER44</f>
        <v>0.93495056235323204</v>
      </c>
      <c r="ET44" s="42">
        <f>SUM(DT586:DT587)</f>
        <v>1512.9369999999999</v>
      </c>
      <c r="EU44" s="38">
        <f>COUNT(DT586:DT587)</f>
        <v>2</v>
      </c>
      <c r="EV44" s="37" t="s">
        <v>1318</v>
      </c>
      <c r="EW44" s="37" t="s">
        <v>1318</v>
      </c>
      <c r="EX44" s="37" t="s">
        <v>1318</v>
      </c>
      <c r="EY44" s="38" t="s">
        <v>1318</v>
      </c>
      <c r="EZ44" s="37" t="s">
        <v>1318</v>
      </c>
      <c r="FA44" s="37" t="s">
        <v>1318</v>
      </c>
      <c r="FB44" s="37" t="s">
        <v>1318</v>
      </c>
      <c r="FC44" s="45" t="s">
        <v>1318</v>
      </c>
      <c r="FD44" s="42">
        <f t="shared" si="6"/>
        <v>3408.0194999999999</v>
      </c>
      <c r="FE44" s="55" t="s">
        <v>1318</v>
      </c>
      <c r="FF44" s="55" t="s">
        <v>1318</v>
      </c>
      <c r="FG44" s="55" t="s">
        <v>1318</v>
      </c>
      <c r="FH44" s="45" t="s">
        <v>1318</v>
      </c>
      <c r="FI44" s="45" t="s">
        <v>1318</v>
      </c>
      <c r="FJ44" s="45" t="s">
        <v>1318</v>
      </c>
      <c r="FK44" s="45" t="s">
        <v>1318</v>
      </c>
      <c r="FL44" s="45" t="s">
        <v>1318</v>
      </c>
      <c r="FM44" s="37" t="s">
        <v>1318</v>
      </c>
      <c r="FN44" s="37" t="s">
        <v>1318</v>
      </c>
      <c r="FO44" s="37" t="s">
        <v>1318</v>
      </c>
      <c r="FP44" s="55" t="s">
        <v>122</v>
      </c>
      <c r="FQ44" s="1" t="s">
        <v>2</v>
      </c>
      <c r="FR44" s="1" t="s">
        <v>31</v>
      </c>
      <c r="FS44" s="1" t="s">
        <v>193</v>
      </c>
      <c r="FT44" s="1" t="s">
        <v>193</v>
      </c>
      <c r="FV44" s="1" t="s">
        <v>2</v>
      </c>
    </row>
    <row r="45" spans="1:178" ht="16.25" customHeight="1" x14ac:dyDescent="0.2">
      <c r="A45" s="18" t="s">
        <v>190</v>
      </c>
      <c r="B45" s="1" t="s">
        <v>63</v>
      </c>
      <c r="C45" s="80" t="s">
        <v>642</v>
      </c>
      <c r="D45" s="1" t="s">
        <v>69</v>
      </c>
      <c r="H45" s="1" t="s">
        <v>131</v>
      </c>
      <c r="J45" s="1" t="s">
        <v>204</v>
      </c>
      <c r="K45" s="1">
        <v>5.8</v>
      </c>
      <c r="S45" s="1">
        <v>1.08</v>
      </c>
      <c r="T45" s="1">
        <v>0.14000000000000001</v>
      </c>
      <c r="AF45" s="1">
        <v>51.4</v>
      </c>
      <c r="AN45" s="1">
        <v>0.78</v>
      </c>
      <c r="AO45" s="1">
        <v>0.08</v>
      </c>
      <c r="BA45" s="1">
        <v>25.8</v>
      </c>
      <c r="BI45" s="1">
        <v>0.63</v>
      </c>
      <c r="BJ45" s="1">
        <v>7.0000000000000007E-2</v>
      </c>
      <c r="BV45" s="1">
        <v>0</v>
      </c>
      <c r="CQ45" s="1">
        <v>0</v>
      </c>
      <c r="DL45" s="18" t="s">
        <v>96</v>
      </c>
      <c r="DM45" s="1" t="s">
        <v>96</v>
      </c>
      <c r="DN45" s="1">
        <f t="shared" si="0"/>
        <v>0.75433734939759034</v>
      </c>
      <c r="DO45" s="1">
        <f t="shared" si="1"/>
        <v>8.1084337349397601E-2</v>
      </c>
      <c r="DP45" s="1" t="s">
        <v>67</v>
      </c>
      <c r="DQ45" s="1" t="s">
        <v>2</v>
      </c>
      <c r="DR45" s="16">
        <f t="shared" si="2"/>
        <v>83</v>
      </c>
      <c r="DS45" s="100">
        <f t="shared" si="3"/>
        <v>0.75433734939759034</v>
      </c>
      <c r="DT45" s="101">
        <f t="shared" si="4"/>
        <v>626.1</v>
      </c>
      <c r="DV45" s="16">
        <f t="shared" si="5"/>
        <v>0</v>
      </c>
      <c r="DZ45" s="37" t="s">
        <v>2</v>
      </c>
      <c r="EA45" s="37" t="s">
        <v>98</v>
      </c>
      <c r="EB45" s="50" t="s">
        <v>1318</v>
      </c>
      <c r="EC45" s="50" t="s">
        <v>1318</v>
      </c>
      <c r="ED45" s="51" t="s">
        <v>1318</v>
      </c>
      <c r="EE45" s="51" t="s">
        <v>1318</v>
      </c>
      <c r="EF45" s="51" t="s">
        <v>1318</v>
      </c>
      <c r="EG45" s="52">
        <v>101.675</v>
      </c>
      <c r="EH45" s="51"/>
      <c r="EI45" s="52">
        <v>101.675</v>
      </c>
      <c r="EJ45" s="65"/>
      <c r="EK45" s="67">
        <f t="shared" si="36"/>
        <v>101.67499999999998</v>
      </c>
      <c r="EL45" s="14">
        <f t="shared" si="37"/>
        <v>101.67499999999998</v>
      </c>
      <c r="EM45" s="76" t="s">
        <v>98</v>
      </c>
      <c r="EN45" s="37" t="s">
        <v>1318</v>
      </c>
      <c r="EO45" s="37" t="s">
        <v>1318</v>
      </c>
      <c r="EP45" s="37" t="s">
        <v>1318</v>
      </c>
      <c r="EQ45" s="37" t="s">
        <v>1318</v>
      </c>
      <c r="ER45" s="41">
        <f>DR590</f>
        <v>12.25</v>
      </c>
      <c r="ES45" s="13">
        <f t="shared" si="38"/>
        <v>0.82999999999999985</v>
      </c>
      <c r="ET45" s="41">
        <f>DT590</f>
        <v>101.67499999999998</v>
      </c>
      <c r="EU45" s="38">
        <f>COUNT(DT590)</f>
        <v>1</v>
      </c>
      <c r="EV45" s="37" t="s">
        <v>1318</v>
      </c>
      <c r="EW45" s="37" t="s">
        <v>1318</v>
      </c>
      <c r="EX45" s="37" t="s">
        <v>1318</v>
      </c>
      <c r="EY45" s="38" t="s">
        <v>1318</v>
      </c>
      <c r="EZ45" s="37" t="s">
        <v>1318</v>
      </c>
      <c r="FA45" s="37" t="s">
        <v>1318</v>
      </c>
      <c r="FB45" s="37" t="s">
        <v>1318</v>
      </c>
      <c r="FC45" s="45" t="s">
        <v>1318</v>
      </c>
      <c r="FD45" s="42">
        <f t="shared" si="6"/>
        <v>101.67499999999998</v>
      </c>
      <c r="FE45" s="55" t="s">
        <v>1318</v>
      </c>
      <c r="FF45" s="55" t="s">
        <v>1318</v>
      </c>
      <c r="FG45" s="55" t="s">
        <v>1318</v>
      </c>
      <c r="FH45" s="45" t="s">
        <v>1318</v>
      </c>
      <c r="FI45" s="45" t="s">
        <v>1318</v>
      </c>
      <c r="FJ45" s="45" t="s">
        <v>1318</v>
      </c>
      <c r="FK45" s="45" t="s">
        <v>1318</v>
      </c>
      <c r="FL45" s="45" t="s">
        <v>1318</v>
      </c>
      <c r="FM45" s="37" t="s">
        <v>1318</v>
      </c>
      <c r="FN45" s="37" t="s">
        <v>1318</v>
      </c>
      <c r="FO45" s="37" t="s">
        <v>1318</v>
      </c>
      <c r="FP45" s="55" t="s">
        <v>98</v>
      </c>
      <c r="FQ45" s="1" t="s">
        <v>2</v>
      </c>
      <c r="FR45" s="1" t="s">
        <v>31</v>
      </c>
      <c r="FS45" s="1" t="s">
        <v>193</v>
      </c>
      <c r="FT45" s="1" t="s">
        <v>193</v>
      </c>
      <c r="FV45" s="1" t="s">
        <v>2</v>
      </c>
    </row>
    <row r="46" spans="1:178" ht="16.25" customHeight="1" x14ac:dyDescent="0.2">
      <c r="A46" s="18" t="s">
        <v>190</v>
      </c>
      <c r="B46" s="1" t="s">
        <v>63</v>
      </c>
      <c r="C46" s="80" t="s">
        <v>1196</v>
      </c>
      <c r="H46" s="1" t="s">
        <v>1197</v>
      </c>
      <c r="J46" s="1" t="s">
        <v>204</v>
      </c>
      <c r="K46" s="1">
        <v>0</v>
      </c>
      <c r="AF46" s="1">
        <v>52.9</v>
      </c>
      <c r="AN46" s="1">
        <v>0.66</v>
      </c>
      <c r="AO46" s="1">
        <v>0.04</v>
      </c>
      <c r="BA46" s="1">
        <v>34.1</v>
      </c>
      <c r="BI46" s="1">
        <v>0.64</v>
      </c>
      <c r="BJ46" s="1">
        <v>0.04</v>
      </c>
      <c r="BV46" s="1">
        <v>0</v>
      </c>
      <c r="CQ46" s="1">
        <v>0</v>
      </c>
      <c r="DL46" s="18" t="s">
        <v>96</v>
      </c>
      <c r="DM46" s="1" t="s">
        <v>96</v>
      </c>
      <c r="DN46" s="1">
        <f t="shared" si="0"/>
        <v>0.65216091954022992</v>
      </c>
      <c r="DO46" s="1">
        <f t="shared" si="1"/>
        <v>4.0000000000000008E-2</v>
      </c>
      <c r="DP46" s="1" t="s">
        <v>67</v>
      </c>
      <c r="DQ46" s="1" t="s">
        <v>2</v>
      </c>
      <c r="DR46" s="16">
        <f t="shared" si="2"/>
        <v>87</v>
      </c>
      <c r="DS46" s="100">
        <f t="shared" si="3"/>
        <v>0.65216091954022992</v>
      </c>
      <c r="DT46" s="101">
        <f t="shared" si="4"/>
        <v>567.38</v>
      </c>
      <c r="DV46" s="16">
        <f t="shared" si="5"/>
        <v>0</v>
      </c>
      <c r="DZ46" s="37" t="s">
        <v>2</v>
      </c>
      <c r="EA46" s="37" t="s">
        <v>87</v>
      </c>
      <c r="EB46" s="50" t="s">
        <v>1318</v>
      </c>
      <c r="EC46" s="14">
        <v>64.683999999999997</v>
      </c>
      <c r="ED46" s="51" t="s">
        <v>1318</v>
      </c>
      <c r="EE46" s="41">
        <v>54.218000000000004</v>
      </c>
      <c r="EF46" s="51" t="s">
        <v>1318</v>
      </c>
      <c r="EG46" s="52">
        <v>1075.1600000000001</v>
      </c>
      <c r="EH46" s="51"/>
      <c r="EI46" s="52">
        <f t="shared" ref="EH46:EI50" si="39">EG46-EE46</f>
        <v>1020.9420000000001</v>
      </c>
      <c r="EJ46" s="65"/>
      <c r="EK46" s="52">
        <f t="shared" si="36"/>
        <v>1075.1600000000001</v>
      </c>
      <c r="EL46" s="72">
        <f>EC46+FD46</f>
        <v>1139.8440000000001</v>
      </c>
      <c r="EM46" s="76" t="s">
        <v>87</v>
      </c>
      <c r="EN46" s="37" t="s">
        <v>1318</v>
      </c>
      <c r="EO46" s="37" t="s">
        <v>1318</v>
      </c>
      <c r="EP46" s="37" t="s">
        <v>1318</v>
      </c>
      <c r="EQ46" s="37" t="s">
        <v>1318</v>
      </c>
      <c r="ER46" s="41">
        <f>SUM(DR591:DR592)</f>
        <v>103.2</v>
      </c>
      <c r="ES46" s="13">
        <f t="shared" si="38"/>
        <v>1.0418217054263565</v>
      </c>
      <c r="ET46" s="42">
        <f>SUM(DT591:DT592)</f>
        <v>1075.1600000000001</v>
      </c>
      <c r="EU46" s="38">
        <f>COUNT(DT591:DT592)</f>
        <v>2</v>
      </c>
      <c r="EV46" s="37" t="s">
        <v>1318</v>
      </c>
      <c r="EW46" s="37" t="s">
        <v>1318</v>
      </c>
      <c r="EX46" s="37" t="s">
        <v>1318</v>
      </c>
      <c r="EY46" s="38" t="s">
        <v>1318</v>
      </c>
      <c r="EZ46" s="37" t="s">
        <v>1318</v>
      </c>
      <c r="FA46" s="37" t="s">
        <v>1318</v>
      </c>
      <c r="FB46" s="37" t="s">
        <v>1318</v>
      </c>
      <c r="FC46" s="45" t="s">
        <v>1318</v>
      </c>
      <c r="FD46" s="42">
        <f t="shared" si="6"/>
        <v>1075.1600000000001</v>
      </c>
      <c r="FE46" s="55" t="s">
        <v>1318</v>
      </c>
      <c r="FF46" s="55" t="s">
        <v>1318</v>
      </c>
      <c r="FG46" s="55" t="s">
        <v>1318</v>
      </c>
      <c r="FH46" s="45" t="s">
        <v>1318</v>
      </c>
      <c r="FI46" s="45" t="s">
        <v>1318</v>
      </c>
      <c r="FJ46" s="45" t="s">
        <v>1318</v>
      </c>
      <c r="FK46" s="45" t="s">
        <v>1318</v>
      </c>
      <c r="FL46" s="45" t="s">
        <v>1318</v>
      </c>
      <c r="FM46" s="37" t="s">
        <v>1318</v>
      </c>
      <c r="FN46" s="37" t="s">
        <v>1318</v>
      </c>
      <c r="FO46" s="37" t="s">
        <v>1318</v>
      </c>
      <c r="FP46" s="55" t="s">
        <v>87</v>
      </c>
      <c r="FQ46" s="1" t="s">
        <v>2</v>
      </c>
      <c r="FR46" s="1" t="s">
        <v>31</v>
      </c>
      <c r="FS46" s="1" t="s">
        <v>193</v>
      </c>
      <c r="FT46" s="1" t="s">
        <v>193</v>
      </c>
      <c r="FV46" s="1" t="s">
        <v>2</v>
      </c>
    </row>
    <row r="47" spans="1:178" ht="16.25" customHeight="1" x14ac:dyDescent="0.2">
      <c r="A47" s="18" t="s">
        <v>190</v>
      </c>
      <c r="B47" s="1" t="s">
        <v>63</v>
      </c>
      <c r="C47" s="80" t="s">
        <v>1080</v>
      </c>
      <c r="D47" s="1" t="s">
        <v>69</v>
      </c>
      <c r="H47" s="1" t="s">
        <v>131</v>
      </c>
      <c r="J47" s="1" t="s">
        <v>204</v>
      </c>
      <c r="K47" s="1">
        <v>0</v>
      </c>
      <c r="AF47" s="1">
        <v>0</v>
      </c>
      <c r="BA47" s="1">
        <v>11.2</v>
      </c>
      <c r="BI47" s="1">
        <v>0.77</v>
      </c>
      <c r="BJ47" s="1">
        <v>0.08</v>
      </c>
      <c r="BV47" s="1">
        <v>0</v>
      </c>
      <c r="CQ47" s="1">
        <v>0</v>
      </c>
      <c r="DL47" s="18" t="s">
        <v>96</v>
      </c>
      <c r="DM47" s="1" t="s">
        <v>96</v>
      </c>
      <c r="DN47" s="1">
        <f t="shared" si="0"/>
        <v>0.76999999999999991</v>
      </c>
      <c r="DO47" s="1">
        <f t="shared" si="1"/>
        <v>0.08</v>
      </c>
      <c r="DP47" s="1" t="s">
        <v>67</v>
      </c>
      <c r="DQ47" s="1" t="s">
        <v>2</v>
      </c>
      <c r="DR47" s="16">
        <f t="shared" si="2"/>
        <v>11.2</v>
      </c>
      <c r="DS47" s="16">
        <f t="shared" si="3"/>
        <v>0.76999999999999991</v>
      </c>
      <c r="DT47" s="101">
        <f t="shared" si="4"/>
        <v>86.239999999999981</v>
      </c>
      <c r="DV47" s="16">
        <f t="shared" si="5"/>
        <v>0</v>
      </c>
      <c r="DZ47" s="37" t="s">
        <v>2</v>
      </c>
      <c r="EA47" s="37" t="s">
        <v>127</v>
      </c>
      <c r="EB47" s="14">
        <f>97.134+44.661</f>
        <v>141.79500000000002</v>
      </c>
      <c r="EC47" s="14">
        <v>342.7054</v>
      </c>
      <c r="ED47" s="68">
        <v>95.113</v>
      </c>
      <c r="EE47" s="51" t="s">
        <v>1318</v>
      </c>
      <c r="EF47" s="52">
        <v>5072.2719553715806</v>
      </c>
      <c r="EG47" s="52">
        <v>424.66032000000007</v>
      </c>
      <c r="EH47" s="52">
        <f t="shared" si="39"/>
        <v>4977.1589553715803</v>
      </c>
      <c r="EI47" s="52">
        <v>424.66032000000007</v>
      </c>
      <c r="EJ47" s="42">
        <f t="shared" si="7"/>
        <v>9071.9791553233335</v>
      </c>
      <c r="EK47" s="67">
        <f t="shared" si="36"/>
        <v>837.16031999999996</v>
      </c>
      <c r="EL47" s="72">
        <f t="shared" si="8"/>
        <v>10393.639875323335</v>
      </c>
      <c r="EM47" s="76" t="s">
        <v>127</v>
      </c>
      <c r="EN47" s="42">
        <f>SUM(DR598:DR620)</f>
        <v>5963.4568079999999</v>
      </c>
      <c r="EO47" s="13">
        <f>100*(EP47/1000)/EN47</f>
        <v>0.15192431515843946</v>
      </c>
      <c r="EP47" s="42">
        <f>SUM(DT598:DT620)</f>
        <v>9059.9409153233337</v>
      </c>
      <c r="EQ47" s="1">
        <f>COUNT(DT598:DT620)</f>
        <v>23</v>
      </c>
      <c r="ER47" s="41">
        <f>SUM(DR595:DR597)</f>
        <v>86.035200000000003</v>
      </c>
      <c r="ES47" s="13">
        <f t="shared" si="38"/>
        <v>0.9730439634010265</v>
      </c>
      <c r="ET47" s="41">
        <f>SUM(DT595:DT597)</f>
        <v>837.16031999999996</v>
      </c>
      <c r="EU47" s="38">
        <f>COUNT(DT595:DT597)</f>
        <v>3</v>
      </c>
      <c r="EV47" s="41">
        <f>SUM(DR593:DR594)</f>
        <v>5.3643999999999998</v>
      </c>
      <c r="EW47" s="13">
        <f>100*(EX47/1000)/EV47</f>
        <v>0.22440981284020581</v>
      </c>
      <c r="EX47" s="41">
        <f>SUM(DT593:DT594)</f>
        <v>12.03824</v>
      </c>
      <c r="EY47" s="38">
        <f>COUNT(DT593:DT594)</f>
        <v>2</v>
      </c>
      <c r="EZ47" s="37" t="s">
        <v>1318</v>
      </c>
      <c r="FA47" s="37" t="s">
        <v>1318</v>
      </c>
      <c r="FB47" s="37" t="s">
        <v>1318</v>
      </c>
      <c r="FC47" s="45" t="s">
        <v>1318</v>
      </c>
      <c r="FD47" s="42">
        <f t="shared" si="6"/>
        <v>9909.1394753233344</v>
      </c>
      <c r="FE47" s="41">
        <f>SUM(DV598:DV620)</f>
        <v>305.25700000000001</v>
      </c>
      <c r="FF47" s="13">
        <f>100*(FG47/1000)/FE47</f>
        <v>0.1204452395562244</v>
      </c>
      <c r="FG47" s="42">
        <f>SUM(DX598:DX620)</f>
        <v>367.6675249121439</v>
      </c>
      <c r="FH47" s="45">
        <f>COUNT(DX598:DX620)</f>
        <v>3</v>
      </c>
      <c r="FI47" s="45" t="s">
        <v>1318</v>
      </c>
      <c r="FJ47" s="45" t="s">
        <v>1318</v>
      </c>
      <c r="FK47" s="45" t="s">
        <v>1318</v>
      </c>
      <c r="FL47" s="45" t="s">
        <v>1318</v>
      </c>
      <c r="FM47" s="37" t="s">
        <v>1318</v>
      </c>
      <c r="FN47" s="37" t="s">
        <v>1318</v>
      </c>
      <c r="FO47" s="41">
        <f>SUM(FG47,FK47,FM47,FN47)</f>
        <v>367.6675249121439</v>
      </c>
      <c r="FP47" s="55" t="s">
        <v>127</v>
      </c>
      <c r="FQ47" s="1" t="s">
        <v>2</v>
      </c>
      <c r="FR47" s="1" t="s">
        <v>31</v>
      </c>
      <c r="FS47" s="1" t="s">
        <v>193</v>
      </c>
      <c r="FT47" s="1" t="s">
        <v>193</v>
      </c>
      <c r="FV47" s="1" t="s">
        <v>2</v>
      </c>
    </row>
    <row r="48" spans="1:178" ht="16.25" customHeight="1" x14ac:dyDescent="0.2">
      <c r="A48" s="18" t="s">
        <v>190</v>
      </c>
      <c r="B48" s="1" t="s">
        <v>63</v>
      </c>
      <c r="C48" s="80" t="s">
        <v>1014</v>
      </c>
      <c r="H48" s="1" t="s">
        <v>1015</v>
      </c>
      <c r="J48" s="1" t="s">
        <v>204</v>
      </c>
      <c r="K48" s="1">
        <f>74.2+12.6</f>
        <v>86.8</v>
      </c>
      <c r="S48" s="13">
        <f>(0.62*74.2+0.72*12.6)/K48</f>
        <v>0.63451612903225818</v>
      </c>
      <c r="T48" s="13">
        <f>(0.03*74.2+0.02*12.6)/K48</f>
        <v>2.8548387096774191E-2</v>
      </c>
      <c r="AF48" s="1">
        <v>141.9</v>
      </c>
      <c r="AN48" s="1">
        <v>0.57999999999999996</v>
      </c>
      <c r="AO48" s="1">
        <v>0.03</v>
      </c>
      <c r="BA48" s="14">
        <v>110</v>
      </c>
      <c r="BI48" s="1">
        <v>0.52</v>
      </c>
      <c r="BJ48" s="1">
        <v>0.02</v>
      </c>
      <c r="BV48" s="1">
        <v>81.8</v>
      </c>
      <c r="CD48" s="1">
        <v>0.63</v>
      </c>
      <c r="CE48" s="1">
        <v>0.03</v>
      </c>
      <c r="CQ48" s="1">
        <v>115.4</v>
      </c>
      <c r="CY48" s="1">
        <v>0.57999999999999996</v>
      </c>
      <c r="CZ48" s="1">
        <v>0.03</v>
      </c>
      <c r="DL48" s="18" t="s">
        <v>96</v>
      </c>
      <c r="DM48" s="1" t="s">
        <v>96</v>
      </c>
      <c r="DN48" s="1">
        <f t="shared" si="0"/>
        <v>0.57448479480366099</v>
      </c>
      <c r="DO48" s="1">
        <f t="shared" si="1"/>
        <v>2.6380277531739001E-2</v>
      </c>
      <c r="DP48" s="1" t="s">
        <v>185</v>
      </c>
      <c r="DQ48" s="1" t="s">
        <v>2</v>
      </c>
      <c r="DR48" s="16">
        <f t="shared" si="2"/>
        <v>338.7</v>
      </c>
      <c r="DS48" s="100">
        <f t="shared" si="3"/>
        <v>0.57448479480366099</v>
      </c>
      <c r="DT48" s="102">
        <f t="shared" si="4"/>
        <v>1945.7799999999997</v>
      </c>
      <c r="DV48" s="16">
        <f t="shared" si="5"/>
        <v>197.2</v>
      </c>
      <c r="DW48" s="100">
        <f>(BV48*CD48+CQ48*CY48)/DV48</f>
        <v>0.60074036511156192</v>
      </c>
      <c r="DX48" s="102">
        <f>1000*DV48*DW48/100</f>
        <v>1184.6600000000001</v>
      </c>
      <c r="DZ48" s="37" t="s">
        <v>2</v>
      </c>
      <c r="EA48" s="37" t="s">
        <v>136</v>
      </c>
      <c r="EB48" s="50" t="s">
        <v>1318</v>
      </c>
      <c r="EC48" s="14">
        <v>180.28865999999999</v>
      </c>
      <c r="ED48" s="51" t="s">
        <v>1318</v>
      </c>
      <c r="EE48" s="41">
        <v>13.180999999999999</v>
      </c>
      <c r="EF48" s="51" t="s">
        <v>1318</v>
      </c>
      <c r="EG48" s="52">
        <v>166.95</v>
      </c>
      <c r="EH48" s="51"/>
      <c r="EI48" s="52">
        <f t="shared" si="39"/>
        <v>153.76899999999998</v>
      </c>
      <c r="EJ48" s="65"/>
      <c r="EK48" s="67">
        <f t="shared" si="36"/>
        <v>154.82639999999998</v>
      </c>
      <c r="EL48" s="14">
        <f>EC48+FD48</f>
        <v>335.11505999999997</v>
      </c>
      <c r="EM48" s="76" t="s">
        <v>136</v>
      </c>
      <c r="EN48" s="37" t="s">
        <v>1318</v>
      </c>
      <c r="EO48" s="37" t="s">
        <v>1318</v>
      </c>
      <c r="EP48" s="37" t="s">
        <v>1318</v>
      </c>
      <c r="EQ48" s="37" t="s">
        <v>1318</v>
      </c>
      <c r="ER48" s="41">
        <f>DR621</f>
        <v>11.132599999999998</v>
      </c>
      <c r="ES48" s="13">
        <f t="shared" si="38"/>
        <v>1.3907478935738282</v>
      </c>
      <c r="ET48" s="41">
        <f>DT621</f>
        <v>154.82639999999998</v>
      </c>
      <c r="EU48" s="38">
        <f>COUNT(DT621)</f>
        <v>1</v>
      </c>
      <c r="EV48" s="37" t="s">
        <v>1318</v>
      </c>
      <c r="EW48" s="37" t="s">
        <v>1318</v>
      </c>
      <c r="EX48" s="37" t="s">
        <v>1318</v>
      </c>
      <c r="EY48" s="38" t="s">
        <v>1318</v>
      </c>
      <c r="EZ48" s="37" t="s">
        <v>1318</v>
      </c>
      <c r="FA48" s="37" t="s">
        <v>1318</v>
      </c>
      <c r="FB48" s="37" t="s">
        <v>1318</v>
      </c>
      <c r="FC48" s="45" t="s">
        <v>1318</v>
      </c>
      <c r="FD48" s="42">
        <f t="shared" si="6"/>
        <v>154.82639999999998</v>
      </c>
      <c r="FE48" s="55" t="s">
        <v>1318</v>
      </c>
      <c r="FF48" s="55" t="s">
        <v>1318</v>
      </c>
      <c r="FG48" s="55" t="s">
        <v>1318</v>
      </c>
      <c r="FH48" s="45" t="s">
        <v>1318</v>
      </c>
      <c r="FI48" s="45" t="s">
        <v>1318</v>
      </c>
      <c r="FJ48" s="45" t="s">
        <v>1318</v>
      </c>
      <c r="FK48" s="45" t="s">
        <v>1318</v>
      </c>
      <c r="FL48" s="45" t="s">
        <v>1318</v>
      </c>
      <c r="FM48" s="37" t="s">
        <v>1318</v>
      </c>
      <c r="FN48" s="37" t="s">
        <v>1318</v>
      </c>
      <c r="FO48" s="37" t="s">
        <v>1318</v>
      </c>
      <c r="FP48" s="55" t="s">
        <v>136</v>
      </c>
      <c r="FQ48" s="1" t="s">
        <v>2</v>
      </c>
      <c r="FR48" s="1" t="s">
        <v>31</v>
      </c>
      <c r="FS48" s="1" t="s">
        <v>193</v>
      </c>
      <c r="FT48" s="1" t="s">
        <v>193</v>
      </c>
      <c r="FV48" s="1" t="s">
        <v>2</v>
      </c>
    </row>
    <row r="49" spans="1:178" ht="16.25" customHeight="1" x14ac:dyDescent="0.2">
      <c r="A49" s="18" t="s">
        <v>190</v>
      </c>
      <c r="B49" s="1" t="s">
        <v>63</v>
      </c>
      <c r="C49" s="80" t="s">
        <v>1198</v>
      </c>
      <c r="H49" s="1" t="s">
        <v>1199</v>
      </c>
      <c r="J49" s="1" t="s">
        <v>204</v>
      </c>
      <c r="K49" s="1">
        <v>37.6</v>
      </c>
      <c r="S49" s="1">
        <v>0.98</v>
      </c>
      <c r="T49" s="1">
        <v>7.0000000000000007E-2</v>
      </c>
      <c r="AF49" s="1">
        <v>130.9</v>
      </c>
      <c r="AN49" s="1">
        <v>0.91</v>
      </c>
      <c r="AO49" s="1">
        <v>7.0000000000000007E-2</v>
      </c>
      <c r="BA49" s="1">
        <v>14.1</v>
      </c>
      <c r="BI49" s="1">
        <v>0.87</v>
      </c>
      <c r="BJ49" s="1">
        <v>0.06</v>
      </c>
      <c r="BV49" s="1">
        <v>0</v>
      </c>
      <c r="CQ49" s="1">
        <v>168.4</v>
      </c>
      <c r="CY49" s="1">
        <v>0.93</v>
      </c>
      <c r="CZ49" s="1">
        <v>7.0000000000000007E-2</v>
      </c>
      <c r="DL49" s="18" t="s">
        <v>96</v>
      </c>
      <c r="DM49" s="1" t="s">
        <v>96</v>
      </c>
      <c r="DN49" s="1">
        <f t="shared" si="0"/>
        <v>0.92132530120481937</v>
      </c>
      <c r="DO49" s="1">
        <f t="shared" si="1"/>
        <v>6.9227820372398691E-2</v>
      </c>
      <c r="DP49" s="1" t="s">
        <v>90</v>
      </c>
      <c r="DQ49" s="1" t="s">
        <v>2</v>
      </c>
      <c r="DR49" s="16">
        <f t="shared" si="2"/>
        <v>182.6</v>
      </c>
      <c r="DS49" s="100">
        <f t="shared" si="3"/>
        <v>0.92132530120481937</v>
      </c>
      <c r="DT49" s="102">
        <f t="shared" si="4"/>
        <v>1682.3400000000004</v>
      </c>
      <c r="DV49" s="16">
        <f t="shared" si="5"/>
        <v>168.4</v>
      </c>
      <c r="DW49" s="100">
        <f>(BV49*CD49+CQ49*CY49)/DV49</f>
        <v>0.93000000000000016</v>
      </c>
      <c r="DX49" s="102">
        <f>1000*DV49*DW49/100</f>
        <v>1566.1200000000003</v>
      </c>
      <c r="DZ49" s="37" t="s">
        <v>2</v>
      </c>
      <c r="EA49" s="37" t="s">
        <v>112</v>
      </c>
      <c r="EB49" s="14">
        <v>8.4649999999999999</v>
      </c>
      <c r="EC49" s="50" t="s">
        <v>1318</v>
      </c>
      <c r="ED49" s="41">
        <v>0.48699999999999999</v>
      </c>
      <c r="EE49" s="51" t="s">
        <v>1318</v>
      </c>
      <c r="EF49" s="67">
        <v>587.3211520000001</v>
      </c>
      <c r="EG49" s="51" t="s">
        <v>1318</v>
      </c>
      <c r="EH49" s="67">
        <f t="shared" si="39"/>
        <v>586.83415200000013</v>
      </c>
      <c r="EI49" s="51"/>
      <c r="EJ49" s="67">
        <f t="shared" si="7"/>
        <v>629.26198236000005</v>
      </c>
      <c r="EK49" s="65"/>
      <c r="EL49" s="14">
        <f>EB49+FD49</f>
        <v>637.72698236000008</v>
      </c>
      <c r="EM49" s="76" t="s">
        <v>112</v>
      </c>
      <c r="EN49" s="41">
        <f>DR624</f>
        <v>6.0100000000000007</v>
      </c>
      <c r="EO49" s="13">
        <f>100*(EP49/1000)/EN49</f>
        <v>0.99981697171381045</v>
      </c>
      <c r="EP49" s="41">
        <f>DT624</f>
        <v>60.089000000000013</v>
      </c>
      <c r="EQ49" s="38">
        <f>COUNT(DT624)</f>
        <v>1</v>
      </c>
      <c r="ER49" s="37" t="s">
        <v>1318</v>
      </c>
      <c r="ES49" s="37" t="s">
        <v>1318</v>
      </c>
      <c r="ET49" s="37" t="s">
        <v>1318</v>
      </c>
      <c r="EU49" s="38" t="s">
        <v>1318</v>
      </c>
      <c r="EV49" s="41">
        <f>SUM(DR622:DR623)</f>
        <v>246.383195</v>
      </c>
      <c r="EW49" s="13">
        <f>100*(EX49/1000)/EV49</f>
        <v>0.23101128401228826</v>
      </c>
      <c r="EX49" s="41">
        <f>SUM(DT622:DT623)</f>
        <v>569.17298235999999</v>
      </c>
      <c r="EY49" s="38">
        <f>COUNT(DT622:DT623)</f>
        <v>2</v>
      </c>
      <c r="EZ49" s="37" t="s">
        <v>1318</v>
      </c>
      <c r="FA49" s="37" t="s">
        <v>1318</v>
      </c>
      <c r="FB49" s="37" t="s">
        <v>1318</v>
      </c>
      <c r="FC49" s="45" t="s">
        <v>1318</v>
      </c>
      <c r="FD49" s="42">
        <f t="shared" si="6"/>
        <v>629.26198236000005</v>
      </c>
      <c r="FE49" s="55" t="s">
        <v>1318</v>
      </c>
      <c r="FF49" s="55" t="s">
        <v>1318</v>
      </c>
      <c r="FG49" s="55" t="s">
        <v>1318</v>
      </c>
      <c r="FH49" s="45" t="s">
        <v>1318</v>
      </c>
      <c r="FI49" s="45" t="s">
        <v>1318</v>
      </c>
      <c r="FJ49" s="45" t="s">
        <v>1318</v>
      </c>
      <c r="FK49" s="45" t="s">
        <v>1318</v>
      </c>
      <c r="FL49" s="45" t="s">
        <v>1318</v>
      </c>
      <c r="FM49" s="41">
        <f>SUM(DX622:DX623)</f>
        <v>343.68000000000006</v>
      </c>
      <c r="FN49" s="37" t="s">
        <v>1318</v>
      </c>
      <c r="FO49" s="41">
        <f>SUM(FG49,FK49,FM49,FN49)</f>
        <v>343.68000000000006</v>
      </c>
      <c r="FP49" s="55" t="s">
        <v>112</v>
      </c>
      <c r="FQ49" s="1" t="s">
        <v>2</v>
      </c>
      <c r="FR49" s="1" t="s">
        <v>31</v>
      </c>
      <c r="FS49" s="1" t="s">
        <v>193</v>
      </c>
      <c r="FT49" s="1" t="s">
        <v>193</v>
      </c>
      <c r="FV49" s="1" t="s">
        <v>2</v>
      </c>
    </row>
    <row r="50" spans="1:178" ht="16.25" customHeight="1" x14ac:dyDescent="0.2">
      <c r="A50" s="18" t="s">
        <v>190</v>
      </c>
      <c r="B50" s="1" t="s">
        <v>63</v>
      </c>
      <c r="C50" s="80" t="s">
        <v>1300</v>
      </c>
      <c r="D50" s="1" t="s">
        <v>69</v>
      </c>
      <c r="H50" s="1" t="s">
        <v>131</v>
      </c>
      <c r="J50" s="1" t="s">
        <v>211</v>
      </c>
      <c r="K50" s="1">
        <v>0</v>
      </c>
      <c r="AF50" s="1">
        <v>0</v>
      </c>
      <c r="BA50" s="1">
        <v>0.69699999999999995</v>
      </c>
      <c r="BI50" s="13">
        <v>0.90429999999999999</v>
      </c>
      <c r="BJ50" s="2">
        <v>0.1157</v>
      </c>
      <c r="BM50" s="11"/>
      <c r="BN50" s="11"/>
      <c r="BO50" s="11"/>
      <c r="BS50" s="1">
        <v>39.5</v>
      </c>
      <c r="BV50" s="1">
        <v>0</v>
      </c>
      <c r="CQ50" s="1">
        <v>0</v>
      </c>
      <c r="DL50" s="18" t="s">
        <v>96</v>
      </c>
      <c r="DM50" s="1" t="s">
        <v>96</v>
      </c>
      <c r="DN50" s="1">
        <f t="shared" si="0"/>
        <v>0.90429999999999999</v>
      </c>
      <c r="DO50" s="1">
        <f t="shared" si="1"/>
        <v>0.1157</v>
      </c>
      <c r="DP50" s="1" t="s">
        <v>283</v>
      </c>
      <c r="DQ50" s="1" t="s">
        <v>2</v>
      </c>
      <c r="DR50" s="16">
        <f t="shared" si="2"/>
        <v>0.69699999999999995</v>
      </c>
      <c r="DS50" s="100">
        <f t="shared" si="3"/>
        <v>0.90429999999999999</v>
      </c>
      <c r="DT50" s="101">
        <f t="shared" si="4"/>
        <v>6.3029710000000003</v>
      </c>
      <c r="DV50" s="16">
        <f t="shared" si="5"/>
        <v>0</v>
      </c>
      <c r="DZ50" s="37" t="s">
        <v>2</v>
      </c>
      <c r="EA50" s="37" t="s">
        <v>107</v>
      </c>
      <c r="EB50" s="14">
        <v>574.76099999999997</v>
      </c>
      <c r="EC50" s="50" t="s">
        <v>1318</v>
      </c>
      <c r="ED50" s="41">
        <v>105.813</v>
      </c>
      <c r="EE50" s="51" t="s">
        <v>1318</v>
      </c>
      <c r="EF50" s="52">
        <v>3637.7078670934857</v>
      </c>
      <c r="EG50" s="51" t="s">
        <v>1318</v>
      </c>
      <c r="EH50" s="52">
        <f t="shared" si="39"/>
        <v>3531.8948670934856</v>
      </c>
      <c r="EI50" s="51"/>
      <c r="EJ50" s="42">
        <f t="shared" si="7"/>
        <v>2287.3888999999999</v>
      </c>
      <c r="EK50" s="65"/>
      <c r="EL50" s="72">
        <f>EB50+FD50</f>
        <v>2862.1498999999999</v>
      </c>
      <c r="EM50" s="76" t="s">
        <v>107</v>
      </c>
      <c r="EN50" s="42">
        <f>SUM(DR625:DR630)</f>
        <v>1427.0469999999998</v>
      </c>
      <c r="EO50" s="13">
        <f>100*(EP50/1000)/EN50</f>
        <v>0.16028826660929879</v>
      </c>
      <c r="EP50" s="42">
        <f>SUM(DT625:DT630)</f>
        <v>2287.3888999999999</v>
      </c>
      <c r="EQ50" s="1">
        <f>COUNT(DT625:DT630)</f>
        <v>6</v>
      </c>
      <c r="ER50" s="37" t="s">
        <v>1318</v>
      </c>
      <c r="ES50" s="37" t="s">
        <v>1318</v>
      </c>
      <c r="ET50" s="37" t="s">
        <v>1318</v>
      </c>
      <c r="EU50" s="38" t="s">
        <v>1318</v>
      </c>
      <c r="EV50" s="37" t="s">
        <v>1318</v>
      </c>
      <c r="EW50" s="37" t="s">
        <v>1318</v>
      </c>
      <c r="EX50" s="37" t="s">
        <v>1318</v>
      </c>
      <c r="EY50" s="38" t="s">
        <v>1318</v>
      </c>
      <c r="EZ50" s="37" t="s">
        <v>1318</v>
      </c>
      <c r="FA50" s="37" t="s">
        <v>1318</v>
      </c>
      <c r="FB50" s="37" t="s">
        <v>1318</v>
      </c>
      <c r="FC50" s="45" t="s">
        <v>1318</v>
      </c>
      <c r="FD50" s="42">
        <f t="shared" ref="FD50" si="40">SUM(EP50,ET50,EX50,FB50)</f>
        <v>2287.3888999999999</v>
      </c>
      <c r="FE50" s="41">
        <f>SUM(DV625:DV630)</f>
        <v>297.61</v>
      </c>
      <c r="FF50" s="13">
        <f>100*(FG50/1000)/FE50</f>
        <v>0.12872013709216759</v>
      </c>
      <c r="FG50" s="41">
        <f>SUM(DX625:DX630)</f>
        <v>383.084</v>
      </c>
      <c r="FH50" s="45">
        <f>COUNT(DX625:DX630)</f>
        <v>4</v>
      </c>
      <c r="FI50" s="45" t="s">
        <v>1318</v>
      </c>
      <c r="FJ50" s="45" t="s">
        <v>1318</v>
      </c>
      <c r="FK50" s="45" t="s">
        <v>1318</v>
      </c>
      <c r="FL50" s="45" t="s">
        <v>1318</v>
      </c>
      <c r="FM50" s="37" t="s">
        <v>1318</v>
      </c>
      <c r="FN50" s="37" t="s">
        <v>1318</v>
      </c>
      <c r="FO50" s="41">
        <f>SUM(FG50,FK50,FM50,FN50)</f>
        <v>383.084</v>
      </c>
      <c r="FP50" s="55" t="s">
        <v>107</v>
      </c>
      <c r="FQ50" s="1" t="s">
        <v>2</v>
      </c>
      <c r="FR50" s="1" t="s">
        <v>31</v>
      </c>
      <c r="FS50" s="1" t="s">
        <v>193</v>
      </c>
      <c r="FT50" s="1" t="s">
        <v>193</v>
      </c>
      <c r="FV50" s="1" t="s">
        <v>2</v>
      </c>
    </row>
    <row r="51" spans="1:178" ht="16.25" customHeight="1" x14ac:dyDescent="0.2">
      <c r="A51" s="18" t="s">
        <v>190</v>
      </c>
      <c r="B51" s="1" t="s">
        <v>63</v>
      </c>
      <c r="C51" s="80" t="s">
        <v>1200</v>
      </c>
      <c r="H51" s="1" t="s">
        <v>1201</v>
      </c>
      <c r="J51" s="1" t="s">
        <v>211</v>
      </c>
      <c r="K51" s="1">
        <v>0</v>
      </c>
      <c r="AF51" s="1">
        <v>0</v>
      </c>
      <c r="BA51" s="13">
        <v>1.0100076</v>
      </c>
      <c r="BI51" s="1">
        <v>0.51</v>
      </c>
      <c r="BJ51" s="1">
        <v>0.04</v>
      </c>
      <c r="BM51" s="11"/>
      <c r="BN51" s="11"/>
      <c r="BO51" s="11"/>
      <c r="BS51" s="1">
        <v>40.200000000000003</v>
      </c>
      <c r="BV51" s="1">
        <v>0</v>
      </c>
      <c r="CQ51" s="1">
        <v>0</v>
      </c>
      <c r="DL51" s="18" t="s">
        <v>163</v>
      </c>
      <c r="DM51" s="1" t="s">
        <v>163</v>
      </c>
      <c r="DN51" s="1">
        <f t="shared" si="0"/>
        <v>0.51</v>
      </c>
      <c r="DO51" s="1">
        <f t="shared" si="1"/>
        <v>0.04</v>
      </c>
      <c r="DP51" s="1" t="s">
        <v>285</v>
      </c>
      <c r="DQ51" s="1" t="s">
        <v>2</v>
      </c>
      <c r="DR51" s="103">
        <f t="shared" si="2"/>
        <v>1.0100076</v>
      </c>
      <c r="DS51" s="16">
        <f t="shared" si="3"/>
        <v>0.51</v>
      </c>
      <c r="DT51" s="101">
        <f t="shared" si="4"/>
        <v>5.1510387600000005</v>
      </c>
      <c r="DV51" s="16">
        <f t="shared" si="5"/>
        <v>0</v>
      </c>
      <c r="DZ51" s="37" t="s">
        <v>2</v>
      </c>
      <c r="EA51" s="37"/>
      <c r="EC51" s="65"/>
      <c r="ED51" s="65"/>
      <c r="EE51" s="65"/>
      <c r="EF51" s="65"/>
      <c r="EG51" s="65"/>
      <c r="EH51" s="65"/>
      <c r="EI51" s="65"/>
      <c r="EJ51" s="65"/>
      <c r="EK51" s="65"/>
      <c r="EM51" s="73"/>
      <c r="EN51" s="37"/>
      <c r="EO51" s="37"/>
      <c r="EP51" s="37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55"/>
      <c r="FG51" s="55"/>
      <c r="FH51" s="55"/>
      <c r="FI51" s="37"/>
      <c r="FJ51" s="55"/>
      <c r="FK51" s="55"/>
      <c r="FL51" s="45"/>
      <c r="FM51" s="37"/>
      <c r="FN51" s="37"/>
      <c r="FO51" s="37"/>
      <c r="FP51" s="55"/>
      <c r="FQ51" s="1" t="s">
        <v>2</v>
      </c>
      <c r="FR51" s="1" t="s">
        <v>31</v>
      </c>
      <c r="FS51" s="1" t="s">
        <v>193</v>
      </c>
      <c r="FT51" s="1" t="s">
        <v>193</v>
      </c>
      <c r="FV51" s="1" t="s">
        <v>2</v>
      </c>
    </row>
    <row r="52" spans="1:178" ht="16.25" customHeight="1" x14ac:dyDescent="0.2">
      <c r="A52" s="18" t="s">
        <v>190</v>
      </c>
      <c r="B52" s="1" t="s">
        <v>63</v>
      </c>
      <c r="C52" s="21" t="s">
        <v>563</v>
      </c>
      <c r="D52" s="1" t="s">
        <v>69</v>
      </c>
      <c r="G52" s="1" t="s">
        <v>72</v>
      </c>
      <c r="H52" s="1" t="s">
        <v>554</v>
      </c>
      <c r="J52" s="1" t="s">
        <v>211</v>
      </c>
      <c r="K52" s="1">
        <v>0</v>
      </c>
      <c r="AF52" s="1">
        <v>0</v>
      </c>
      <c r="BA52" s="13">
        <v>1.1209114</v>
      </c>
      <c r="BI52" s="1">
        <v>0.33</v>
      </c>
      <c r="BJ52" s="1">
        <v>0.04</v>
      </c>
      <c r="BM52" s="11"/>
      <c r="BN52" s="11"/>
      <c r="BO52" s="11"/>
      <c r="BS52" s="1">
        <v>53.9</v>
      </c>
      <c r="BV52" s="1">
        <v>0</v>
      </c>
      <c r="CQ52" s="1">
        <v>0</v>
      </c>
      <c r="DL52" s="18" t="s">
        <v>163</v>
      </c>
      <c r="DM52" s="1" t="s">
        <v>163</v>
      </c>
      <c r="DN52" s="1">
        <f t="shared" si="0"/>
        <v>0.33</v>
      </c>
      <c r="DO52" s="1">
        <f t="shared" si="1"/>
        <v>0.04</v>
      </c>
      <c r="DP52" s="1" t="s">
        <v>285</v>
      </c>
      <c r="DQ52" s="1" t="s">
        <v>2</v>
      </c>
      <c r="DR52" s="103">
        <f t="shared" si="2"/>
        <v>1.1209114</v>
      </c>
      <c r="DS52" s="16">
        <f t="shared" si="3"/>
        <v>0.33</v>
      </c>
      <c r="DT52" s="101">
        <f t="shared" si="4"/>
        <v>3.6990076199999997</v>
      </c>
      <c r="DV52" s="16">
        <f t="shared" si="5"/>
        <v>0</v>
      </c>
      <c r="DZ52" s="37" t="s">
        <v>2</v>
      </c>
      <c r="EA52" s="51" t="s">
        <v>1370</v>
      </c>
      <c r="EB52" s="50" t="s">
        <v>1318</v>
      </c>
      <c r="EC52" s="14">
        <v>123.30800000000001</v>
      </c>
      <c r="ED52" s="51" t="s">
        <v>1318</v>
      </c>
      <c r="EE52" s="51" t="s">
        <v>1318</v>
      </c>
      <c r="EF52" s="51" t="s">
        <v>1318</v>
      </c>
      <c r="EG52" s="51" t="s">
        <v>1318</v>
      </c>
      <c r="EH52" s="65"/>
      <c r="EI52" s="65"/>
      <c r="EJ52" s="65"/>
      <c r="EK52" s="65"/>
      <c r="EM52" s="51" t="s">
        <v>1370</v>
      </c>
      <c r="EN52" s="37"/>
      <c r="EO52" s="37"/>
      <c r="EP52" s="37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55"/>
      <c r="FG52" s="55"/>
      <c r="FH52" s="55"/>
      <c r="FI52" s="37"/>
      <c r="FJ52" s="55"/>
      <c r="FK52" s="55"/>
      <c r="FL52" s="45"/>
      <c r="FM52" s="37"/>
      <c r="FN52" s="37"/>
      <c r="FO52" s="37"/>
      <c r="FP52" s="51" t="s">
        <v>1370</v>
      </c>
      <c r="FQ52" s="1" t="s">
        <v>2</v>
      </c>
      <c r="FR52" s="1" t="s">
        <v>31</v>
      </c>
      <c r="FS52" s="1" t="s">
        <v>193</v>
      </c>
      <c r="FT52" s="1" t="s">
        <v>193</v>
      </c>
      <c r="FV52" s="1" t="s">
        <v>2</v>
      </c>
    </row>
    <row r="53" spans="1:178" ht="16.25" customHeight="1" x14ac:dyDescent="0.2">
      <c r="A53" s="18" t="s">
        <v>190</v>
      </c>
      <c r="B53" s="1" t="s">
        <v>63</v>
      </c>
      <c r="C53" s="80" t="s">
        <v>1156</v>
      </c>
      <c r="D53" s="1" t="s">
        <v>64</v>
      </c>
      <c r="H53" s="1" t="s">
        <v>1157</v>
      </c>
      <c r="J53" s="1" t="s">
        <v>211</v>
      </c>
      <c r="K53" s="1">
        <v>0</v>
      </c>
      <c r="AF53" s="1">
        <v>0</v>
      </c>
      <c r="BA53" s="13">
        <v>1.3181643999999999</v>
      </c>
      <c r="BI53" s="1">
        <v>0.44</v>
      </c>
      <c r="BJ53" s="1">
        <v>0.08</v>
      </c>
      <c r="BM53" s="11"/>
      <c r="BN53" s="11"/>
      <c r="BO53" s="11"/>
      <c r="BS53" s="1">
        <v>47.5</v>
      </c>
      <c r="BV53" s="1">
        <v>0</v>
      </c>
      <c r="CQ53" s="1">
        <v>0</v>
      </c>
      <c r="DL53" s="18" t="s">
        <v>163</v>
      </c>
      <c r="DM53" s="1" t="s">
        <v>163</v>
      </c>
      <c r="DN53" s="1">
        <f t="shared" si="0"/>
        <v>0.44000000000000006</v>
      </c>
      <c r="DO53" s="1">
        <f t="shared" si="1"/>
        <v>0.08</v>
      </c>
      <c r="DP53" s="1" t="s">
        <v>285</v>
      </c>
      <c r="DQ53" s="1" t="s">
        <v>2</v>
      </c>
      <c r="DR53" s="103">
        <f t="shared" si="2"/>
        <v>1.3181643999999999</v>
      </c>
      <c r="DS53" s="16">
        <f t="shared" si="3"/>
        <v>0.44000000000000006</v>
      </c>
      <c r="DT53" s="101">
        <f t="shared" si="4"/>
        <v>5.7999233600000002</v>
      </c>
      <c r="DV53" s="16">
        <f t="shared" si="5"/>
        <v>0</v>
      </c>
      <c r="DZ53" s="37" t="s">
        <v>2</v>
      </c>
      <c r="EA53" s="50" t="s">
        <v>1375</v>
      </c>
      <c r="EB53" s="5">
        <v>7.0000000000000001E-3</v>
      </c>
      <c r="EC53" s="50" t="s">
        <v>1318</v>
      </c>
      <c r="ED53" s="51" t="s">
        <v>1318</v>
      </c>
      <c r="EE53" s="51" t="s">
        <v>1318</v>
      </c>
      <c r="EF53" s="51" t="s">
        <v>1318</v>
      </c>
      <c r="EG53" s="51" t="s">
        <v>1318</v>
      </c>
      <c r="EH53" s="65"/>
      <c r="EI53" s="65"/>
      <c r="EJ53" s="65"/>
      <c r="EK53" s="65"/>
      <c r="EM53" s="50" t="s">
        <v>1375</v>
      </c>
      <c r="EN53" s="37"/>
      <c r="EO53" s="37"/>
      <c r="EP53" s="37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55"/>
      <c r="FG53" s="55"/>
      <c r="FH53" s="55"/>
      <c r="FI53" s="37"/>
      <c r="FJ53" s="55"/>
      <c r="FK53" s="55"/>
      <c r="FL53" s="45"/>
      <c r="FM53" s="37"/>
      <c r="FN53" s="37"/>
      <c r="FO53" s="37"/>
      <c r="FP53" s="50" t="s">
        <v>1375</v>
      </c>
      <c r="FQ53" s="1" t="s">
        <v>2</v>
      </c>
      <c r="FR53" s="1" t="s">
        <v>31</v>
      </c>
      <c r="FS53" s="1" t="s">
        <v>193</v>
      </c>
      <c r="FT53" s="1" t="s">
        <v>193</v>
      </c>
      <c r="FV53" s="1" t="s">
        <v>2</v>
      </c>
    </row>
    <row r="54" spans="1:178" ht="16.25" customHeight="1" x14ac:dyDescent="0.2">
      <c r="A54" s="18" t="s">
        <v>190</v>
      </c>
      <c r="B54" s="1" t="s">
        <v>63</v>
      </c>
      <c r="C54" s="80" t="s">
        <v>109</v>
      </c>
      <c r="D54" s="1" t="s">
        <v>71</v>
      </c>
      <c r="G54" s="1" t="s">
        <v>72</v>
      </c>
      <c r="H54" s="1" t="s">
        <v>110</v>
      </c>
      <c r="J54" s="1" t="s">
        <v>204</v>
      </c>
      <c r="K54" s="1">
        <v>0</v>
      </c>
      <c r="AF54" s="1">
        <v>55.518000000000001</v>
      </c>
      <c r="AN54" s="1">
        <v>0.71699999999999997</v>
      </c>
      <c r="AO54" s="1">
        <v>0.04</v>
      </c>
      <c r="BA54" s="1">
        <v>0</v>
      </c>
      <c r="BV54" s="1">
        <v>3.7570000000000001</v>
      </c>
      <c r="CD54" s="1">
        <v>0.65</v>
      </c>
      <c r="CE54" s="1">
        <v>0.04</v>
      </c>
      <c r="CQ54" s="1">
        <v>0</v>
      </c>
      <c r="DL54" s="18" t="s">
        <v>96</v>
      </c>
      <c r="DM54" s="1" t="s">
        <v>96</v>
      </c>
      <c r="DN54" s="1">
        <f t="shared" si="0"/>
        <v>0.71699999999999986</v>
      </c>
      <c r="DO54" s="1">
        <f t="shared" si="1"/>
        <v>0.04</v>
      </c>
      <c r="DP54" s="1" t="s">
        <v>148</v>
      </c>
      <c r="DQ54" s="1" t="s">
        <v>2</v>
      </c>
      <c r="DR54" s="100">
        <f t="shared" si="2"/>
        <v>55.518000000000001</v>
      </c>
      <c r="DS54" s="100">
        <f t="shared" si="3"/>
        <v>0.71699999999999986</v>
      </c>
      <c r="DT54" s="101">
        <f t="shared" si="4"/>
        <v>398.06405999999993</v>
      </c>
      <c r="DV54" s="16">
        <f t="shared" si="5"/>
        <v>3.7570000000000001</v>
      </c>
      <c r="DW54" s="100">
        <f>(BV54*CD54+CQ54*CY54)/DV54</f>
        <v>0.65</v>
      </c>
      <c r="DX54" s="101">
        <f>1000*DV54*DW54/100</f>
        <v>24.420500000000001</v>
      </c>
      <c r="DZ54" s="37" t="s">
        <v>2</v>
      </c>
      <c r="EA54" s="50" t="s">
        <v>1376</v>
      </c>
      <c r="EB54" s="5">
        <f>0.04/1000</f>
        <v>4.0000000000000003E-5</v>
      </c>
      <c r="EC54" s="50" t="s">
        <v>1318</v>
      </c>
      <c r="ED54" s="51" t="s">
        <v>1318</v>
      </c>
      <c r="EE54" s="51" t="s">
        <v>1318</v>
      </c>
      <c r="EF54" s="51" t="s">
        <v>1318</v>
      </c>
      <c r="EG54" s="51" t="s">
        <v>1318</v>
      </c>
      <c r="EH54" s="65"/>
      <c r="EI54" s="65"/>
      <c r="EJ54" s="65"/>
      <c r="EK54" s="65"/>
      <c r="EM54" s="50" t="s">
        <v>1376</v>
      </c>
      <c r="EN54" s="37"/>
      <c r="EO54" s="37"/>
      <c r="EP54" s="37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55"/>
      <c r="FG54" s="55"/>
      <c r="FH54" s="55"/>
      <c r="FI54" s="37"/>
      <c r="FJ54" s="55"/>
      <c r="FK54" s="55"/>
      <c r="FL54" s="45"/>
      <c r="FM54" s="37"/>
      <c r="FN54" s="37"/>
      <c r="FO54" s="37"/>
      <c r="FP54" s="50" t="s">
        <v>1376</v>
      </c>
      <c r="FQ54" s="1" t="s">
        <v>2</v>
      </c>
      <c r="FR54" s="1" t="s">
        <v>31</v>
      </c>
      <c r="FS54" s="1" t="s">
        <v>193</v>
      </c>
      <c r="FT54" s="1" t="s">
        <v>193</v>
      </c>
      <c r="FV54" s="1" t="s">
        <v>2</v>
      </c>
    </row>
    <row r="55" spans="1:178" ht="16.25" customHeight="1" x14ac:dyDescent="0.2">
      <c r="A55" s="18" t="s">
        <v>190</v>
      </c>
      <c r="B55" s="1" t="s">
        <v>63</v>
      </c>
      <c r="C55" s="80" t="s">
        <v>1094</v>
      </c>
      <c r="D55" s="1" t="s">
        <v>69</v>
      </c>
      <c r="H55" s="1" t="s">
        <v>131</v>
      </c>
      <c r="J55" s="1" t="s">
        <v>204</v>
      </c>
      <c r="K55" s="1">
        <v>0</v>
      </c>
      <c r="AF55" s="1">
        <v>0</v>
      </c>
      <c r="BA55" s="1">
        <v>33.299999999999997</v>
      </c>
      <c r="BI55" s="1">
        <v>0.81</v>
      </c>
      <c r="BJ55" s="1">
        <v>7.0000000000000007E-2</v>
      </c>
      <c r="BV55" s="1">
        <v>0</v>
      </c>
      <c r="CQ55" s="1">
        <v>0</v>
      </c>
      <c r="DL55" s="18" t="s">
        <v>96</v>
      </c>
      <c r="DM55" s="1" t="s">
        <v>96</v>
      </c>
      <c r="DN55" s="1">
        <f t="shared" si="0"/>
        <v>0.81</v>
      </c>
      <c r="DO55" s="1">
        <f t="shared" si="1"/>
        <v>7.0000000000000007E-2</v>
      </c>
      <c r="DP55" s="1" t="s">
        <v>67</v>
      </c>
      <c r="DQ55" s="1" t="s">
        <v>2</v>
      </c>
      <c r="DR55" s="16">
        <f t="shared" si="2"/>
        <v>33.299999999999997</v>
      </c>
      <c r="DS55" s="16">
        <f t="shared" si="3"/>
        <v>0.81</v>
      </c>
      <c r="DT55" s="101">
        <f t="shared" si="4"/>
        <v>269.73</v>
      </c>
      <c r="DV55" s="16">
        <f t="shared" si="5"/>
        <v>0</v>
      </c>
      <c r="DZ55" s="37" t="s">
        <v>2</v>
      </c>
      <c r="EA55" s="51" t="s">
        <v>1371</v>
      </c>
      <c r="EB55" s="50" t="s">
        <v>1318</v>
      </c>
      <c r="EC55" s="5">
        <v>0.06</v>
      </c>
      <c r="ED55" s="51" t="s">
        <v>1318</v>
      </c>
      <c r="EE55" s="51" t="s">
        <v>1318</v>
      </c>
      <c r="EF55" s="51" t="s">
        <v>1318</v>
      </c>
      <c r="EG55" s="51" t="s">
        <v>1318</v>
      </c>
      <c r="EH55" s="65"/>
      <c r="EI55" s="65"/>
      <c r="EJ55" s="65">
        <v>1</v>
      </c>
      <c r="EK55" s="65">
        <v>1</v>
      </c>
      <c r="EM55" s="51" t="s">
        <v>1371</v>
      </c>
      <c r="EN55" s="37"/>
      <c r="EO55" s="37"/>
      <c r="EP55" s="37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55"/>
      <c r="FG55" s="55"/>
      <c r="FH55" s="55"/>
      <c r="FI55" s="37"/>
      <c r="FJ55" s="55"/>
      <c r="FK55" s="55"/>
      <c r="FL55" s="45"/>
      <c r="FM55" s="37"/>
      <c r="FN55" s="37"/>
      <c r="FO55" s="37"/>
      <c r="FP55" s="51" t="s">
        <v>1371</v>
      </c>
      <c r="FQ55" s="1" t="s">
        <v>2</v>
      </c>
      <c r="FR55" s="1" t="s">
        <v>31</v>
      </c>
      <c r="FS55" s="1" t="s">
        <v>193</v>
      </c>
      <c r="FT55" s="1" t="s">
        <v>193</v>
      </c>
      <c r="FV55" s="1" t="s">
        <v>2</v>
      </c>
    </row>
    <row r="56" spans="1:178" ht="16.25" customHeight="1" x14ac:dyDescent="0.2">
      <c r="A56" s="18" t="s">
        <v>190</v>
      </c>
      <c r="B56" s="1" t="s">
        <v>63</v>
      </c>
      <c r="C56" s="80" t="s">
        <v>644</v>
      </c>
      <c r="D56" s="1" t="s">
        <v>69</v>
      </c>
      <c r="H56" s="1" t="s">
        <v>131</v>
      </c>
      <c r="J56" s="1" t="s">
        <v>211</v>
      </c>
      <c r="K56" s="1">
        <v>0</v>
      </c>
      <c r="AF56" s="1">
        <v>16.600000000000001</v>
      </c>
      <c r="AN56" s="13">
        <v>0.6</v>
      </c>
      <c r="AO56" s="1">
        <v>0.14000000000000001</v>
      </c>
      <c r="BA56" s="1">
        <v>15.34</v>
      </c>
      <c r="BI56" s="1">
        <v>0.51</v>
      </c>
      <c r="BJ56" s="1">
        <v>0.11</v>
      </c>
      <c r="BV56" s="1">
        <v>0</v>
      </c>
      <c r="CQ56" s="1">
        <v>0</v>
      </c>
      <c r="DL56" s="18" t="s">
        <v>96</v>
      </c>
      <c r="DM56" s="1" t="s">
        <v>96</v>
      </c>
      <c r="DN56" s="1">
        <f t="shared" si="0"/>
        <v>0.55677520350657483</v>
      </c>
      <c r="DO56" s="1">
        <f t="shared" si="1"/>
        <v>0.1255917345021916</v>
      </c>
      <c r="DP56" s="1" t="s">
        <v>67</v>
      </c>
      <c r="DQ56" s="1" t="s">
        <v>2</v>
      </c>
      <c r="DR56" s="16">
        <f t="shared" si="2"/>
        <v>31.94</v>
      </c>
      <c r="DS56" s="100">
        <f t="shared" si="3"/>
        <v>0.55677520350657483</v>
      </c>
      <c r="DT56" s="101">
        <f t="shared" si="4"/>
        <v>177.834</v>
      </c>
      <c r="DV56" s="16">
        <f t="shared" si="5"/>
        <v>0</v>
      </c>
      <c r="DZ56" s="37" t="s">
        <v>2</v>
      </c>
      <c r="EA56" s="51" t="s">
        <v>1372</v>
      </c>
      <c r="EB56" s="14">
        <v>13.853999999999999</v>
      </c>
      <c r="EC56" s="14">
        <v>50.918520000000001</v>
      </c>
      <c r="ED56" s="51" t="s">
        <v>1318</v>
      </c>
      <c r="EE56" s="51" t="s">
        <v>1318</v>
      </c>
      <c r="EF56" s="51" t="s">
        <v>1318</v>
      </c>
      <c r="EG56" s="51" t="s">
        <v>1318</v>
      </c>
      <c r="EH56" s="65"/>
      <c r="EI56" s="65"/>
      <c r="EJ56" s="43">
        <v>100000</v>
      </c>
      <c r="EK56" s="43">
        <v>100000</v>
      </c>
      <c r="EM56" s="51" t="s">
        <v>1372</v>
      </c>
      <c r="EN56" s="37"/>
      <c r="EO56" s="37"/>
      <c r="EP56" s="37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55"/>
      <c r="FG56" s="55"/>
      <c r="FH56" s="55"/>
      <c r="FI56" s="37"/>
      <c r="FJ56" s="55"/>
      <c r="FK56" s="55"/>
      <c r="FL56" s="45"/>
      <c r="FM56" s="37"/>
      <c r="FN56" s="37"/>
      <c r="FO56" s="37"/>
      <c r="FP56" s="51" t="s">
        <v>1372</v>
      </c>
      <c r="FQ56" s="1" t="s">
        <v>2</v>
      </c>
      <c r="FR56" s="1" t="s">
        <v>31</v>
      </c>
      <c r="FS56" s="1" t="s">
        <v>193</v>
      </c>
      <c r="FT56" s="1" t="s">
        <v>193</v>
      </c>
      <c r="FV56" s="1" t="s">
        <v>2</v>
      </c>
    </row>
    <row r="57" spans="1:178" ht="16.25" customHeight="1" x14ac:dyDescent="0.2">
      <c r="A57" s="18" t="s">
        <v>190</v>
      </c>
      <c r="B57" s="1" t="s">
        <v>63</v>
      </c>
      <c r="C57" s="16" t="s">
        <v>648</v>
      </c>
      <c r="D57" s="1" t="s">
        <v>69</v>
      </c>
      <c r="H57" s="1" t="s">
        <v>649</v>
      </c>
      <c r="J57" s="1" t="s">
        <v>204</v>
      </c>
      <c r="K57" s="1">
        <v>0</v>
      </c>
      <c r="AF57" s="1">
        <v>0</v>
      </c>
      <c r="BA57" s="1">
        <f>16+2+31</f>
        <v>49</v>
      </c>
      <c r="BI57" s="13">
        <f>(0.56*16+0.74*2+0.55*31)/BA57</f>
        <v>0.56102040816326537</v>
      </c>
      <c r="BJ57" s="13">
        <f>(0.026*16+0*2+0.02*31)/BA57</f>
        <v>2.1142857142857144E-2</v>
      </c>
      <c r="BQ57" s="14">
        <f>(0*16+0*2+11.3*31)/BA57</f>
        <v>7.1489795918367349</v>
      </c>
      <c r="BV57" s="1">
        <v>0</v>
      </c>
      <c r="CQ57" s="1">
        <v>0</v>
      </c>
      <c r="DL57" s="18" t="s">
        <v>96</v>
      </c>
      <c r="DM57" s="1" t="s">
        <v>96</v>
      </c>
      <c r="DN57" s="1">
        <f t="shared" si="0"/>
        <v>0.56102040816326537</v>
      </c>
      <c r="DO57" s="1">
        <f t="shared" si="1"/>
        <v>2.1142857142857144E-2</v>
      </c>
      <c r="DP57" s="1" t="s">
        <v>148</v>
      </c>
      <c r="DQ57" s="1" t="s">
        <v>2</v>
      </c>
      <c r="DR57" s="16">
        <f t="shared" si="2"/>
        <v>49</v>
      </c>
      <c r="DS57" s="100">
        <f t="shared" si="3"/>
        <v>0.56102040816326537</v>
      </c>
      <c r="DT57" s="101">
        <f t="shared" si="4"/>
        <v>274.90000000000003</v>
      </c>
      <c r="DV57" s="16">
        <f t="shared" si="5"/>
        <v>0</v>
      </c>
      <c r="DZ57" s="37" t="s">
        <v>2</v>
      </c>
      <c r="EA57" s="50" t="s">
        <v>1381</v>
      </c>
      <c r="EB57" s="14">
        <v>0.11600000000000001</v>
      </c>
      <c r="EC57" s="50" t="s">
        <v>1318</v>
      </c>
      <c r="ED57" s="51" t="s">
        <v>1318</v>
      </c>
      <c r="EE57" s="51" t="s">
        <v>1318</v>
      </c>
      <c r="EF57" s="51" t="s">
        <v>1318</v>
      </c>
      <c r="EG57" s="51" t="s">
        <v>1318</v>
      </c>
      <c r="EH57" s="65"/>
      <c r="EI57" s="65"/>
      <c r="EJ57" s="65"/>
      <c r="EK57" s="65"/>
      <c r="EM57" s="50" t="s">
        <v>1381</v>
      </c>
      <c r="EN57" s="37"/>
      <c r="EO57" s="37"/>
      <c r="EP57" s="37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55"/>
      <c r="FG57" s="55"/>
      <c r="FH57" s="55"/>
      <c r="FI57" s="37"/>
      <c r="FJ57" s="55"/>
      <c r="FK57" s="55"/>
      <c r="FL57" s="45"/>
      <c r="FM57" s="37"/>
      <c r="FN57" s="37"/>
      <c r="FO57" s="37"/>
      <c r="FP57" s="50" t="s">
        <v>1381</v>
      </c>
      <c r="FQ57" s="1" t="s">
        <v>2</v>
      </c>
      <c r="FR57" s="1" t="s">
        <v>31</v>
      </c>
      <c r="FS57" s="1" t="s">
        <v>193</v>
      </c>
      <c r="FT57" s="1" t="s">
        <v>193</v>
      </c>
      <c r="FV57" s="1" t="s">
        <v>2</v>
      </c>
    </row>
    <row r="58" spans="1:178" ht="16.25" customHeight="1" x14ac:dyDescent="0.2">
      <c r="A58" s="18" t="s">
        <v>190</v>
      </c>
      <c r="B58" s="1" t="s">
        <v>63</v>
      </c>
      <c r="C58" s="21" t="s">
        <v>470</v>
      </c>
      <c r="D58" s="1" t="s">
        <v>69</v>
      </c>
      <c r="G58" s="1" t="s">
        <v>72</v>
      </c>
      <c r="H58" s="1" t="s">
        <v>131</v>
      </c>
      <c r="J58" s="1" t="s">
        <v>204</v>
      </c>
      <c r="K58" s="1">
        <v>7.8</v>
      </c>
      <c r="S58" s="1">
        <v>0.96</v>
      </c>
      <c r="T58" s="1">
        <v>7.0000000000000007E-2</v>
      </c>
      <c r="AF58" s="14">
        <f>0.1+2+2.5+0.4</f>
        <v>5</v>
      </c>
      <c r="AN58" s="13">
        <f>(0.81*0.1+0.86*2+0.81*2.5+0.84*0.4)/AF58</f>
        <v>0.83240000000000014</v>
      </c>
      <c r="AO58" s="13">
        <f>(0.05*0.1+0.03*2+0.05*2.5+0.03*0.4)/AF58</f>
        <v>4.0400000000000005E-2</v>
      </c>
      <c r="BA58" s="1">
        <v>0</v>
      </c>
      <c r="BV58" s="1">
        <v>0</v>
      </c>
      <c r="CQ58" s="1">
        <v>0</v>
      </c>
      <c r="DL58" s="18" t="s">
        <v>96</v>
      </c>
      <c r="DM58" s="1" t="s">
        <v>96</v>
      </c>
      <c r="DN58" s="1">
        <f t="shared" si="0"/>
        <v>0.91015625</v>
      </c>
      <c r="DO58" s="1">
        <f t="shared" si="1"/>
        <v>5.8437499999999996E-2</v>
      </c>
      <c r="DP58" s="1" t="s">
        <v>317</v>
      </c>
      <c r="DQ58" s="1" t="s">
        <v>2</v>
      </c>
      <c r="DR58" s="16">
        <f t="shared" si="2"/>
        <v>12.8</v>
      </c>
      <c r="DS58" s="100">
        <f t="shared" si="3"/>
        <v>0.91015625</v>
      </c>
      <c r="DT58" s="101">
        <f t="shared" si="4"/>
        <v>116.5</v>
      </c>
      <c r="DV58" s="16">
        <f t="shared" si="5"/>
        <v>0</v>
      </c>
      <c r="DZ58" s="37" t="s">
        <v>2</v>
      </c>
      <c r="EA58" s="50" t="s">
        <v>1377</v>
      </c>
      <c r="EB58" s="14">
        <v>0.70850000000000002</v>
      </c>
      <c r="EC58" s="50" t="s">
        <v>1318</v>
      </c>
      <c r="ED58" s="51" t="s">
        <v>1318</v>
      </c>
      <c r="EE58" s="51" t="s">
        <v>1318</v>
      </c>
      <c r="EF58" s="51" t="s">
        <v>1318</v>
      </c>
      <c r="EG58" s="51" t="s">
        <v>1318</v>
      </c>
      <c r="EH58" s="65"/>
      <c r="EI58" s="65"/>
      <c r="EJ58" s="65"/>
      <c r="EK58" s="65"/>
      <c r="EM58" s="50" t="s">
        <v>1377</v>
      </c>
      <c r="EN58" s="37"/>
      <c r="EO58" s="37"/>
      <c r="EP58" s="37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55"/>
      <c r="FG58" s="55"/>
      <c r="FH58" s="55"/>
      <c r="FI58" s="37"/>
      <c r="FJ58" s="55"/>
      <c r="FK58" s="55"/>
      <c r="FL58" s="45"/>
      <c r="FM58" s="37"/>
      <c r="FN58" s="37"/>
      <c r="FO58" s="37"/>
      <c r="FP58" s="50" t="s">
        <v>1377</v>
      </c>
      <c r="FQ58" s="1" t="s">
        <v>2</v>
      </c>
      <c r="FR58" s="1" t="s">
        <v>31</v>
      </c>
      <c r="FS58" s="1" t="s">
        <v>193</v>
      </c>
      <c r="FT58" s="1" t="s">
        <v>193</v>
      </c>
      <c r="FV58" s="1" t="s">
        <v>2</v>
      </c>
    </row>
    <row r="59" spans="1:178" ht="16.25" customHeight="1" x14ac:dyDescent="0.2">
      <c r="A59" s="18" t="s">
        <v>190</v>
      </c>
      <c r="B59" s="1" t="s">
        <v>63</v>
      </c>
      <c r="C59" s="21" t="s">
        <v>816</v>
      </c>
      <c r="D59" s="1" t="s">
        <v>71</v>
      </c>
      <c r="H59" s="1" t="s">
        <v>817</v>
      </c>
      <c r="J59" s="1" t="s">
        <v>204</v>
      </c>
      <c r="K59" s="1">
        <v>2.2000000000000002</v>
      </c>
      <c r="S59" s="1">
        <v>0.56999999999999995</v>
      </c>
      <c r="T59" s="1">
        <v>0.11</v>
      </c>
      <c r="AC59" s="1">
        <v>80</v>
      </c>
      <c r="AF59" s="1">
        <v>17.2</v>
      </c>
      <c r="AN59" s="1">
        <v>0.56000000000000005</v>
      </c>
      <c r="AO59" s="1">
        <v>0.09</v>
      </c>
      <c r="AX59" s="1">
        <v>49</v>
      </c>
      <c r="BA59" s="1">
        <v>10.199999999999999</v>
      </c>
      <c r="BI59" s="1">
        <v>0.36</v>
      </c>
      <c r="BJ59" s="1">
        <v>0.04</v>
      </c>
      <c r="BS59" s="1">
        <v>59</v>
      </c>
      <c r="BV59" s="1">
        <v>0</v>
      </c>
      <c r="CQ59" s="1">
        <v>0</v>
      </c>
      <c r="DL59" s="18" t="s">
        <v>96</v>
      </c>
      <c r="DM59" s="1" t="s">
        <v>96</v>
      </c>
      <c r="DN59" s="1">
        <f t="shared" si="0"/>
        <v>0.49182432432432438</v>
      </c>
      <c r="DO59" s="1">
        <f t="shared" si="1"/>
        <v>7.4256756756756762E-2</v>
      </c>
      <c r="DP59" s="1" t="s">
        <v>317</v>
      </c>
      <c r="DQ59" s="1" t="s">
        <v>2</v>
      </c>
      <c r="DR59" s="16">
        <f t="shared" si="2"/>
        <v>29.599999999999998</v>
      </c>
      <c r="DS59" s="100">
        <f t="shared" si="3"/>
        <v>0.49182432432432438</v>
      </c>
      <c r="DT59" s="101">
        <f t="shared" si="4"/>
        <v>145.58000000000001</v>
      </c>
      <c r="DV59" s="16">
        <f t="shared" si="5"/>
        <v>0</v>
      </c>
      <c r="DZ59" s="37" t="s">
        <v>2</v>
      </c>
      <c r="EA59" s="50" t="s">
        <v>1378</v>
      </c>
      <c r="EB59" s="14">
        <v>9.8680000000000003</v>
      </c>
      <c r="EC59" s="50" t="s">
        <v>1318</v>
      </c>
      <c r="ED59" s="51" t="s">
        <v>1318</v>
      </c>
      <c r="EE59" s="51" t="s">
        <v>1318</v>
      </c>
      <c r="EF59" s="51" t="s">
        <v>1318</v>
      </c>
      <c r="EG59" s="51" t="s">
        <v>1318</v>
      </c>
      <c r="EH59" s="65"/>
      <c r="EI59" s="65"/>
      <c r="EJ59" s="65"/>
      <c r="EK59" s="65"/>
      <c r="EM59" s="50" t="s">
        <v>1378</v>
      </c>
      <c r="EN59" s="37"/>
      <c r="EO59" s="37"/>
      <c r="EP59" s="37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55"/>
      <c r="FG59" s="55"/>
      <c r="FH59" s="55"/>
      <c r="FI59" s="37"/>
      <c r="FJ59" s="55"/>
      <c r="FK59" s="55"/>
      <c r="FL59" s="45"/>
      <c r="FM59" s="37"/>
      <c r="FN59" s="37"/>
      <c r="FO59" s="37"/>
      <c r="FP59" s="50" t="s">
        <v>1378</v>
      </c>
      <c r="FQ59" s="1" t="s">
        <v>2</v>
      </c>
      <c r="FR59" s="1" t="s">
        <v>31</v>
      </c>
      <c r="FS59" s="1" t="s">
        <v>193</v>
      </c>
      <c r="FT59" s="1" t="s">
        <v>193</v>
      </c>
      <c r="FV59" s="1" t="s">
        <v>2</v>
      </c>
    </row>
    <row r="60" spans="1:178" ht="16.25" customHeight="1" x14ac:dyDescent="0.2">
      <c r="A60" s="18" t="s">
        <v>190</v>
      </c>
      <c r="B60" s="1" t="s">
        <v>63</v>
      </c>
      <c r="C60" s="80" t="s">
        <v>413</v>
      </c>
      <c r="D60" s="1" t="s">
        <v>69</v>
      </c>
      <c r="G60" s="1" t="s">
        <v>65</v>
      </c>
      <c r="H60" s="1" t="s">
        <v>414</v>
      </c>
      <c r="J60" s="1" t="s">
        <v>204</v>
      </c>
      <c r="K60" s="1">
        <v>4.7</v>
      </c>
      <c r="S60" s="1">
        <v>0.82</v>
      </c>
      <c r="T60" s="1">
        <v>0.05</v>
      </c>
      <c r="AF60" s="1">
        <v>0.9</v>
      </c>
      <c r="AN60" s="1">
        <v>0.78</v>
      </c>
      <c r="AO60" s="1">
        <v>0.04</v>
      </c>
      <c r="BA60" s="1">
        <v>0</v>
      </c>
      <c r="BV60" s="1">
        <v>0</v>
      </c>
      <c r="CQ60" s="1">
        <v>0</v>
      </c>
      <c r="DL60" s="18" t="s">
        <v>96</v>
      </c>
      <c r="DM60" s="1" t="s">
        <v>96</v>
      </c>
      <c r="DN60" s="1">
        <f t="shared" si="0"/>
        <v>0.8135714285714285</v>
      </c>
      <c r="DO60" s="1">
        <f t="shared" si="1"/>
        <v>4.839285714285714E-2</v>
      </c>
      <c r="DP60" s="1" t="s">
        <v>317</v>
      </c>
      <c r="DQ60" s="1" t="s">
        <v>2</v>
      </c>
      <c r="DR60" s="16">
        <f t="shared" si="2"/>
        <v>5.6000000000000005</v>
      </c>
      <c r="DS60" s="100">
        <f t="shared" si="3"/>
        <v>0.8135714285714285</v>
      </c>
      <c r="DT60" s="101">
        <f t="shared" si="4"/>
        <v>45.56</v>
      </c>
      <c r="DV60" s="16">
        <f t="shared" si="5"/>
        <v>0</v>
      </c>
      <c r="DZ60" s="37" t="s">
        <v>2</v>
      </c>
      <c r="EA60" s="51" t="s">
        <v>1373</v>
      </c>
      <c r="EB60" s="50" t="s">
        <v>1318</v>
      </c>
      <c r="EC60" s="5">
        <v>111.4</v>
      </c>
      <c r="ED60" s="51" t="s">
        <v>1318</v>
      </c>
      <c r="EE60" s="51">
        <v>1.7</v>
      </c>
      <c r="EF60" s="51" t="s">
        <v>1318</v>
      </c>
      <c r="EG60" s="52">
        <v>447.2</v>
      </c>
      <c r="EH60" s="65"/>
      <c r="EI60" s="52">
        <f t="shared" ref="EI60" si="41">EG60-EE60</f>
        <v>445.5</v>
      </c>
      <c r="EJ60" s="65"/>
      <c r="EK60" s="65"/>
      <c r="EM60" s="51" t="s">
        <v>1373</v>
      </c>
      <c r="EN60" s="37"/>
      <c r="EO60" s="37"/>
      <c r="EP60" s="37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55"/>
      <c r="FG60" s="55"/>
      <c r="FH60" s="55"/>
      <c r="FI60" s="37"/>
      <c r="FJ60" s="55"/>
      <c r="FK60" s="55"/>
      <c r="FL60" s="45"/>
      <c r="FM60" s="37"/>
      <c r="FN60" s="37"/>
      <c r="FO60" s="37"/>
      <c r="FP60" s="51" t="s">
        <v>1373</v>
      </c>
      <c r="FQ60" s="1" t="s">
        <v>2</v>
      </c>
      <c r="FR60" s="1" t="s">
        <v>31</v>
      </c>
      <c r="FS60" s="1" t="s">
        <v>193</v>
      </c>
      <c r="FT60" s="1" t="s">
        <v>193</v>
      </c>
      <c r="FV60" s="1" t="s">
        <v>2</v>
      </c>
    </row>
    <row r="61" spans="1:178" ht="16.25" customHeight="1" x14ac:dyDescent="0.2">
      <c r="A61" s="18" t="s">
        <v>190</v>
      </c>
      <c r="B61" s="1" t="s">
        <v>63</v>
      </c>
      <c r="C61" s="80" t="s">
        <v>590</v>
      </c>
      <c r="D61" s="1" t="s">
        <v>69</v>
      </c>
      <c r="H61" s="1" t="s">
        <v>131</v>
      </c>
      <c r="J61" s="1" t="s">
        <v>204</v>
      </c>
      <c r="K61" s="1">
        <v>1.7</v>
      </c>
      <c r="S61" s="1">
        <v>0.45</v>
      </c>
      <c r="T61" s="13">
        <v>0.1</v>
      </c>
      <c r="AC61" s="1">
        <v>103</v>
      </c>
      <c r="AF61" s="1">
        <v>10.6</v>
      </c>
      <c r="AN61" s="1">
        <v>0.27</v>
      </c>
      <c r="AO61" s="1">
        <v>7.0000000000000007E-2</v>
      </c>
      <c r="AX61" s="1">
        <v>128</v>
      </c>
      <c r="BA61" s="1">
        <v>1.5</v>
      </c>
      <c r="BI61" s="13">
        <v>0.4</v>
      </c>
      <c r="BJ61" s="1">
        <v>7.0000000000000007E-2</v>
      </c>
      <c r="BS61" s="1">
        <v>41</v>
      </c>
      <c r="BV61" s="1">
        <v>0</v>
      </c>
      <c r="CQ61" s="1">
        <v>0</v>
      </c>
      <c r="DL61" s="18" t="s">
        <v>96</v>
      </c>
      <c r="DM61" s="1" t="s">
        <v>96</v>
      </c>
      <c r="DN61" s="1">
        <f t="shared" si="0"/>
        <v>0.30630434782608701</v>
      </c>
      <c r="DO61" s="1">
        <f t="shared" si="1"/>
        <v>7.3695652173913065E-2</v>
      </c>
      <c r="DP61" s="1" t="s">
        <v>317</v>
      </c>
      <c r="DQ61" s="1" t="s">
        <v>2</v>
      </c>
      <c r="DR61" s="16">
        <f t="shared" si="2"/>
        <v>13.799999999999999</v>
      </c>
      <c r="DS61" s="100">
        <f t="shared" si="3"/>
        <v>0.30630434782608701</v>
      </c>
      <c r="DT61" s="101">
        <f t="shared" si="4"/>
        <v>42.27</v>
      </c>
      <c r="DV61" s="16">
        <f t="shared" si="5"/>
        <v>0</v>
      </c>
      <c r="DZ61" s="37" t="s">
        <v>2</v>
      </c>
      <c r="EA61" s="50" t="s">
        <v>1382</v>
      </c>
      <c r="EB61" s="14">
        <v>0.36699999999999999</v>
      </c>
      <c r="EC61" s="50" t="s">
        <v>1318</v>
      </c>
      <c r="ED61" s="51" t="s">
        <v>1318</v>
      </c>
      <c r="EE61" s="51" t="s">
        <v>1318</v>
      </c>
      <c r="EF61" s="51" t="s">
        <v>1318</v>
      </c>
      <c r="EG61" s="51" t="s">
        <v>1318</v>
      </c>
      <c r="EH61" s="65"/>
      <c r="EI61" s="65"/>
      <c r="EJ61" s="65"/>
      <c r="EK61" s="65"/>
      <c r="EM61" s="50" t="s">
        <v>1382</v>
      </c>
      <c r="EN61" s="37"/>
      <c r="EO61" s="37"/>
      <c r="EP61" s="37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55"/>
      <c r="FG61" s="55"/>
      <c r="FH61" s="55"/>
      <c r="FI61" s="37"/>
      <c r="FJ61" s="55"/>
      <c r="FK61" s="55"/>
      <c r="FL61" s="45"/>
      <c r="FM61" s="37"/>
      <c r="FN61" s="37"/>
      <c r="FO61" s="37"/>
      <c r="FP61" s="50" t="s">
        <v>1382</v>
      </c>
      <c r="FQ61" s="1" t="s">
        <v>2</v>
      </c>
      <c r="FR61" s="1" t="s">
        <v>31</v>
      </c>
      <c r="FS61" s="1" t="s">
        <v>193</v>
      </c>
      <c r="FT61" s="1" t="s">
        <v>193</v>
      </c>
      <c r="FV61" s="1" t="s">
        <v>2</v>
      </c>
    </row>
    <row r="62" spans="1:178" ht="16.25" customHeight="1" x14ac:dyDescent="0.2">
      <c r="A62" s="18" t="s">
        <v>190</v>
      </c>
      <c r="B62" s="1" t="s">
        <v>63</v>
      </c>
      <c r="C62" s="21" t="s">
        <v>508</v>
      </c>
      <c r="D62" s="1" t="s">
        <v>64</v>
      </c>
      <c r="G62" s="1" t="s">
        <v>72</v>
      </c>
      <c r="H62" s="1" t="s">
        <v>509</v>
      </c>
      <c r="J62" s="1" t="s">
        <v>211</v>
      </c>
      <c r="K62" s="1">
        <v>0</v>
      </c>
      <c r="AF62" s="1">
        <v>0</v>
      </c>
      <c r="BA62" s="1">
        <v>1</v>
      </c>
      <c r="BI62" s="1">
        <v>1</v>
      </c>
      <c r="BV62" s="1">
        <v>0</v>
      </c>
      <c r="CQ62" s="1">
        <v>0</v>
      </c>
      <c r="DL62" s="18" t="s">
        <v>96</v>
      </c>
      <c r="DN62" s="1">
        <f t="shared" si="0"/>
        <v>1</v>
      </c>
      <c r="DO62" s="1">
        <f t="shared" si="1"/>
        <v>0</v>
      </c>
      <c r="DP62" s="1" t="s">
        <v>148</v>
      </c>
      <c r="DQ62" s="1" t="s">
        <v>2</v>
      </c>
      <c r="DR62" s="16">
        <f t="shared" si="2"/>
        <v>1</v>
      </c>
      <c r="DS62" s="16">
        <f t="shared" si="3"/>
        <v>1</v>
      </c>
      <c r="DT62" s="101">
        <f t="shared" si="4"/>
        <v>10</v>
      </c>
      <c r="DV62" s="16">
        <f t="shared" si="5"/>
        <v>0</v>
      </c>
      <c r="DZ62" s="37" t="s">
        <v>2</v>
      </c>
      <c r="EA62" s="50" t="s">
        <v>1379</v>
      </c>
      <c r="EB62" s="14">
        <v>0.38800000000000001</v>
      </c>
      <c r="EC62" s="50" t="s">
        <v>1318</v>
      </c>
      <c r="ED62" s="51" t="s">
        <v>1318</v>
      </c>
      <c r="EE62" s="51" t="s">
        <v>1318</v>
      </c>
      <c r="EF62" s="51" t="s">
        <v>1318</v>
      </c>
      <c r="EG62" s="51" t="s">
        <v>1318</v>
      </c>
      <c r="EH62" s="65"/>
      <c r="EI62" s="65"/>
      <c r="EJ62" s="65"/>
      <c r="EK62" s="65"/>
      <c r="EM62" s="50" t="s">
        <v>1379</v>
      </c>
      <c r="EN62" s="37"/>
      <c r="EO62" s="37"/>
      <c r="EP62" s="37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55"/>
      <c r="FG62" s="55"/>
      <c r="FH62" s="55"/>
      <c r="FI62" s="37"/>
      <c r="FJ62" s="55"/>
      <c r="FK62" s="55"/>
      <c r="FL62" s="45"/>
      <c r="FM62" s="37"/>
      <c r="FN62" s="37"/>
      <c r="FO62" s="37"/>
      <c r="FP62" s="50" t="s">
        <v>1379</v>
      </c>
      <c r="FQ62" s="1" t="s">
        <v>2</v>
      </c>
      <c r="FR62" s="1" t="s">
        <v>31</v>
      </c>
      <c r="FS62" s="1" t="s">
        <v>193</v>
      </c>
      <c r="FT62" s="1" t="s">
        <v>304</v>
      </c>
      <c r="FV62" s="1" t="s">
        <v>2</v>
      </c>
    </row>
    <row r="63" spans="1:178" ht="16.25" customHeight="1" x14ac:dyDescent="0.2">
      <c r="A63" s="18" t="s">
        <v>190</v>
      </c>
      <c r="B63" s="1" t="s">
        <v>63</v>
      </c>
      <c r="C63" s="21" t="s">
        <v>510</v>
      </c>
      <c r="D63" s="1" t="s">
        <v>64</v>
      </c>
      <c r="G63" s="1" t="s">
        <v>72</v>
      </c>
      <c r="H63" s="1" t="s">
        <v>511</v>
      </c>
      <c r="J63" s="1" t="s">
        <v>211</v>
      </c>
      <c r="K63" s="1">
        <v>7.8</v>
      </c>
      <c r="S63" s="1">
        <v>0.13</v>
      </c>
      <c r="T63" s="1">
        <v>7.0000000000000007E-2</v>
      </c>
      <c r="U63" s="1">
        <v>0.42</v>
      </c>
      <c r="AC63" s="1">
        <v>435</v>
      </c>
      <c r="AF63" s="1">
        <v>12.5</v>
      </c>
      <c r="AN63" s="1">
        <v>0.11</v>
      </c>
      <c r="AO63" s="1">
        <v>0.06</v>
      </c>
      <c r="AP63" s="1">
        <v>0.26</v>
      </c>
      <c r="AX63" s="1">
        <v>410</v>
      </c>
      <c r="BA63" s="1">
        <v>15.3</v>
      </c>
      <c r="BI63" s="1">
        <v>0.08</v>
      </c>
      <c r="BJ63" s="1">
        <v>0.05</v>
      </c>
      <c r="BK63" s="1">
        <v>0.22</v>
      </c>
      <c r="BS63" s="1">
        <v>380</v>
      </c>
      <c r="BV63" s="1">
        <v>2.2250000000000001</v>
      </c>
      <c r="CD63" s="1">
        <v>0.13</v>
      </c>
      <c r="CE63" s="1">
        <v>0.09</v>
      </c>
      <c r="CN63" s="1">
        <v>560</v>
      </c>
      <c r="CQ63" s="1">
        <v>1.7649999999999999</v>
      </c>
      <c r="CY63" s="1">
        <v>0.13</v>
      </c>
      <c r="CZ63" s="1">
        <v>0.08</v>
      </c>
      <c r="DI63" s="1">
        <v>540</v>
      </c>
      <c r="DL63" s="18" t="s">
        <v>96</v>
      </c>
      <c r="DM63" s="1" t="s">
        <v>96</v>
      </c>
      <c r="DN63" s="1">
        <f t="shared" si="0"/>
        <v>0.10148876404494382</v>
      </c>
      <c r="DO63" s="1">
        <f t="shared" si="1"/>
        <v>5.7893258426966285E-2</v>
      </c>
      <c r="DP63" s="1" t="s">
        <v>67</v>
      </c>
      <c r="DQ63" s="1" t="s">
        <v>2</v>
      </c>
      <c r="DR63" s="16">
        <f t="shared" si="2"/>
        <v>35.6</v>
      </c>
      <c r="DS63" s="100">
        <f t="shared" si="3"/>
        <v>0.10148876404494382</v>
      </c>
      <c r="DT63" s="101">
        <f t="shared" si="4"/>
        <v>36.130000000000003</v>
      </c>
      <c r="DV63" s="16">
        <f t="shared" si="5"/>
        <v>3.99</v>
      </c>
      <c r="DW63" s="100">
        <f>(BV63*CD63+CQ63*CY63)/DV63</f>
        <v>0.12999999999999998</v>
      </c>
      <c r="DX63" s="101">
        <f>1000*DV63*DW63/100</f>
        <v>5.1869999999999994</v>
      </c>
      <c r="DZ63" s="37" t="s">
        <v>2</v>
      </c>
      <c r="EA63" s="51" t="s">
        <v>1374</v>
      </c>
      <c r="EB63" s="50" t="s">
        <v>1318</v>
      </c>
      <c r="EC63" s="5">
        <v>65.3</v>
      </c>
      <c r="ED63" s="51" t="s">
        <v>1318</v>
      </c>
      <c r="EE63" s="51" t="s">
        <v>1318</v>
      </c>
      <c r="EF63" s="51" t="s">
        <v>1318</v>
      </c>
      <c r="EG63" s="51" t="s">
        <v>1318</v>
      </c>
      <c r="EH63" s="65"/>
      <c r="EI63" s="65"/>
      <c r="EJ63" s="65"/>
      <c r="EK63" s="65"/>
      <c r="EM63" s="51" t="s">
        <v>1374</v>
      </c>
      <c r="EN63" s="37"/>
      <c r="EO63" s="37"/>
      <c r="EP63" s="37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55"/>
      <c r="FG63" s="55"/>
      <c r="FH63" s="55"/>
      <c r="FI63" s="37"/>
      <c r="FJ63" s="55"/>
      <c r="FK63" s="55"/>
      <c r="FL63" s="45"/>
      <c r="FM63" s="37"/>
      <c r="FN63" s="37"/>
      <c r="FO63" s="37"/>
      <c r="FP63" s="51" t="s">
        <v>1374</v>
      </c>
      <c r="FQ63" s="1" t="s">
        <v>2</v>
      </c>
      <c r="FR63" s="1" t="s">
        <v>31</v>
      </c>
      <c r="FS63" s="1" t="s">
        <v>193</v>
      </c>
      <c r="FT63" s="1" t="s">
        <v>193</v>
      </c>
      <c r="FV63" s="1" t="s">
        <v>2</v>
      </c>
    </row>
    <row r="64" spans="1:178" ht="16.25" customHeight="1" x14ac:dyDescent="0.2">
      <c r="A64" s="18" t="s">
        <v>190</v>
      </c>
      <c r="B64" s="1" t="s">
        <v>63</v>
      </c>
      <c r="C64" s="21" t="s">
        <v>1142</v>
      </c>
      <c r="D64" s="1" t="s">
        <v>69</v>
      </c>
      <c r="H64" s="1" t="s">
        <v>1138</v>
      </c>
      <c r="J64" s="1" t="s">
        <v>211</v>
      </c>
      <c r="K64" s="1">
        <v>0</v>
      </c>
      <c r="AF64" s="1">
        <v>0</v>
      </c>
      <c r="BA64" s="1">
        <v>7.5</v>
      </c>
      <c r="BI64" s="1">
        <v>0.8</v>
      </c>
      <c r="BJ64" s="1">
        <v>0.09</v>
      </c>
      <c r="BV64" s="1">
        <v>0</v>
      </c>
      <c r="CQ64" s="1">
        <v>0</v>
      </c>
      <c r="DL64" s="18" t="s">
        <v>96</v>
      </c>
      <c r="DM64" s="1" t="s">
        <v>96</v>
      </c>
      <c r="DN64" s="1">
        <f t="shared" si="0"/>
        <v>0.8</v>
      </c>
      <c r="DO64" s="1">
        <f t="shared" si="1"/>
        <v>0.09</v>
      </c>
      <c r="DP64" s="1" t="s">
        <v>148</v>
      </c>
      <c r="DQ64" s="1" t="s">
        <v>2</v>
      </c>
      <c r="DR64" s="16">
        <f t="shared" si="2"/>
        <v>7.5</v>
      </c>
      <c r="DS64" s="16">
        <f t="shared" si="3"/>
        <v>0.8</v>
      </c>
      <c r="DT64" s="101">
        <f t="shared" si="4"/>
        <v>60</v>
      </c>
      <c r="DV64" s="16">
        <f t="shared" si="5"/>
        <v>0</v>
      </c>
      <c r="DZ64" s="37" t="s">
        <v>2</v>
      </c>
      <c r="EA64" s="51" t="s">
        <v>1380</v>
      </c>
      <c r="EB64" s="14">
        <v>20.899000000000001</v>
      </c>
      <c r="EC64" s="50" t="s">
        <v>1318</v>
      </c>
      <c r="ED64" s="14">
        <v>20.899000000000001</v>
      </c>
      <c r="EE64" s="51" t="s">
        <v>1318</v>
      </c>
      <c r="EF64" s="52">
        <v>163.54599999999996</v>
      </c>
      <c r="EG64" s="51" t="s">
        <v>1318</v>
      </c>
      <c r="EH64" s="52">
        <v>163.54599999999996</v>
      </c>
      <c r="EI64" s="65"/>
      <c r="EJ64" s="65"/>
      <c r="EK64" s="65"/>
      <c r="EM64" s="51" t="s">
        <v>1380</v>
      </c>
      <c r="EN64" s="37"/>
      <c r="EO64" s="37"/>
      <c r="EP64" s="37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55"/>
      <c r="FG64" s="55"/>
      <c r="FH64" s="55"/>
      <c r="FI64" s="37"/>
      <c r="FJ64" s="55"/>
      <c r="FK64" s="55"/>
      <c r="FL64" s="45"/>
      <c r="FM64" s="37"/>
      <c r="FN64" s="37"/>
      <c r="FO64" s="37"/>
      <c r="FP64" s="51" t="s">
        <v>1380</v>
      </c>
      <c r="FQ64" s="1" t="s">
        <v>2</v>
      </c>
      <c r="FR64" s="1" t="s">
        <v>31</v>
      </c>
      <c r="FS64" s="1" t="s">
        <v>193</v>
      </c>
      <c r="FV64" s="1" t="s">
        <v>2</v>
      </c>
    </row>
    <row r="65" spans="1:178" ht="16.25" customHeight="1" x14ac:dyDescent="0.2">
      <c r="A65" s="18" t="s">
        <v>190</v>
      </c>
      <c r="B65" s="1" t="s">
        <v>63</v>
      </c>
      <c r="C65" s="21" t="s">
        <v>459</v>
      </c>
      <c r="D65" s="1" t="s">
        <v>69</v>
      </c>
      <c r="G65" s="1" t="s">
        <v>72</v>
      </c>
      <c r="H65" s="1" t="s">
        <v>81</v>
      </c>
      <c r="J65" s="1" t="s">
        <v>211</v>
      </c>
      <c r="K65" s="1">
        <v>0</v>
      </c>
      <c r="AF65" s="2">
        <f>3.3914+1.4289</f>
        <v>4.8202999999999996</v>
      </c>
      <c r="AN65" s="13">
        <f>(0.79*3.3914+0.83*1.4289)/AF65</f>
        <v>0.8018573532767671</v>
      </c>
      <c r="BA65" s="2">
        <f>13.295+7.8131</f>
        <v>21.1081</v>
      </c>
      <c r="BI65" s="13">
        <f>(0.7*13.295+0.78*7.8131)/BA65</f>
        <v>0.72961176041424858</v>
      </c>
      <c r="BV65" s="1">
        <v>0</v>
      </c>
      <c r="CQ65" s="1">
        <v>0</v>
      </c>
      <c r="DL65" s="18" t="s">
        <v>96</v>
      </c>
      <c r="DN65" s="1">
        <f t="shared" si="0"/>
        <v>0.74304280248684851</v>
      </c>
      <c r="DO65" s="1">
        <f t="shared" si="1"/>
        <v>0</v>
      </c>
      <c r="DP65" s="1" t="s">
        <v>148</v>
      </c>
      <c r="DQ65" s="1" t="s">
        <v>2</v>
      </c>
      <c r="DR65" s="100">
        <f t="shared" si="2"/>
        <v>25.9284</v>
      </c>
      <c r="DS65" s="100">
        <f t="shared" si="3"/>
        <v>0.74304280248684851</v>
      </c>
      <c r="DT65" s="101">
        <f t="shared" si="4"/>
        <v>192.65911000000003</v>
      </c>
      <c r="DV65" s="16">
        <f t="shared" si="5"/>
        <v>0</v>
      </c>
      <c r="DZ65" s="37" t="s">
        <v>2</v>
      </c>
      <c r="EA65" s="37"/>
      <c r="EM65" s="73"/>
      <c r="EN65" s="37"/>
      <c r="EO65" s="37"/>
      <c r="EP65" s="37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55"/>
      <c r="FG65" s="55"/>
      <c r="FH65" s="55"/>
      <c r="FI65" s="37"/>
      <c r="FJ65" s="55"/>
      <c r="FK65" s="55"/>
      <c r="FL65" s="45"/>
      <c r="FM65" s="37"/>
      <c r="FN65" s="37"/>
      <c r="FO65" s="37"/>
      <c r="FP65" s="55"/>
      <c r="FQ65" s="1" t="s">
        <v>2</v>
      </c>
      <c r="FR65" s="1" t="s">
        <v>31</v>
      </c>
      <c r="FS65" s="1" t="s">
        <v>193</v>
      </c>
      <c r="FV65" s="1" t="s">
        <v>2</v>
      </c>
    </row>
    <row r="66" spans="1:178" ht="16.25" customHeight="1" x14ac:dyDescent="0.2">
      <c r="A66" s="18" t="s">
        <v>190</v>
      </c>
      <c r="B66" s="1" t="s">
        <v>63</v>
      </c>
      <c r="C66" s="80" t="s">
        <v>654</v>
      </c>
      <c r="D66" s="1" t="s">
        <v>69</v>
      </c>
      <c r="H66" s="1" t="s">
        <v>655</v>
      </c>
      <c r="J66" s="1" t="s">
        <v>211</v>
      </c>
      <c r="K66" s="1">
        <v>0</v>
      </c>
      <c r="AF66" s="1">
        <v>4.4000000000000004</v>
      </c>
      <c r="AN66" s="1">
        <v>0.72</v>
      </c>
      <c r="AO66" s="1">
        <v>4.9000000000000002E-2</v>
      </c>
      <c r="BA66" s="1">
        <v>21.9</v>
      </c>
      <c r="BI66" s="1">
        <v>0.63</v>
      </c>
      <c r="BJ66" s="1">
        <v>4.2000000000000003E-2</v>
      </c>
      <c r="BV66" s="1">
        <v>0</v>
      </c>
      <c r="CQ66" s="1">
        <v>0</v>
      </c>
      <c r="DL66" s="18" t="s">
        <v>96</v>
      </c>
      <c r="DM66" s="1" t="s">
        <v>96</v>
      </c>
      <c r="DN66" s="1">
        <f t="shared" si="0"/>
        <v>0.6450570342205324</v>
      </c>
      <c r="DO66" s="1">
        <f t="shared" si="1"/>
        <v>4.3171102661596961E-2</v>
      </c>
      <c r="DP66" s="1" t="s">
        <v>445</v>
      </c>
      <c r="DQ66" s="1" t="s">
        <v>2</v>
      </c>
      <c r="DR66" s="16">
        <f t="shared" si="2"/>
        <v>26.299999999999997</v>
      </c>
      <c r="DS66" s="100">
        <f t="shared" si="3"/>
        <v>0.6450570342205324</v>
      </c>
      <c r="DT66" s="101">
        <f t="shared" si="4"/>
        <v>169.65</v>
      </c>
      <c r="DV66" s="16">
        <f t="shared" si="5"/>
        <v>0</v>
      </c>
      <c r="DZ66" s="37" t="s">
        <v>2</v>
      </c>
      <c r="EA66" s="37"/>
      <c r="EB66" s="41">
        <f>SUM(EB5,EB8,EB10,EB13,EB17,EB21:EB22,EB25:EB26,EB28:EB29,EB31:EB33,EB36:EB37,EB39:EB40,EB42,EB45:EB46,EB48:EB49)</f>
        <v>412.89960000000002</v>
      </c>
      <c r="EC66" s="42">
        <f>SUM(EC5,EC8,EC10,EC13,EC17,EC21:EC22,EC25:EC26,EC28:EC29,EC31:EC33,EC36:EC37,EC39:EC40,EC42,EC45:EC46,EC48:EC49)</f>
        <v>11067.2709</v>
      </c>
      <c r="EL66" s="72">
        <f>SUM(EB52:EE64)+FD66</f>
        <v>12598.99955706</v>
      </c>
      <c r="EM66" s="77" t="s">
        <v>1391</v>
      </c>
      <c r="EN66" s="41">
        <f>SUM(EN5,EN10,EN17,EN21:EN22,EN25:EN26,EN28:EN29,EN32:EN33,EN36:EN37,EN39:EN40,EN42,EN45:EN46,EN48:EN49)</f>
        <v>45.727188000000005</v>
      </c>
      <c r="EO66" s="13">
        <f>100*(EP66/1000)/EN66</f>
        <v>0.55029202036215297</v>
      </c>
      <c r="EP66" s="41">
        <f t="shared" ref="EP66:FD66" si="42">SUM(EP5,EP10,EP17,EP21:EP22,EP25:EP26,EP28:EP29,EP32:EP33,EP36:EP37,EP39:EP40,EP42,EP45:EP46,EP48:EP49)</f>
        <v>251.63306670000003</v>
      </c>
      <c r="EQ66" s="37">
        <f t="shared" si="42"/>
        <v>10</v>
      </c>
      <c r="ER66" s="42">
        <f t="shared" si="42"/>
        <v>1397.7933999999998</v>
      </c>
      <c r="ES66" s="13">
        <f>100*(ET66/1000)/ER66</f>
        <v>0.81259508365113209</v>
      </c>
      <c r="ET66" s="42">
        <f t="shared" si="42"/>
        <v>11358.400448</v>
      </c>
      <c r="EU66" s="73">
        <f t="shared" si="42"/>
        <v>30</v>
      </c>
      <c r="EV66" s="41">
        <f t="shared" si="42"/>
        <v>246.383195</v>
      </c>
      <c r="EW66" s="13">
        <f>100*(EX66/1000)/EV66</f>
        <v>0.23101128401228826</v>
      </c>
      <c r="EX66" s="41">
        <f t="shared" si="42"/>
        <v>569.17298235999999</v>
      </c>
      <c r="EY66" s="73">
        <f t="shared" si="42"/>
        <v>2</v>
      </c>
      <c r="EZ66" s="45">
        <f t="shared" si="42"/>
        <v>0</v>
      </c>
      <c r="FA66" s="13" t="e">
        <f>100*(FB66/1000)/EZ66</f>
        <v>#DIV/0!</v>
      </c>
      <c r="FB66" s="45">
        <f t="shared" si="42"/>
        <v>0</v>
      </c>
      <c r="FC66" s="45">
        <f t="shared" si="42"/>
        <v>0</v>
      </c>
      <c r="FD66" s="42">
        <f t="shared" si="42"/>
        <v>12179.20649706</v>
      </c>
      <c r="FE66" s="37"/>
      <c r="FF66" s="55"/>
      <c r="FG66" s="55"/>
      <c r="FH66" s="55"/>
      <c r="FI66" s="37"/>
      <c r="FJ66" s="55"/>
      <c r="FK66" s="55"/>
      <c r="FL66" s="45"/>
      <c r="FM66" s="37"/>
      <c r="FN66" s="37"/>
      <c r="FO66" s="37"/>
      <c r="FP66" s="55"/>
      <c r="FQ66" s="1" t="s">
        <v>2</v>
      </c>
      <c r="FR66" s="1" t="s">
        <v>31</v>
      </c>
      <c r="FS66" s="1" t="s">
        <v>193</v>
      </c>
      <c r="FV66" s="1" t="s">
        <v>2</v>
      </c>
    </row>
    <row r="67" spans="1:178" ht="16.25" customHeight="1" x14ac:dyDescent="0.2">
      <c r="A67" s="18" t="s">
        <v>190</v>
      </c>
      <c r="B67" s="1" t="s">
        <v>63</v>
      </c>
      <c r="C67" s="80" t="s">
        <v>460</v>
      </c>
      <c r="D67" s="1" t="s">
        <v>71</v>
      </c>
      <c r="G67" s="1" t="s">
        <v>65</v>
      </c>
      <c r="H67" s="1" t="s">
        <v>401</v>
      </c>
      <c r="J67" s="1" t="s">
        <v>211</v>
      </c>
      <c r="K67" s="1">
        <v>0</v>
      </c>
      <c r="AF67" s="1">
        <v>178</v>
      </c>
      <c r="AN67" s="1">
        <v>0.64</v>
      </c>
      <c r="AO67" s="1">
        <v>0.04</v>
      </c>
      <c r="BA67" s="1">
        <v>34</v>
      </c>
      <c r="BI67" s="1">
        <v>0.6</v>
      </c>
      <c r="BJ67" s="1">
        <v>4.1000000000000002E-2</v>
      </c>
      <c r="BV67" s="1">
        <v>0</v>
      </c>
      <c r="CQ67" s="1">
        <v>0</v>
      </c>
      <c r="DL67" s="18" t="s">
        <v>96</v>
      </c>
      <c r="DM67" s="1" t="s">
        <v>96</v>
      </c>
      <c r="DN67" s="1">
        <f t="shared" si="0"/>
        <v>0.63358490566037728</v>
      </c>
      <c r="DO67" s="1">
        <f t="shared" si="1"/>
        <v>4.0160377358490561E-2</v>
      </c>
      <c r="DP67" s="1" t="s">
        <v>148</v>
      </c>
      <c r="DQ67" s="1" t="s">
        <v>2</v>
      </c>
      <c r="DR67" s="16">
        <f t="shared" si="2"/>
        <v>212</v>
      </c>
      <c r="DS67" s="100">
        <f t="shared" si="3"/>
        <v>0.63358490566037728</v>
      </c>
      <c r="DT67" s="102">
        <f t="shared" si="4"/>
        <v>1343.1999999999998</v>
      </c>
      <c r="DV67" s="16">
        <f t="shared" si="5"/>
        <v>0</v>
      </c>
      <c r="DZ67" s="37" t="s">
        <v>2</v>
      </c>
      <c r="EA67" s="37"/>
      <c r="EM67" s="73"/>
      <c r="EN67" s="37"/>
      <c r="EO67" s="37"/>
      <c r="EP67" s="37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55"/>
      <c r="FG67" s="55"/>
      <c r="FH67" s="55"/>
      <c r="FI67" s="37"/>
      <c r="FJ67" s="55"/>
      <c r="FK67" s="55"/>
      <c r="FL67" s="45"/>
      <c r="FM67" s="37"/>
      <c r="FN67" s="37"/>
      <c r="FO67" s="37"/>
      <c r="FP67" s="55"/>
      <c r="FQ67" s="1" t="s">
        <v>2</v>
      </c>
      <c r="FR67" s="1" t="s">
        <v>31</v>
      </c>
      <c r="FS67" s="1" t="s">
        <v>193</v>
      </c>
      <c r="FT67" s="1" t="s">
        <v>193</v>
      </c>
      <c r="FV67" s="1" t="s">
        <v>2</v>
      </c>
    </row>
    <row r="68" spans="1:178" ht="16.25" customHeight="1" x14ac:dyDescent="0.2">
      <c r="A68" s="18" t="s">
        <v>190</v>
      </c>
      <c r="B68" s="1" t="s">
        <v>63</v>
      </c>
      <c r="C68" s="21" t="s">
        <v>557</v>
      </c>
      <c r="D68" s="1" t="s">
        <v>69</v>
      </c>
      <c r="G68" s="1" t="s">
        <v>72</v>
      </c>
      <c r="H68" s="1" t="s">
        <v>558</v>
      </c>
      <c r="J68" s="1" t="s">
        <v>204</v>
      </c>
      <c r="K68" s="1">
        <v>137</v>
      </c>
      <c r="S68" s="1">
        <v>0.7</v>
      </c>
      <c r="T68" s="1">
        <v>3.9E-2</v>
      </c>
      <c r="AF68" s="1">
        <v>168</v>
      </c>
      <c r="AN68" s="1">
        <v>0.68</v>
      </c>
      <c r="AO68" s="1">
        <v>4.1000000000000002E-2</v>
      </c>
      <c r="BA68" s="1">
        <v>0</v>
      </c>
      <c r="BV68" s="1">
        <v>0</v>
      </c>
      <c r="CQ68" s="1">
        <v>0</v>
      </c>
      <c r="DL68" s="18" t="s">
        <v>96</v>
      </c>
      <c r="DM68" s="1" t="s">
        <v>96</v>
      </c>
      <c r="DN68" s="1">
        <f t="shared" ref="DN68:DN131" si="43">(S68*K68+AN68*AF68+BI68*BA68)/(K68+AF68+BA68)</f>
        <v>0.688983606557377</v>
      </c>
      <c r="DO68" s="1">
        <f t="shared" ref="DO68:DO131" si="44">(T68*K68+AO68*AF68+BJ68*BA68)/(K68+AF68+BA68)</f>
        <v>4.0101639344262294E-2</v>
      </c>
      <c r="DP68" s="1" t="s">
        <v>148</v>
      </c>
      <c r="DQ68" s="1" t="s">
        <v>2</v>
      </c>
      <c r="DR68" s="16">
        <f t="shared" ref="DR68:DR131" si="45">K68+AF68+BA68</f>
        <v>305</v>
      </c>
      <c r="DS68" s="100">
        <f t="shared" ref="DS68:DS131" si="46">(K68*S68+AF68*AN68+BA68*BI68)/DR68</f>
        <v>0.688983606557377</v>
      </c>
      <c r="DT68" s="102">
        <f t="shared" ref="DT68:DT131" si="47">1000*DR68*DS68/100</f>
        <v>2101.4</v>
      </c>
      <c r="DV68" s="16">
        <f t="shared" ref="DV68:DV131" si="48">BV68+CQ68</f>
        <v>0</v>
      </c>
      <c r="DZ68" s="37" t="s">
        <v>2</v>
      </c>
      <c r="EA68" s="37"/>
      <c r="EM68" s="73"/>
      <c r="EN68" s="37"/>
      <c r="EO68" s="37"/>
      <c r="EP68" s="37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55"/>
      <c r="FG68" s="55"/>
      <c r="FH68" s="55"/>
      <c r="FI68" s="37"/>
      <c r="FJ68" s="55"/>
      <c r="FK68" s="55"/>
      <c r="FL68" s="45"/>
      <c r="FM68" s="37"/>
      <c r="FN68" s="37"/>
      <c r="FO68" s="37"/>
      <c r="FP68" s="55"/>
      <c r="FQ68" s="1" t="s">
        <v>2</v>
      </c>
      <c r="FR68" s="1" t="s">
        <v>31</v>
      </c>
      <c r="FS68" s="1" t="s">
        <v>193</v>
      </c>
      <c r="FT68" s="1" t="s">
        <v>193</v>
      </c>
      <c r="FV68" s="1" t="s">
        <v>2</v>
      </c>
    </row>
    <row r="69" spans="1:178" ht="16.25" customHeight="1" x14ac:dyDescent="0.2">
      <c r="A69" s="18" t="s">
        <v>190</v>
      </c>
      <c r="B69" s="1" t="s">
        <v>63</v>
      </c>
      <c r="C69" s="21" t="s">
        <v>514</v>
      </c>
      <c r="D69" s="1" t="s">
        <v>64</v>
      </c>
      <c r="G69" s="1" t="s">
        <v>72</v>
      </c>
      <c r="H69" s="1" t="s">
        <v>515</v>
      </c>
      <c r="J69" s="1" t="s">
        <v>211</v>
      </c>
      <c r="K69" s="1">
        <v>0</v>
      </c>
      <c r="AF69" s="1">
        <v>0</v>
      </c>
      <c r="BA69" s="1">
        <v>4.6500000000000004</v>
      </c>
      <c r="BI69" s="1">
        <v>0.98</v>
      </c>
      <c r="BJ69" s="1">
        <v>6.9000000000000006E-2</v>
      </c>
      <c r="BQ69" s="1">
        <v>18.5</v>
      </c>
      <c r="BV69" s="1">
        <v>0</v>
      </c>
      <c r="CQ69" s="1">
        <v>0</v>
      </c>
      <c r="DL69" s="18" t="s">
        <v>96</v>
      </c>
      <c r="DM69" s="1" t="s">
        <v>96</v>
      </c>
      <c r="DN69" s="1">
        <f t="shared" si="43"/>
        <v>0.98</v>
      </c>
      <c r="DO69" s="1">
        <f t="shared" si="44"/>
        <v>6.9000000000000006E-2</v>
      </c>
      <c r="DP69" s="1" t="s">
        <v>148</v>
      </c>
      <c r="DQ69" s="1" t="s">
        <v>2</v>
      </c>
      <c r="DR69" s="16">
        <f t="shared" si="45"/>
        <v>4.6500000000000004</v>
      </c>
      <c r="DS69" s="16">
        <f t="shared" si="46"/>
        <v>0.98</v>
      </c>
      <c r="DT69" s="101">
        <f t="shared" si="47"/>
        <v>45.57</v>
      </c>
      <c r="DV69" s="16">
        <f t="shared" si="48"/>
        <v>0</v>
      </c>
      <c r="DZ69" s="37" t="s">
        <v>2</v>
      </c>
      <c r="EA69" s="37"/>
      <c r="EM69" s="73"/>
      <c r="EN69" s="37"/>
      <c r="EO69" s="37"/>
      <c r="EP69" s="37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55"/>
      <c r="FG69" s="55"/>
      <c r="FH69" s="55"/>
      <c r="FI69" s="37"/>
      <c r="FJ69" s="55"/>
      <c r="FK69" s="55"/>
      <c r="FL69" s="45"/>
      <c r="FM69" s="37"/>
      <c r="FN69" s="37"/>
      <c r="FO69" s="37"/>
      <c r="FP69" s="55"/>
      <c r="FQ69" s="1" t="s">
        <v>2</v>
      </c>
      <c r="FR69" s="1" t="s">
        <v>31</v>
      </c>
      <c r="FS69" s="1" t="s">
        <v>193</v>
      </c>
      <c r="FT69" s="1" t="s">
        <v>193</v>
      </c>
      <c r="FV69" s="1" t="s">
        <v>2</v>
      </c>
    </row>
    <row r="70" spans="1:178" ht="16.25" customHeight="1" x14ac:dyDescent="0.2">
      <c r="A70" s="18" t="s">
        <v>190</v>
      </c>
      <c r="B70" s="1" t="s">
        <v>63</v>
      </c>
      <c r="C70" s="80" t="s">
        <v>657</v>
      </c>
      <c r="D70" s="1" t="s">
        <v>69</v>
      </c>
      <c r="H70" s="1" t="s">
        <v>131</v>
      </c>
      <c r="J70" s="1" t="s">
        <v>211</v>
      </c>
      <c r="K70" s="1">
        <v>0</v>
      </c>
      <c r="AF70" s="1">
        <v>0</v>
      </c>
      <c r="BA70" s="1">
        <v>30</v>
      </c>
      <c r="BI70" s="1">
        <v>0.64</v>
      </c>
      <c r="BJ70" s="1">
        <v>0.03</v>
      </c>
      <c r="BQ70" s="1">
        <v>12.98</v>
      </c>
      <c r="BV70" s="1">
        <v>0</v>
      </c>
      <c r="CQ70" s="1">
        <v>0</v>
      </c>
      <c r="DL70" s="18" t="s">
        <v>96</v>
      </c>
      <c r="DM70" s="1" t="s">
        <v>96</v>
      </c>
      <c r="DN70" s="1">
        <f t="shared" si="43"/>
        <v>0.64</v>
      </c>
      <c r="DO70" s="1">
        <f t="shared" si="44"/>
        <v>2.9999999999999995E-2</v>
      </c>
      <c r="DP70" s="1" t="s">
        <v>148</v>
      </c>
      <c r="DQ70" s="1" t="s">
        <v>2</v>
      </c>
      <c r="DR70" s="16">
        <f t="shared" si="45"/>
        <v>30</v>
      </c>
      <c r="DS70" s="16">
        <f t="shared" si="46"/>
        <v>0.64</v>
      </c>
      <c r="DT70" s="101">
        <f t="shared" si="47"/>
        <v>192</v>
      </c>
      <c r="DV70" s="16">
        <f t="shared" si="48"/>
        <v>0</v>
      </c>
      <c r="DZ70" s="37" t="s">
        <v>2</v>
      </c>
      <c r="EA70" s="37"/>
      <c r="EM70" s="73"/>
      <c r="EN70" s="37"/>
      <c r="EO70" s="37"/>
      <c r="EP70" s="37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55"/>
      <c r="FG70" s="55"/>
      <c r="FH70" s="55"/>
      <c r="FI70" s="37"/>
      <c r="FJ70" s="55"/>
      <c r="FK70" s="55"/>
      <c r="FL70" s="45"/>
      <c r="FM70" s="37"/>
      <c r="FN70" s="37"/>
      <c r="FO70" s="37"/>
      <c r="FP70" s="55"/>
      <c r="FQ70" s="1" t="s">
        <v>2</v>
      </c>
      <c r="FR70" s="1" t="s">
        <v>31</v>
      </c>
      <c r="FS70" s="1" t="s">
        <v>193</v>
      </c>
      <c r="FT70" s="1" t="s">
        <v>193</v>
      </c>
      <c r="FV70" s="1" t="s">
        <v>2</v>
      </c>
    </row>
    <row r="71" spans="1:178" ht="16.25" customHeight="1" x14ac:dyDescent="0.2">
      <c r="A71" s="18" t="s">
        <v>190</v>
      </c>
      <c r="B71" s="1" t="s">
        <v>63</v>
      </c>
      <c r="C71" s="21" t="s">
        <v>288</v>
      </c>
      <c r="D71" s="1" t="s">
        <v>69</v>
      </c>
      <c r="G71" s="1" t="s">
        <v>72</v>
      </c>
      <c r="H71" s="1" t="s">
        <v>289</v>
      </c>
      <c r="J71" s="1" t="s">
        <v>204</v>
      </c>
      <c r="K71" s="1">
        <v>0</v>
      </c>
      <c r="AF71" s="1">
        <v>0</v>
      </c>
      <c r="BA71" s="1">
        <v>53.6</v>
      </c>
      <c r="BI71" s="13">
        <v>0.6</v>
      </c>
      <c r="BJ71" s="1">
        <v>0.04</v>
      </c>
      <c r="BV71" s="1">
        <v>0</v>
      </c>
      <c r="CQ71" s="1">
        <v>0</v>
      </c>
      <c r="DL71" s="18" t="s">
        <v>96</v>
      </c>
      <c r="DM71" s="1" t="s">
        <v>96</v>
      </c>
      <c r="DN71" s="1">
        <f t="shared" si="43"/>
        <v>0.59999999999999987</v>
      </c>
      <c r="DO71" s="1">
        <f t="shared" si="44"/>
        <v>0.04</v>
      </c>
      <c r="DP71" s="1" t="s">
        <v>67</v>
      </c>
      <c r="DQ71" s="1" t="s">
        <v>2</v>
      </c>
      <c r="DR71" s="16">
        <f t="shared" si="45"/>
        <v>53.6</v>
      </c>
      <c r="DS71" s="16">
        <f t="shared" si="46"/>
        <v>0.59999999999999987</v>
      </c>
      <c r="DT71" s="101">
        <f t="shared" si="47"/>
        <v>321.59999999999991</v>
      </c>
      <c r="DV71" s="16">
        <f t="shared" si="48"/>
        <v>0</v>
      </c>
      <c r="DZ71" s="37" t="s">
        <v>2</v>
      </c>
      <c r="EA71" s="37"/>
      <c r="EM71" s="73"/>
      <c r="EN71" s="37"/>
      <c r="EO71" s="37"/>
      <c r="EP71" s="37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55"/>
      <c r="FG71" s="55"/>
      <c r="FH71" s="55"/>
      <c r="FI71" s="37"/>
      <c r="FJ71" s="55"/>
      <c r="FK71" s="55"/>
      <c r="FL71" s="45"/>
      <c r="FM71" s="37"/>
      <c r="FN71" s="37"/>
      <c r="FO71" s="37"/>
      <c r="FP71" s="55"/>
      <c r="FQ71" s="1" t="s">
        <v>2</v>
      </c>
      <c r="FR71" s="1" t="s">
        <v>31</v>
      </c>
      <c r="FS71" s="1" t="s">
        <v>233</v>
      </c>
      <c r="FT71" s="1" t="s">
        <v>205</v>
      </c>
      <c r="FV71" s="1" t="s">
        <v>2</v>
      </c>
    </row>
    <row r="72" spans="1:178" ht="16.25" customHeight="1" x14ac:dyDescent="0.2">
      <c r="A72" s="18" t="s">
        <v>190</v>
      </c>
      <c r="B72" s="1" t="s">
        <v>63</v>
      </c>
      <c r="C72" s="21" t="s">
        <v>1107</v>
      </c>
      <c r="D72" s="1" t="s">
        <v>64</v>
      </c>
      <c r="H72" s="1" t="s">
        <v>186</v>
      </c>
      <c r="J72" s="1" t="s">
        <v>204</v>
      </c>
      <c r="K72" s="1">
        <v>0</v>
      </c>
      <c r="AF72" s="1">
        <v>0</v>
      </c>
      <c r="BA72" s="1">
        <v>96.5</v>
      </c>
      <c r="BI72" s="1">
        <v>0.65</v>
      </c>
      <c r="BJ72" s="1">
        <v>0.03</v>
      </c>
      <c r="BV72" s="1">
        <v>0</v>
      </c>
      <c r="CQ72" s="1">
        <v>0</v>
      </c>
      <c r="DL72" s="18" t="s">
        <v>96</v>
      </c>
      <c r="DM72" s="1" t="s">
        <v>96</v>
      </c>
      <c r="DN72" s="1">
        <f t="shared" si="43"/>
        <v>0.65</v>
      </c>
      <c r="DO72" s="1">
        <f t="shared" si="44"/>
        <v>0.03</v>
      </c>
      <c r="DP72" s="1" t="s">
        <v>67</v>
      </c>
      <c r="DQ72" s="1" t="s">
        <v>2</v>
      </c>
      <c r="DR72" s="16">
        <f t="shared" si="45"/>
        <v>96.5</v>
      </c>
      <c r="DS72" s="16">
        <f t="shared" si="46"/>
        <v>0.65</v>
      </c>
      <c r="DT72" s="101">
        <f t="shared" si="47"/>
        <v>627.25</v>
      </c>
      <c r="DV72" s="16">
        <f t="shared" si="48"/>
        <v>0</v>
      </c>
      <c r="DZ72" s="37" t="s">
        <v>2</v>
      </c>
      <c r="EA72" s="37"/>
      <c r="EM72" s="73"/>
      <c r="EN72" s="37"/>
      <c r="EO72" s="37"/>
      <c r="EP72" s="37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55"/>
      <c r="FG72" s="55"/>
      <c r="FH72" s="55"/>
      <c r="FI72" s="37"/>
      <c r="FJ72" s="55"/>
      <c r="FK72" s="55"/>
      <c r="FL72" s="45"/>
      <c r="FM72" s="37"/>
      <c r="FN72" s="37"/>
      <c r="FO72" s="37"/>
      <c r="FP72" s="55"/>
      <c r="FQ72" s="1" t="s">
        <v>2</v>
      </c>
      <c r="FR72" s="1" t="s">
        <v>31</v>
      </c>
      <c r="FS72" s="1" t="s">
        <v>233</v>
      </c>
      <c r="FT72" s="1" t="s">
        <v>205</v>
      </c>
      <c r="FV72" s="1" t="s">
        <v>2</v>
      </c>
    </row>
    <row r="73" spans="1:178" ht="16.25" customHeight="1" x14ac:dyDescent="0.2">
      <c r="A73" s="18" t="s">
        <v>190</v>
      </c>
      <c r="B73" s="1" t="s">
        <v>63</v>
      </c>
      <c r="C73" s="21" t="s">
        <v>819</v>
      </c>
      <c r="D73" s="1" t="s">
        <v>69</v>
      </c>
      <c r="H73" s="1" t="s">
        <v>131</v>
      </c>
      <c r="J73" s="1" t="s">
        <v>204</v>
      </c>
      <c r="K73" s="1">
        <v>0</v>
      </c>
      <c r="AF73" s="14">
        <v>10</v>
      </c>
      <c r="AN73" s="1">
        <v>0.64</v>
      </c>
      <c r="AO73" s="1">
        <v>0.05</v>
      </c>
      <c r="BA73" s="1">
        <v>53.3</v>
      </c>
      <c r="BI73" s="1">
        <v>0.65</v>
      </c>
      <c r="BJ73" s="1">
        <v>0.04</v>
      </c>
      <c r="BV73" s="1">
        <v>0</v>
      </c>
      <c r="CQ73" s="1">
        <v>0</v>
      </c>
      <c r="DL73" s="18" t="s">
        <v>96</v>
      </c>
      <c r="DM73" s="1" t="s">
        <v>96</v>
      </c>
      <c r="DN73" s="1">
        <f t="shared" si="43"/>
        <v>0.6484202211690363</v>
      </c>
      <c r="DO73" s="1">
        <f t="shared" si="44"/>
        <v>4.1579778830963671E-2</v>
      </c>
      <c r="DP73" s="1" t="s">
        <v>67</v>
      </c>
      <c r="DQ73" s="1" t="s">
        <v>2</v>
      </c>
      <c r="DR73" s="16">
        <f t="shared" si="45"/>
        <v>63.3</v>
      </c>
      <c r="DS73" s="100">
        <f t="shared" si="46"/>
        <v>0.6484202211690363</v>
      </c>
      <c r="DT73" s="101">
        <f t="shared" si="47"/>
        <v>410.45</v>
      </c>
      <c r="DV73" s="16">
        <f t="shared" si="48"/>
        <v>0</v>
      </c>
      <c r="DZ73" s="37" t="s">
        <v>2</v>
      </c>
      <c r="EA73" s="37"/>
      <c r="EM73" s="73"/>
      <c r="EN73" s="37"/>
      <c r="EO73" s="37"/>
      <c r="EP73" s="37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55"/>
      <c r="FG73" s="55"/>
      <c r="FH73" s="55"/>
      <c r="FI73" s="37"/>
      <c r="FJ73" s="55"/>
      <c r="FK73" s="55"/>
      <c r="FL73" s="45"/>
      <c r="FM73" s="37"/>
      <c r="FN73" s="37"/>
      <c r="FO73" s="37"/>
      <c r="FP73" s="55"/>
      <c r="FQ73" s="1" t="s">
        <v>2</v>
      </c>
      <c r="FR73" s="1" t="s">
        <v>31</v>
      </c>
      <c r="FS73" s="1" t="s">
        <v>233</v>
      </c>
      <c r="FT73" s="1" t="s">
        <v>205</v>
      </c>
      <c r="FV73" s="1" t="s">
        <v>2</v>
      </c>
    </row>
    <row r="74" spans="1:178" ht="16.25" customHeight="1" x14ac:dyDescent="0.2">
      <c r="A74" s="18" t="s">
        <v>190</v>
      </c>
      <c r="B74" s="1" t="s">
        <v>63</v>
      </c>
      <c r="C74" s="80" t="s">
        <v>820</v>
      </c>
      <c r="D74" s="1" t="s">
        <v>69</v>
      </c>
      <c r="H74" s="1" t="s">
        <v>131</v>
      </c>
      <c r="J74" s="1" t="s">
        <v>204</v>
      </c>
      <c r="K74" s="1">
        <v>0</v>
      </c>
      <c r="AF74" s="1">
        <v>0</v>
      </c>
      <c r="BA74" s="1">
        <v>20.100000000000001</v>
      </c>
      <c r="BI74" s="1">
        <v>0.75</v>
      </c>
      <c r="BJ74" s="13">
        <v>0.10299999999999999</v>
      </c>
      <c r="BK74" s="1">
        <v>0.09</v>
      </c>
      <c r="BL74" s="1">
        <v>0.13</v>
      </c>
      <c r="BS74" s="1">
        <v>33.4</v>
      </c>
      <c r="BV74" s="1">
        <v>0</v>
      </c>
      <c r="CQ74" s="1">
        <v>0</v>
      </c>
      <c r="DL74" s="18" t="s">
        <v>96</v>
      </c>
      <c r="DM74" s="1" t="s">
        <v>96</v>
      </c>
      <c r="DN74" s="1">
        <f t="shared" si="43"/>
        <v>0.75</v>
      </c>
      <c r="DO74" s="1">
        <f t="shared" si="44"/>
        <v>0.10299999999999999</v>
      </c>
      <c r="DP74" s="1" t="s">
        <v>67</v>
      </c>
      <c r="DQ74" s="1" t="s">
        <v>2</v>
      </c>
      <c r="DR74" s="16">
        <f t="shared" si="45"/>
        <v>20.100000000000001</v>
      </c>
      <c r="DS74" s="16">
        <f t="shared" si="46"/>
        <v>0.75</v>
      </c>
      <c r="DT74" s="101">
        <f t="shared" si="47"/>
        <v>150.75</v>
      </c>
      <c r="DV74" s="16">
        <f t="shared" si="48"/>
        <v>0</v>
      </c>
      <c r="DZ74" s="37" t="s">
        <v>2</v>
      </c>
      <c r="EA74" s="37"/>
      <c r="EM74" s="73"/>
      <c r="EN74" s="37"/>
      <c r="EO74" s="37"/>
      <c r="EP74" s="37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55"/>
      <c r="FG74" s="55"/>
      <c r="FH74" s="55"/>
      <c r="FI74" s="37"/>
      <c r="FJ74" s="55"/>
      <c r="FK74" s="55"/>
      <c r="FL74" s="45"/>
      <c r="FM74" s="37"/>
      <c r="FN74" s="37"/>
      <c r="FO74" s="37"/>
      <c r="FP74" s="55"/>
      <c r="FQ74" s="1" t="s">
        <v>2</v>
      </c>
      <c r="FR74" s="1" t="s">
        <v>31</v>
      </c>
      <c r="FS74" s="1" t="s">
        <v>233</v>
      </c>
      <c r="FT74" s="1" t="s">
        <v>205</v>
      </c>
      <c r="FV74" s="1" t="s">
        <v>2</v>
      </c>
    </row>
    <row r="75" spans="1:178" ht="16.25" customHeight="1" x14ac:dyDescent="0.2">
      <c r="A75" s="18" t="s">
        <v>190</v>
      </c>
      <c r="B75" s="1" t="s">
        <v>63</v>
      </c>
      <c r="C75" s="80" t="s">
        <v>1202</v>
      </c>
      <c r="H75" s="1" t="s">
        <v>1203</v>
      </c>
      <c r="J75" s="1" t="s">
        <v>204</v>
      </c>
      <c r="K75" s="1">
        <v>0</v>
      </c>
      <c r="AF75" s="1">
        <v>0</v>
      </c>
      <c r="BA75" s="1">
        <v>47.3</v>
      </c>
      <c r="BI75" s="1">
        <v>0.66</v>
      </c>
      <c r="BJ75" s="1">
        <v>0.04</v>
      </c>
      <c r="BV75" s="1">
        <v>0</v>
      </c>
      <c r="CQ75" s="1">
        <v>0</v>
      </c>
      <c r="DL75" s="18" t="s">
        <v>96</v>
      </c>
      <c r="DM75" s="1" t="s">
        <v>96</v>
      </c>
      <c r="DN75" s="1">
        <f t="shared" si="43"/>
        <v>0.66</v>
      </c>
      <c r="DO75" s="1">
        <f t="shared" si="44"/>
        <v>0.04</v>
      </c>
      <c r="DP75" s="1" t="s">
        <v>67</v>
      </c>
      <c r="DQ75" s="1" t="s">
        <v>2</v>
      </c>
      <c r="DR75" s="16">
        <f t="shared" si="45"/>
        <v>47.3</v>
      </c>
      <c r="DS75" s="16">
        <f t="shared" si="46"/>
        <v>0.66</v>
      </c>
      <c r="DT75" s="101">
        <f t="shared" si="47"/>
        <v>312.18</v>
      </c>
      <c r="DV75" s="16">
        <f t="shared" si="48"/>
        <v>0</v>
      </c>
      <c r="DZ75" s="37" t="s">
        <v>2</v>
      </c>
      <c r="EA75" s="37"/>
      <c r="EM75" s="73"/>
      <c r="EN75" s="37"/>
      <c r="EO75" s="37"/>
      <c r="EP75" s="37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55"/>
      <c r="FG75" s="55"/>
      <c r="FH75" s="55"/>
      <c r="FI75" s="37"/>
      <c r="FJ75" s="55"/>
      <c r="FK75" s="55"/>
      <c r="FL75" s="45"/>
      <c r="FM75" s="37"/>
      <c r="FN75" s="37"/>
      <c r="FO75" s="37"/>
      <c r="FP75" s="55"/>
      <c r="FQ75" s="1" t="s">
        <v>2</v>
      </c>
      <c r="FR75" s="1" t="s">
        <v>31</v>
      </c>
      <c r="FS75" s="1" t="s">
        <v>233</v>
      </c>
      <c r="FT75" s="1" t="s">
        <v>205</v>
      </c>
      <c r="FV75" s="1" t="s">
        <v>2</v>
      </c>
    </row>
    <row r="76" spans="1:178" ht="16.25" customHeight="1" x14ac:dyDescent="0.2">
      <c r="A76" s="18" t="s">
        <v>190</v>
      </c>
      <c r="B76" s="1" t="s">
        <v>63</v>
      </c>
      <c r="C76" s="21" t="s">
        <v>1095</v>
      </c>
      <c r="D76" s="1" t="s">
        <v>69</v>
      </c>
      <c r="H76" s="1" t="s">
        <v>1096</v>
      </c>
      <c r="J76" s="1" t="s">
        <v>211</v>
      </c>
      <c r="K76" s="1">
        <v>0</v>
      </c>
      <c r="AF76" s="1">
        <v>0</v>
      </c>
      <c r="BA76" s="1">
        <v>339</v>
      </c>
      <c r="BI76" s="1">
        <v>0.81</v>
      </c>
      <c r="BJ76" s="1">
        <v>0.05</v>
      </c>
      <c r="BV76" s="1">
        <v>0</v>
      </c>
      <c r="CQ76" s="1">
        <v>0</v>
      </c>
      <c r="DL76" s="18" t="s">
        <v>96</v>
      </c>
      <c r="DN76" s="1">
        <f t="shared" si="43"/>
        <v>0.81</v>
      </c>
      <c r="DO76" s="1">
        <f t="shared" si="44"/>
        <v>4.9999999999999996E-2</v>
      </c>
      <c r="DP76" s="1" t="s">
        <v>67</v>
      </c>
      <c r="DQ76" s="1" t="s">
        <v>2</v>
      </c>
      <c r="DR76" s="16">
        <f t="shared" si="45"/>
        <v>339</v>
      </c>
      <c r="DS76" s="16">
        <f t="shared" si="46"/>
        <v>0.81</v>
      </c>
      <c r="DT76" s="102">
        <f t="shared" si="47"/>
        <v>2745.9</v>
      </c>
      <c r="DV76" s="16">
        <f t="shared" si="48"/>
        <v>0</v>
      </c>
      <c r="DZ76" s="37" t="s">
        <v>2</v>
      </c>
      <c r="EA76" s="37"/>
      <c r="EM76" s="73"/>
      <c r="EN76" s="37"/>
      <c r="EO76" s="37"/>
      <c r="EP76" s="37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55"/>
      <c r="FG76" s="55"/>
      <c r="FH76" s="55"/>
      <c r="FI76" s="37"/>
      <c r="FJ76" s="55"/>
      <c r="FK76" s="55"/>
      <c r="FL76" s="45"/>
      <c r="FM76" s="37"/>
      <c r="FN76" s="37"/>
      <c r="FO76" s="37"/>
      <c r="FP76" s="55"/>
      <c r="FQ76" s="1" t="s">
        <v>2</v>
      </c>
      <c r="FR76" s="1" t="s">
        <v>31</v>
      </c>
      <c r="FS76" s="1" t="s">
        <v>251</v>
      </c>
      <c r="FT76" s="1" t="s">
        <v>251</v>
      </c>
      <c r="FV76" s="1" t="s">
        <v>2</v>
      </c>
    </row>
    <row r="77" spans="1:178" ht="16.25" customHeight="1" x14ac:dyDescent="0.2">
      <c r="A77" s="18" t="s">
        <v>190</v>
      </c>
      <c r="B77" s="1" t="s">
        <v>63</v>
      </c>
      <c r="C77" s="80" t="s">
        <v>1017</v>
      </c>
      <c r="H77" s="1" t="s">
        <v>1015</v>
      </c>
      <c r="J77" s="1" t="s">
        <v>211</v>
      </c>
      <c r="K77" s="1">
        <v>0</v>
      </c>
      <c r="AF77" s="1">
        <v>0</v>
      </c>
      <c r="BA77" s="1">
        <v>53.6</v>
      </c>
      <c r="BI77" s="1">
        <v>0.66</v>
      </c>
      <c r="BJ77" s="1">
        <v>0.05</v>
      </c>
      <c r="BM77" s="11"/>
      <c r="BN77" s="11"/>
      <c r="BO77" s="11"/>
      <c r="BS77" s="11">
        <v>50</v>
      </c>
      <c r="BV77" s="1">
        <v>0</v>
      </c>
      <c r="CQ77" s="1">
        <v>0</v>
      </c>
      <c r="DL77" s="18" t="s">
        <v>96</v>
      </c>
      <c r="DM77" s="1" t="s">
        <v>96</v>
      </c>
      <c r="DN77" s="1">
        <f t="shared" si="43"/>
        <v>0.66</v>
      </c>
      <c r="DO77" s="1">
        <f t="shared" si="44"/>
        <v>0.05</v>
      </c>
      <c r="DP77" s="1" t="s">
        <v>279</v>
      </c>
      <c r="DQ77" s="1" t="s">
        <v>2</v>
      </c>
      <c r="DR77" s="16">
        <f t="shared" si="45"/>
        <v>53.6</v>
      </c>
      <c r="DS77" s="16">
        <f t="shared" si="46"/>
        <v>0.66</v>
      </c>
      <c r="DT77" s="101">
        <f t="shared" si="47"/>
        <v>353.76</v>
      </c>
      <c r="DV77" s="16">
        <f t="shared" si="48"/>
        <v>0</v>
      </c>
      <c r="DZ77" s="37" t="s">
        <v>2</v>
      </c>
      <c r="EA77" s="37"/>
      <c r="EM77" s="73"/>
      <c r="EN77" s="37"/>
      <c r="EO77" s="37"/>
      <c r="EP77" s="37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55"/>
      <c r="FG77" s="55"/>
      <c r="FH77" s="55"/>
      <c r="FI77" s="37"/>
      <c r="FJ77" s="55"/>
      <c r="FK77" s="55"/>
      <c r="FL77" s="45"/>
      <c r="FM77" s="37"/>
      <c r="FN77" s="37"/>
      <c r="FO77" s="37"/>
      <c r="FP77" s="55"/>
      <c r="FQ77" s="1" t="s">
        <v>2</v>
      </c>
      <c r="FR77" s="1" t="s">
        <v>31</v>
      </c>
      <c r="FS77" s="1" t="s">
        <v>280</v>
      </c>
      <c r="FV77" s="1" t="s">
        <v>2</v>
      </c>
    </row>
    <row r="78" spans="1:178" ht="16.25" customHeight="1" x14ac:dyDescent="0.2">
      <c r="A78" s="18" t="s">
        <v>190</v>
      </c>
      <c r="B78" s="1" t="s">
        <v>63</v>
      </c>
      <c r="C78" s="21" t="s">
        <v>902</v>
      </c>
      <c r="D78" s="1" t="s">
        <v>71</v>
      </c>
      <c r="H78" s="1" t="s">
        <v>131</v>
      </c>
      <c r="J78" s="1" t="s">
        <v>211</v>
      </c>
      <c r="K78" s="1">
        <v>0</v>
      </c>
      <c r="AF78" s="1">
        <v>0</v>
      </c>
      <c r="BA78" s="1">
        <v>114.3</v>
      </c>
      <c r="BI78" s="1">
        <v>0.56000000000000005</v>
      </c>
      <c r="BJ78" s="1">
        <v>0.06</v>
      </c>
      <c r="BM78" s="11"/>
      <c r="BN78" s="11"/>
      <c r="BO78" s="11"/>
      <c r="BS78" s="11">
        <v>50</v>
      </c>
      <c r="BV78" s="1">
        <v>0</v>
      </c>
      <c r="CQ78" s="1">
        <v>0</v>
      </c>
      <c r="DL78" s="18" t="s">
        <v>96</v>
      </c>
      <c r="DM78" s="1" t="s">
        <v>96</v>
      </c>
      <c r="DN78" s="1">
        <f t="shared" si="43"/>
        <v>0.56000000000000005</v>
      </c>
      <c r="DO78" s="1">
        <f t="shared" si="44"/>
        <v>0.06</v>
      </c>
      <c r="DP78" s="1" t="s">
        <v>279</v>
      </c>
      <c r="DQ78" s="1" t="s">
        <v>2</v>
      </c>
      <c r="DR78" s="16">
        <f t="shared" si="45"/>
        <v>114.3</v>
      </c>
      <c r="DS78" s="16">
        <f t="shared" si="46"/>
        <v>0.56000000000000005</v>
      </c>
      <c r="DT78" s="101">
        <f t="shared" si="47"/>
        <v>640.08000000000004</v>
      </c>
      <c r="DV78" s="16">
        <f t="shared" si="48"/>
        <v>0</v>
      </c>
      <c r="DZ78" s="37" t="s">
        <v>2</v>
      </c>
      <c r="EA78" s="37"/>
      <c r="EM78" s="73"/>
      <c r="EN78" s="37"/>
      <c r="EO78" s="37"/>
      <c r="EP78" s="37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55"/>
      <c r="FG78" s="55"/>
      <c r="FH78" s="55"/>
      <c r="FI78" s="37"/>
      <c r="FJ78" s="55"/>
      <c r="FK78" s="55"/>
      <c r="FL78" s="45"/>
      <c r="FM78" s="37"/>
      <c r="FN78" s="37"/>
      <c r="FO78" s="37"/>
      <c r="FP78" s="55"/>
      <c r="FQ78" s="1" t="s">
        <v>2</v>
      </c>
      <c r="FR78" s="1" t="s">
        <v>31</v>
      </c>
      <c r="FS78" s="1" t="s">
        <v>280</v>
      </c>
      <c r="FV78" s="1" t="s">
        <v>2</v>
      </c>
    </row>
    <row r="79" spans="1:178" ht="16.25" customHeight="1" x14ac:dyDescent="0.2">
      <c r="A79" s="18" t="s">
        <v>190</v>
      </c>
      <c r="B79" s="1" t="s">
        <v>63</v>
      </c>
      <c r="C79" s="16" t="s">
        <v>1307</v>
      </c>
      <c r="D79" s="1" t="s">
        <v>69</v>
      </c>
      <c r="G79" s="1" t="s">
        <v>200</v>
      </c>
      <c r="H79" s="1" t="s">
        <v>1308</v>
      </c>
      <c r="J79" s="1" t="s">
        <v>204</v>
      </c>
      <c r="K79" s="1">
        <v>3.8</v>
      </c>
      <c r="S79" s="1">
        <v>0.94</v>
      </c>
      <c r="T79" s="1">
        <v>0.05</v>
      </c>
      <c r="AF79" s="1">
        <v>41.6</v>
      </c>
      <c r="AN79" s="1">
        <v>0.78</v>
      </c>
      <c r="AO79" s="1">
        <v>0.04</v>
      </c>
      <c r="BA79" s="1">
        <v>18.399999999999999</v>
      </c>
      <c r="BI79" s="1">
        <v>0.63</v>
      </c>
      <c r="BJ79" s="1">
        <v>0.03</v>
      </c>
      <c r="BV79" s="1">
        <v>0</v>
      </c>
      <c r="CQ79" s="1">
        <v>0</v>
      </c>
      <c r="DL79" s="18" t="s">
        <v>96</v>
      </c>
      <c r="DM79" s="1" t="s">
        <v>96</v>
      </c>
      <c r="DN79" s="1">
        <f t="shared" si="43"/>
        <v>0.74626959247648905</v>
      </c>
      <c r="DO79" s="1">
        <f t="shared" si="44"/>
        <v>3.7711598746081508E-2</v>
      </c>
      <c r="DP79" s="1" t="s">
        <v>67</v>
      </c>
      <c r="DQ79" s="1" t="s">
        <v>2</v>
      </c>
      <c r="DR79" s="16">
        <f t="shared" si="45"/>
        <v>63.8</v>
      </c>
      <c r="DS79" s="100">
        <f t="shared" si="46"/>
        <v>0.74626959247648905</v>
      </c>
      <c r="DT79" s="101">
        <f t="shared" si="47"/>
        <v>476.12</v>
      </c>
      <c r="DV79" s="16">
        <f t="shared" si="48"/>
        <v>0</v>
      </c>
      <c r="DZ79" s="37" t="s">
        <v>2</v>
      </c>
      <c r="EA79" s="37"/>
      <c r="EM79" s="73"/>
      <c r="EN79" s="37"/>
      <c r="EO79" s="37"/>
      <c r="EP79" s="37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55"/>
      <c r="FG79" s="55"/>
      <c r="FH79" s="55"/>
      <c r="FI79" s="37"/>
      <c r="FJ79" s="55"/>
      <c r="FK79" s="55"/>
      <c r="FL79" s="45"/>
      <c r="FM79" s="37"/>
      <c r="FN79" s="37"/>
      <c r="FO79" s="37"/>
      <c r="FP79" s="55"/>
      <c r="FQ79" s="1" t="s">
        <v>2</v>
      </c>
      <c r="FR79" s="1" t="s">
        <v>31</v>
      </c>
      <c r="FS79" s="1" t="s">
        <v>280</v>
      </c>
      <c r="FT79" s="1" t="s">
        <v>280</v>
      </c>
      <c r="FV79" s="1" t="s">
        <v>2</v>
      </c>
    </row>
    <row r="80" spans="1:178" ht="16.25" customHeight="1" x14ac:dyDescent="0.2">
      <c r="A80" s="18" t="s">
        <v>190</v>
      </c>
      <c r="B80" s="1" t="s">
        <v>63</v>
      </c>
      <c r="C80" s="16" t="s">
        <v>1315</v>
      </c>
      <c r="D80" s="1" t="s">
        <v>69</v>
      </c>
      <c r="G80" s="1" t="s">
        <v>200</v>
      </c>
      <c r="H80" s="1" t="s">
        <v>1317</v>
      </c>
      <c r="J80" s="1" t="s">
        <v>204</v>
      </c>
      <c r="K80" s="1">
        <v>0</v>
      </c>
      <c r="AF80" s="1">
        <v>26.8</v>
      </c>
      <c r="AN80" s="1">
        <v>0.77</v>
      </c>
      <c r="AO80" s="1">
        <v>0.06</v>
      </c>
      <c r="BA80" s="1">
        <v>0</v>
      </c>
      <c r="BV80" s="1">
        <v>0</v>
      </c>
      <c r="CQ80" s="1">
        <v>0</v>
      </c>
      <c r="DL80" s="18" t="s">
        <v>96</v>
      </c>
      <c r="DM80" s="1" t="s">
        <v>96</v>
      </c>
      <c r="DN80" s="1">
        <f t="shared" si="43"/>
        <v>0.77000000000000013</v>
      </c>
      <c r="DO80" s="1">
        <f t="shared" si="44"/>
        <v>5.9999999999999991E-2</v>
      </c>
      <c r="DP80" s="1" t="s">
        <v>67</v>
      </c>
      <c r="DQ80" s="1" t="s">
        <v>2</v>
      </c>
      <c r="DR80" s="16">
        <f t="shared" si="45"/>
        <v>26.8</v>
      </c>
      <c r="DS80" s="16">
        <f t="shared" si="46"/>
        <v>0.77000000000000013</v>
      </c>
      <c r="DT80" s="101">
        <f t="shared" si="47"/>
        <v>206.36000000000004</v>
      </c>
      <c r="DV80" s="16">
        <f t="shared" si="48"/>
        <v>0</v>
      </c>
      <c r="DZ80" s="37" t="s">
        <v>2</v>
      </c>
      <c r="EA80" s="37"/>
      <c r="EM80" s="73"/>
      <c r="EN80" s="37"/>
      <c r="EO80" s="37"/>
      <c r="EP80" s="37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55"/>
      <c r="FG80" s="55"/>
      <c r="FH80" s="55"/>
      <c r="FI80" s="37"/>
      <c r="FJ80" s="55"/>
      <c r="FK80" s="55"/>
      <c r="FL80" s="45"/>
      <c r="FM80" s="37"/>
      <c r="FN80" s="37"/>
      <c r="FO80" s="37"/>
      <c r="FP80" s="55"/>
      <c r="FQ80" s="1" t="s">
        <v>2</v>
      </c>
      <c r="FR80" s="1" t="s">
        <v>31</v>
      </c>
      <c r="FS80" s="1" t="s">
        <v>280</v>
      </c>
      <c r="FT80" s="1" t="s">
        <v>280</v>
      </c>
      <c r="FV80" s="1" t="s">
        <v>2</v>
      </c>
    </row>
    <row r="81" spans="1:178" ht="16.25" customHeight="1" x14ac:dyDescent="0.2">
      <c r="A81" s="18" t="s">
        <v>190</v>
      </c>
      <c r="B81" s="1" t="s">
        <v>63</v>
      </c>
      <c r="C81" s="16" t="s">
        <v>1304</v>
      </c>
      <c r="D81" s="1" t="s">
        <v>69</v>
      </c>
      <c r="G81" s="1" t="s">
        <v>200</v>
      </c>
      <c r="H81" s="1" t="s">
        <v>201</v>
      </c>
      <c r="J81" s="1" t="s">
        <v>204</v>
      </c>
      <c r="K81" s="1">
        <v>0</v>
      </c>
      <c r="AF81" s="1">
        <v>0</v>
      </c>
      <c r="BA81" s="1">
        <v>49.4</v>
      </c>
      <c r="BI81" s="13">
        <v>0.7</v>
      </c>
      <c r="BJ81" s="1">
        <v>7.0000000000000007E-2</v>
      </c>
      <c r="BV81" s="1">
        <v>0</v>
      </c>
      <c r="CQ81" s="1">
        <v>0</v>
      </c>
      <c r="DL81" s="18" t="s">
        <v>96</v>
      </c>
      <c r="DM81" s="1" t="s">
        <v>96</v>
      </c>
      <c r="DN81" s="1">
        <f t="shared" si="43"/>
        <v>0.7</v>
      </c>
      <c r="DO81" s="1">
        <f t="shared" si="44"/>
        <v>7.0000000000000007E-2</v>
      </c>
      <c r="DP81" s="1" t="s">
        <v>67</v>
      </c>
      <c r="DQ81" s="1" t="s">
        <v>2</v>
      </c>
      <c r="DR81" s="16">
        <f t="shared" si="45"/>
        <v>49.4</v>
      </c>
      <c r="DS81" s="16">
        <f t="shared" si="46"/>
        <v>0.7</v>
      </c>
      <c r="DT81" s="101">
        <f t="shared" si="47"/>
        <v>345.8</v>
      </c>
      <c r="DV81" s="16">
        <f t="shared" si="48"/>
        <v>0</v>
      </c>
      <c r="DZ81" s="37" t="s">
        <v>2</v>
      </c>
      <c r="EA81" s="37"/>
      <c r="EM81" s="73"/>
      <c r="EN81" s="37"/>
      <c r="EO81" s="37"/>
      <c r="EP81" s="37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55"/>
      <c r="FG81" s="55"/>
      <c r="FH81" s="55"/>
      <c r="FI81" s="37"/>
      <c r="FJ81" s="55"/>
      <c r="FK81" s="55"/>
      <c r="FL81" s="45"/>
      <c r="FM81" s="37"/>
      <c r="FN81" s="37"/>
      <c r="FO81" s="37"/>
      <c r="FP81" s="55"/>
      <c r="FQ81" s="1" t="s">
        <v>2</v>
      </c>
      <c r="FR81" s="1" t="s">
        <v>31</v>
      </c>
      <c r="FS81" s="1" t="s">
        <v>280</v>
      </c>
      <c r="FT81" s="1" t="s">
        <v>280</v>
      </c>
      <c r="FV81" s="1" t="s">
        <v>2</v>
      </c>
    </row>
    <row r="82" spans="1:178" ht="16.25" customHeight="1" x14ac:dyDescent="0.2">
      <c r="A82" s="18" t="s">
        <v>190</v>
      </c>
      <c r="B82" s="1" t="s">
        <v>63</v>
      </c>
      <c r="C82" s="16" t="s">
        <v>1309</v>
      </c>
      <c r="D82" s="1" t="s">
        <v>69</v>
      </c>
      <c r="G82" s="1" t="s">
        <v>200</v>
      </c>
      <c r="H82" s="1" t="s">
        <v>1311</v>
      </c>
      <c r="J82" s="1" t="s">
        <v>204</v>
      </c>
      <c r="K82" s="1">
        <v>0</v>
      </c>
      <c r="AF82" s="1">
        <v>0</v>
      </c>
      <c r="BA82" s="1">
        <v>80.5</v>
      </c>
      <c r="BI82" s="1">
        <v>0.77</v>
      </c>
      <c r="BJ82" s="1">
        <v>0.06</v>
      </c>
      <c r="BV82" s="1">
        <v>0</v>
      </c>
      <c r="CQ82" s="1">
        <v>0</v>
      </c>
      <c r="DL82" s="18" t="s">
        <v>96</v>
      </c>
      <c r="DM82" s="1" t="s">
        <v>96</v>
      </c>
      <c r="DN82" s="1">
        <f t="shared" si="43"/>
        <v>0.77</v>
      </c>
      <c r="DO82" s="1">
        <f t="shared" si="44"/>
        <v>0.06</v>
      </c>
      <c r="DP82" s="1" t="s">
        <v>148</v>
      </c>
      <c r="DQ82" s="1" t="s">
        <v>2</v>
      </c>
      <c r="DR82" s="16">
        <f t="shared" si="45"/>
        <v>80.5</v>
      </c>
      <c r="DS82" s="16">
        <f t="shared" si="46"/>
        <v>0.77</v>
      </c>
      <c r="DT82" s="101">
        <f t="shared" si="47"/>
        <v>619.85</v>
      </c>
      <c r="DV82" s="16">
        <f t="shared" si="48"/>
        <v>0</v>
      </c>
      <c r="DZ82" s="37" t="s">
        <v>2</v>
      </c>
      <c r="EA82" s="37"/>
      <c r="EM82" s="73"/>
      <c r="EN82" s="37"/>
      <c r="EO82" s="37"/>
      <c r="EP82" s="37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55"/>
      <c r="FG82" s="55"/>
      <c r="FH82" s="55"/>
      <c r="FI82" s="37"/>
      <c r="FJ82" s="55"/>
      <c r="FK82" s="55"/>
      <c r="FL82" s="45"/>
      <c r="FM82" s="37"/>
      <c r="FN82" s="37"/>
      <c r="FO82" s="37"/>
      <c r="FP82" s="55"/>
      <c r="FQ82" s="1" t="s">
        <v>2</v>
      </c>
      <c r="FR82" s="1" t="s">
        <v>31</v>
      </c>
      <c r="FS82" s="1" t="s">
        <v>280</v>
      </c>
      <c r="FT82" s="1" t="s">
        <v>280</v>
      </c>
      <c r="FV82" s="1" t="s">
        <v>2</v>
      </c>
    </row>
    <row r="83" spans="1:178" ht="16.25" customHeight="1" x14ac:dyDescent="0.2">
      <c r="A83" s="18" t="s">
        <v>190</v>
      </c>
      <c r="B83" s="1" t="s">
        <v>63</v>
      </c>
      <c r="C83" s="16" t="s">
        <v>1312</v>
      </c>
      <c r="D83" s="1" t="s">
        <v>69</v>
      </c>
      <c r="G83" s="1" t="s">
        <v>200</v>
      </c>
      <c r="H83" s="1" t="s">
        <v>1314</v>
      </c>
      <c r="J83" s="1" t="s">
        <v>211</v>
      </c>
      <c r="K83" s="1">
        <v>0</v>
      </c>
      <c r="AF83" s="1">
        <v>0</v>
      </c>
      <c r="BA83" s="13">
        <v>14.701426</v>
      </c>
      <c r="BI83" s="1">
        <v>0.85</v>
      </c>
      <c r="BJ83" s="1">
        <v>0.05</v>
      </c>
      <c r="BQ83" s="1">
        <v>20.2</v>
      </c>
      <c r="BV83" s="1">
        <v>0</v>
      </c>
      <c r="CQ83" s="1">
        <v>0</v>
      </c>
      <c r="DL83" s="18" t="s">
        <v>96</v>
      </c>
      <c r="DM83" s="1" t="s">
        <v>96</v>
      </c>
      <c r="DN83" s="1">
        <f t="shared" si="43"/>
        <v>0.85</v>
      </c>
      <c r="DO83" s="1">
        <f t="shared" si="44"/>
        <v>0.05</v>
      </c>
      <c r="DP83" s="1" t="s">
        <v>311</v>
      </c>
      <c r="DQ83" s="1" t="s">
        <v>2</v>
      </c>
      <c r="DR83" s="100">
        <f t="shared" si="45"/>
        <v>14.701426</v>
      </c>
      <c r="DS83" s="16">
        <f t="shared" si="46"/>
        <v>0.85</v>
      </c>
      <c r="DT83" s="101">
        <f t="shared" si="47"/>
        <v>124.96212099999998</v>
      </c>
      <c r="DV83" s="16">
        <f t="shared" si="48"/>
        <v>0</v>
      </c>
      <c r="DZ83" s="37" t="s">
        <v>2</v>
      </c>
      <c r="EA83" s="37"/>
      <c r="EM83" s="73"/>
      <c r="EN83" s="37"/>
      <c r="EO83" s="37"/>
      <c r="EP83" s="37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55"/>
      <c r="FG83" s="55"/>
      <c r="FH83" s="55"/>
      <c r="FI83" s="37"/>
      <c r="FJ83" s="55"/>
      <c r="FK83" s="55"/>
      <c r="FL83" s="45"/>
      <c r="FM83" s="37"/>
      <c r="FN83" s="37"/>
      <c r="FO83" s="37"/>
      <c r="FP83" s="55"/>
      <c r="FQ83" s="1" t="s">
        <v>2</v>
      </c>
      <c r="FR83" s="1" t="s">
        <v>31</v>
      </c>
      <c r="FS83" s="1" t="s">
        <v>280</v>
      </c>
      <c r="FT83" s="1" t="s">
        <v>280</v>
      </c>
      <c r="FV83" s="1" t="s">
        <v>2</v>
      </c>
    </row>
    <row r="84" spans="1:178" ht="16.25" customHeight="1" x14ac:dyDescent="0.2">
      <c r="A84" s="18" t="s">
        <v>190</v>
      </c>
      <c r="B84" s="1" t="s">
        <v>63</v>
      </c>
      <c r="C84" s="21" t="s">
        <v>299</v>
      </c>
      <c r="D84" s="1" t="s">
        <v>69</v>
      </c>
      <c r="G84" s="1" t="s">
        <v>72</v>
      </c>
      <c r="H84" s="1" t="s">
        <v>89</v>
      </c>
      <c r="J84" s="1" t="s">
        <v>211</v>
      </c>
      <c r="K84" s="1">
        <v>0</v>
      </c>
      <c r="AF84" s="1">
        <v>0</v>
      </c>
      <c r="BA84" s="13">
        <v>6.63903</v>
      </c>
      <c r="BI84" s="1">
        <v>0.82</v>
      </c>
      <c r="BJ84" s="1">
        <v>0.04</v>
      </c>
      <c r="BQ84" s="1">
        <v>19.7</v>
      </c>
      <c r="BV84" s="1">
        <v>0</v>
      </c>
      <c r="CQ84" s="1">
        <v>0</v>
      </c>
      <c r="DL84" s="18" t="s">
        <v>96</v>
      </c>
      <c r="DM84" s="1" t="s">
        <v>96</v>
      </c>
      <c r="DN84" s="1">
        <f t="shared" si="43"/>
        <v>0.82</v>
      </c>
      <c r="DO84" s="1">
        <f t="shared" si="44"/>
        <v>0.04</v>
      </c>
      <c r="DP84" s="1" t="s">
        <v>311</v>
      </c>
      <c r="DQ84" s="1" t="s">
        <v>2</v>
      </c>
      <c r="DR84" s="103">
        <f t="shared" si="45"/>
        <v>6.63903</v>
      </c>
      <c r="DS84" s="16">
        <f t="shared" si="46"/>
        <v>0.82</v>
      </c>
      <c r="DT84" s="101">
        <f t="shared" si="47"/>
        <v>54.440045999999995</v>
      </c>
      <c r="DV84" s="16">
        <f t="shared" si="48"/>
        <v>0</v>
      </c>
      <c r="DZ84" s="37" t="s">
        <v>2</v>
      </c>
      <c r="EA84" s="37"/>
      <c r="EM84" s="73"/>
      <c r="EN84" s="37"/>
      <c r="EO84" s="37"/>
      <c r="EP84" s="37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55"/>
      <c r="FG84" s="55"/>
      <c r="FH84" s="55"/>
      <c r="FI84" s="37"/>
      <c r="FJ84" s="55"/>
      <c r="FK84" s="55"/>
      <c r="FL84" s="45"/>
      <c r="FM84" s="37"/>
      <c r="FN84" s="37"/>
      <c r="FO84" s="37"/>
      <c r="FP84" s="55"/>
      <c r="FQ84" s="1" t="s">
        <v>2</v>
      </c>
      <c r="FR84" s="1" t="s">
        <v>31</v>
      </c>
      <c r="FS84" s="1" t="s">
        <v>280</v>
      </c>
      <c r="FT84" s="1" t="s">
        <v>280</v>
      </c>
      <c r="FV84" s="1" t="s">
        <v>2</v>
      </c>
    </row>
    <row r="85" spans="1:178" ht="16.25" customHeight="1" x14ac:dyDescent="0.2">
      <c r="A85" s="18" t="s">
        <v>190</v>
      </c>
      <c r="B85" s="1" t="s">
        <v>63</v>
      </c>
      <c r="C85" s="80" t="s">
        <v>225</v>
      </c>
      <c r="D85" s="1" t="s">
        <v>71</v>
      </c>
      <c r="G85" s="1" t="s">
        <v>65</v>
      </c>
      <c r="H85" s="1" t="s">
        <v>66</v>
      </c>
      <c r="J85" s="1" t="s">
        <v>211</v>
      </c>
      <c r="K85" s="1">
        <v>0</v>
      </c>
      <c r="AF85" s="1">
        <v>0</v>
      </c>
      <c r="BA85" s="1">
        <v>3.9169999999999998</v>
      </c>
      <c r="BI85" s="1">
        <v>1.04</v>
      </c>
      <c r="BJ85" s="1">
        <v>0.04</v>
      </c>
      <c r="BV85" s="1">
        <v>0</v>
      </c>
      <c r="CQ85" s="1">
        <v>0</v>
      </c>
      <c r="DL85" s="18" t="s">
        <v>96</v>
      </c>
      <c r="DM85" s="1" t="s">
        <v>96</v>
      </c>
      <c r="DN85" s="1">
        <f t="shared" si="43"/>
        <v>1.04</v>
      </c>
      <c r="DO85" s="1">
        <f t="shared" si="44"/>
        <v>0.04</v>
      </c>
      <c r="DP85" s="1" t="s">
        <v>148</v>
      </c>
      <c r="DQ85" s="1" t="s">
        <v>2</v>
      </c>
      <c r="DR85" s="16">
        <f t="shared" si="45"/>
        <v>3.9169999999999998</v>
      </c>
      <c r="DS85" s="16">
        <f t="shared" si="46"/>
        <v>1.04</v>
      </c>
      <c r="DT85" s="101">
        <f t="shared" si="47"/>
        <v>40.736800000000002</v>
      </c>
      <c r="DV85" s="16">
        <f t="shared" si="48"/>
        <v>0</v>
      </c>
      <c r="DZ85" s="37" t="s">
        <v>2</v>
      </c>
      <c r="EA85" s="37"/>
      <c r="EM85" s="73"/>
      <c r="EN85" s="37"/>
      <c r="EO85" s="37"/>
      <c r="EP85" s="37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55"/>
      <c r="FG85" s="55"/>
      <c r="FH85" s="55"/>
      <c r="FI85" s="37"/>
      <c r="FJ85" s="55"/>
      <c r="FK85" s="55"/>
      <c r="FL85" s="45"/>
      <c r="FM85" s="37"/>
      <c r="FN85" s="37"/>
      <c r="FO85" s="37"/>
      <c r="FP85" s="55"/>
      <c r="FQ85" s="1" t="s">
        <v>2</v>
      </c>
      <c r="FR85" s="1" t="s">
        <v>31</v>
      </c>
      <c r="FS85" s="1" t="s">
        <v>280</v>
      </c>
      <c r="FT85" s="1" t="s">
        <v>280</v>
      </c>
      <c r="FV85" s="1" t="s">
        <v>2</v>
      </c>
    </row>
    <row r="86" spans="1:178" ht="16.25" customHeight="1" x14ac:dyDescent="0.2">
      <c r="A86" s="18" t="s">
        <v>190</v>
      </c>
      <c r="B86" s="1" t="s">
        <v>63</v>
      </c>
      <c r="C86" s="21" t="s">
        <v>418</v>
      </c>
      <c r="D86" s="1" t="s">
        <v>69</v>
      </c>
      <c r="G86" s="1" t="s">
        <v>72</v>
      </c>
      <c r="H86" s="1" t="s">
        <v>274</v>
      </c>
      <c r="J86" s="1" t="s">
        <v>211</v>
      </c>
      <c r="K86" s="1">
        <v>0</v>
      </c>
      <c r="AF86" s="13">
        <v>2.1958500000000001</v>
      </c>
      <c r="AN86" s="1">
        <v>1.01</v>
      </c>
      <c r="AO86" s="1">
        <v>0.06</v>
      </c>
      <c r="BA86" s="1">
        <v>0</v>
      </c>
      <c r="BV86" s="1">
        <v>0</v>
      </c>
      <c r="CQ86" s="1">
        <v>0</v>
      </c>
      <c r="DL86" s="18" t="s">
        <v>96</v>
      </c>
      <c r="DM86" s="1" t="s">
        <v>96</v>
      </c>
      <c r="DN86" s="1">
        <f t="shared" si="43"/>
        <v>1.01</v>
      </c>
      <c r="DO86" s="1">
        <f t="shared" si="44"/>
        <v>0.06</v>
      </c>
      <c r="DP86" s="1" t="s">
        <v>148</v>
      </c>
      <c r="DQ86" s="1" t="s">
        <v>2</v>
      </c>
      <c r="DR86" s="103">
        <f t="shared" si="45"/>
        <v>2.1958500000000001</v>
      </c>
      <c r="DS86" s="16">
        <f t="shared" si="46"/>
        <v>1.01</v>
      </c>
      <c r="DT86" s="101">
        <f t="shared" si="47"/>
        <v>22.178084999999999</v>
      </c>
      <c r="DV86" s="16">
        <f t="shared" si="48"/>
        <v>0</v>
      </c>
      <c r="DZ86" s="37" t="s">
        <v>2</v>
      </c>
      <c r="EA86" s="37"/>
      <c r="EM86" s="73"/>
      <c r="EN86" s="37"/>
      <c r="EO86" s="37"/>
      <c r="EP86" s="37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55"/>
      <c r="FG86" s="55"/>
      <c r="FH86" s="55"/>
      <c r="FI86" s="37"/>
      <c r="FJ86" s="55"/>
      <c r="FK86" s="55"/>
      <c r="FL86" s="45"/>
      <c r="FM86" s="37"/>
      <c r="FN86" s="37"/>
      <c r="FO86" s="37"/>
      <c r="FP86" s="55"/>
      <c r="FQ86" s="1" t="s">
        <v>2</v>
      </c>
      <c r="FR86" s="1" t="s">
        <v>31</v>
      </c>
      <c r="FS86" s="1" t="s">
        <v>233</v>
      </c>
      <c r="FT86" s="1" t="s">
        <v>280</v>
      </c>
      <c r="FV86" s="1" t="s">
        <v>2</v>
      </c>
    </row>
    <row r="87" spans="1:178" ht="16.25" customHeight="1" x14ac:dyDescent="0.2">
      <c r="A87" s="18" t="s">
        <v>190</v>
      </c>
      <c r="B87" s="1" t="s">
        <v>63</v>
      </c>
      <c r="C87" s="21" t="s">
        <v>322</v>
      </c>
      <c r="D87" s="1" t="s">
        <v>69</v>
      </c>
      <c r="G87" s="1" t="s">
        <v>72</v>
      </c>
      <c r="H87" s="1" t="s">
        <v>196</v>
      </c>
      <c r="J87" s="1" t="s">
        <v>211</v>
      </c>
      <c r="K87" s="1">
        <v>0</v>
      </c>
      <c r="AF87" s="1">
        <v>0</v>
      </c>
      <c r="BA87" s="1">
        <v>2.5299999999999998</v>
      </c>
      <c r="BI87" s="1">
        <v>0.7</v>
      </c>
      <c r="BJ87" s="1">
        <v>0.05</v>
      </c>
      <c r="BV87" s="1">
        <v>0</v>
      </c>
      <c r="CQ87" s="1">
        <v>0</v>
      </c>
      <c r="DL87" s="18" t="s">
        <v>96</v>
      </c>
      <c r="DM87" s="1" t="s">
        <v>96</v>
      </c>
      <c r="DN87" s="1">
        <f t="shared" si="43"/>
        <v>0.7</v>
      </c>
      <c r="DO87" s="1">
        <f t="shared" si="44"/>
        <v>0.05</v>
      </c>
      <c r="DP87" s="1" t="s">
        <v>148</v>
      </c>
      <c r="DQ87" s="1" t="s">
        <v>2</v>
      </c>
      <c r="DR87" s="16">
        <f t="shared" si="45"/>
        <v>2.5299999999999998</v>
      </c>
      <c r="DS87" s="16">
        <f t="shared" si="46"/>
        <v>0.7</v>
      </c>
      <c r="DT87" s="101">
        <f t="shared" si="47"/>
        <v>17.71</v>
      </c>
      <c r="DV87" s="16">
        <f t="shared" si="48"/>
        <v>0</v>
      </c>
      <c r="DZ87" s="37" t="s">
        <v>2</v>
      </c>
      <c r="EA87" s="37"/>
      <c r="EM87" s="73"/>
      <c r="EN87" s="37"/>
      <c r="EO87" s="37"/>
      <c r="EP87" s="37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55"/>
      <c r="FG87" s="55"/>
      <c r="FH87" s="55"/>
      <c r="FI87" s="37"/>
      <c r="FJ87" s="55"/>
      <c r="FK87" s="55"/>
      <c r="FL87" s="45"/>
      <c r="FM87" s="37"/>
      <c r="FN87" s="37"/>
      <c r="FO87" s="37"/>
      <c r="FP87" s="55"/>
      <c r="FQ87" s="1" t="s">
        <v>2</v>
      </c>
      <c r="FR87" s="1" t="s">
        <v>31</v>
      </c>
      <c r="FS87" s="1" t="s">
        <v>280</v>
      </c>
      <c r="FT87" s="1" t="s">
        <v>280</v>
      </c>
      <c r="FV87" s="1" t="s">
        <v>2</v>
      </c>
    </row>
    <row r="88" spans="1:178" ht="16.25" customHeight="1" x14ac:dyDescent="0.2">
      <c r="A88" s="18" t="s">
        <v>190</v>
      </c>
      <c r="B88" s="1" t="s">
        <v>63</v>
      </c>
      <c r="C88" s="80" t="s">
        <v>421</v>
      </c>
      <c r="D88" s="1" t="s">
        <v>69</v>
      </c>
      <c r="G88" s="1" t="s">
        <v>65</v>
      </c>
      <c r="H88" s="1" t="s">
        <v>420</v>
      </c>
      <c r="J88" s="1" t="s">
        <v>211</v>
      </c>
      <c r="K88" s="1">
        <v>0</v>
      </c>
      <c r="AF88" s="1">
        <v>0</v>
      </c>
      <c r="BA88" s="1">
        <v>2.8</v>
      </c>
      <c r="BI88" s="1">
        <v>1.1100000000000001</v>
      </c>
      <c r="BJ88" s="1">
        <v>4.8000000000000001E-2</v>
      </c>
      <c r="BV88" s="1">
        <v>0</v>
      </c>
      <c r="CQ88" s="1">
        <v>0</v>
      </c>
      <c r="DL88" s="18" t="s">
        <v>96</v>
      </c>
      <c r="DM88" s="1" t="s">
        <v>96</v>
      </c>
      <c r="DN88" s="1">
        <f t="shared" si="43"/>
        <v>1.1100000000000001</v>
      </c>
      <c r="DO88" s="1">
        <f t="shared" si="44"/>
        <v>4.8000000000000001E-2</v>
      </c>
      <c r="DP88" s="1" t="s">
        <v>148</v>
      </c>
      <c r="DQ88" s="1" t="s">
        <v>2</v>
      </c>
      <c r="DR88" s="16">
        <f t="shared" si="45"/>
        <v>2.8</v>
      </c>
      <c r="DS88" s="16">
        <f t="shared" si="46"/>
        <v>1.1100000000000001</v>
      </c>
      <c r="DT88" s="101">
        <f t="shared" si="47"/>
        <v>31.080000000000005</v>
      </c>
      <c r="DV88" s="16">
        <f t="shared" si="48"/>
        <v>0</v>
      </c>
      <c r="DZ88" s="37" t="s">
        <v>2</v>
      </c>
      <c r="EA88" s="37"/>
      <c r="EM88" s="73"/>
      <c r="EN88" s="37"/>
      <c r="EO88" s="37"/>
      <c r="EP88" s="37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55"/>
      <c r="FG88" s="55"/>
      <c r="FH88" s="55"/>
      <c r="FI88" s="37"/>
      <c r="FJ88" s="55"/>
      <c r="FK88" s="55"/>
      <c r="FL88" s="45"/>
      <c r="FM88" s="37"/>
      <c r="FN88" s="37"/>
      <c r="FO88" s="37"/>
      <c r="FP88" s="55"/>
      <c r="FQ88" s="1" t="s">
        <v>2</v>
      </c>
      <c r="FR88" s="1" t="s">
        <v>31</v>
      </c>
      <c r="FS88" s="1" t="s">
        <v>280</v>
      </c>
      <c r="FT88" s="1" t="s">
        <v>280</v>
      </c>
      <c r="FV88" s="1" t="s">
        <v>2</v>
      </c>
    </row>
    <row r="89" spans="1:178" ht="16.25" customHeight="1" x14ac:dyDescent="0.2">
      <c r="A89" s="18" t="s">
        <v>190</v>
      </c>
      <c r="B89" s="1" t="s">
        <v>63</v>
      </c>
      <c r="C89" s="80" t="s">
        <v>403</v>
      </c>
      <c r="D89" s="1" t="s">
        <v>69</v>
      </c>
      <c r="G89" s="1" t="s">
        <v>65</v>
      </c>
      <c r="H89" s="1" t="s">
        <v>404</v>
      </c>
      <c r="J89" s="1" t="s">
        <v>211</v>
      </c>
      <c r="K89" s="1">
        <v>0</v>
      </c>
      <c r="AF89" s="1">
        <v>2.2000000000000002</v>
      </c>
      <c r="AN89" s="1">
        <v>0.97</v>
      </c>
      <c r="AO89" s="1">
        <v>0.04</v>
      </c>
      <c r="AV89" s="1">
        <v>19</v>
      </c>
      <c r="BA89" s="1">
        <v>18.8</v>
      </c>
      <c r="BI89" s="1">
        <v>0.84</v>
      </c>
      <c r="BJ89" s="1">
        <v>0.06</v>
      </c>
      <c r="BQ89" s="1">
        <v>23</v>
      </c>
      <c r="BV89" s="1">
        <v>0</v>
      </c>
      <c r="CQ89" s="1">
        <v>0</v>
      </c>
      <c r="DL89" s="18" t="s">
        <v>96</v>
      </c>
      <c r="DM89" s="1" t="s">
        <v>96</v>
      </c>
      <c r="DN89" s="1">
        <f t="shared" si="43"/>
        <v>0.8536190476190475</v>
      </c>
      <c r="DO89" s="1">
        <f t="shared" si="44"/>
        <v>5.7904761904761903E-2</v>
      </c>
      <c r="DP89" s="1" t="s">
        <v>67</v>
      </c>
      <c r="DQ89" s="1" t="s">
        <v>2</v>
      </c>
      <c r="DR89" s="16">
        <f t="shared" si="45"/>
        <v>21</v>
      </c>
      <c r="DS89" s="100">
        <f t="shared" si="46"/>
        <v>0.8536190476190475</v>
      </c>
      <c r="DT89" s="101">
        <f t="shared" si="47"/>
        <v>179.25999999999996</v>
      </c>
      <c r="DV89" s="16">
        <f t="shared" si="48"/>
        <v>0</v>
      </c>
      <c r="DZ89" s="37" t="s">
        <v>2</v>
      </c>
      <c r="EA89" s="37"/>
      <c r="EM89" s="73"/>
      <c r="EN89" s="37"/>
      <c r="EO89" s="37"/>
      <c r="EP89" s="37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55"/>
      <c r="FG89" s="55"/>
      <c r="FH89" s="55"/>
      <c r="FI89" s="37"/>
      <c r="FJ89" s="55"/>
      <c r="FK89" s="55"/>
      <c r="FL89" s="45"/>
      <c r="FM89" s="37"/>
      <c r="FN89" s="37"/>
      <c r="FO89" s="37"/>
      <c r="FP89" s="55"/>
      <c r="FQ89" s="1" t="s">
        <v>2</v>
      </c>
      <c r="FR89" s="1" t="s">
        <v>31</v>
      </c>
      <c r="FS89" s="1" t="s">
        <v>280</v>
      </c>
      <c r="FT89" s="1" t="s">
        <v>280</v>
      </c>
      <c r="FV89" s="1" t="s">
        <v>2</v>
      </c>
    </row>
    <row r="90" spans="1:178" ht="16.25" customHeight="1" x14ac:dyDescent="0.2">
      <c r="A90" s="18" t="s">
        <v>190</v>
      </c>
      <c r="B90" s="1" t="s">
        <v>63</v>
      </c>
      <c r="C90" s="80" t="s">
        <v>411</v>
      </c>
      <c r="D90" s="1" t="s">
        <v>69</v>
      </c>
      <c r="G90" s="1" t="s">
        <v>65</v>
      </c>
      <c r="H90" s="1" t="s">
        <v>412</v>
      </c>
      <c r="J90" s="1" t="s">
        <v>211</v>
      </c>
      <c r="K90" s="1">
        <v>0</v>
      </c>
      <c r="AF90" s="1">
        <v>0</v>
      </c>
      <c r="BA90" s="1">
        <v>4.3099999999999996</v>
      </c>
      <c r="BI90" s="1">
        <v>1.02</v>
      </c>
      <c r="BJ90" s="1">
        <v>6.3E-2</v>
      </c>
      <c r="BV90" s="1">
        <v>0</v>
      </c>
      <c r="CQ90" s="1">
        <v>0</v>
      </c>
      <c r="DL90" s="18" t="s">
        <v>96</v>
      </c>
      <c r="DM90" s="1" t="s">
        <v>96</v>
      </c>
      <c r="DN90" s="1">
        <f t="shared" si="43"/>
        <v>1.02</v>
      </c>
      <c r="DO90" s="1">
        <f t="shared" si="44"/>
        <v>6.3E-2</v>
      </c>
      <c r="DP90" s="1" t="s">
        <v>148</v>
      </c>
      <c r="DQ90" s="1" t="s">
        <v>2</v>
      </c>
      <c r="DR90" s="16">
        <f t="shared" si="45"/>
        <v>4.3099999999999996</v>
      </c>
      <c r="DS90" s="16">
        <f t="shared" si="46"/>
        <v>1.02</v>
      </c>
      <c r="DT90" s="101">
        <f t="shared" si="47"/>
        <v>43.961999999999996</v>
      </c>
      <c r="DV90" s="16">
        <f t="shared" si="48"/>
        <v>0</v>
      </c>
      <c r="DZ90" s="37" t="s">
        <v>2</v>
      </c>
      <c r="EA90" s="37"/>
      <c r="EM90" s="73"/>
      <c r="EN90" s="37"/>
      <c r="EO90" s="37"/>
      <c r="EP90" s="37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55"/>
      <c r="FG90" s="55"/>
      <c r="FH90" s="55"/>
      <c r="FI90" s="37"/>
      <c r="FJ90" s="55"/>
      <c r="FK90" s="55"/>
      <c r="FL90" s="45"/>
      <c r="FM90" s="37"/>
      <c r="FN90" s="37"/>
      <c r="FO90" s="37"/>
      <c r="FP90" s="55"/>
      <c r="FQ90" s="1" t="s">
        <v>2</v>
      </c>
      <c r="FR90" s="1" t="s">
        <v>31</v>
      </c>
      <c r="FS90" s="1" t="s">
        <v>280</v>
      </c>
      <c r="FT90" s="1" t="s">
        <v>280</v>
      </c>
      <c r="FV90" s="1" t="s">
        <v>2</v>
      </c>
    </row>
    <row r="91" spans="1:178" ht="16.25" customHeight="1" x14ac:dyDescent="0.2">
      <c r="A91" s="18" t="s">
        <v>190</v>
      </c>
      <c r="B91" s="1" t="s">
        <v>63</v>
      </c>
      <c r="C91" s="21" t="s">
        <v>273</v>
      </c>
      <c r="D91" s="1" t="s">
        <v>69</v>
      </c>
      <c r="G91" s="1" t="s">
        <v>72</v>
      </c>
      <c r="H91" s="1" t="s">
        <v>274</v>
      </c>
      <c r="J91" s="1" t="s">
        <v>257</v>
      </c>
      <c r="K91" s="1">
        <v>0</v>
      </c>
      <c r="AF91" s="1">
        <v>0</v>
      </c>
      <c r="BA91" s="1">
        <v>63.5</v>
      </c>
      <c r="BI91" s="1">
        <v>0.38</v>
      </c>
      <c r="BP91" s="1">
        <v>5.22</v>
      </c>
      <c r="BQ91" s="1">
        <v>38.08</v>
      </c>
      <c r="BV91" s="1">
        <v>0</v>
      </c>
      <c r="CQ91" s="1">
        <v>0</v>
      </c>
      <c r="DL91" s="18" t="s">
        <v>96</v>
      </c>
      <c r="DN91" s="1">
        <f t="shared" si="43"/>
        <v>0.38</v>
      </c>
      <c r="DO91" s="1">
        <f t="shared" si="44"/>
        <v>0</v>
      </c>
      <c r="DP91" s="1" t="s">
        <v>148</v>
      </c>
      <c r="DQ91" s="1" t="s">
        <v>2</v>
      </c>
      <c r="DR91" s="16">
        <f t="shared" si="45"/>
        <v>63.5</v>
      </c>
      <c r="DS91" s="16">
        <f t="shared" si="46"/>
        <v>0.38</v>
      </c>
      <c r="DT91" s="101">
        <f t="shared" si="47"/>
        <v>241.3</v>
      </c>
      <c r="DV91" s="16">
        <f t="shared" si="48"/>
        <v>0</v>
      </c>
      <c r="DZ91" s="37" t="s">
        <v>2</v>
      </c>
      <c r="EA91" s="37"/>
      <c r="EM91" s="73"/>
      <c r="EN91" s="37"/>
      <c r="EO91" s="37"/>
      <c r="EP91" s="37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55"/>
      <c r="FG91" s="55"/>
      <c r="FH91" s="55"/>
      <c r="FI91" s="37"/>
      <c r="FJ91" s="55"/>
      <c r="FK91" s="55"/>
      <c r="FL91" s="45"/>
      <c r="FM91" s="37"/>
      <c r="FN91" s="37"/>
      <c r="FO91" s="37"/>
      <c r="FP91" s="55"/>
      <c r="FQ91" s="1" t="s">
        <v>2</v>
      </c>
      <c r="FR91" s="1" t="s">
        <v>31</v>
      </c>
      <c r="FS91" s="1" t="s">
        <v>205</v>
      </c>
      <c r="FT91" s="1" t="s">
        <v>205</v>
      </c>
      <c r="FV91" s="1" t="s">
        <v>2</v>
      </c>
    </row>
    <row r="92" spans="1:178" ht="16.25" customHeight="1" x14ac:dyDescent="0.2">
      <c r="A92" s="18" t="s">
        <v>190</v>
      </c>
      <c r="B92" s="1" t="s">
        <v>63</v>
      </c>
      <c r="C92" s="80" t="s">
        <v>390</v>
      </c>
      <c r="D92" s="1" t="s">
        <v>71</v>
      </c>
      <c r="G92" s="1" t="s">
        <v>65</v>
      </c>
      <c r="H92" s="1" t="s">
        <v>356</v>
      </c>
      <c r="J92" s="1" t="s">
        <v>70</v>
      </c>
      <c r="K92" s="1">
        <v>0</v>
      </c>
      <c r="AF92" s="1">
        <v>0</v>
      </c>
      <c r="BA92" s="1">
        <v>330</v>
      </c>
      <c r="BI92" s="1">
        <v>0.75</v>
      </c>
      <c r="BJ92" s="1">
        <v>0.06</v>
      </c>
      <c r="BV92" s="1">
        <v>0</v>
      </c>
      <c r="CQ92" s="1">
        <v>0</v>
      </c>
      <c r="DL92" s="18" t="s">
        <v>96</v>
      </c>
      <c r="DN92" s="1">
        <f t="shared" si="43"/>
        <v>0.75</v>
      </c>
      <c r="DO92" s="1">
        <f t="shared" si="44"/>
        <v>6.0000000000000005E-2</v>
      </c>
      <c r="DP92" s="1" t="s">
        <v>148</v>
      </c>
      <c r="DQ92" s="1" t="s">
        <v>2</v>
      </c>
      <c r="DR92" s="16">
        <f t="shared" si="45"/>
        <v>330</v>
      </c>
      <c r="DS92" s="16">
        <f t="shared" si="46"/>
        <v>0.75</v>
      </c>
      <c r="DT92" s="102">
        <f t="shared" si="47"/>
        <v>2475</v>
      </c>
      <c r="DV92" s="16">
        <f t="shared" si="48"/>
        <v>0</v>
      </c>
      <c r="DZ92" s="37" t="s">
        <v>2</v>
      </c>
      <c r="EA92" s="37"/>
      <c r="EM92" s="73"/>
      <c r="EN92" s="37"/>
      <c r="EO92" s="37"/>
      <c r="EP92" s="37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55"/>
      <c r="FG92" s="55"/>
      <c r="FH92" s="55"/>
      <c r="FI92" s="37"/>
      <c r="FJ92" s="55"/>
      <c r="FK92" s="55"/>
      <c r="FL92" s="45"/>
      <c r="FM92" s="37"/>
      <c r="FN92" s="37"/>
      <c r="FO92" s="37"/>
      <c r="FP92" s="55"/>
      <c r="FQ92" s="1" t="s">
        <v>2</v>
      </c>
      <c r="FR92" s="1" t="s">
        <v>31</v>
      </c>
      <c r="FS92" s="1" t="s">
        <v>205</v>
      </c>
      <c r="FT92" s="1" t="s">
        <v>205</v>
      </c>
      <c r="FV92" s="1" t="s">
        <v>2</v>
      </c>
    </row>
    <row r="93" spans="1:178" ht="16.25" customHeight="1" x14ac:dyDescent="0.2">
      <c r="A93" s="18" t="s">
        <v>190</v>
      </c>
      <c r="B93" s="1" t="s">
        <v>63</v>
      </c>
      <c r="C93" s="80" t="s">
        <v>355</v>
      </c>
      <c r="D93" s="1" t="s">
        <v>71</v>
      </c>
      <c r="G93" s="1" t="s">
        <v>65</v>
      </c>
      <c r="H93" s="1" t="s">
        <v>356</v>
      </c>
      <c r="J93" s="1" t="s">
        <v>204</v>
      </c>
      <c r="K93" s="1">
        <v>68.8</v>
      </c>
      <c r="S93" s="1">
        <v>0.63</v>
      </c>
      <c r="T93" s="13">
        <v>0.1</v>
      </c>
      <c r="AC93" s="1">
        <v>62</v>
      </c>
      <c r="AF93" s="1">
        <v>93.9</v>
      </c>
      <c r="AN93" s="1">
        <v>0.47</v>
      </c>
      <c r="AO93" s="1">
        <v>0.08</v>
      </c>
      <c r="AX93" s="1">
        <v>86</v>
      </c>
      <c r="BA93" s="1">
        <v>20.6</v>
      </c>
      <c r="BI93" s="1">
        <v>0.23</v>
      </c>
      <c r="BJ93" s="1">
        <v>0.09</v>
      </c>
      <c r="BS93" s="1">
        <v>283</v>
      </c>
      <c r="BV93" s="1">
        <v>65.5</v>
      </c>
      <c r="CD93" s="1">
        <v>0.65</v>
      </c>
      <c r="CE93" s="13">
        <v>0.1</v>
      </c>
      <c r="CN93" s="1">
        <v>48</v>
      </c>
      <c r="CQ93" s="1">
        <v>81.900000000000006</v>
      </c>
      <c r="CY93" s="1">
        <v>0.49</v>
      </c>
      <c r="CZ93" s="1">
        <v>0.08</v>
      </c>
      <c r="DI93" s="1">
        <v>57</v>
      </c>
      <c r="DL93" s="18" t="s">
        <v>96</v>
      </c>
      <c r="DM93" s="1" t="s">
        <v>96</v>
      </c>
      <c r="DN93" s="1">
        <f t="shared" si="43"/>
        <v>0.50308237861429361</v>
      </c>
      <c r="DO93" s="1">
        <f t="shared" si="44"/>
        <v>8.8630660120021826E-2</v>
      </c>
      <c r="DP93" s="1" t="s">
        <v>296</v>
      </c>
      <c r="DQ93" s="1" t="s">
        <v>2</v>
      </c>
      <c r="DR93" s="16">
        <f t="shared" si="45"/>
        <v>183.29999999999998</v>
      </c>
      <c r="DS93" s="100">
        <f t="shared" si="46"/>
        <v>0.50308237861429361</v>
      </c>
      <c r="DT93" s="101">
        <f t="shared" si="47"/>
        <v>922.15</v>
      </c>
      <c r="DV93" s="16">
        <f t="shared" si="48"/>
        <v>147.4</v>
      </c>
      <c r="DW93" s="100">
        <f>(BV93*CD93+CQ93*CY93)/DV93</f>
        <v>0.56109905020352779</v>
      </c>
      <c r="DX93" s="101">
        <f>1000*DV93*DW93/100</f>
        <v>827.06</v>
      </c>
      <c r="DZ93" s="37" t="s">
        <v>2</v>
      </c>
      <c r="EA93" s="37"/>
      <c r="EM93" s="73"/>
      <c r="EN93" s="37"/>
      <c r="EO93" s="37"/>
      <c r="EP93" s="37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55"/>
      <c r="FG93" s="55"/>
      <c r="FH93" s="55"/>
      <c r="FI93" s="37"/>
      <c r="FJ93" s="55"/>
      <c r="FK93" s="55"/>
      <c r="FL93" s="45"/>
      <c r="FM93" s="37"/>
      <c r="FN93" s="37"/>
      <c r="FO93" s="37"/>
      <c r="FP93" s="55"/>
      <c r="FQ93" s="1" t="s">
        <v>2</v>
      </c>
      <c r="FR93" s="1" t="s">
        <v>31</v>
      </c>
      <c r="FS93" s="1" t="s">
        <v>205</v>
      </c>
      <c r="FT93" s="1" t="s">
        <v>205</v>
      </c>
      <c r="FV93" s="1" t="s">
        <v>2</v>
      </c>
    </row>
    <row r="94" spans="1:178" ht="16.25" customHeight="1" x14ac:dyDescent="0.2">
      <c r="A94" s="18" t="s">
        <v>190</v>
      </c>
      <c r="B94" s="1" t="s">
        <v>63</v>
      </c>
      <c r="C94" s="80" t="s">
        <v>659</v>
      </c>
      <c r="D94" s="1" t="s">
        <v>69</v>
      </c>
      <c r="H94" s="1" t="s">
        <v>660</v>
      </c>
      <c r="J94" s="1" t="s">
        <v>204</v>
      </c>
      <c r="K94" s="1">
        <v>5.4</v>
      </c>
      <c r="S94" s="1">
        <v>0.77</v>
      </c>
      <c r="T94" s="1">
        <v>6.2E-2</v>
      </c>
      <c r="AA94" s="14">
        <v>25</v>
      </c>
      <c r="AC94" s="1">
        <v>39</v>
      </c>
      <c r="AF94" s="1">
        <f>9.9+0.6</f>
        <v>10.5</v>
      </c>
      <c r="AN94" s="13">
        <f>(0.71*9.9+0.75*0.6)/AF94</f>
        <v>0.7122857142857143</v>
      </c>
      <c r="AO94" s="2">
        <f>(0.051*9.9+0.054*0.6)/AF94</f>
        <v>5.1171428571428569E-2</v>
      </c>
      <c r="AR94" s="17"/>
      <c r="AS94" s="17"/>
      <c r="AT94" s="17"/>
      <c r="AV94" s="14">
        <f>(22.2*9.9+12.1*0.6)/AF94</f>
        <v>21.622857142857143</v>
      </c>
      <c r="AX94" s="17">
        <f>(37*9.9+18*0.6)/AF94</f>
        <v>35.914285714285718</v>
      </c>
      <c r="BA94" s="1">
        <f>1+10.5</f>
        <v>11.5</v>
      </c>
      <c r="BI94" s="13">
        <f>(0.72*1+0.4*10.5)/BA94</f>
        <v>0.42782608695652175</v>
      </c>
      <c r="BJ94" s="2">
        <f>(0.052*1+0.033*10.5)/BA94</f>
        <v>3.4652173913043482E-2</v>
      </c>
      <c r="BM94" s="17"/>
      <c r="BN94" s="17"/>
      <c r="BO94" s="17"/>
      <c r="BQ94" s="14">
        <f>(22.2*1+31.8*10.5)/BA94</f>
        <v>30.96521739130435</v>
      </c>
      <c r="BS94" s="17">
        <f>(36*1+45*10.5)/BA94</f>
        <v>44.217391304347828</v>
      </c>
      <c r="BV94" s="1">
        <v>0</v>
      </c>
      <c r="CQ94" s="1">
        <v>0</v>
      </c>
      <c r="DL94" s="18" t="s">
        <v>96</v>
      </c>
      <c r="DM94" s="1" t="s">
        <v>96</v>
      </c>
      <c r="DN94" s="1">
        <f t="shared" si="43"/>
        <v>0.60427007299270086</v>
      </c>
      <c r="DO94" s="1">
        <f t="shared" si="44"/>
        <v>4.6372262773722639E-2</v>
      </c>
      <c r="DP94" s="1" t="s">
        <v>317</v>
      </c>
      <c r="DQ94" s="1" t="s">
        <v>2</v>
      </c>
      <c r="DR94" s="16">
        <f t="shared" si="45"/>
        <v>27.4</v>
      </c>
      <c r="DS94" s="100">
        <f t="shared" si="46"/>
        <v>0.60427007299270086</v>
      </c>
      <c r="DT94" s="101">
        <f t="shared" si="47"/>
        <v>165.57000000000005</v>
      </c>
      <c r="DV94" s="16">
        <f t="shared" si="48"/>
        <v>0</v>
      </c>
      <c r="DZ94" s="37" t="s">
        <v>2</v>
      </c>
      <c r="EA94" s="37"/>
      <c r="EM94" s="73"/>
      <c r="EN94" s="37"/>
      <c r="EO94" s="37"/>
      <c r="EP94" s="37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55"/>
      <c r="FG94" s="55"/>
      <c r="FH94" s="55"/>
      <c r="FI94" s="37"/>
      <c r="FJ94" s="55"/>
      <c r="FK94" s="55"/>
      <c r="FL94" s="45"/>
      <c r="FM94" s="37"/>
      <c r="FN94" s="37"/>
      <c r="FO94" s="37"/>
      <c r="FP94" s="55"/>
      <c r="FQ94" s="1" t="s">
        <v>2</v>
      </c>
      <c r="FR94" s="1" t="s">
        <v>31</v>
      </c>
      <c r="FS94" s="1" t="s">
        <v>205</v>
      </c>
      <c r="FT94" s="1" t="s">
        <v>205</v>
      </c>
      <c r="FV94" s="1" t="s">
        <v>2</v>
      </c>
    </row>
    <row r="95" spans="1:178" ht="16.25" customHeight="1" x14ac:dyDescent="0.2">
      <c r="A95" s="18" t="s">
        <v>177</v>
      </c>
      <c r="B95" s="1" t="s">
        <v>63</v>
      </c>
      <c r="C95" s="15" t="s">
        <v>1078</v>
      </c>
      <c r="D95" s="1" t="s">
        <v>69</v>
      </c>
      <c r="H95" s="1" t="s">
        <v>131</v>
      </c>
      <c r="J95" s="1" t="s">
        <v>70</v>
      </c>
      <c r="K95" s="14">
        <f>3.3+3.4+15+1.3</f>
        <v>23</v>
      </c>
      <c r="S95" s="13">
        <f>(1.8*3.3+0/0.72*3.4+2*15+0.84*1.3)/K95</f>
        <v>1.6100869565217391</v>
      </c>
      <c r="AF95" s="14">
        <f>2.8+76+7.8+1.4</f>
        <v>88</v>
      </c>
      <c r="AN95" s="13">
        <f>(1.2*2.8+0.52*76+1.9*7.8+1*1.4)/AF95</f>
        <v>0.67159090909090913</v>
      </c>
      <c r="BA95" s="1">
        <f>3.2+89+6.3+1.9</f>
        <v>100.4</v>
      </c>
      <c r="BI95" s="13">
        <f>(1*3.2+0.5*89+2.3*6.3+1.7*1.9)/BA95</f>
        <v>0.65159362549800792</v>
      </c>
      <c r="BV95" s="1">
        <f>1.3+1.3</f>
        <v>2.6</v>
      </c>
      <c r="CD95" s="13">
        <f>(0.96*1.3+0.84*1.3)/BV95</f>
        <v>0.89999999999999991</v>
      </c>
      <c r="CQ95" s="1">
        <f>3.3+5.3</f>
        <v>8.6</v>
      </c>
      <c r="CY95" s="13">
        <f>(0.84*3.3+1.6*5.3)/CQ95</f>
        <v>1.3083720930232559</v>
      </c>
      <c r="DL95" s="18" t="s">
        <v>96</v>
      </c>
      <c r="DN95" s="1">
        <f t="shared" si="43"/>
        <v>0.76420056764427635</v>
      </c>
      <c r="DO95" s="1">
        <f t="shared" si="44"/>
        <v>0</v>
      </c>
      <c r="DP95" s="1" t="s">
        <v>67</v>
      </c>
      <c r="DQ95" s="1" t="s">
        <v>2</v>
      </c>
      <c r="DR95" s="16">
        <f t="shared" si="45"/>
        <v>211.4</v>
      </c>
      <c r="DS95" s="100">
        <f t="shared" si="46"/>
        <v>0.76420056764427635</v>
      </c>
      <c r="DT95" s="102">
        <f t="shared" si="47"/>
        <v>1615.5200000000002</v>
      </c>
      <c r="DV95" s="16">
        <f t="shared" si="48"/>
        <v>11.2</v>
      </c>
      <c r="DW95" s="100">
        <f>(BV95*CD95+CQ95*CY95)/DV95</f>
        <v>1.2135714285714287</v>
      </c>
      <c r="DX95" s="101">
        <f>1000*DV95*DW95/100</f>
        <v>135.92000000000002</v>
      </c>
      <c r="DZ95" s="37" t="s">
        <v>2</v>
      </c>
      <c r="EA95" s="37"/>
      <c r="EM95" s="73"/>
      <c r="EN95" s="37"/>
      <c r="EO95" s="37"/>
      <c r="EP95" s="37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55"/>
      <c r="FG95" s="55"/>
      <c r="FH95" s="55"/>
      <c r="FI95" s="37"/>
      <c r="FJ95" s="55"/>
      <c r="FK95" s="55"/>
      <c r="FL95" s="45"/>
      <c r="FM95" s="37"/>
      <c r="FN95" s="37"/>
      <c r="FO95" s="37"/>
      <c r="FP95" s="55"/>
      <c r="FQ95" s="1" t="s">
        <v>2</v>
      </c>
      <c r="FR95" s="1" t="s">
        <v>113</v>
      </c>
      <c r="FS95" s="1" t="s">
        <v>223</v>
      </c>
      <c r="FV95" s="1" t="s">
        <v>2</v>
      </c>
    </row>
    <row r="96" spans="1:178" ht="16.25" customHeight="1" x14ac:dyDescent="0.2">
      <c r="A96" s="18" t="s">
        <v>177</v>
      </c>
      <c r="B96" s="1" t="s">
        <v>63</v>
      </c>
      <c r="C96" s="15" t="s">
        <v>1204</v>
      </c>
      <c r="H96" s="1" t="s">
        <v>1205</v>
      </c>
      <c r="J96" s="1" t="s">
        <v>70</v>
      </c>
      <c r="K96" s="1">
        <f>140+11</f>
        <v>151</v>
      </c>
      <c r="S96" s="13">
        <f>(0.55*140+0.48*11)/K96</f>
        <v>0.54490066225165568</v>
      </c>
      <c r="AF96" s="1">
        <v>67</v>
      </c>
      <c r="AN96" s="1">
        <v>0.52</v>
      </c>
      <c r="BA96" s="1">
        <v>24</v>
      </c>
      <c r="BI96" s="1">
        <v>0.52</v>
      </c>
      <c r="BV96" s="1">
        <f>11+7.3</f>
        <v>18.3</v>
      </c>
      <c r="CD96" s="13">
        <f>(0.61*11+0.49*7.3)/BV96</f>
        <v>0.56213114754098348</v>
      </c>
      <c r="CQ96" s="1">
        <f>0.13+3.9</f>
        <v>4.03</v>
      </c>
      <c r="CY96" s="13">
        <f>(0.5*0.13+0.45*3.9)/CQ96</f>
        <v>0.45161290322580638</v>
      </c>
      <c r="DL96" s="18" t="s">
        <v>96</v>
      </c>
      <c r="DN96" s="1">
        <f t="shared" si="43"/>
        <v>0.53553719008264455</v>
      </c>
      <c r="DO96" s="1">
        <f t="shared" si="44"/>
        <v>0</v>
      </c>
      <c r="DP96" s="1" t="s">
        <v>67</v>
      </c>
      <c r="DQ96" s="1" t="s">
        <v>2</v>
      </c>
      <c r="DR96" s="16">
        <f t="shared" si="45"/>
        <v>242</v>
      </c>
      <c r="DS96" s="100">
        <f t="shared" si="46"/>
        <v>0.53553719008264455</v>
      </c>
      <c r="DT96" s="102">
        <f t="shared" si="47"/>
        <v>1295.9999999999998</v>
      </c>
      <c r="DV96" s="16">
        <f t="shared" si="48"/>
        <v>22.330000000000002</v>
      </c>
      <c r="DW96" s="100">
        <f>(BV96*CD96+CQ96*CY96)/DV96</f>
        <v>0.54218540080609035</v>
      </c>
      <c r="DX96" s="101">
        <f>1000*DV96*DW96/100</f>
        <v>121.07</v>
      </c>
      <c r="DZ96" s="37" t="s">
        <v>2</v>
      </c>
      <c r="EA96" s="37"/>
      <c r="EM96" s="73"/>
      <c r="EN96" s="37"/>
      <c r="EO96" s="37"/>
      <c r="EP96" s="37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55"/>
      <c r="FG96" s="55"/>
      <c r="FH96" s="55"/>
      <c r="FI96" s="37"/>
      <c r="FJ96" s="55"/>
      <c r="FK96" s="55"/>
      <c r="FL96" s="45"/>
      <c r="FM96" s="37"/>
      <c r="FN96" s="37"/>
      <c r="FO96" s="37"/>
      <c r="FP96" s="55"/>
      <c r="FQ96" s="1" t="s">
        <v>2</v>
      </c>
      <c r="FR96" s="1" t="s">
        <v>113</v>
      </c>
      <c r="FS96" s="1" t="s">
        <v>223</v>
      </c>
      <c r="FV96" s="1" t="s">
        <v>2</v>
      </c>
    </row>
    <row r="97" spans="1:178" ht="16.25" customHeight="1" x14ac:dyDescent="0.2">
      <c r="A97" s="18" t="s">
        <v>177</v>
      </c>
      <c r="B97" s="1" t="s">
        <v>63</v>
      </c>
      <c r="C97" s="79" t="s">
        <v>1120</v>
      </c>
      <c r="D97" s="1" t="s">
        <v>69</v>
      </c>
      <c r="H97" s="1" t="s">
        <v>1121</v>
      </c>
      <c r="J97" s="1" t="s">
        <v>70</v>
      </c>
      <c r="K97" s="1">
        <v>0.87</v>
      </c>
      <c r="S97" s="1">
        <v>3.4</v>
      </c>
      <c r="AF97" s="1">
        <f>3.9+1.2</f>
        <v>5.0999999999999996</v>
      </c>
      <c r="AN97" s="14">
        <f>(0.96*3.9+3.6*1.2)/AF97</f>
        <v>1.5811764705882354</v>
      </c>
      <c r="BA97" s="1">
        <f>3+0.52</f>
        <v>3.52</v>
      </c>
      <c r="BI97" s="14">
        <f>(0.99*3+3.5*0.52)/BA97</f>
        <v>1.3607954545454546</v>
      </c>
      <c r="BV97" s="1">
        <v>0</v>
      </c>
      <c r="CQ97" s="1">
        <v>0.55000000000000004</v>
      </c>
      <c r="CY97" s="14">
        <v>2</v>
      </c>
      <c r="DL97" s="18" t="s">
        <v>96</v>
      </c>
      <c r="DN97" s="1">
        <f t="shared" si="43"/>
        <v>1.6661749209694416</v>
      </c>
      <c r="DO97" s="1">
        <f t="shared" si="44"/>
        <v>0</v>
      </c>
      <c r="DP97" s="1" t="s">
        <v>67</v>
      </c>
      <c r="DQ97" s="1" t="s">
        <v>2</v>
      </c>
      <c r="DR97" s="16">
        <f t="shared" si="45"/>
        <v>9.49</v>
      </c>
      <c r="DS97" s="100">
        <f t="shared" si="46"/>
        <v>1.6661749209694416</v>
      </c>
      <c r="DT97" s="101">
        <f t="shared" si="47"/>
        <v>158.12</v>
      </c>
      <c r="DV97" s="16">
        <f t="shared" si="48"/>
        <v>0.55000000000000004</v>
      </c>
      <c r="DW97" s="100">
        <f>(BV97*CD97+CQ97*CY97)/DV97</f>
        <v>2</v>
      </c>
      <c r="DX97" s="101">
        <f>1000*DV97*DW97/100</f>
        <v>11</v>
      </c>
      <c r="DZ97" s="37" t="s">
        <v>2</v>
      </c>
      <c r="EA97" s="37"/>
      <c r="EM97" s="73"/>
      <c r="EN97" s="37"/>
      <c r="EO97" s="37"/>
      <c r="EP97" s="37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55"/>
      <c r="FG97" s="55"/>
      <c r="FH97" s="55"/>
      <c r="FI97" s="37"/>
      <c r="FJ97" s="55"/>
      <c r="FK97" s="55"/>
      <c r="FL97" s="45"/>
      <c r="FM97" s="37"/>
      <c r="FN97" s="37"/>
      <c r="FO97" s="37"/>
      <c r="FP97" s="55"/>
      <c r="FQ97" s="1" t="s">
        <v>2</v>
      </c>
      <c r="FR97" s="1" t="s">
        <v>113</v>
      </c>
      <c r="FS97" s="1" t="s">
        <v>223</v>
      </c>
      <c r="FV97" s="1" t="s">
        <v>2</v>
      </c>
    </row>
    <row r="98" spans="1:178" ht="16.25" customHeight="1" x14ac:dyDescent="0.2">
      <c r="A98" s="18" t="s">
        <v>177</v>
      </c>
      <c r="B98" s="1" t="s">
        <v>63</v>
      </c>
      <c r="C98" s="79" t="s">
        <v>472</v>
      </c>
      <c r="D98" s="1" t="s">
        <v>69</v>
      </c>
      <c r="G98" s="1" t="s">
        <v>72</v>
      </c>
      <c r="H98" s="1" t="s">
        <v>131</v>
      </c>
      <c r="J98" s="1" t="s">
        <v>70</v>
      </c>
      <c r="K98" s="1">
        <v>156</v>
      </c>
      <c r="S98" s="1">
        <v>0.59</v>
      </c>
      <c r="AF98" s="1">
        <v>113</v>
      </c>
      <c r="AN98" s="1">
        <v>0.62</v>
      </c>
      <c r="BA98" s="1">
        <v>171</v>
      </c>
      <c r="BI98" s="1">
        <v>0.61</v>
      </c>
      <c r="BV98" s="1">
        <v>57</v>
      </c>
      <c r="CD98" s="13">
        <v>0.6</v>
      </c>
      <c r="CQ98" s="1">
        <v>96</v>
      </c>
      <c r="CY98" s="1">
        <v>0.61</v>
      </c>
      <c r="DL98" s="18" t="s">
        <v>96</v>
      </c>
      <c r="DN98" s="1">
        <f t="shared" si="43"/>
        <v>0.6054772727272727</v>
      </c>
      <c r="DO98" s="1">
        <f t="shared" si="44"/>
        <v>0</v>
      </c>
      <c r="DP98" s="1" t="s">
        <v>67</v>
      </c>
      <c r="DQ98" s="1" t="s">
        <v>2</v>
      </c>
      <c r="DR98" s="16">
        <f t="shared" si="45"/>
        <v>440</v>
      </c>
      <c r="DS98" s="100">
        <f t="shared" si="46"/>
        <v>0.6054772727272727</v>
      </c>
      <c r="DT98" s="102">
        <f t="shared" si="47"/>
        <v>2664.1</v>
      </c>
      <c r="DV98" s="16">
        <f t="shared" si="48"/>
        <v>153</v>
      </c>
      <c r="DW98" s="100">
        <f>(BV98*CD98+CQ98*CY98)/DV98</f>
        <v>0.6062745098039215</v>
      </c>
      <c r="DX98" s="101">
        <f>1000*DV98*DW98/100</f>
        <v>927.59999999999991</v>
      </c>
      <c r="DZ98" s="37" t="s">
        <v>2</v>
      </c>
      <c r="EA98" s="37"/>
      <c r="EM98" s="73"/>
      <c r="EN98" s="37"/>
      <c r="EO98" s="37"/>
      <c r="EP98" s="37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55"/>
      <c r="FG98" s="55"/>
      <c r="FH98" s="55"/>
      <c r="FI98" s="37"/>
      <c r="FJ98" s="55"/>
      <c r="FK98" s="55"/>
      <c r="FL98" s="45"/>
      <c r="FM98" s="37"/>
      <c r="FN98" s="37"/>
      <c r="FO98" s="37"/>
      <c r="FP98" s="55"/>
      <c r="FQ98" s="1" t="s">
        <v>2</v>
      </c>
      <c r="FR98" s="1" t="s">
        <v>113</v>
      </c>
      <c r="FS98" s="1" t="s">
        <v>223</v>
      </c>
      <c r="FV98" s="1" t="s">
        <v>2</v>
      </c>
    </row>
    <row r="99" spans="1:178" ht="16.25" customHeight="1" x14ac:dyDescent="0.2">
      <c r="A99" s="18" t="s">
        <v>177</v>
      </c>
      <c r="B99" s="1" t="s">
        <v>63</v>
      </c>
      <c r="C99" s="15" t="s">
        <v>1088</v>
      </c>
      <c r="D99" s="1" t="s">
        <v>69</v>
      </c>
      <c r="H99" s="1" t="s">
        <v>131</v>
      </c>
      <c r="J99" s="1" t="s">
        <v>70</v>
      </c>
      <c r="K99" s="1">
        <v>0</v>
      </c>
      <c r="AF99" s="1">
        <v>0.47</v>
      </c>
      <c r="AN99" s="1">
        <v>2.4</v>
      </c>
      <c r="BA99" s="1">
        <f>5.4+1.5</f>
        <v>6.9</v>
      </c>
      <c r="BI99" s="14">
        <f>(1.7*5.4+5.8*1.5)/BA99</f>
        <v>2.5913043478260867</v>
      </c>
      <c r="BV99" s="1">
        <v>0</v>
      </c>
      <c r="CQ99" s="1">
        <v>0</v>
      </c>
      <c r="DL99" s="18" t="s">
        <v>96</v>
      </c>
      <c r="DN99" s="1">
        <f t="shared" si="43"/>
        <v>2.5791044776119403</v>
      </c>
      <c r="DO99" s="1">
        <f t="shared" si="44"/>
        <v>0</v>
      </c>
      <c r="DP99" s="1" t="s">
        <v>67</v>
      </c>
      <c r="DQ99" s="1" t="s">
        <v>2</v>
      </c>
      <c r="DR99" s="16">
        <f t="shared" si="45"/>
        <v>7.37</v>
      </c>
      <c r="DS99" s="100">
        <f t="shared" si="46"/>
        <v>2.5791044776119403</v>
      </c>
      <c r="DT99" s="101">
        <f t="shared" si="47"/>
        <v>190.08</v>
      </c>
      <c r="DV99" s="16">
        <f t="shared" si="48"/>
        <v>0</v>
      </c>
      <c r="DZ99" s="37" t="s">
        <v>2</v>
      </c>
      <c r="EA99" s="37"/>
      <c r="EM99" s="73"/>
      <c r="EN99" s="37"/>
      <c r="EO99" s="37"/>
      <c r="EP99" s="37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55"/>
      <c r="FG99" s="55"/>
      <c r="FH99" s="55"/>
      <c r="FI99" s="37"/>
      <c r="FJ99" s="55"/>
      <c r="FK99" s="55"/>
      <c r="FL99" s="45"/>
      <c r="FM99" s="37"/>
      <c r="FN99" s="37"/>
      <c r="FO99" s="37"/>
      <c r="FP99" s="55"/>
      <c r="FQ99" s="1" t="s">
        <v>2</v>
      </c>
      <c r="FR99" s="1" t="s">
        <v>113</v>
      </c>
      <c r="FS99" s="1" t="s">
        <v>223</v>
      </c>
      <c r="FV99" s="1" t="s">
        <v>2</v>
      </c>
    </row>
    <row r="100" spans="1:178" ht="16.25" customHeight="1" x14ac:dyDescent="0.2">
      <c r="A100" s="18" t="s">
        <v>177</v>
      </c>
      <c r="B100" s="1" t="s">
        <v>63</v>
      </c>
      <c r="C100" s="16" t="s">
        <v>662</v>
      </c>
      <c r="D100" s="1" t="s">
        <v>69</v>
      </c>
      <c r="H100" s="1" t="s">
        <v>663</v>
      </c>
      <c r="J100" s="1" t="s">
        <v>70</v>
      </c>
      <c r="K100" s="1">
        <v>0</v>
      </c>
      <c r="AF100" s="1">
        <v>0</v>
      </c>
      <c r="BA100" s="1">
        <v>31</v>
      </c>
      <c r="BI100" s="1">
        <v>0.59</v>
      </c>
      <c r="BV100" s="1">
        <v>0</v>
      </c>
      <c r="CQ100" s="1">
        <v>0</v>
      </c>
      <c r="DL100" s="18" t="s">
        <v>96</v>
      </c>
      <c r="DN100" s="1">
        <f t="shared" si="43"/>
        <v>0.59</v>
      </c>
      <c r="DO100" s="1">
        <f t="shared" si="44"/>
        <v>0</v>
      </c>
      <c r="DP100" s="1" t="s">
        <v>67</v>
      </c>
      <c r="DQ100" s="1" t="s">
        <v>2</v>
      </c>
      <c r="DR100" s="16">
        <f t="shared" si="45"/>
        <v>31</v>
      </c>
      <c r="DS100" s="16">
        <f t="shared" si="46"/>
        <v>0.59</v>
      </c>
      <c r="DT100" s="101">
        <f t="shared" si="47"/>
        <v>182.9</v>
      </c>
      <c r="DV100" s="16">
        <f t="shared" si="48"/>
        <v>0</v>
      </c>
      <c r="DZ100" s="37" t="s">
        <v>2</v>
      </c>
      <c r="EA100" s="37"/>
      <c r="EM100" s="73"/>
      <c r="EN100" s="37"/>
      <c r="EO100" s="37"/>
      <c r="EP100" s="37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55"/>
      <c r="FG100" s="55"/>
      <c r="FH100" s="55"/>
      <c r="FI100" s="37"/>
      <c r="FJ100" s="55"/>
      <c r="FK100" s="55"/>
      <c r="FL100" s="45"/>
      <c r="FM100" s="37"/>
      <c r="FN100" s="37"/>
      <c r="FO100" s="37"/>
      <c r="FP100" s="55"/>
      <c r="FQ100" s="1" t="s">
        <v>2</v>
      </c>
      <c r="FR100" s="1" t="s">
        <v>113</v>
      </c>
      <c r="FS100" s="1" t="s">
        <v>223</v>
      </c>
      <c r="FV100" s="1" t="s">
        <v>2</v>
      </c>
    </row>
    <row r="101" spans="1:178" ht="16.25" customHeight="1" x14ac:dyDescent="0.2">
      <c r="A101" s="18" t="s">
        <v>177</v>
      </c>
      <c r="B101" s="1" t="s">
        <v>63</v>
      </c>
      <c r="C101" s="15" t="s">
        <v>668</v>
      </c>
      <c r="D101" s="1" t="s">
        <v>69</v>
      </c>
      <c r="H101" s="1" t="s">
        <v>669</v>
      </c>
      <c r="J101" s="1" t="s">
        <v>70</v>
      </c>
      <c r="K101" s="1">
        <v>0</v>
      </c>
      <c r="AF101" s="1">
        <v>173.3</v>
      </c>
      <c r="AN101" s="1">
        <v>0.68</v>
      </c>
      <c r="BA101" s="1">
        <v>11.9</v>
      </c>
      <c r="BI101" s="1">
        <v>0.68</v>
      </c>
      <c r="BV101" s="1">
        <v>0</v>
      </c>
      <c r="CQ101" s="1">
        <v>0</v>
      </c>
      <c r="DL101" s="18" t="s">
        <v>96</v>
      </c>
      <c r="DN101" s="1">
        <f t="shared" si="43"/>
        <v>0.68</v>
      </c>
      <c r="DO101" s="1">
        <f t="shared" si="44"/>
        <v>0</v>
      </c>
      <c r="DP101" s="1" t="s">
        <v>67</v>
      </c>
      <c r="DQ101" s="1" t="s">
        <v>2</v>
      </c>
      <c r="DR101" s="16">
        <f t="shared" si="45"/>
        <v>185.20000000000002</v>
      </c>
      <c r="DS101" s="16">
        <f t="shared" si="46"/>
        <v>0.68</v>
      </c>
      <c r="DT101" s="102">
        <f t="shared" si="47"/>
        <v>1259.3600000000004</v>
      </c>
      <c r="DV101" s="16">
        <f t="shared" si="48"/>
        <v>0</v>
      </c>
      <c r="DZ101" s="37" t="s">
        <v>2</v>
      </c>
      <c r="EA101" s="37"/>
      <c r="EM101" s="73"/>
      <c r="EN101" s="37"/>
      <c r="EO101" s="37"/>
      <c r="EP101" s="37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55"/>
      <c r="FG101" s="55"/>
      <c r="FH101" s="55"/>
      <c r="FI101" s="37"/>
      <c r="FJ101" s="55"/>
      <c r="FK101" s="55"/>
      <c r="FL101" s="45"/>
      <c r="FM101" s="37"/>
      <c r="FN101" s="37"/>
      <c r="FO101" s="37"/>
      <c r="FP101" s="55"/>
      <c r="FQ101" s="1" t="s">
        <v>2</v>
      </c>
      <c r="FR101" s="1" t="s">
        <v>113</v>
      </c>
      <c r="FS101" s="1" t="s">
        <v>223</v>
      </c>
      <c r="FV101" s="1" t="s">
        <v>2</v>
      </c>
    </row>
    <row r="102" spans="1:178" ht="16.25" customHeight="1" x14ac:dyDescent="0.2">
      <c r="A102" s="18" t="s">
        <v>177</v>
      </c>
      <c r="B102" s="1" t="s">
        <v>63</v>
      </c>
      <c r="C102" s="15" t="s">
        <v>1206</v>
      </c>
      <c r="H102" s="1" t="s">
        <v>1009</v>
      </c>
      <c r="J102" s="1" t="s">
        <v>70</v>
      </c>
      <c r="K102" s="1">
        <v>0</v>
      </c>
      <c r="AF102" s="1">
        <v>0</v>
      </c>
      <c r="AO102" s="2"/>
      <c r="AQ102" s="13"/>
      <c r="BA102" s="1">
        <v>0.68</v>
      </c>
      <c r="BI102" s="1">
        <v>2.1</v>
      </c>
      <c r="BJ102" s="2"/>
      <c r="BL102" s="13"/>
      <c r="BV102" s="1">
        <v>0</v>
      </c>
      <c r="CQ102" s="1">
        <v>0</v>
      </c>
      <c r="DL102" s="18" t="s">
        <v>96</v>
      </c>
      <c r="DN102" s="1">
        <f t="shared" si="43"/>
        <v>2.1</v>
      </c>
      <c r="DO102" s="1">
        <f t="shared" si="44"/>
        <v>0</v>
      </c>
      <c r="DP102" s="1" t="s">
        <v>67</v>
      </c>
      <c r="DQ102" s="1" t="s">
        <v>2</v>
      </c>
      <c r="DR102" s="16">
        <f t="shared" si="45"/>
        <v>0.68</v>
      </c>
      <c r="DS102" s="16">
        <f t="shared" si="46"/>
        <v>2.1</v>
      </c>
      <c r="DT102" s="101">
        <f t="shared" si="47"/>
        <v>14.28</v>
      </c>
      <c r="DV102" s="16">
        <f t="shared" si="48"/>
        <v>0</v>
      </c>
      <c r="DZ102" s="37" t="s">
        <v>2</v>
      </c>
      <c r="EA102" s="37"/>
      <c r="EM102" s="73"/>
      <c r="EN102" s="37"/>
      <c r="EO102" s="37"/>
      <c r="EP102" s="37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55"/>
      <c r="FG102" s="55"/>
      <c r="FH102" s="55"/>
      <c r="FI102" s="37"/>
      <c r="FJ102" s="55"/>
      <c r="FK102" s="55"/>
      <c r="FL102" s="45"/>
      <c r="FM102" s="37"/>
      <c r="FN102" s="37"/>
      <c r="FO102" s="37"/>
      <c r="FP102" s="55"/>
      <c r="FQ102" s="1" t="s">
        <v>2</v>
      </c>
      <c r="FR102" s="1" t="s">
        <v>113</v>
      </c>
      <c r="FS102" s="1" t="s">
        <v>223</v>
      </c>
      <c r="FV102" s="1" t="s">
        <v>2</v>
      </c>
    </row>
    <row r="103" spans="1:178" ht="16.25" customHeight="1" x14ac:dyDescent="0.2">
      <c r="A103" s="18" t="s">
        <v>177</v>
      </c>
      <c r="B103" s="1" t="s">
        <v>63</v>
      </c>
      <c r="C103" s="79" t="s">
        <v>896</v>
      </c>
      <c r="D103" s="1" t="s">
        <v>69</v>
      </c>
      <c r="H103" s="1" t="s">
        <v>131</v>
      </c>
      <c r="J103" s="1" t="s">
        <v>70</v>
      </c>
      <c r="K103" s="1">
        <v>0</v>
      </c>
      <c r="AF103" s="2">
        <v>7.5560000000000002E-2</v>
      </c>
      <c r="AG103" s="11">
        <v>0.2</v>
      </c>
      <c r="AN103" s="1">
        <v>4.37</v>
      </c>
      <c r="AO103" s="11">
        <v>0.03</v>
      </c>
      <c r="AQ103" s="13"/>
      <c r="BA103" s="13">
        <v>0.14715</v>
      </c>
      <c r="BB103" s="11">
        <v>0.2</v>
      </c>
      <c r="BI103" s="1">
        <v>2.1800000000000002</v>
      </c>
      <c r="BJ103" s="11">
        <v>0.03</v>
      </c>
      <c r="BL103" s="13"/>
      <c r="BV103" s="1">
        <v>0</v>
      </c>
      <c r="CQ103" s="1">
        <v>0</v>
      </c>
      <c r="DL103" s="18" t="s">
        <v>96</v>
      </c>
      <c r="DM103" s="1" t="s">
        <v>96</v>
      </c>
      <c r="DN103" s="1">
        <f t="shared" si="43"/>
        <v>2.9230128867136638</v>
      </c>
      <c r="DO103" s="1">
        <f t="shared" si="44"/>
        <v>2.9999999999999995E-2</v>
      </c>
      <c r="DP103" s="1" t="s">
        <v>67</v>
      </c>
      <c r="DQ103" s="1" t="s">
        <v>2</v>
      </c>
      <c r="DR103" s="103">
        <f t="shared" si="45"/>
        <v>0.22271000000000002</v>
      </c>
      <c r="DS103" s="100">
        <f t="shared" si="46"/>
        <v>2.9230128867136638</v>
      </c>
      <c r="DT103" s="101">
        <f t="shared" si="47"/>
        <v>6.5098420000000008</v>
      </c>
      <c r="DV103" s="16">
        <f t="shared" si="48"/>
        <v>0</v>
      </c>
      <c r="DZ103" s="37" t="s">
        <v>2</v>
      </c>
      <c r="EA103" s="37"/>
      <c r="EM103" s="73"/>
      <c r="EN103" s="37"/>
      <c r="EO103" s="37"/>
      <c r="EP103" s="37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55"/>
      <c r="FG103" s="55"/>
      <c r="FH103" s="55"/>
      <c r="FI103" s="37"/>
      <c r="FJ103" s="55"/>
      <c r="FK103" s="55"/>
      <c r="FL103" s="45"/>
      <c r="FM103" s="37"/>
      <c r="FN103" s="37"/>
      <c r="FO103" s="37"/>
      <c r="FP103" s="55"/>
      <c r="FQ103" s="1" t="s">
        <v>2</v>
      </c>
      <c r="FR103" s="1" t="s">
        <v>113</v>
      </c>
      <c r="FS103" s="1" t="s">
        <v>223</v>
      </c>
      <c r="FV103" s="1" t="s">
        <v>2</v>
      </c>
    </row>
    <row r="104" spans="1:178" ht="16.25" customHeight="1" x14ac:dyDescent="0.2">
      <c r="A104" s="18" t="s">
        <v>177</v>
      </c>
      <c r="B104" s="1" t="s">
        <v>63</v>
      </c>
      <c r="C104" s="15" t="s">
        <v>371</v>
      </c>
      <c r="D104" s="1" t="s">
        <v>64</v>
      </c>
      <c r="G104" s="1" t="s">
        <v>65</v>
      </c>
      <c r="H104" s="1" t="s">
        <v>356</v>
      </c>
      <c r="J104" s="1" t="s">
        <v>70</v>
      </c>
      <c r="K104" s="1">
        <v>0</v>
      </c>
      <c r="AF104" s="2">
        <f>0.479914+1.704548+4.016949+3.128943+0.14583</f>
        <v>9.4761839999999999</v>
      </c>
      <c r="AN104" s="14">
        <f>(2.6*0.479914+2.7*1.704548+2.1*4.016949+2.6*3.128943+6.1*0.14583)/AF104</f>
        <v>2.4598998605345783</v>
      </c>
      <c r="BA104" s="2">
        <f>0.026922+0.329443+0.219641+0.225248+0.1249</f>
        <v>0.92615400000000003</v>
      </c>
      <c r="BI104" s="14">
        <f>(1.9*0.026922+2.5*0.329443+2*0.219641+2.7*0.225248+11.2*0.1249)/BA104</f>
        <v>3.5858948943696185</v>
      </c>
      <c r="BV104" s="1">
        <v>0</v>
      </c>
      <c r="CQ104" s="1">
        <v>0</v>
      </c>
      <c r="DL104" s="18" t="s">
        <v>96</v>
      </c>
      <c r="DN104" s="1">
        <f t="shared" si="43"/>
        <v>2.5601508622388542</v>
      </c>
      <c r="DO104" s="1">
        <f t="shared" si="44"/>
        <v>0</v>
      </c>
      <c r="DP104" s="1" t="s">
        <v>67</v>
      </c>
      <c r="DQ104" s="1" t="s">
        <v>2</v>
      </c>
      <c r="DR104" s="100">
        <f t="shared" si="45"/>
        <v>10.402338</v>
      </c>
      <c r="DS104" s="100">
        <f t="shared" si="46"/>
        <v>2.5601508622388542</v>
      </c>
      <c r="DT104" s="101">
        <f t="shared" si="47"/>
        <v>266.31554599999998</v>
      </c>
      <c r="DV104" s="16">
        <f t="shared" si="48"/>
        <v>0</v>
      </c>
      <c r="DZ104" s="37" t="s">
        <v>2</v>
      </c>
      <c r="EA104" s="37"/>
      <c r="EM104" s="73"/>
      <c r="EN104" s="37"/>
      <c r="EO104" s="37"/>
      <c r="EP104" s="37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55"/>
      <c r="FG104" s="55"/>
      <c r="FH104" s="55"/>
      <c r="FI104" s="37"/>
      <c r="FJ104" s="55"/>
      <c r="FK104" s="55"/>
      <c r="FL104" s="45"/>
      <c r="FM104" s="37"/>
      <c r="FN104" s="37"/>
      <c r="FO104" s="37"/>
      <c r="FP104" s="55"/>
      <c r="FQ104" s="1" t="s">
        <v>2</v>
      </c>
      <c r="FR104" s="1" t="s">
        <v>113</v>
      </c>
      <c r="FS104" s="1" t="s">
        <v>223</v>
      </c>
      <c r="FV104" s="1" t="s">
        <v>2</v>
      </c>
    </row>
    <row r="105" spans="1:178" ht="16.25" customHeight="1" x14ac:dyDescent="0.2">
      <c r="A105" s="18" t="s">
        <v>177</v>
      </c>
      <c r="B105" s="1" t="s">
        <v>63</v>
      </c>
      <c r="C105" s="15" t="s">
        <v>908</v>
      </c>
      <c r="D105" s="1" t="s">
        <v>69</v>
      </c>
      <c r="H105" s="1" t="s">
        <v>131</v>
      </c>
      <c r="J105" s="1" t="s">
        <v>70</v>
      </c>
      <c r="K105" s="1">
        <v>13.563000000000001</v>
      </c>
      <c r="S105" s="1">
        <v>0.8</v>
      </c>
      <c r="AF105" s="2">
        <v>27.363</v>
      </c>
      <c r="AN105" s="14">
        <v>0.6</v>
      </c>
      <c r="BA105" s="2">
        <v>12.009</v>
      </c>
      <c r="BI105" s="14">
        <v>0.5</v>
      </c>
      <c r="BV105" s="1">
        <v>0</v>
      </c>
      <c r="CQ105" s="1">
        <v>0</v>
      </c>
      <c r="DL105" s="18" t="s">
        <v>96</v>
      </c>
      <c r="DN105" s="1">
        <f t="shared" si="43"/>
        <v>0.62855766506092381</v>
      </c>
      <c r="DO105" s="1">
        <f t="shared" si="44"/>
        <v>0</v>
      </c>
      <c r="DP105" s="1" t="s">
        <v>67</v>
      </c>
      <c r="DQ105" s="1" t="s">
        <v>2</v>
      </c>
      <c r="DR105" s="100">
        <f t="shared" si="45"/>
        <v>52.935000000000002</v>
      </c>
      <c r="DS105" s="100">
        <f t="shared" si="46"/>
        <v>0.62855766506092381</v>
      </c>
      <c r="DT105" s="101">
        <f t="shared" si="47"/>
        <v>332.72700000000003</v>
      </c>
      <c r="DV105" s="16">
        <f t="shared" si="48"/>
        <v>0</v>
      </c>
      <c r="DZ105" s="37" t="s">
        <v>2</v>
      </c>
      <c r="EA105" s="37"/>
      <c r="EM105" s="73"/>
      <c r="EN105" s="37"/>
      <c r="EO105" s="37"/>
      <c r="EP105" s="37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55"/>
      <c r="FG105" s="55"/>
      <c r="FH105" s="55"/>
      <c r="FI105" s="37"/>
      <c r="FJ105" s="55"/>
      <c r="FK105" s="55"/>
      <c r="FL105" s="45"/>
      <c r="FM105" s="37"/>
      <c r="FN105" s="37"/>
      <c r="FO105" s="37"/>
      <c r="FP105" s="55"/>
      <c r="FQ105" s="1" t="s">
        <v>2</v>
      </c>
      <c r="FR105" s="1" t="s">
        <v>113</v>
      </c>
      <c r="FS105" s="1" t="s">
        <v>223</v>
      </c>
      <c r="FV105" s="1" t="s">
        <v>2</v>
      </c>
    </row>
    <row r="106" spans="1:178" ht="16.25" customHeight="1" x14ac:dyDescent="0.2">
      <c r="A106" s="18" t="s">
        <v>177</v>
      </c>
      <c r="B106" s="1" t="s">
        <v>63</v>
      </c>
      <c r="C106" s="79" t="s">
        <v>513</v>
      </c>
      <c r="D106" s="1" t="s">
        <v>69</v>
      </c>
      <c r="G106" s="1" t="s">
        <v>72</v>
      </c>
      <c r="H106" s="1" t="s">
        <v>511</v>
      </c>
      <c r="J106" s="1" t="s">
        <v>70</v>
      </c>
      <c r="K106" s="2">
        <f>0.039+0.156+(0.033/0.7)+0.002+0.025</f>
        <v>0.26914285714285718</v>
      </c>
      <c r="L106" s="11">
        <v>0.2</v>
      </c>
      <c r="S106" s="14">
        <f>(4.9*0.039+3.5*0.156+3.6*(0.033/0.7)+6.9*0.002+2.7*0.025)/K106</f>
        <v>3.6713375796178345</v>
      </c>
      <c r="T106" s="11">
        <v>0.03</v>
      </c>
      <c r="AF106" s="2">
        <f>0.499+0.138+0.241+0.408+0.11+(0.04/0.7)+0.051+0.103+0.417+0.029+0.05+0.096+0.554</f>
        <v>2.7531428571428567</v>
      </c>
      <c r="AG106" s="11">
        <v>0.2</v>
      </c>
      <c r="AN106" s="14">
        <f>(3.5*0.499+2.9*0.138+4*0.241+2.8*0.408+2.6*0.11+2.2*(0.04/0.7)+4.1*0.051+3.1*0.103+5.3*0.417+3.4*0.029+5.3*0.05+3.3*0.096+3*0.554)/AF106</f>
        <v>3.5398505603985062</v>
      </c>
      <c r="AO106" s="11">
        <v>0.03</v>
      </c>
      <c r="BA106" s="2">
        <f>0.051+0.067+0.027+0.016+0.105+0.01+0.014+0.4355</f>
        <v>0.72550000000000003</v>
      </c>
      <c r="BB106" s="11">
        <v>0.2</v>
      </c>
      <c r="BI106" s="14">
        <f>(2.6*0.051+2.9*0.067+4.1*0.027+6.6*0.016+4.6*0.105+3.8*0.01+5*0.014+3.7*0.4355)/BA106</f>
        <v>3.7843556168159891</v>
      </c>
      <c r="BJ106" s="11">
        <v>0.03</v>
      </c>
      <c r="BV106" s="1">
        <v>2.8000000000000001E-2</v>
      </c>
      <c r="BW106" s="11">
        <v>0.2</v>
      </c>
      <c r="CD106" s="1">
        <v>2.6</v>
      </c>
      <c r="CE106" s="11">
        <v>0.03</v>
      </c>
      <c r="CQ106" s="1">
        <v>1.1080000000000001</v>
      </c>
      <c r="CR106" s="11">
        <v>0.2</v>
      </c>
      <c r="CY106" s="1">
        <v>2.5</v>
      </c>
      <c r="CZ106" s="11">
        <v>0.03</v>
      </c>
      <c r="DL106" s="18" t="s">
        <v>96</v>
      </c>
      <c r="DM106" s="1" t="s">
        <v>96</v>
      </c>
      <c r="DN106" s="1">
        <f t="shared" si="43"/>
        <v>3.5966246736168026</v>
      </c>
      <c r="DO106" s="1">
        <f t="shared" si="44"/>
        <v>0.03</v>
      </c>
      <c r="DP106" s="1" t="s">
        <v>67</v>
      </c>
      <c r="DQ106" s="1" t="s">
        <v>2</v>
      </c>
      <c r="DR106" s="103">
        <f t="shared" si="45"/>
        <v>3.7477857142857136</v>
      </c>
      <c r="DS106" s="100">
        <f t="shared" si="46"/>
        <v>3.5966246736168026</v>
      </c>
      <c r="DT106" s="101">
        <f t="shared" si="47"/>
        <v>134.79378571428572</v>
      </c>
      <c r="DV106" s="16">
        <f t="shared" si="48"/>
        <v>1.1360000000000001</v>
      </c>
      <c r="DW106" s="100">
        <f>(BV106*CD106+CQ106*CY106)/DV106</f>
        <v>2.5024647887323943</v>
      </c>
      <c r="DX106" s="101">
        <f>1000*DV106*DW106/100</f>
        <v>28.428000000000008</v>
      </c>
      <c r="DZ106" s="37" t="s">
        <v>2</v>
      </c>
      <c r="EA106" s="37"/>
      <c r="EM106" s="73"/>
      <c r="EN106" s="37"/>
      <c r="EO106" s="37"/>
      <c r="EP106" s="37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55"/>
      <c r="FG106" s="55"/>
      <c r="FH106" s="55"/>
      <c r="FI106" s="37"/>
      <c r="FJ106" s="55"/>
      <c r="FK106" s="55"/>
      <c r="FL106" s="45"/>
      <c r="FM106" s="37"/>
      <c r="FN106" s="37"/>
      <c r="FO106" s="37"/>
      <c r="FP106" s="55"/>
      <c r="FQ106" s="1" t="s">
        <v>2</v>
      </c>
      <c r="FR106" s="1" t="s">
        <v>113</v>
      </c>
      <c r="FS106" s="1" t="s">
        <v>223</v>
      </c>
      <c r="FV106" s="1" t="s">
        <v>2</v>
      </c>
    </row>
    <row r="107" spans="1:178" ht="16.25" customHeight="1" x14ac:dyDescent="0.2">
      <c r="A107" s="18" t="s">
        <v>177</v>
      </c>
      <c r="B107" s="1" t="s">
        <v>63</v>
      </c>
      <c r="C107" s="79" t="s">
        <v>630</v>
      </c>
      <c r="D107" s="1" t="s">
        <v>69</v>
      </c>
      <c r="H107" s="1" t="s">
        <v>131</v>
      </c>
      <c r="J107" s="1" t="s">
        <v>70</v>
      </c>
      <c r="K107" s="1">
        <f>0.089+0.021+0.04+0.03</f>
        <v>0.18</v>
      </c>
      <c r="L107" s="11">
        <v>0.2</v>
      </c>
      <c r="S107" s="13">
        <f>(2.99*0.089+4.54*0.021+4.12*0.04+4.92*0.03)/K107</f>
        <v>3.7436111111111114</v>
      </c>
      <c r="T107" s="11">
        <v>0.03</v>
      </c>
      <c r="AF107" s="1">
        <f>2.018+0.029+0.055+0.047+0.28+0.023+0.051+0.014</f>
        <v>2.5170000000000003</v>
      </c>
      <c r="AG107" s="11">
        <v>0.2</v>
      </c>
      <c r="AN107" s="13">
        <f>(1.42*2.018+2.87*0.029+4.4*0.055+3.58*0.047+1.99*0.28+3.93*0.023+5.6*0.051+4.4*0.014)/AF107</f>
        <v>1.7297735399284857</v>
      </c>
      <c r="AO107" s="11">
        <v>0.03</v>
      </c>
      <c r="BA107" s="1">
        <f>0.611+0.134+0.652+0.291+0.063+0.007+0.992+0.111+0.016+0.079</f>
        <v>2.9560000000000004</v>
      </c>
      <c r="BB107" s="11">
        <v>0.2</v>
      </c>
      <c r="BI107" s="13">
        <f>(0.79*0.611+1.7*0.134+1.63*0.652+1.42*0.291+3.49*0.063+4.16*0.007+1.49*0.992+1.35*0.111+2.95*0.016+4.8*0.079)/BA107</f>
        <v>1.5188734776725303</v>
      </c>
      <c r="BJ107" s="11">
        <v>0.03</v>
      </c>
      <c r="BV107" s="1">
        <v>0</v>
      </c>
      <c r="CQ107" s="1">
        <f>0.042+0.113+0.011+0.015+0.027</f>
        <v>0.20799999999999999</v>
      </c>
      <c r="CR107" s="11">
        <v>0.2</v>
      </c>
      <c r="CY107" s="13">
        <f>(2.67*0.042+1.57*0.113+2.56*0.011+2.96*0.015+2.19*0.027)/CQ107</f>
        <v>2.0251923076923082</v>
      </c>
      <c r="CZ107" s="11">
        <v>0.03</v>
      </c>
      <c r="DL107" s="18" t="s">
        <v>96</v>
      </c>
      <c r="DM107" s="1" t="s">
        <v>96</v>
      </c>
      <c r="DN107" s="1">
        <f t="shared" si="43"/>
        <v>1.6836157792322657</v>
      </c>
      <c r="DO107" s="1">
        <f t="shared" si="44"/>
        <v>3.0000000000000002E-2</v>
      </c>
      <c r="DP107" s="1" t="s">
        <v>67</v>
      </c>
      <c r="DQ107" s="1" t="s">
        <v>2</v>
      </c>
      <c r="DR107" s="16">
        <f t="shared" si="45"/>
        <v>5.6530000000000005</v>
      </c>
      <c r="DS107" s="100">
        <f t="shared" si="46"/>
        <v>1.6836157792322657</v>
      </c>
      <c r="DT107" s="101">
        <f t="shared" si="47"/>
        <v>95.174799999999991</v>
      </c>
      <c r="DV107" s="16">
        <f t="shared" si="48"/>
        <v>0.20799999999999999</v>
      </c>
      <c r="DW107" s="100">
        <f>(BV107*CD107+CQ107*CY107)/DV107</f>
        <v>2.0251923076923082</v>
      </c>
      <c r="DX107" s="101">
        <f>1000*DV107*DW107/100</f>
        <v>4.2124000000000015</v>
      </c>
      <c r="DZ107" s="37" t="s">
        <v>2</v>
      </c>
      <c r="EA107" s="37"/>
      <c r="EM107" s="73"/>
      <c r="EN107" s="37"/>
      <c r="EO107" s="37"/>
      <c r="EP107" s="37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55"/>
      <c r="FG107" s="55"/>
      <c r="FH107" s="55"/>
      <c r="FI107" s="37"/>
      <c r="FJ107" s="55"/>
      <c r="FK107" s="55"/>
      <c r="FL107" s="45"/>
      <c r="FM107" s="37"/>
      <c r="FN107" s="37"/>
      <c r="FO107" s="37"/>
      <c r="FP107" s="55"/>
      <c r="FQ107" s="1" t="s">
        <v>2</v>
      </c>
      <c r="FR107" s="1" t="s">
        <v>113</v>
      </c>
      <c r="FS107" s="1" t="s">
        <v>223</v>
      </c>
      <c r="FV107" s="1" t="s">
        <v>2</v>
      </c>
    </row>
    <row r="108" spans="1:178" ht="16.25" customHeight="1" x14ac:dyDescent="0.2">
      <c r="A108" s="18" t="s">
        <v>177</v>
      </c>
      <c r="B108" s="1" t="s">
        <v>63</v>
      </c>
      <c r="C108" s="79" t="s">
        <v>575</v>
      </c>
      <c r="D108" s="1" t="s">
        <v>64</v>
      </c>
      <c r="G108" s="1" t="s">
        <v>72</v>
      </c>
      <c r="H108" s="1" t="s">
        <v>576</v>
      </c>
      <c r="J108" s="1" t="s">
        <v>70</v>
      </c>
      <c r="K108" s="1">
        <v>9.6000000000000002E-2</v>
      </c>
      <c r="L108" s="11">
        <v>0.2</v>
      </c>
      <c r="S108" s="1">
        <v>4.5999999999999996</v>
      </c>
      <c r="T108" s="11">
        <v>0.03</v>
      </c>
      <c r="AF108" s="1">
        <v>0.28299999999999997</v>
      </c>
      <c r="AG108" s="11">
        <v>0.2</v>
      </c>
      <c r="AN108" s="14">
        <v>4</v>
      </c>
      <c r="AO108" s="11">
        <v>0.03</v>
      </c>
      <c r="BA108" s="1">
        <v>0.216</v>
      </c>
      <c r="BB108" s="11">
        <v>0.2</v>
      </c>
      <c r="BI108" s="1">
        <v>3.4</v>
      </c>
      <c r="BJ108" s="11">
        <v>0.03</v>
      </c>
      <c r="BV108" s="1">
        <v>0</v>
      </c>
      <c r="CQ108" s="1">
        <v>0</v>
      </c>
      <c r="DL108" s="18" t="s">
        <v>96</v>
      </c>
      <c r="DM108" s="1" t="s">
        <v>96</v>
      </c>
      <c r="DN108" s="1">
        <f t="shared" si="43"/>
        <v>3.8789915966386554</v>
      </c>
      <c r="DO108" s="1">
        <f t="shared" si="44"/>
        <v>0.03</v>
      </c>
      <c r="DP108" s="1" t="s">
        <v>185</v>
      </c>
      <c r="DQ108" s="1" t="s">
        <v>2</v>
      </c>
      <c r="DR108" s="16">
        <f t="shared" si="45"/>
        <v>0.59499999999999997</v>
      </c>
      <c r="DS108" s="100">
        <f t="shared" si="46"/>
        <v>3.8789915966386554</v>
      </c>
      <c r="DT108" s="101">
        <f t="shared" si="47"/>
        <v>23.08</v>
      </c>
      <c r="DV108" s="16">
        <f t="shared" si="48"/>
        <v>0</v>
      </c>
      <c r="DZ108" s="37" t="s">
        <v>2</v>
      </c>
      <c r="EA108" s="37"/>
      <c r="EM108" s="73"/>
      <c r="EN108" s="37"/>
      <c r="EO108" s="37"/>
      <c r="EP108" s="37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55"/>
      <c r="FG108" s="55"/>
      <c r="FH108" s="55"/>
      <c r="FI108" s="37"/>
      <c r="FJ108" s="55"/>
      <c r="FK108" s="55"/>
      <c r="FL108" s="45"/>
      <c r="FM108" s="37"/>
      <c r="FN108" s="37"/>
      <c r="FO108" s="37"/>
      <c r="FP108" s="55"/>
      <c r="FQ108" s="1" t="s">
        <v>2</v>
      </c>
      <c r="FR108" s="1" t="s">
        <v>113</v>
      </c>
      <c r="FS108" s="1" t="s">
        <v>223</v>
      </c>
      <c r="FV108" s="1" t="s">
        <v>2</v>
      </c>
    </row>
    <row r="109" spans="1:178" ht="16.25" customHeight="1" x14ac:dyDescent="0.2">
      <c r="A109" s="18" t="s">
        <v>177</v>
      </c>
      <c r="B109" s="1" t="s">
        <v>63</v>
      </c>
      <c r="C109" s="15" t="s">
        <v>427</v>
      </c>
      <c r="D109" s="1" t="s">
        <v>69</v>
      </c>
      <c r="G109" s="1" t="s">
        <v>65</v>
      </c>
      <c r="H109" s="1" t="s">
        <v>426</v>
      </c>
      <c r="J109" s="1" t="s">
        <v>70</v>
      </c>
      <c r="K109" s="2">
        <v>0.36787999999999998</v>
      </c>
      <c r="S109" s="1">
        <v>5.9</v>
      </c>
      <c r="AF109" s="2">
        <f>1.322173+0.48</f>
        <v>1.802173</v>
      </c>
      <c r="AN109" s="14">
        <f>(5.9*1.322173+1.4*0.48)/AF109</f>
        <v>4.7014469199127946</v>
      </c>
      <c r="BA109" s="2">
        <v>0.18101300000000001</v>
      </c>
      <c r="BI109" s="1">
        <v>5.6</v>
      </c>
      <c r="BV109" s="2">
        <v>8.9599999999999999E-2</v>
      </c>
      <c r="CD109" s="1">
        <v>3.8</v>
      </c>
      <c r="CQ109" s="2">
        <v>1.7084999999999999</v>
      </c>
      <c r="CY109" s="14">
        <v>4</v>
      </c>
      <c r="DL109" s="18" t="s">
        <v>96</v>
      </c>
      <c r="DN109" s="1">
        <f t="shared" si="43"/>
        <v>4.9581702512817589</v>
      </c>
      <c r="DO109" s="1">
        <f t="shared" si="44"/>
        <v>0</v>
      </c>
      <c r="DP109" s="1" t="s">
        <v>67</v>
      </c>
      <c r="DQ109" s="1" t="s">
        <v>2</v>
      </c>
      <c r="DR109" s="103">
        <f t="shared" si="45"/>
        <v>2.3510660000000003</v>
      </c>
      <c r="DS109" s="100">
        <f t="shared" si="46"/>
        <v>4.9581702512817589</v>
      </c>
      <c r="DT109" s="101">
        <f t="shared" si="47"/>
        <v>116.569855</v>
      </c>
      <c r="DV109" s="16">
        <f t="shared" si="48"/>
        <v>1.7980999999999998</v>
      </c>
      <c r="DW109" s="100">
        <f>(BV109*CD109+CQ109*CY109)/DV109</f>
        <v>3.990033924698293</v>
      </c>
      <c r="DX109" s="101">
        <f>1000*DV109*DW109/100</f>
        <v>71.744799999999998</v>
      </c>
      <c r="DZ109" s="37" t="s">
        <v>2</v>
      </c>
      <c r="EA109" s="37"/>
      <c r="EM109" s="73"/>
      <c r="EN109" s="37"/>
      <c r="EO109" s="37"/>
      <c r="EP109" s="37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55"/>
      <c r="FG109" s="55"/>
      <c r="FH109" s="55"/>
      <c r="FI109" s="37"/>
      <c r="FJ109" s="55"/>
      <c r="FK109" s="55"/>
      <c r="FL109" s="45"/>
      <c r="FM109" s="37"/>
      <c r="FN109" s="37"/>
      <c r="FO109" s="37"/>
      <c r="FP109" s="55"/>
      <c r="FQ109" s="1" t="s">
        <v>2</v>
      </c>
      <c r="FR109" s="1" t="s">
        <v>113</v>
      </c>
      <c r="FS109" s="1" t="s">
        <v>223</v>
      </c>
      <c r="FV109" s="1" t="s">
        <v>2</v>
      </c>
    </row>
    <row r="110" spans="1:178" ht="16.25" customHeight="1" x14ac:dyDescent="0.2">
      <c r="A110" s="18" t="s">
        <v>177</v>
      </c>
      <c r="B110" s="1" t="s">
        <v>63</v>
      </c>
      <c r="C110" s="15" t="s">
        <v>425</v>
      </c>
      <c r="D110" s="1" t="s">
        <v>69</v>
      </c>
      <c r="G110" s="1" t="s">
        <v>65</v>
      </c>
      <c r="H110" s="1" t="s">
        <v>426</v>
      </c>
      <c r="J110" s="1" t="s">
        <v>70</v>
      </c>
      <c r="K110" s="1">
        <v>0</v>
      </c>
      <c r="AF110" s="2">
        <f>3+4.8+0.0549+0.56</f>
        <v>8.4148999999999994</v>
      </c>
      <c r="AN110" s="14">
        <f>(1.5*3+0.7*4.8+3.7*0.0549+0.9*0.56)/AF110</f>
        <v>1.0180905298934033</v>
      </c>
      <c r="BA110" s="2">
        <f>0.1723+1.441</f>
        <v>1.6133000000000002</v>
      </c>
      <c r="BI110" s="14">
        <f>(1.1*0.1723+0.7*1.441)/BA110</f>
        <v>0.74271989090683677</v>
      </c>
      <c r="BV110" s="1">
        <v>0</v>
      </c>
      <c r="CQ110" s="1">
        <f>2.016+0.093</f>
        <v>2.109</v>
      </c>
      <c r="CY110" s="14">
        <f>(1.4*2.016+2*0.093)/CQ110</f>
        <v>1.4264580369843527</v>
      </c>
      <c r="DL110" s="18" t="s">
        <v>96</v>
      </c>
      <c r="DN110" s="1">
        <f t="shared" si="43"/>
        <v>0.97378991244689972</v>
      </c>
      <c r="DO110" s="1">
        <f t="shared" si="44"/>
        <v>0</v>
      </c>
      <c r="DP110" s="1" t="s">
        <v>67</v>
      </c>
      <c r="DQ110" s="1" t="s">
        <v>2</v>
      </c>
      <c r="DR110" s="100">
        <f t="shared" si="45"/>
        <v>10.0282</v>
      </c>
      <c r="DS110" s="100">
        <f t="shared" si="46"/>
        <v>0.97378991244689972</v>
      </c>
      <c r="DT110" s="101">
        <f t="shared" si="47"/>
        <v>97.653600000000012</v>
      </c>
      <c r="DV110" s="16">
        <f t="shared" si="48"/>
        <v>2.109</v>
      </c>
      <c r="DW110" s="100">
        <f>(BV110*CD110+CQ110*CY110)/DV110</f>
        <v>1.4264580369843527</v>
      </c>
      <c r="DX110" s="101">
        <f>1000*DV110*DW110/100</f>
        <v>30.083999999999996</v>
      </c>
      <c r="DZ110" s="37" t="s">
        <v>2</v>
      </c>
      <c r="EA110" s="37"/>
      <c r="EM110" s="73"/>
      <c r="EN110" s="37"/>
      <c r="EO110" s="37"/>
      <c r="EP110" s="37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55"/>
      <c r="FG110" s="55"/>
      <c r="FH110" s="55"/>
      <c r="FI110" s="37"/>
      <c r="FJ110" s="55"/>
      <c r="FK110" s="55"/>
      <c r="FL110" s="45"/>
      <c r="FM110" s="37"/>
      <c r="FN110" s="37"/>
      <c r="FO110" s="37"/>
      <c r="FP110" s="55"/>
      <c r="FQ110" s="1" t="s">
        <v>2</v>
      </c>
      <c r="FR110" s="1" t="s">
        <v>113</v>
      </c>
      <c r="FS110" s="1" t="s">
        <v>223</v>
      </c>
      <c r="FV110" s="1" t="s">
        <v>2</v>
      </c>
    </row>
    <row r="111" spans="1:178" ht="16.25" customHeight="1" x14ac:dyDescent="0.2">
      <c r="A111" s="18" t="s">
        <v>177</v>
      </c>
      <c r="B111" s="1" t="s">
        <v>63</v>
      </c>
      <c r="C111" s="15" t="s">
        <v>673</v>
      </c>
      <c r="D111" s="1" t="s">
        <v>69</v>
      </c>
      <c r="H111" s="1" t="s">
        <v>367</v>
      </c>
      <c r="J111" s="1" t="s">
        <v>70</v>
      </c>
      <c r="K111" s="1">
        <v>0</v>
      </c>
      <c r="AF111" s="1">
        <v>0.4</v>
      </c>
      <c r="AG111" s="11">
        <v>0.2</v>
      </c>
      <c r="AN111" s="1">
        <v>4.01</v>
      </c>
      <c r="AO111" s="11">
        <v>0.03</v>
      </c>
      <c r="BA111" s="1">
        <v>0.35</v>
      </c>
      <c r="BB111" s="11">
        <v>0.2</v>
      </c>
      <c r="BI111" s="1">
        <v>4.4000000000000004</v>
      </c>
      <c r="BJ111" s="11">
        <v>0.03</v>
      </c>
      <c r="BV111" s="1">
        <v>0</v>
      </c>
      <c r="CQ111" s="1">
        <v>0</v>
      </c>
      <c r="DL111" s="18" t="s">
        <v>96</v>
      </c>
      <c r="DM111" s="1" t="s">
        <v>96</v>
      </c>
      <c r="DN111" s="1">
        <f t="shared" si="43"/>
        <v>4.1920000000000002</v>
      </c>
      <c r="DO111" s="1">
        <f t="shared" si="44"/>
        <v>0.03</v>
      </c>
      <c r="DP111" s="1" t="s">
        <v>67</v>
      </c>
      <c r="DQ111" s="1" t="s">
        <v>2</v>
      </c>
      <c r="DR111" s="16">
        <f t="shared" si="45"/>
        <v>0.75</v>
      </c>
      <c r="DS111" s="100">
        <f t="shared" si="46"/>
        <v>4.1920000000000002</v>
      </c>
      <c r="DT111" s="101">
        <f t="shared" si="47"/>
        <v>31.44</v>
      </c>
      <c r="DV111" s="16">
        <f t="shared" si="48"/>
        <v>0</v>
      </c>
      <c r="DZ111" s="37" t="s">
        <v>2</v>
      </c>
      <c r="EA111" s="37"/>
      <c r="EM111" s="73"/>
      <c r="EN111" s="37"/>
      <c r="EO111" s="37"/>
      <c r="EP111" s="37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55"/>
      <c r="FG111" s="55"/>
      <c r="FH111" s="55"/>
      <c r="FI111" s="37"/>
      <c r="FJ111" s="55"/>
      <c r="FK111" s="55"/>
      <c r="FL111" s="45"/>
      <c r="FM111" s="37"/>
      <c r="FN111" s="37"/>
      <c r="FO111" s="37"/>
      <c r="FP111" s="55"/>
      <c r="FQ111" s="1" t="s">
        <v>2</v>
      </c>
      <c r="FR111" s="1" t="s">
        <v>113</v>
      </c>
      <c r="FS111" s="1" t="s">
        <v>223</v>
      </c>
      <c r="FV111" s="1" t="s">
        <v>2</v>
      </c>
    </row>
    <row r="112" spans="1:178" ht="16.25" customHeight="1" x14ac:dyDescent="0.2">
      <c r="A112" s="18" t="s">
        <v>177</v>
      </c>
      <c r="B112" s="1" t="s">
        <v>63</v>
      </c>
      <c r="C112" s="15" t="s">
        <v>675</v>
      </c>
      <c r="D112" s="1" t="s">
        <v>69</v>
      </c>
      <c r="H112" s="1" t="s">
        <v>676</v>
      </c>
      <c r="J112" s="1" t="s">
        <v>70</v>
      </c>
      <c r="K112" s="1">
        <v>0</v>
      </c>
      <c r="AF112" s="2">
        <f>0.132279+0.055779+0.162338+0.191535+0.901865+0.075707+0.1972+4.428</f>
        <v>6.1447029999999998</v>
      </c>
      <c r="AN112" s="14">
        <f>(4.6*0.132279+5.9*0.055779+4*0.162338+5.5*0.191535+5.6*0.901865+5.2*0.075707+0.8*0.1972+0.8*4.428)/AF112</f>
        <v>1.9178558182551706</v>
      </c>
      <c r="AO112" s="2">
        <f>(0*0.132279+0*0.055779+0*0.162338+0*0.191535+0*0.901865+0*0.075707+0.028*0.1972+0.028*4.428)/(0.132279+0.055779+0.162338+0.191535+0.901865+0.075707+0.1972+4.428)</f>
        <v>2.1075973891659206E-2</v>
      </c>
      <c r="BA112" s="2">
        <f>0.055219+0.02056+0.256977+0.3578</f>
        <v>0.69055599999999995</v>
      </c>
      <c r="BI112" s="14">
        <f>(3.9*0.055219+4.1*0.02056+2.1*0.256977+1*0.3578)/BA112</f>
        <v>1.7335332688442358</v>
      </c>
      <c r="BJ112" s="2">
        <f>(0*0.132279+0*0.055779+0*0.162338+0*0.191535+0*0.901865+0*0.075707+0.028*0.1972+0.028*4.428)/(0.132279+0.055779+0.162338+0.191535+0.901865+0.075707+0.1972+4.428)</f>
        <v>2.1075973891659206E-2</v>
      </c>
      <c r="BV112" s="1">
        <v>0</v>
      </c>
      <c r="CQ112" s="2">
        <v>0.74960000000000004</v>
      </c>
      <c r="CY112" s="1">
        <v>3.9</v>
      </c>
      <c r="CZ112" s="2">
        <f>(0*0.132279+0*0.055779+0*0.162338+0*0.191535+0*0.901865+0*0.075707+0.028*0.1972+0.028*4.428)/(0.132279+0.055779+0.162338+0.191535+0.901865+0.075707+0.1972+4.428)</f>
        <v>2.1075973891659206E-2</v>
      </c>
      <c r="DL112" s="18" t="s">
        <v>96</v>
      </c>
      <c r="DM112" s="1" t="s">
        <v>96</v>
      </c>
      <c r="DN112" s="1">
        <f t="shared" si="43"/>
        <v>1.899233986598021</v>
      </c>
      <c r="DO112" s="1">
        <f t="shared" si="44"/>
        <v>2.1075973891659206E-2</v>
      </c>
      <c r="DP112" s="1" t="s">
        <v>67</v>
      </c>
      <c r="DQ112" s="1" t="s">
        <v>2</v>
      </c>
      <c r="DR112" s="103">
        <f t="shared" si="45"/>
        <v>6.8352589999999998</v>
      </c>
      <c r="DS112" s="100">
        <f t="shared" si="46"/>
        <v>1.899233986598021</v>
      </c>
      <c r="DT112" s="101">
        <f t="shared" si="47"/>
        <v>129.81756200000001</v>
      </c>
      <c r="DV112" s="16">
        <f t="shared" si="48"/>
        <v>0.74960000000000004</v>
      </c>
      <c r="DW112" s="100">
        <f>(BV112*CD112+CQ112*CY112)/DV112</f>
        <v>3.9</v>
      </c>
      <c r="DX112" s="101">
        <f>1000*DV112*DW112/100</f>
        <v>29.234400000000001</v>
      </c>
      <c r="DZ112" s="37" t="s">
        <v>2</v>
      </c>
      <c r="EA112" s="37"/>
      <c r="EM112" s="73"/>
      <c r="EN112" s="37"/>
      <c r="EO112" s="37"/>
      <c r="EP112" s="37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55"/>
      <c r="FG112" s="55"/>
      <c r="FH112" s="55"/>
      <c r="FI112" s="37"/>
      <c r="FJ112" s="55"/>
      <c r="FK112" s="55"/>
      <c r="FL112" s="45"/>
      <c r="FM112" s="37"/>
      <c r="FN112" s="37"/>
      <c r="FO112" s="37"/>
      <c r="FP112" s="55"/>
      <c r="FQ112" s="1" t="s">
        <v>2</v>
      </c>
      <c r="FR112" s="1" t="s">
        <v>113</v>
      </c>
      <c r="FS112" s="1" t="s">
        <v>223</v>
      </c>
      <c r="FV112" s="1" t="s">
        <v>2</v>
      </c>
    </row>
    <row r="113" spans="1:178" ht="16.25" customHeight="1" x14ac:dyDescent="0.2">
      <c r="A113" s="18" t="s">
        <v>177</v>
      </c>
      <c r="B113" s="1" t="s">
        <v>63</v>
      </c>
      <c r="C113" s="15" t="s">
        <v>1055</v>
      </c>
      <c r="D113" s="1" t="s">
        <v>69</v>
      </c>
      <c r="H113" s="1" t="s">
        <v>131</v>
      </c>
      <c r="J113" s="1" t="s">
        <v>70</v>
      </c>
      <c r="K113" s="1">
        <v>0</v>
      </c>
      <c r="AF113" s="1">
        <f>0.922+0.772+2.773</f>
        <v>4.4670000000000005</v>
      </c>
      <c r="AG113" s="13">
        <f>(0.13*4.358+0*0.772+0.08*4.551)/(4.358+0.772+4.551)</f>
        <v>9.612849912199152E-2</v>
      </c>
      <c r="AN113" s="13">
        <f>(1.56*0.922+0.98*0.772+1.25*2.773)/AF113</f>
        <v>1.267322587866577</v>
      </c>
      <c r="AO113" s="2">
        <f>(0.03*4.358+0*0.772+0*4.551)/(4.358+0.772+4.551)</f>
        <v>1.350480322280756E-2</v>
      </c>
      <c r="BA113" s="1">
        <f>3.436+1.778</f>
        <v>5.2140000000000004</v>
      </c>
      <c r="BB113" s="13">
        <f>(0.13*4.358+0*0.772+0.08*4.551)/(4.358+0.772+4.551)</f>
        <v>9.612849912199152E-2</v>
      </c>
      <c r="BI113" s="13">
        <f>(1.66*3.436+1.91*1.778)/BA113</f>
        <v>1.7452512466436516</v>
      </c>
      <c r="BJ113" s="2">
        <f>(0.03*4.358+0*0.772+0*4.551)/(4.358+0.772+4.551)</f>
        <v>1.350480322280756E-2</v>
      </c>
      <c r="BV113" s="1">
        <v>0</v>
      </c>
      <c r="CQ113" s="1">
        <v>0</v>
      </c>
      <c r="DL113" s="18" t="s">
        <v>96</v>
      </c>
      <c r="DM113" s="1" t="s">
        <v>96</v>
      </c>
      <c r="DN113" s="1">
        <f t="shared" si="43"/>
        <v>1.5247257514719552</v>
      </c>
      <c r="DO113" s="1">
        <f t="shared" si="44"/>
        <v>1.350480322280756E-2</v>
      </c>
      <c r="DP113" s="1" t="s">
        <v>380</v>
      </c>
      <c r="DQ113" s="1" t="s">
        <v>2</v>
      </c>
      <c r="DR113" s="16">
        <f t="shared" si="45"/>
        <v>9.6810000000000009</v>
      </c>
      <c r="DS113" s="100">
        <f t="shared" si="46"/>
        <v>1.5247257514719552</v>
      </c>
      <c r="DT113" s="101">
        <f t="shared" si="47"/>
        <v>147.6087</v>
      </c>
      <c r="DV113" s="16">
        <f t="shared" si="48"/>
        <v>0</v>
      </c>
      <c r="DZ113" s="37" t="s">
        <v>2</v>
      </c>
      <c r="EA113" s="37"/>
      <c r="EM113" s="73"/>
      <c r="EN113" s="37"/>
      <c r="EO113" s="37"/>
      <c r="EP113" s="37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55"/>
      <c r="FG113" s="55"/>
      <c r="FH113" s="55"/>
      <c r="FI113" s="37"/>
      <c r="FJ113" s="55"/>
      <c r="FK113" s="55"/>
      <c r="FL113" s="45"/>
      <c r="FM113" s="37"/>
      <c r="FN113" s="37"/>
      <c r="FO113" s="37"/>
      <c r="FP113" s="55"/>
      <c r="FQ113" s="1" t="s">
        <v>2</v>
      </c>
      <c r="FR113" s="1" t="s">
        <v>113</v>
      </c>
      <c r="FS113" s="1" t="s">
        <v>223</v>
      </c>
      <c r="FV113" s="1" t="s">
        <v>2</v>
      </c>
    </row>
    <row r="114" spans="1:178" ht="16.25" customHeight="1" x14ac:dyDescent="0.2">
      <c r="A114" s="18" t="s">
        <v>177</v>
      </c>
      <c r="B114" s="1" t="s">
        <v>63</v>
      </c>
      <c r="C114" s="79" t="s">
        <v>1032</v>
      </c>
      <c r="D114" s="1" t="s">
        <v>69</v>
      </c>
      <c r="H114" s="1" t="s">
        <v>1033</v>
      </c>
      <c r="J114" s="1" t="s">
        <v>92</v>
      </c>
      <c r="K114" s="1">
        <v>0</v>
      </c>
      <c r="AF114" s="1">
        <v>1.98</v>
      </c>
      <c r="AG114" s="1">
        <v>1.04</v>
      </c>
      <c r="AN114" s="1">
        <v>0.61</v>
      </c>
      <c r="AO114" s="1">
        <v>0.04</v>
      </c>
      <c r="AQ114" s="1">
        <v>0.5</v>
      </c>
      <c r="BA114" s="1">
        <v>2.04</v>
      </c>
      <c r="BB114" s="1">
        <v>0.73</v>
      </c>
      <c r="BI114" s="1">
        <v>0.42</v>
      </c>
      <c r="BJ114" s="1">
        <v>0.04</v>
      </c>
      <c r="BL114" s="1">
        <v>0.5</v>
      </c>
      <c r="BV114" s="1">
        <v>0</v>
      </c>
      <c r="CQ114" s="1">
        <v>0</v>
      </c>
      <c r="DL114" s="18" t="s">
        <v>96</v>
      </c>
      <c r="DM114" s="1" t="s">
        <v>96</v>
      </c>
      <c r="DN114" s="1">
        <f t="shared" si="43"/>
        <v>0.51358208955223883</v>
      </c>
      <c r="DO114" s="1">
        <f t="shared" si="44"/>
        <v>0.04</v>
      </c>
      <c r="DP114" s="1" t="s">
        <v>67</v>
      </c>
      <c r="DQ114" s="1" t="s">
        <v>2</v>
      </c>
      <c r="DR114" s="16">
        <f t="shared" si="45"/>
        <v>4.0199999999999996</v>
      </c>
      <c r="DS114" s="100">
        <f t="shared" si="46"/>
        <v>0.51358208955223883</v>
      </c>
      <c r="DT114" s="101">
        <f t="shared" si="47"/>
        <v>20.646000000000001</v>
      </c>
      <c r="DV114" s="16">
        <f t="shared" si="48"/>
        <v>0</v>
      </c>
      <c r="DZ114" s="37" t="s">
        <v>2</v>
      </c>
      <c r="EA114" s="37"/>
      <c r="EM114" s="73"/>
      <c r="EN114" s="37"/>
      <c r="EO114" s="37"/>
      <c r="EP114" s="37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55"/>
      <c r="FG114" s="55"/>
      <c r="FH114" s="55"/>
      <c r="FI114" s="37"/>
      <c r="FJ114" s="55"/>
      <c r="FK114" s="55"/>
      <c r="FL114" s="45"/>
      <c r="FM114" s="37"/>
      <c r="FN114" s="37"/>
      <c r="FO114" s="37"/>
      <c r="FP114" s="55"/>
      <c r="FQ114" s="1" t="s">
        <v>2</v>
      </c>
      <c r="FR114" s="1" t="s">
        <v>113</v>
      </c>
      <c r="FS114" s="1" t="s">
        <v>223</v>
      </c>
      <c r="FV114" s="1" t="s">
        <v>2</v>
      </c>
    </row>
    <row r="115" spans="1:178" ht="16.25" customHeight="1" x14ac:dyDescent="0.2">
      <c r="A115" s="18" t="s">
        <v>177</v>
      </c>
      <c r="B115" s="1" t="s">
        <v>63</v>
      </c>
      <c r="C115" s="15" t="s">
        <v>1044</v>
      </c>
      <c r="D115" s="1" t="s">
        <v>69</v>
      </c>
      <c r="H115" s="1" t="s">
        <v>1045</v>
      </c>
      <c r="J115" s="1" t="s">
        <v>70</v>
      </c>
      <c r="K115" s="1">
        <v>0</v>
      </c>
      <c r="AF115" s="1">
        <f>9.6+0.052</f>
        <v>9.6519999999999992</v>
      </c>
      <c r="AG115" s="2">
        <f>(0*30.7+0.45*0.136)/(30.7+0.136)</f>
        <v>1.9846932157218835E-3</v>
      </c>
      <c r="AN115" s="13">
        <f>(0.68*9.6+9.19*0.052)/AF115</f>
        <v>0.72584749274761717</v>
      </c>
      <c r="AO115" s="2">
        <f>(0.01*30.7+0.17*0.136)/(30.7+0.136)</f>
        <v>1.0705668698923336E-2</v>
      </c>
      <c r="BA115" s="1">
        <f>21.1+0.084</f>
        <v>21.184000000000001</v>
      </c>
      <c r="BB115" s="2">
        <f>(0*30.7+0.45*0.136)/(30.7+0.136)</f>
        <v>1.9846932157218835E-3</v>
      </c>
      <c r="BI115" s="13">
        <f>(0.54*21.1+9.01*0.084)/BA115</f>
        <v>0.57358572507552874</v>
      </c>
      <c r="BJ115" s="2">
        <f>(0.01*30.7+0.17*0.136)/(30.7+0.136)</f>
        <v>1.0705668698923336E-2</v>
      </c>
      <c r="BV115" s="1">
        <v>0</v>
      </c>
      <c r="CQ115" s="1">
        <v>3.427</v>
      </c>
      <c r="CR115" s="1">
        <v>0.26</v>
      </c>
      <c r="CY115" s="1">
        <v>0.72</v>
      </c>
      <c r="CZ115" s="1">
        <v>0.11</v>
      </c>
      <c r="DL115" s="18" t="s">
        <v>96</v>
      </c>
      <c r="DM115" s="1" t="s">
        <v>96</v>
      </c>
      <c r="DN115" s="1">
        <f t="shared" si="43"/>
        <v>0.62124529770398251</v>
      </c>
      <c r="DO115" s="1">
        <f t="shared" si="44"/>
        <v>1.0705668698923336E-2</v>
      </c>
      <c r="DP115" s="1" t="s">
        <v>380</v>
      </c>
      <c r="DQ115" s="1" t="s">
        <v>2</v>
      </c>
      <c r="DR115" s="100">
        <f t="shared" si="45"/>
        <v>30.835999999999999</v>
      </c>
      <c r="DS115" s="100">
        <f t="shared" si="46"/>
        <v>0.62124529770398251</v>
      </c>
      <c r="DT115" s="101">
        <f t="shared" si="47"/>
        <v>191.56720000000004</v>
      </c>
      <c r="DV115" s="16">
        <f t="shared" si="48"/>
        <v>3.427</v>
      </c>
      <c r="DW115" s="100">
        <f>(BV115*CD115+CQ115*CY115)/DV115</f>
        <v>0.72</v>
      </c>
      <c r="DX115" s="101">
        <f>1000*DV115*DW115/100</f>
        <v>24.674400000000002</v>
      </c>
      <c r="DZ115" s="37" t="s">
        <v>2</v>
      </c>
      <c r="EA115" s="37"/>
      <c r="EM115" s="73"/>
      <c r="EN115" s="37"/>
      <c r="EO115" s="37"/>
      <c r="EP115" s="37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55"/>
      <c r="FG115" s="55"/>
      <c r="FH115" s="55"/>
      <c r="FI115" s="37"/>
      <c r="FJ115" s="55"/>
      <c r="FK115" s="55"/>
      <c r="FL115" s="45"/>
      <c r="FM115" s="37"/>
      <c r="FN115" s="37"/>
      <c r="FO115" s="37"/>
      <c r="FP115" s="55"/>
      <c r="FQ115" s="1" t="s">
        <v>2</v>
      </c>
      <c r="FR115" s="1" t="s">
        <v>113</v>
      </c>
      <c r="FS115" s="1" t="s">
        <v>223</v>
      </c>
      <c r="FV115" s="1" t="s">
        <v>2</v>
      </c>
    </row>
    <row r="116" spans="1:178" ht="16.25" customHeight="1" x14ac:dyDescent="0.2">
      <c r="A116" s="18" t="s">
        <v>177</v>
      </c>
      <c r="B116" s="1" t="s">
        <v>63</v>
      </c>
      <c r="C116" s="15" t="s">
        <v>678</v>
      </c>
      <c r="D116" s="1" t="s">
        <v>69</v>
      </c>
      <c r="H116" s="1" t="s">
        <v>679</v>
      </c>
      <c r="J116" s="1" t="s">
        <v>70</v>
      </c>
      <c r="K116" s="1">
        <v>0</v>
      </c>
      <c r="AF116" s="1">
        <v>2.6</v>
      </c>
      <c r="AG116" s="13">
        <v>0.1</v>
      </c>
      <c r="AN116" s="13">
        <v>1.6</v>
      </c>
      <c r="AO116" s="1">
        <v>0.05</v>
      </c>
      <c r="BA116" s="1">
        <v>0.9</v>
      </c>
      <c r="BB116" s="13">
        <v>0.1</v>
      </c>
      <c r="BI116" s="13">
        <v>1.17</v>
      </c>
      <c r="BJ116" s="1">
        <v>0.05</v>
      </c>
      <c r="BV116" s="1">
        <v>0</v>
      </c>
      <c r="CQ116" s="1">
        <v>0</v>
      </c>
      <c r="DL116" s="18" t="s">
        <v>96</v>
      </c>
      <c r="DM116" s="1" t="s">
        <v>96</v>
      </c>
      <c r="DN116" s="1">
        <f t="shared" si="43"/>
        <v>1.4894285714285715</v>
      </c>
      <c r="DO116" s="1">
        <f t="shared" si="44"/>
        <v>0.05</v>
      </c>
      <c r="DP116" s="1" t="s">
        <v>380</v>
      </c>
      <c r="DQ116" s="1" t="s">
        <v>2</v>
      </c>
      <c r="DR116" s="16">
        <f t="shared" si="45"/>
        <v>3.5</v>
      </c>
      <c r="DS116" s="100">
        <f t="shared" si="46"/>
        <v>1.4894285714285715</v>
      </c>
      <c r="DT116" s="101">
        <f t="shared" si="47"/>
        <v>52.13</v>
      </c>
      <c r="DV116" s="16">
        <f t="shared" si="48"/>
        <v>0</v>
      </c>
      <c r="DZ116" s="37" t="s">
        <v>2</v>
      </c>
      <c r="EA116" s="37"/>
      <c r="EM116" s="73"/>
      <c r="EN116" s="37"/>
      <c r="EO116" s="37"/>
      <c r="EP116" s="37"/>
      <c r="EQ116" s="37"/>
      <c r="ER116" s="37"/>
      <c r="ES116" s="37"/>
      <c r="ET116" s="37"/>
      <c r="EU116" s="37"/>
      <c r="EV116" s="37"/>
      <c r="EW116" s="37"/>
      <c r="EX116" s="37"/>
      <c r="EY116" s="37"/>
      <c r="EZ116" s="37"/>
      <c r="FA116" s="37"/>
      <c r="FB116" s="37"/>
      <c r="FC116" s="37"/>
      <c r="FD116" s="37"/>
      <c r="FE116" s="37"/>
      <c r="FF116" s="55"/>
      <c r="FG116" s="55"/>
      <c r="FH116" s="55"/>
      <c r="FI116" s="37"/>
      <c r="FJ116" s="55"/>
      <c r="FK116" s="55"/>
      <c r="FL116" s="45"/>
      <c r="FM116" s="37"/>
      <c r="FN116" s="37"/>
      <c r="FO116" s="37"/>
      <c r="FP116" s="55"/>
      <c r="FQ116" s="1" t="s">
        <v>2</v>
      </c>
      <c r="FR116" s="1" t="s">
        <v>113</v>
      </c>
      <c r="FS116" s="1" t="s">
        <v>223</v>
      </c>
      <c r="FV116" s="1" t="s">
        <v>2</v>
      </c>
    </row>
    <row r="117" spans="1:178" ht="16.25" customHeight="1" x14ac:dyDescent="0.2">
      <c r="A117" s="18" t="s">
        <v>177</v>
      </c>
      <c r="B117" s="1" t="s">
        <v>63</v>
      </c>
      <c r="C117" s="79" t="s">
        <v>473</v>
      </c>
      <c r="D117" s="1" t="s">
        <v>64</v>
      </c>
      <c r="H117" s="1" t="s">
        <v>474</v>
      </c>
      <c r="J117" s="1" t="s">
        <v>70</v>
      </c>
      <c r="K117" s="1">
        <v>0</v>
      </c>
      <c r="AF117" s="2">
        <f>0.340126+3.318468</f>
        <v>3.6585940000000003</v>
      </c>
      <c r="AN117" s="14">
        <f>(3.3*0.340126+1.2*3.318468)/AF117</f>
        <v>1.3952292602021432</v>
      </c>
      <c r="BA117" s="2">
        <f>0.078067+2.496658</f>
        <v>2.5747249999999999</v>
      </c>
      <c r="BI117" s="14">
        <f>(3.9*0.078067+1.3*2.496658)/BA117</f>
        <v>1.3788333511345872</v>
      </c>
      <c r="BV117" s="1">
        <v>0</v>
      </c>
      <c r="CQ117" s="1">
        <v>0</v>
      </c>
      <c r="DL117" s="18" t="s">
        <v>96</v>
      </c>
      <c r="DN117" s="1">
        <f t="shared" si="43"/>
        <v>1.3884567916386119</v>
      </c>
      <c r="DO117" s="1">
        <f t="shared" si="44"/>
        <v>0</v>
      </c>
      <c r="DP117" s="1" t="s">
        <v>67</v>
      </c>
      <c r="DQ117" s="1" t="s">
        <v>2</v>
      </c>
      <c r="DR117" s="103">
        <f t="shared" si="45"/>
        <v>6.2333189999999998</v>
      </c>
      <c r="DS117" s="100">
        <f t="shared" si="46"/>
        <v>1.3884567916386119</v>
      </c>
      <c r="DT117" s="101">
        <f t="shared" si="47"/>
        <v>86.546941000000004</v>
      </c>
      <c r="DV117" s="16">
        <f t="shared" si="48"/>
        <v>0</v>
      </c>
      <c r="DZ117" s="37" t="s">
        <v>2</v>
      </c>
      <c r="EA117" s="37"/>
      <c r="EM117" s="73"/>
      <c r="EN117" s="37"/>
      <c r="EO117" s="37"/>
      <c r="EP117" s="37"/>
      <c r="EQ117" s="37"/>
      <c r="ER117" s="37"/>
      <c r="ES117" s="37"/>
      <c r="ET117" s="37"/>
      <c r="EU117" s="37"/>
      <c r="EV117" s="37"/>
      <c r="EW117" s="37"/>
      <c r="EX117" s="37"/>
      <c r="EY117" s="37"/>
      <c r="EZ117" s="37"/>
      <c r="FA117" s="37"/>
      <c r="FB117" s="37"/>
      <c r="FC117" s="37"/>
      <c r="FD117" s="37"/>
      <c r="FE117" s="37"/>
      <c r="FF117" s="55"/>
      <c r="FG117" s="55"/>
      <c r="FH117" s="55"/>
      <c r="FI117" s="37"/>
      <c r="FJ117" s="55"/>
      <c r="FK117" s="55"/>
      <c r="FL117" s="45"/>
      <c r="FM117" s="37"/>
      <c r="FN117" s="37"/>
      <c r="FO117" s="37"/>
      <c r="FP117" s="55"/>
      <c r="FQ117" s="1" t="s">
        <v>2</v>
      </c>
      <c r="FR117" s="1" t="s">
        <v>113</v>
      </c>
      <c r="FS117" s="1" t="s">
        <v>223</v>
      </c>
      <c r="FV117" s="1" t="s">
        <v>2</v>
      </c>
    </row>
    <row r="118" spans="1:178" ht="16.25" customHeight="1" x14ac:dyDescent="0.2">
      <c r="A118" s="18" t="s">
        <v>177</v>
      </c>
      <c r="B118" s="1" t="s">
        <v>63</v>
      </c>
      <c r="C118" s="79" t="s">
        <v>475</v>
      </c>
      <c r="D118" s="1" t="s">
        <v>64</v>
      </c>
      <c r="H118" s="1" t="s">
        <v>474</v>
      </c>
      <c r="J118" s="1" t="s">
        <v>70</v>
      </c>
      <c r="K118" s="1">
        <v>0</v>
      </c>
      <c r="AF118" s="1">
        <v>0</v>
      </c>
      <c r="BA118" s="2">
        <v>0.59130000000000005</v>
      </c>
      <c r="BI118" s="1">
        <v>2.2000000000000002</v>
      </c>
      <c r="BV118" s="1">
        <v>0</v>
      </c>
      <c r="CQ118" s="1">
        <v>0</v>
      </c>
      <c r="DL118" s="18" t="s">
        <v>96</v>
      </c>
      <c r="DN118" s="1">
        <f t="shared" si="43"/>
        <v>2.2000000000000002</v>
      </c>
      <c r="DO118" s="1">
        <f t="shared" si="44"/>
        <v>0</v>
      </c>
      <c r="DP118" s="1" t="s">
        <v>148</v>
      </c>
      <c r="DQ118" s="1" t="s">
        <v>2</v>
      </c>
      <c r="DR118" s="103">
        <f t="shared" si="45"/>
        <v>0.59130000000000005</v>
      </c>
      <c r="DS118" s="16">
        <f t="shared" si="46"/>
        <v>2.2000000000000002</v>
      </c>
      <c r="DT118" s="101">
        <f t="shared" si="47"/>
        <v>13.008600000000003</v>
      </c>
      <c r="DV118" s="16">
        <f t="shared" si="48"/>
        <v>0</v>
      </c>
      <c r="DZ118" s="37" t="s">
        <v>2</v>
      </c>
      <c r="EA118" s="37"/>
      <c r="EM118" s="73"/>
      <c r="EN118" s="37"/>
      <c r="EO118" s="37"/>
      <c r="EP118" s="37"/>
      <c r="EQ118" s="37"/>
      <c r="ER118" s="37"/>
      <c r="ES118" s="37"/>
      <c r="ET118" s="37"/>
      <c r="EU118" s="37"/>
      <c r="EV118" s="37"/>
      <c r="EW118" s="37"/>
      <c r="EX118" s="37"/>
      <c r="EY118" s="37"/>
      <c r="EZ118" s="37"/>
      <c r="FA118" s="37"/>
      <c r="FB118" s="37"/>
      <c r="FC118" s="37"/>
      <c r="FD118" s="37"/>
      <c r="FE118" s="37"/>
      <c r="FF118" s="55"/>
      <c r="FG118" s="55"/>
      <c r="FH118" s="55"/>
      <c r="FI118" s="37"/>
      <c r="FJ118" s="55"/>
      <c r="FK118" s="55"/>
      <c r="FL118" s="45"/>
      <c r="FM118" s="37"/>
      <c r="FN118" s="37"/>
      <c r="FO118" s="37"/>
      <c r="FP118" s="55"/>
      <c r="FQ118" s="1" t="s">
        <v>2</v>
      </c>
      <c r="FR118" s="1" t="s">
        <v>113</v>
      </c>
      <c r="FS118" s="1" t="s">
        <v>223</v>
      </c>
      <c r="FV118" s="1" t="s">
        <v>2</v>
      </c>
    </row>
    <row r="119" spans="1:178" ht="16.25" customHeight="1" x14ac:dyDescent="0.2">
      <c r="A119" s="18" t="s">
        <v>177</v>
      </c>
      <c r="B119" s="1" t="s">
        <v>63</v>
      </c>
      <c r="C119" s="15" t="s">
        <v>1207</v>
      </c>
      <c r="H119" s="1" t="s">
        <v>1208</v>
      </c>
      <c r="J119" s="1" t="s">
        <v>70</v>
      </c>
      <c r="K119" s="1">
        <v>0</v>
      </c>
      <c r="AF119" s="2">
        <f>0.1809+0.195</f>
        <v>0.37590000000000001</v>
      </c>
      <c r="AN119" s="14">
        <f>(2.8*0.1809+2*0.195)/AF119</f>
        <v>2.3849960095770149</v>
      </c>
      <c r="BA119" s="1">
        <v>0</v>
      </c>
      <c r="BV119" s="1">
        <v>0</v>
      </c>
      <c r="CQ119" s="1">
        <v>0</v>
      </c>
      <c r="DL119" s="18" t="s">
        <v>96</v>
      </c>
      <c r="DN119" s="1">
        <f t="shared" si="43"/>
        <v>2.3849960095770149</v>
      </c>
      <c r="DO119" s="1">
        <f t="shared" si="44"/>
        <v>0</v>
      </c>
      <c r="DP119" s="1" t="s">
        <v>67</v>
      </c>
      <c r="DQ119" s="1" t="s">
        <v>2</v>
      </c>
      <c r="DR119" s="103">
        <f t="shared" si="45"/>
        <v>0.37590000000000001</v>
      </c>
      <c r="DS119" s="100">
        <f t="shared" si="46"/>
        <v>2.3849960095770149</v>
      </c>
      <c r="DT119" s="101">
        <f t="shared" si="47"/>
        <v>8.9651999999999994</v>
      </c>
      <c r="DV119" s="16">
        <f t="shared" si="48"/>
        <v>0</v>
      </c>
      <c r="DZ119" s="37" t="s">
        <v>2</v>
      </c>
      <c r="EA119" s="37"/>
      <c r="EM119" s="73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55"/>
      <c r="FG119" s="55"/>
      <c r="FH119" s="55"/>
      <c r="FI119" s="37"/>
      <c r="FJ119" s="55"/>
      <c r="FK119" s="55"/>
      <c r="FL119" s="45"/>
      <c r="FM119" s="37"/>
      <c r="FN119" s="37"/>
      <c r="FO119" s="37"/>
      <c r="FP119" s="55"/>
      <c r="FQ119" s="1" t="s">
        <v>2</v>
      </c>
      <c r="FR119" s="1" t="s">
        <v>113</v>
      </c>
      <c r="FS119" s="1" t="s">
        <v>223</v>
      </c>
      <c r="FV119" s="1" t="s">
        <v>2</v>
      </c>
    </row>
    <row r="120" spans="1:178" ht="16.25" customHeight="1" x14ac:dyDescent="0.2">
      <c r="A120" s="18" t="s">
        <v>177</v>
      </c>
      <c r="B120" s="1" t="s">
        <v>63</v>
      </c>
      <c r="C120" s="40" t="s">
        <v>680</v>
      </c>
      <c r="D120" s="11" t="s">
        <v>160</v>
      </c>
      <c r="H120" s="1" t="s">
        <v>131</v>
      </c>
      <c r="J120" s="1" t="s">
        <v>70</v>
      </c>
      <c r="K120" s="1">
        <v>0</v>
      </c>
      <c r="AF120" s="1">
        <v>0</v>
      </c>
      <c r="BA120" s="1">
        <v>0.6</v>
      </c>
      <c r="BB120" s="1">
        <v>0.3</v>
      </c>
      <c r="BI120" s="1">
        <v>1.39</v>
      </c>
      <c r="BK120" s="11">
        <v>0.15</v>
      </c>
      <c r="BL120" s="11">
        <v>0.3</v>
      </c>
      <c r="BM120" s="11">
        <v>0.05</v>
      </c>
      <c r="BN120" s="11"/>
      <c r="BO120" s="11"/>
      <c r="BV120" s="1">
        <v>0</v>
      </c>
      <c r="CQ120" s="1">
        <v>0</v>
      </c>
      <c r="DL120" s="18" t="s">
        <v>96</v>
      </c>
      <c r="DN120" s="1">
        <f t="shared" si="43"/>
        <v>1.39</v>
      </c>
      <c r="DO120" s="1">
        <f t="shared" si="44"/>
        <v>0</v>
      </c>
      <c r="DP120" s="1" t="s">
        <v>148</v>
      </c>
      <c r="DQ120" s="1" t="s">
        <v>2</v>
      </c>
      <c r="DR120" s="16">
        <f t="shared" si="45"/>
        <v>0.6</v>
      </c>
      <c r="DS120" s="16">
        <f t="shared" si="46"/>
        <v>1.39</v>
      </c>
      <c r="DT120" s="101">
        <f t="shared" si="47"/>
        <v>8.3399999999999981</v>
      </c>
      <c r="DV120" s="16">
        <f t="shared" si="48"/>
        <v>0</v>
      </c>
      <c r="DZ120" s="37" t="s">
        <v>2</v>
      </c>
      <c r="EA120" s="37"/>
      <c r="EM120" s="73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55"/>
      <c r="FG120" s="55"/>
      <c r="FH120" s="55"/>
      <c r="FI120" s="37"/>
      <c r="FJ120" s="55"/>
      <c r="FK120" s="55"/>
      <c r="FL120" s="45"/>
      <c r="FM120" s="37"/>
      <c r="FN120" s="37"/>
      <c r="FO120" s="37"/>
      <c r="FP120" s="55"/>
      <c r="FQ120" s="1" t="s">
        <v>2</v>
      </c>
      <c r="FR120" s="1" t="s">
        <v>113</v>
      </c>
      <c r="FS120" s="1" t="s">
        <v>223</v>
      </c>
      <c r="FV120" s="1" t="s">
        <v>2</v>
      </c>
    </row>
    <row r="121" spans="1:178" ht="16.25" customHeight="1" x14ac:dyDescent="0.2">
      <c r="A121" s="18" t="s">
        <v>177</v>
      </c>
      <c r="B121" s="1" t="s">
        <v>63</v>
      </c>
      <c r="C121" s="15" t="s">
        <v>1090</v>
      </c>
      <c r="D121" s="1" t="s">
        <v>69</v>
      </c>
      <c r="H121" s="1" t="s">
        <v>131</v>
      </c>
      <c r="J121" s="1" t="s">
        <v>70</v>
      </c>
      <c r="K121" s="1">
        <v>0</v>
      </c>
      <c r="AF121" s="1">
        <v>0</v>
      </c>
      <c r="BA121" s="1">
        <f>0.086+0.135</f>
        <v>0.221</v>
      </c>
      <c r="BI121" s="14">
        <f>(2*0.086+3.7*0.135)/BA121</f>
        <v>3.0384615384615383</v>
      </c>
      <c r="BV121" s="1">
        <v>0</v>
      </c>
      <c r="CQ121" s="1">
        <v>0</v>
      </c>
      <c r="DL121" s="18" t="s">
        <v>96</v>
      </c>
      <c r="DN121" s="1">
        <f t="shared" si="43"/>
        <v>3.0384615384615383</v>
      </c>
      <c r="DO121" s="1">
        <f t="shared" si="44"/>
        <v>0</v>
      </c>
      <c r="DP121" s="1" t="s">
        <v>148</v>
      </c>
      <c r="DQ121" s="1" t="s">
        <v>2</v>
      </c>
      <c r="DR121" s="16">
        <f t="shared" si="45"/>
        <v>0.221</v>
      </c>
      <c r="DS121" s="100">
        <f t="shared" si="46"/>
        <v>3.0384615384615383</v>
      </c>
      <c r="DT121" s="101">
        <f t="shared" si="47"/>
        <v>6.7149999999999999</v>
      </c>
      <c r="DV121" s="16">
        <f t="shared" si="48"/>
        <v>0</v>
      </c>
      <c r="DZ121" s="37" t="s">
        <v>2</v>
      </c>
      <c r="EA121" s="37"/>
      <c r="EM121" s="73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55"/>
      <c r="FG121" s="55"/>
      <c r="FH121" s="55"/>
      <c r="FI121" s="37"/>
      <c r="FJ121" s="55"/>
      <c r="FK121" s="55"/>
      <c r="FL121" s="45"/>
      <c r="FM121" s="37"/>
      <c r="FN121" s="37"/>
      <c r="FO121" s="37"/>
      <c r="FP121" s="55"/>
      <c r="FQ121" s="1" t="s">
        <v>2</v>
      </c>
      <c r="FR121" s="1" t="s">
        <v>113</v>
      </c>
      <c r="FS121" s="1" t="s">
        <v>223</v>
      </c>
      <c r="FV121" s="1" t="s">
        <v>2</v>
      </c>
    </row>
    <row r="122" spans="1:178" ht="16.25" customHeight="1" x14ac:dyDescent="0.2">
      <c r="A122" s="18" t="s">
        <v>177</v>
      </c>
      <c r="B122" s="1" t="s">
        <v>63</v>
      </c>
      <c r="C122" s="15" t="s">
        <v>1209</v>
      </c>
      <c r="H122" s="1" t="s">
        <v>1210</v>
      </c>
      <c r="J122" s="1" t="s">
        <v>70</v>
      </c>
      <c r="K122" s="1">
        <v>0</v>
      </c>
      <c r="AF122" s="1">
        <v>0</v>
      </c>
      <c r="BA122" s="1">
        <v>1.05</v>
      </c>
      <c r="BB122" s="14">
        <v>0.2</v>
      </c>
      <c r="BI122" s="14">
        <v>2</v>
      </c>
      <c r="BJ122" s="13">
        <v>0.06</v>
      </c>
      <c r="BV122" s="1">
        <v>0</v>
      </c>
      <c r="CQ122" s="1">
        <v>0</v>
      </c>
      <c r="DL122" s="18" t="s">
        <v>96</v>
      </c>
      <c r="DM122" s="1" t="s">
        <v>96</v>
      </c>
      <c r="DN122" s="1">
        <f t="shared" si="43"/>
        <v>2</v>
      </c>
      <c r="DO122" s="1">
        <f t="shared" si="44"/>
        <v>0.06</v>
      </c>
      <c r="DP122" s="1" t="s">
        <v>399</v>
      </c>
      <c r="DQ122" s="1" t="s">
        <v>2</v>
      </c>
      <c r="DR122" s="16">
        <f t="shared" si="45"/>
        <v>1.05</v>
      </c>
      <c r="DS122" s="16">
        <f t="shared" si="46"/>
        <v>2</v>
      </c>
      <c r="DT122" s="101">
        <f t="shared" si="47"/>
        <v>21</v>
      </c>
      <c r="DV122" s="16">
        <f t="shared" si="48"/>
        <v>0</v>
      </c>
      <c r="DZ122" s="37" t="s">
        <v>2</v>
      </c>
      <c r="EA122" s="37"/>
      <c r="EM122" s="73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55"/>
      <c r="FG122" s="55"/>
      <c r="FH122" s="55"/>
      <c r="FI122" s="37"/>
      <c r="FJ122" s="55"/>
      <c r="FK122" s="55"/>
      <c r="FL122" s="45"/>
      <c r="FM122" s="37"/>
      <c r="FN122" s="37"/>
      <c r="FO122" s="37"/>
      <c r="FP122" s="55"/>
      <c r="FQ122" s="1" t="s">
        <v>2</v>
      </c>
      <c r="FR122" s="1" t="s">
        <v>113</v>
      </c>
      <c r="FS122" s="1" t="s">
        <v>223</v>
      </c>
      <c r="FV122" s="1" t="s">
        <v>2</v>
      </c>
    </row>
    <row r="123" spans="1:178" ht="16.25" customHeight="1" x14ac:dyDescent="0.2">
      <c r="A123" s="18" t="s">
        <v>177</v>
      </c>
      <c r="B123" s="1" t="s">
        <v>63</v>
      </c>
      <c r="C123" s="15" t="s">
        <v>1211</v>
      </c>
      <c r="H123" s="1" t="s">
        <v>685</v>
      </c>
      <c r="J123" s="1" t="s">
        <v>70</v>
      </c>
      <c r="K123" s="1">
        <v>0</v>
      </c>
      <c r="AF123" s="1">
        <v>0</v>
      </c>
      <c r="BA123" s="1">
        <v>0.24</v>
      </c>
      <c r="BI123" s="1">
        <v>2.36</v>
      </c>
      <c r="BV123" s="1">
        <v>0</v>
      </c>
      <c r="CQ123" s="1">
        <v>0</v>
      </c>
      <c r="DL123" s="18" t="s">
        <v>96</v>
      </c>
      <c r="DN123" s="1">
        <f t="shared" si="43"/>
        <v>2.36</v>
      </c>
      <c r="DO123" s="1">
        <f t="shared" si="44"/>
        <v>0</v>
      </c>
      <c r="DP123" s="1" t="s">
        <v>67</v>
      </c>
      <c r="DQ123" s="1" t="s">
        <v>2</v>
      </c>
      <c r="DR123" s="16">
        <f t="shared" si="45"/>
        <v>0.24</v>
      </c>
      <c r="DS123" s="16">
        <f t="shared" si="46"/>
        <v>2.36</v>
      </c>
      <c r="DT123" s="101">
        <f t="shared" si="47"/>
        <v>5.6639999999999997</v>
      </c>
      <c r="DV123" s="16">
        <f t="shared" si="48"/>
        <v>0</v>
      </c>
      <c r="DZ123" s="37" t="s">
        <v>2</v>
      </c>
      <c r="EA123" s="37"/>
      <c r="EM123" s="73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55"/>
      <c r="FG123" s="55"/>
      <c r="FH123" s="55"/>
      <c r="FI123" s="37"/>
      <c r="FJ123" s="55"/>
      <c r="FK123" s="55"/>
      <c r="FL123" s="45"/>
      <c r="FM123" s="37"/>
      <c r="FN123" s="37"/>
      <c r="FO123" s="37"/>
      <c r="FP123" s="55"/>
      <c r="FQ123" s="1" t="s">
        <v>2</v>
      </c>
      <c r="FR123" s="1" t="s">
        <v>113</v>
      </c>
      <c r="FS123" s="1" t="s">
        <v>223</v>
      </c>
      <c r="FV123" s="1" t="s">
        <v>2</v>
      </c>
    </row>
    <row r="124" spans="1:178" ht="16.25" customHeight="1" x14ac:dyDescent="0.2">
      <c r="A124" s="18" t="s">
        <v>177</v>
      </c>
      <c r="B124" s="1" t="s">
        <v>63</v>
      </c>
      <c r="C124" s="79" t="s">
        <v>1114</v>
      </c>
      <c r="D124" s="1" t="s">
        <v>64</v>
      </c>
      <c r="H124" s="1" t="s">
        <v>1112</v>
      </c>
      <c r="J124" s="1" t="s">
        <v>70</v>
      </c>
      <c r="K124" s="1">
        <v>0</v>
      </c>
      <c r="AF124" s="1">
        <v>0</v>
      </c>
      <c r="BA124" s="1">
        <v>0.22700000000000001</v>
      </c>
      <c r="BB124" s="1">
        <v>0.06</v>
      </c>
      <c r="BI124" s="1">
        <v>1.7</v>
      </c>
      <c r="BV124" s="1">
        <v>0</v>
      </c>
      <c r="CQ124" s="1">
        <v>0</v>
      </c>
      <c r="DL124" s="18" t="s">
        <v>96</v>
      </c>
      <c r="DN124" s="1">
        <f t="shared" si="43"/>
        <v>1.7</v>
      </c>
      <c r="DO124" s="1">
        <f t="shared" si="44"/>
        <v>0</v>
      </c>
      <c r="DP124" s="1" t="s">
        <v>148</v>
      </c>
      <c r="DQ124" s="1" t="s">
        <v>2</v>
      </c>
      <c r="DR124" s="16">
        <f t="shared" si="45"/>
        <v>0.22700000000000001</v>
      </c>
      <c r="DS124" s="16">
        <f t="shared" si="46"/>
        <v>1.7</v>
      </c>
      <c r="DT124" s="101">
        <f t="shared" si="47"/>
        <v>3.859</v>
      </c>
      <c r="DV124" s="16">
        <f t="shared" si="48"/>
        <v>0</v>
      </c>
      <c r="DZ124" s="37" t="s">
        <v>2</v>
      </c>
      <c r="EA124" s="37"/>
      <c r="EM124" s="73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55"/>
      <c r="FG124" s="55"/>
      <c r="FH124" s="55"/>
      <c r="FI124" s="37"/>
      <c r="FJ124" s="55"/>
      <c r="FK124" s="55"/>
      <c r="FL124" s="45"/>
      <c r="FM124" s="37"/>
      <c r="FN124" s="37"/>
      <c r="FO124" s="37"/>
      <c r="FP124" s="55"/>
      <c r="FQ124" s="1" t="s">
        <v>2</v>
      </c>
      <c r="FR124" s="1" t="s">
        <v>113</v>
      </c>
      <c r="FS124" s="1" t="s">
        <v>223</v>
      </c>
      <c r="FV124" s="1" t="s">
        <v>2</v>
      </c>
    </row>
    <row r="125" spans="1:178" ht="16.25" customHeight="1" x14ac:dyDescent="0.2">
      <c r="A125" s="18" t="s">
        <v>177</v>
      </c>
      <c r="B125" s="1" t="s">
        <v>63</v>
      </c>
      <c r="C125" s="79" t="s">
        <v>1118</v>
      </c>
      <c r="D125" s="1" t="s">
        <v>64</v>
      </c>
      <c r="H125" s="1" t="s">
        <v>1119</v>
      </c>
      <c r="J125" s="1" t="s">
        <v>70</v>
      </c>
      <c r="K125" s="1">
        <v>0</v>
      </c>
      <c r="AF125" s="1">
        <v>0</v>
      </c>
      <c r="BA125" s="1">
        <v>0.35</v>
      </c>
      <c r="BI125" s="1">
        <v>0.9</v>
      </c>
      <c r="BV125" s="1">
        <v>0</v>
      </c>
      <c r="CQ125" s="1">
        <v>0</v>
      </c>
      <c r="DL125" s="18" t="s">
        <v>96</v>
      </c>
      <c r="DN125" s="1">
        <f t="shared" si="43"/>
        <v>0.9</v>
      </c>
      <c r="DO125" s="1">
        <f t="shared" si="44"/>
        <v>0</v>
      </c>
      <c r="DP125" s="1" t="s">
        <v>148</v>
      </c>
      <c r="DQ125" s="1" t="s">
        <v>2</v>
      </c>
      <c r="DR125" s="16">
        <f t="shared" si="45"/>
        <v>0.35</v>
      </c>
      <c r="DS125" s="16">
        <f t="shared" si="46"/>
        <v>0.9</v>
      </c>
      <c r="DT125" s="101">
        <f t="shared" si="47"/>
        <v>3.15</v>
      </c>
      <c r="DV125" s="16">
        <f t="shared" si="48"/>
        <v>0</v>
      </c>
      <c r="DZ125" s="37" t="s">
        <v>2</v>
      </c>
      <c r="EA125" s="37"/>
      <c r="EM125" s="73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55"/>
      <c r="FG125" s="55"/>
      <c r="FH125" s="55"/>
      <c r="FI125" s="37"/>
      <c r="FJ125" s="55"/>
      <c r="FK125" s="55"/>
      <c r="FL125" s="45"/>
      <c r="FM125" s="37"/>
      <c r="FN125" s="37"/>
      <c r="FO125" s="37"/>
      <c r="FP125" s="55"/>
      <c r="FQ125" s="1" t="s">
        <v>2</v>
      </c>
      <c r="FR125" s="1" t="s">
        <v>113</v>
      </c>
      <c r="FS125" s="1" t="s">
        <v>223</v>
      </c>
      <c r="FV125" s="1" t="s">
        <v>2</v>
      </c>
    </row>
    <row r="126" spans="1:178" ht="16.25" customHeight="1" x14ac:dyDescent="0.2">
      <c r="A126" s="18" t="s">
        <v>177</v>
      </c>
      <c r="B126" s="1" t="s">
        <v>63</v>
      </c>
      <c r="C126" s="15" t="s">
        <v>822</v>
      </c>
      <c r="D126" s="1" t="s">
        <v>69</v>
      </c>
      <c r="H126" s="1" t="s">
        <v>131</v>
      </c>
      <c r="J126" s="1" t="s">
        <v>70</v>
      </c>
      <c r="K126" s="1">
        <v>0</v>
      </c>
      <c r="AF126" s="2">
        <f>0.0013+0.0192+0.0087+0.1</f>
        <v>0.12920000000000001</v>
      </c>
      <c r="AG126" s="11">
        <v>0.2</v>
      </c>
      <c r="AN126" s="14">
        <f>(1.52*0.0013+3.28*0.0192+4.8*0.0087+2*0.1)/AF126</f>
        <v>2.3739318885448912</v>
      </c>
      <c r="AO126" s="1">
        <v>0.03</v>
      </c>
      <c r="BA126" s="2">
        <f>0.0753+0.142</f>
        <v>0.21729999999999999</v>
      </c>
      <c r="BB126" s="11">
        <v>0.2</v>
      </c>
      <c r="BI126" s="14">
        <f>(3.07*0.0753+2*0.142)/BA126</f>
        <v>2.3707823285780032</v>
      </c>
      <c r="BJ126" s="1">
        <v>0.03</v>
      </c>
      <c r="BV126" s="1">
        <v>0</v>
      </c>
      <c r="CQ126" s="1">
        <v>0</v>
      </c>
      <c r="DL126" s="18" t="s">
        <v>96</v>
      </c>
      <c r="DM126" s="1" t="s">
        <v>96</v>
      </c>
      <c r="DN126" s="1">
        <f t="shared" si="43"/>
        <v>2.3719567099567098</v>
      </c>
      <c r="DO126" s="1">
        <f t="shared" si="44"/>
        <v>2.9999999999999995E-2</v>
      </c>
      <c r="DP126" s="1" t="s">
        <v>148</v>
      </c>
      <c r="DQ126" s="1" t="s">
        <v>2</v>
      </c>
      <c r="DR126" s="103">
        <f t="shared" si="45"/>
        <v>0.34650000000000003</v>
      </c>
      <c r="DS126" s="100">
        <f t="shared" si="46"/>
        <v>2.3719567099567098</v>
      </c>
      <c r="DT126" s="101">
        <f t="shared" si="47"/>
        <v>8.2188300000000005</v>
      </c>
      <c r="DV126" s="16">
        <f t="shared" si="48"/>
        <v>0</v>
      </c>
      <c r="DZ126" s="37" t="s">
        <v>2</v>
      </c>
      <c r="EA126" s="37"/>
      <c r="EM126" s="73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55"/>
      <c r="FG126" s="55"/>
      <c r="FH126" s="55"/>
      <c r="FI126" s="37"/>
      <c r="FJ126" s="55"/>
      <c r="FK126" s="55"/>
      <c r="FL126" s="45"/>
      <c r="FM126" s="37"/>
      <c r="FN126" s="37"/>
      <c r="FO126" s="37"/>
      <c r="FP126" s="55"/>
      <c r="FQ126" s="1" t="s">
        <v>2</v>
      </c>
      <c r="FR126" s="1" t="s">
        <v>113</v>
      </c>
      <c r="FS126" s="1" t="s">
        <v>223</v>
      </c>
      <c r="FV126" s="1" t="s">
        <v>2</v>
      </c>
    </row>
    <row r="127" spans="1:178" ht="16.25" customHeight="1" x14ac:dyDescent="0.2">
      <c r="A127" s="18" t="s">
        <v>177</v>
      </c>
      <c r="B127" s="1" t="s">
        <v>63</v>
      </c>
      <c r="C127" s="79" t="s">
        <v>1332</v>
      </c>
      <c r="D127" s="1" t="s">
        <v>64</v>
      </c>
      <c r="H127" s="1" t="s">
        <v>1103</v>
      </c>
      <c r="J127" s="1" t="s">
        <v>70</v>
      </c>
      <c r="K127" s="1">
        <v>0</v>
      </c>
      <c r="AF127" s="1">
        <v>0</v>
      </c>
      <c r="BA127" s="1">
        <v>8.5999999999999993E-2</v>
      </c>
      <c r="BI127" s="1">
        <v>2</v>
      </c>
      <c r="BV127" s="1">
        <v>0</v>
      </c>
      <c r="CQ127" s="1">
        <v>0</v>
      </c>
      <c r="DL127" s="18" t="s">
        <v>96</v>
      </c>
      <c r="DN127" s="1">
        <f t="shared" si="43"/>
        <v>2</v>
      </c>
      <c r="DO127" s="1">
        <f t="shared" si="44"/>
        <v>0</v>
      </c>
      <c r="DP127" s="1" t="s">
        <v>148</v>
      </c>
      <c r="DQ127" s="1" t="s">
        <v>2</v>
      </c>
      <c r="DR127" s="16">
        <f t="shared" si="45"/>
        <v>8.5999999999999993E-2</v>
      </c>
      <c r="DS127" s="16">
        <f t="shared" si="46"/>
        <v>2</v>
      </c>
      <c r="DT127" s="101">
        <f t="shared" si="47"/>
        <v>1.72</v>
      </c>
      <c r="DV127" s="16">
        <f t="shared" si="48"/>
        <v>0</v>
      </c>
      <c r="DZ127" s="37" t="s">
        <v>2</v>
      </c>
      <c r="EA127" s="37"/>
      <c r="EM127" s="73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55"/>
      <c r="FG127" s="55"/>
      <c r="FH127" s="55"/>
      <c r="FI127" s="37"/>
      <c r="FJ127" s="55"/>
      <c r="FK127" s="55"/>
      <c r="FL127" s="45"/>
      <c r="FM127" s="37"/>
      <c r="FN127" s="37"/>
      <c r="FO127" s="37"/>
      <c r="FP127" s="55"/>
      <c r="FQ127" s="1" t="s">
        <v>2</v>
      </c>
      <c r="FR127" s="1" t="s">
        <v>113</v>
      </c>
      <c r="FS127" s="1" t="s">
        <v>223</v>
      </c>
      <c r="FV127" s="1" t="s">
        <v>2</v>
      </c>
    </row>
    <row r="128" spans="1:178" ht="16.25" customHeight="1" x14ac:dyDescent="0.2">
      <c r="A128" s="18" t="s">
        <v>177</v>
      </c>
      <c r="B128" s="1" t="s">
        <v>63</v>
      </c>
      <c r="C128" s="15" t="s">
        <v>682</v>
      </c>
      <c r="D128" s="1" t="s">
        <v>69</v>
      </c>
      <c r="H128" s="1" t="s">
        <v>131</v>
      </c>
      <c r="J128" s="1" t="s">
        <v>70</v>
      </c>
      <c r="K128" s="1">
        <v>0</v>
      </c>
      <c r="AF128" s="1">
        <v>0</v>
      </c>
      <c r="BA128" s="13">
        <f>0.637+0.835+0.141+0.092605</f>
        <v>1.705605</v>
      </c>
      <c r="BI128" s="14">
        <f>(1*0.637+0.7*0.835+1.6*0.141+2.87*0.092605)/BA128</f>
        <v>1.004263208656166</v>
      </c>
      <c r="BV128" s="1">
        <v>0</v>
      </c>
      <c r="CQ128" s="2">
        <v>3.8934999999999997E-2</v>
      </c>
      <c r="CY128" s="1">
        <v>2.94</v>
      </c>
      <c r="DL128" s="18" t="s">
        <v>96</v>
      </c>
      <c r="DN128" s="1">
        <f t="shared" si="43"/>
        <v>1.004263208656166</v>
      </c>
      <c r="DO128" s="1">
        <f t="shared" si="44"/>
        <v>0</v>
      </c>
      <c r="DP128" s="1" t="s">
        <v>148</v>
      </c>
      <c r="DQ128" s="1" t="s">
        <v>2</v>
      </c>
      <c r="DR128" s="103">
        <f t="shared" si="45"/>
        <v>1.705605</v>
      </c>
      <c r="DS128" s="100">
        <f t="shared" si="46"/>
        <v>1.004263208656166</v>
      </c>
      <c r="DT128" s="101">
        <f t="shared" si="47"/>
        <v>17.128763500000002</v>
      </c>
      <c r="DV128" s="103">
        <f t="shared" si="48"/>
        <v>3.8934999999999997E-2</v>
      </c>
      <c r="DW128" s="100">
        <f>(BV128*CD128+CQ128*CY128)/DV128</f>
        <v>2.94</v>
      </c>
      <c r="DX128" s="101">
        <f>1000*DV128*DW128/100</f>
        <v>1.1446889999999998</v>
      </c>
      <c r="DZ128" s="37" t="s">
        <v>2</v>
      </c>
      <c r="EA128" s="37"/>
      <c r="EM128" s="73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55"/>
      <c r="FG128" s="55"/>
      <c r="FH128" s="55"/>
      <c r="FI128" s="37"/>
      <c r="FJ128" s="55"/>
      <c r="FK128" s="55"/>
      <c r="FL128" s="45"/>
      <c r="FM128" s="37"/>
      <c r="FN128" s="37"/>
      <c r="FO128" s="37"/>
      <c r="FP128" s="55"/>
      <c r="FQ128" s="1" t="s">
        <v>2</v>
      </c>
      <c r="FR128" s="1" t="s">
        <v>113</v>
      </c>
      <c r="FS128" s="1" t="s">
        <v>223</v>
      </c>
      <c r="FV128" s="1" t="s">
        <v>2</v>
      </c>
    </row>
    <row r="129" spans="1:178" ht="16.25" customHeight="1" x14ac:dyDescent="0.2">
      <c r="A129" s="18" t="s">
        <v>177</v>
      </c>
      <c r="B129" s="1" t="s">
        <v>63</v>
      </c>
      <c r="C129" s="15" t="s">
        <v>419</v>
      </c>
      <c r="D129" s="1" t="s">
        <v>69</v>
      </c>
      <c r="G129" s="1" t="s">
        <v>65</v>
      </c>
      <c r="H129" s="1" t="s">
        <v>420</v>
      </c>
      <c r="J129" s="1" t="s">
        <v>70</v>
      </c>
      <c r="K129" s="1">
        <v>0</v>
      </c>
      <c r="AF129" s="1">
        <f>1.7+0.24+1.8</f>
        <v>3.74</v>
      </c>
      <c r="AN129" s="14">
        <f>(2*1.7+2.9*0.24+1.7*1.8)/AF129</f>
        <v>1.9133689839572192</v>
      </c>
      <c r="BA129" s="1">
        <f>0.3+0.02+0.1</f>
        <v>0.42000000000000004</v>
      </c>
      <c r="BI129" s="14">
        <f>(1.5*0.3+1.9*0.02+1.5*0.1)/BA129</f>
        <v>1.5190476190476188</v>
      </c>
      <c r="BV129" s="1">
        <v>0</v>
      </c>
      <c r="CQ129" s="1">
        <v>0</v>
      </c>
      <c r="DL129" s="18" t="s">
        <v>96</v>
      </c>
      <c r="DN129" s="1">
        <f t="shared" si="43"/>
        <v>1.8735576923076924</v>
      </c>
      <c r="DO129" s="1">
        <f t="shared" si="44"/>
        <v>0</v>
      </c>
      <c r="DP129" s="1" t="s">
        <v>67</v>
      </c>
      <c r="DQ129" s="1" t="s">
        <v>2</v>
      </c>
      <c r="DR129" s="16">
        <f t="shared" si="45"/>
        <v>4.16</v>
      </c>
      <c r="DS129" s="100">
        <f t="shared" si="46"/>
        <v>1.8735576923076924</v>
      </c>
      <c r="DT129" s="101">
        <f t="shared" si="47"/>
        <v>77.940000000000012</v>
      </c>
      <c r="DV129" s="16">
        <f t="shared" si="48"/>
        <v>0</v>
      </c>
      <c r="DZ129" s="37" t="s">
        <v>2</v>
      </c>
      <c r="EA129" s="37"/>
      <c r="EM129" s="73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55"/>
      <c r="FG129" s="55"/>
      <c r="FH129" s="55"/>
      <c r="FI129" s="37"/>
      <c r="FJ129" s="55"/>
      <c r="FK129" s="55"/>
      <c r="FL129" s="45"/>
      <c r="FM129" s="37"/>
      <c r="FN129" s="37"/>
      <c r="FO129" s="37"/>
      <c r="FP129" s="55"/>
      <c r="FQ129" s="1" t="s">
        <v>2</v>
      </c>
      <c r="FR129" s="1" t="s">
        <v>113</v>
      </c>
      <c r="FS129" s="1" t="s">
        <v>223</v>
      </c>
      <c r="FV129" s="1" t="s">
        <v>2</v>
      </c>
    </row>
    <row r="130" spans="1:178" ht="16.25" customHeight="1" x14ac:dyDescent="0.2">
      <c r="A130" s="18" t="s">
        <v>177</v>
      </c>
      <c r="B130" s="1" t="s">
        <v>63</v>
      </c>
      <c r="C130" s="15" t="s">
        <v>1093</v>
      </c>
      <c r="D130" s="1" t="s">
        <v>69</v>
      </c>
      <c r="H130" s="1" t="s">
        <v>131</v>
      </c>
      <c r="J130" s="1" t="s">
        <v>70</v>
      </c>
      <c r="K130" s="1">
        <v>0</v>
      </c>
      <c r="AF130" s="1">
        <v>0</v>
      </c>
      <c r="BA130" s="1">
        <v>0.57299999999999995</v>
      </c>
      <c r="BB130" s="1">
        <v>1.19</v>
      </c>
      <c r="BI130" s="1">
        <v>1.63</v>
      </c>
      <c r="BJ130" s="1">
        <v>8.2000000000000003E-2</v>
      </c>
      <c r="BK130" s="1">
        <v>0.85</v>
      </c>
      <c r="BL130" s="1">
        <v>1.49</v>
      </c>
      <c r="BV130" s="1">
        <v>0</v>
      </c>
      <c r="CQ130" s="1">
        <v>0</v>
      </c>
      <c r="DL130" s="18" t="s">
        <v>96</v>
      </c>
      <c r="DM130" s="1" t="s">
        <v>96</v>
      </c>
      <c r="DN130" s="1">
        <f t="shared" si="43"/>
        <v>1.63</v>
      </c>
      <c r="DO130" s="1">
        <f t="shared" si="44"/>
        <v>8.2000000000000003E-2</v>
      </c>
      <c r="DP130" s="1" t="s">
        <v>67</v>
      </c>
      <c r="DQ130" s="1" t="s">
        <v>2</v>
      </c>
      <c r="DR130" s="16">
        <f t="shared" si="45"/>
        <v>0.57299999999999995</v>
      </c>
      <c r="DS130" s="16">
        <f t="shared" si="46"/>
        <v>1.63</v>
      </c>
      <c r="DT130" s="101">
        <f t="shared" si="47"/>
        <v>9.3398999999999983</v>
      </c>
      <c r="DV130" s="16">
        <f t="shared" si="48"/>
        <v>0</v>
      </c>
      <c r="DZ130" s="37" t="s">
        <v>2</v>
      </c>
      <c r="EA130" s="37"/>
      <c r="EM130" s="73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55"/>
      <c r="FG130" s="55"/>
      <c r="FH130" s="55"/>
      <c r="FI130" s="37"/>
      <c r="FJ130" s="55"/>
      <c r="FK130" s="55"/>
      <c r="FL130" s="45"/>
      <c r="FM130" s="37"/>
      <c r="FN130" s="37"/>
      <c r="FO130" s="37"/>
      <c r="FP130" s="55"/>
      <c r="FQ130" s="1" t="s">
        <v>2</v>
      </c>
      <c r="FR130" s="1" t="s">
        <v>113</v>
      </c>
      <c r="FS130" s="1" t="s">
        <v>223</v>
      </c>
      <c r="FV130" s="1" t="s">
        <v>2</v>
      </c>
    </row>
    <row r="131" spans="1:178" ht="16.25" customHeight="1" x14ac:dyDescent="0.2">
      <c r="A131" s="18" t="s">
        <v>177</v>
      </c>
      <c r="B131" s="1" t="s">
        <v>63</v>
      </c>
      <c r="C131" s="15" t="s">
        <v>376</v>
      </c>
      <c r="D131" s="1" t="s">
        <v>64</v>
      </c>
      <c r="G131" s="1" t="s">
        <v>65</v>
      </c>
      <c r="H131" s="1" t="s">
        <v>356</v>
      </c>
      <c r="J131" s="1" t="s">
        <v>70</v>
      </c>
      <c r="K131" s="1">
        <v>0</v>
      </c>
      <c r="AF131" s="1">
        <v>2.58</v>
      </c>
      <c r="AG131" s="11">
        <v>0.2</v>
      </c>
      <c r="AN131" s="14">
        <v>2</v>
      </c>
      <c r="AO131" s="11">
        <v>0.03</v>
      </c>
      <c r="BA131" s="1">
        <v>4.8049999999999997</v>
      </c>
      <c r="BB131" s="11">
        <v>0.2</v>
      </c>
      <c r="BI131" s="1">
        <v>1.5</v>
      </c>
      <c r="BJ131" s="11">
        <v>0.03</v>
      </c>
      <c r="BV131" s="1">
        <v>0</v>
      </c>
      <c r="CQ131" s="1">
        <v>0</v>
      </c>
      <c r="DL131" s="18" t="s">
        <v>96</v>
      </c>
      <c r="DM131" s="1" t="s">
        <v>96</v>
      </c>
      <c r="DN131" s="1">
        <f t="shared" si="43"/>
        <v>1.6746784021665537</v>
      </c>
      <c r="DO131" s="1">
        <f t="shared" si="44"/>
        <v>2.9999999999999995E-2</v>
      </c>
      <c r="DP131" s="1" t="s">
        <v>67</v>
      </c>
      <c r="DQ131" s="1" t="s">
        <v>2</v>
      </c>
      <c r="DR131" s="16">
        <f t="shared" si="45"/>
        <v>7.3849999999999998</v>
      </c>
      <c r="DS131" s="100">
        <f t="shared" si="46"/>
        <v>1.6746784021665537</v>
      </c>
      <c r="DT131" s="101">
        <f t="shared" si="47"/>
        <v>123.675</v>
      </c>
      <c r="DV131" s="16">
        <f t="shared" si="48"/>
        <v>0</v>
      </c>
      <c r="DZ131" s="37" t="s">
        <v>2</v>
      </c>
      <c r="EA131" s="37"/>
      <c r="EM131" s="73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55"/>
      <c r="FG131" s="55"/>
      <c r="FH131" s="55"/>
      <c r="FI131" s="37"/>
      <c r="FJ131" s="55"/>
      <c r="FK131" s="55"/>
      <c r="FL131" s="45"/>
      <c r="FM131" s="37"/>
      <c r="FN131" s="37"/>
      <c r="FO131" s="37"/>
      <c r="FP131" s="55"/>
      <c r="FQ131" s="1" t="s">
        <v>2</v>
      </c>
      <c r="FR131" s="1" t="s">
        <v>113</v>
      </c>
      <c r="FS131" s="1" t="s">
        <v>223</v>
      </c>
      <c r="FV131" s="1" t="s">
        <v>2</v>
      </c>
    </row>
    <row r="132" spans="1:178" ht="16.25" customHeight="1" x14ac:dyDescent="0.2">
      <c r="A132" s="18" t="s">
        <v>177</v>
      </c>
      <c r="B132" s="1" t="s">
        <v>63</v>
      </c>
      <c r="C132" s="79" t="s">
        <v>214</v>
      </c>
      <c r="D132" s="1" t="s">
        <v>69</v>
      </c>
      <c r="E132" s="23">
        <f>-4-40/60</f>
        <v>-4.666666666666667</v>
      </c>
      <c r="F132" s="23">
        <f>141+56/60</f>
        <v>141.93333333333334</v>
      </c>
      <c r="G132" s="1" t="s">
        <v>72</v>
      </c>
      <c r="H132" s="1" t="s">
        <v>215</v>
      </c>
      <c r="J132" s="1" t="s">
        <v>70</v>
      </c>
      <c r="K132" s="1">
        <v>0</v>
      </c>
      <c r="AF132" s="1">
        <v>0.06</v>
      </c>
      <c r="AG132" s="1">
        <v>0.87</v>
      </c>
      <c r="AN132" s="1">
        <v>0.99</v>
      </c>
      <c r="AO132" s="1">
        <v>0.04</v>
      </c>
      <c r="AQ132" s="1">
        <v>0.24</v>
      </c>
      <c r="BA132" s="1">
        <v>0.09</v>
      </c>
      <c r="BB132" s="1">
        <v>0.87</v>
      </c>
      <c r="BI132" s="1">
        <v>1.05</v>
      </c>
      <c r="BJ132" s="1">
        <v>0.04</v>
      </c>
      <c r="BL132" s="1">
        <v>0.24</v>
      </c>
      <c r="BV132" s="1">
        <v>0</v>
      </c>
      <c r="CQ132" s="1">
        <v>0</v>
      </c>
      <c r="DL132" s="18" t="s">
        <v>96</v>
      </c>
      <c r="DM132" s="1" t="s">
        <v>96</v>
      </c>
      <c r="DN132" s="1">
        <f t="shared" ref="DN132:DN195" si="49">(S132*K132+AN132*AF132+BI132*BA132)/(K132+AF132+BA132)</f>
        <v>1.026</v>
      </c>
      <c r="DO132" s="1">
        <f t="shared" ref="DO132:DO195" si="50">(T132*K132+AO132*AF132+BJ132*BA132)/(K132+AF132+BA132)</f>
        <v>0.04</v>
      </c>
      <c r="DP132" s="1" t="s">
        <v>148</v>
      </c>
      <c r="DQ132" s="1" t="s">
        <v>2</v>
      </c>
      <c r="DR132" s="16">
        <f t="shared" ref="DR132:DR195" si="51">K132+AF132+BA132</f>
        <v>0.15</v>
      </c>
      <c r="DS132" s="100">
        <f t="shared" ref="DS132:DS195" si="52">(K132*S132+AF132*AN132+BA132*BI132)/DR132</f>
        <v>1.026</v>
      </c>
      <c r="DT132" s="101">
        <f t="shared" ref="DT132:DT195" si="53">1000*DR132*DS132/100</f>
        <v>1.5390000000000001</v>
      </c>
      <c r="DV132" s="16">
        <f t="shared" ref="DV132:DV195" si="54">BV132+CQ132</f>
        <v>0</v>
      </c>
      <c r="DZ132" s="37" t="s">
        <v>2</v>
      </c>
      <c r="EA132" s="37"/>
      <c r="EM132" s="73"/>
      <c r="EN132" s="37"/>
      <c r="EO132" s="37"/>
      <c r="EP132" s="37"/>
      <c r="EQ132" s="37"/>
      <c r="ER132" s="37"/>
      <c r="ES132" s="37"/>
      <c r="ET132" s="37"/>
      <c r="EU132" s="37"/>
      <c r="EV132" s="37"/>
      <c r="EW132" s="37"/>
      <c r="EX132" s="37"/>
      <c r="EY132" s="37"/>
      <c r="EZ132" s="37"/>
      <c r="FA132" s="37"/>
      <c r="FB132" s="37"/>
      <c r="FC132" s="37"/>
      <c r="FD132" s="37"/>
      <c r="FE132" s="37"/>
      <c r="FF132" s="55"/>
      <c r="FG132" s="55"/>
      <c r="FH132" s="55"/>
      <c r="FI132" s="37"/>
      <c r="FJ132" s="55"/>
      <c r="FK132" s="55"/>
      <c r="FL132" s="45"/>
      <c r="FM132" s="37"/>
      <c r="FN132" s="37"/>
      <c r="FO132" s="37"/>
      <c r="FP132" s="55"/>
      <c r="FQ132" s="1" t="s">
        <v>2</v>
      </c>
      <c r="FR132" s="1" t="s">
        <v>113</v>
      </c>
      <c r="FS132" s="1" t="s">
        <v>223</v>
      </c>
      <c r="FV132" s="1" t="s">
        <v>2</v>
      </c>
    </row>
    <row r="133" spans="1:178" ht="16.25" customHeight="1" x14ac:dyDescent="0.2">
      <c r="A133" s="18" t="s">
        <v>177</v>
      </c>
      <c r="B133" s="1" t="s">
        <v>63</v>
      </c>
      <c r="C133" s="15" t="s">
        <v>1077</v>
      </c>
      <c r="D133" s="1" t="s">
        <v>69</v>
      </c>
      <c r="H133" s="1" t="s">
        <v>131</v>
      </c>
      <c r="J133" s="1" t="s">
        <v>70</v>
      </c>
      <c r="K133" s="1">
        <v>0</v>
      </c>
      <c r="AF133" s="1">
        <v>1.41</v>
      </c>
      <c r="AG133" s="1">
        <v>0.4</v>
      </c>
      <c r="AN133" s="1">
        <v>1.7</v>
      </c>
      <c r="AP133" s="1">
        <v>0.8</v>
      </c>
      <c r="AQ133" s="14">
        <v>1</v>
      </c>
      <c r="BA133" s="1">
        <v>0.53</v>
      </c>
      <c r="BB133" s="1">
        <v>0.4</v>
      </c>
      <c r="BI133" s="1">
        <v>1.6</v>
      </c>
      <c r="BK133" s="1">
        <v>0.9</v>
      </c>
      <c r="BL133" s="1">
        <v>1.3</v>
      </c>
      <c r="BV133" s="1">
        <v>0</v>
      </c>
      <c r="CQ133" s="1">
        <v>0</v>
      </c>
      <c r="DL133" s="18" t="s">
        <v>96</v>
      </c>
      <c r="DN133" s="1">
        <f t="shared" si="49"/>
        <v>1.6726804123711341</v>
      </c>
      <c r="DO133" s="1">
        <f t="shared" si="50"/>
        <v>0</v>
      </c>
      <c r="DP133" s="1" t="s">
        <v>67</v>
      </c>
      <c r="DQ133" s="1" t="s">
        <v>2</v>
      </c>
      <c r="DR133" s="16">
        <f t="shared" si="51"/>
        <v>1.94</v>
      </c>
      <c r="DS133" s="100">
        <f t="shared" si="52"/>
        <v>1.6726804123711341</v>
      </c>
      <c r="DT133" s="101">
        <f t="shared" si="53"/>
        <v>32.450000000000003</v>
      </c>
      <c r="DV133" s="16">
        <f t="shared" si="54"/>
        <v>0</v>
      </c>
      <c r="DZ133" s="37" t="s">
        <v>2</v>
      </c>
      <c r="EA133" s="37"/>
      <c r="EM133" s="73"/>
      <c r="EN133" s="37"/>
      <c r="EO133" s="37"/>
      <c r="EP133" s="37"/>
      <c r="EQ133" s="37"/>
      <c r="ER133" s="37"/>
      <c r="ES133" s="37"/>
      <c r="ET133" s="37"/>
      <c r="EU133" s="37"/>
      <c r="EV133" s="37"/>
      <c r="EW133" s="37"/>
      <c r="EX133" s="37"/>
      <c r="EY133" s="37"/>
      <c r="EZ133" s="37"/>
      <c r="FA133" s="37"/>
      <c r="FB133" s="37"/>
      <c r="FC133" s="37"/>
      <c r="FD133" s="37"/>
      <c r="FE133" s="37"/>
      <c r="FF133" s="55"/>
      <c r="FG133" s="55"/>
      <c r="FH133" s="55"/>
      <c r="FI133" s="37"/>
      <c r="FJ133" s="55"/>
      <c r="FK133" s="55"/>
      <c r="FL133" s="45"/>
      <c r="FM133" s="37"/>
      <c r="FN133" s="37"/>
      <c r="FO133" s="37"/>
      <c r="FP133" s="55"/>
      <c r="FQ133" s="1" t="s">
        <v>2</v>
      </c>
      <c r="FR133" s="1" t="s">
        <v>113</v>
      </c>
      <c r="FS133" s="1" t="s">
        <v>223</v>
      </c>
      <c r="FV133" s="1" t="s">
        <v>2</v>
      </c>
    </row>
    <row r="134" spans="1:178" ht="16.25" customHeight="1" x14ac:dyDescent="0.2">
      <c r="A134" s="18" t="s">
        <v>177</v>
      </c>
      <c r="B134" s="1" t="s">
        <v>63</v>
      </c>
      <c r="C134" s="15" t="s">
        <v>430</v>
      </c>
      <c r="D134" s="1" t="s">
        <v>69</v>
      </c>
      <c r="G134" s="1" t="s">
        <v>72</v>
      </c>
      <c r="H134" s="1" t="s">
        <v>431</v>
      </c>
      <c r="J134" s="1" t="s">
        <v>70</v>
      </c>
      <c r="K134" s="1">
        <v>0</v>
      </c>
      <c r="AF134" s="1">
        <v>0</v>
      </c>
      <c r="BA134" s="2">
        <v>5.721787</v>
      </c>
      <c r="BB134" s="1">
        <v>0.04</v>
      </c>
      <c r="BI134" s="1">
        <v>0.7</v>
      </c>
      <c r="BK134" s="1">
        <v>6.0999999999999999E-2</v>
      </c>
      <c r="BL134" s="1">
        <v>8.2000000000000003E-2</v>
      </c>
      <c r="BV134" s="1">
        <v>0</v>
      </c>
      <c r="CQ134" s="1">
        <v>0</v>
      </c>
      <c r="DL134" s="18" t="s">
        <v>96</v>
      </c>
      <c r="DN134" s="1">
        <f t="shared" si="49"/>
        <v>0.70000000000000007</v>
      </c>
      <c r="DO134" s="1">
        <f t="shared" si="50"/>
        <v>0</v>
      </c>
      <c r="DP134" s="1" t="s">
        <v>67</v>
      </c>
      <c r="DQ134" s="1" t="s">
        <v>2</v>
      </c>
      <c r="DR134" s="103">
        <f t="shared" si="51"/>
        <v>5.721787</v>
      </c>
      <c r="DS134" s="16">
        <f t="shared" si="52"/>
        <v>0.70000000000000007</v>
      </c>
      <c r="DT134" s="101">
        <f t="shared" si="53"/>
        <v>40.052509000000008</v>
      </c>
      <c r="DV134" s="16">
        <f t="shared" si="54"/>
        <v>0</v>
      </c>
      <c r="DZ134" s="37" t="s">
        <v>2</v>
      </c>
      <c r="EA134" s="37"/>
      <c r="EM134" s="73"/>
      <c r="EN134" s="37"/>
      <c r="EO134" s="37"/>
      <c r="EP134" s="37"/>
      <c r="EQ134" s="37"/>
      <c r="ER134" s="37"/>
      <c r="ES134" s="37"/>
      <c r="ET134" s="37"/>
      <c r="EU134" s="37"/>
      <c r="EV134" s="37"/>
      <c r="EW134" s="37"/>
      <c r="EX134" s="37"/>
      <c r="EY134" s="37"/>
      <c r="EZ134" s="37"/>
      <c r="FA134" s="37"/>
      <c r="FB134" s="37"/>
      <c r="FC134" s="37"/>
      <c r="FD134" s="37"/>
      <c r="FE134" s="37"/>
      <c r="FF134" s="55"/>
      <c r="FG134" s="55"/>
      <c r="FH134" s="55"/>
      <c r="FI134" s="37"/>
      <c r="FJ134" s="55"/>
      <c r="FK134" s="55"/>
      <c r="FL134" s="45"/>
      <c r="FM134" s="37"/>
      <c r="FN134" s="37"/>
      <c r="FO134" s="37"/>
      <c r="FP134" s="55"/>
      <c r="FQ134" s="1" t="s">
        <v>2</v>
      </c>
      <c r="FR134" s="1" t="s">
        <v>113</v>
      </c>
      <c r="FS134" s="1" t="s">
        <v>223</v>
      </c>
      <c r="FV134" s="1" t="s">
        <v>2</v>
      </c>
    </row>
    <row r="135" spans="1:178" ht="16.25" customHeight="1" x14ac:dyDescent="0.2">
      <c r="A135" s="18" t="s">
        <v>177</v>
      </c>
      <c r="B135" s="1" t="s">
        <v>63</v>
      </c>
      <c r="C135" s="15" t="s">
        <v>1064</v>
      </c>
      <c r="D135" s="1" t="s">
        <v>69</v>
      </c>
      <c r="H135" s="1" t="s">
        <v>131</v>
      </c>
      <c r="J135" s="1" t="s">
        <v>70</v>
      </c>
      <c r="K135" s="1">
        <v>0</v>
      </c>
      <c r="AF135" s="1">
        <v>0.57899999999999996</v>
      </c>
      <c r="AG135" s="11">
        <v>0.2</v>
      </c>
      <c r="AN135" s="1">
        <v>2.21</v>
      </c>
      <c r="AO135" s="11">
        <v>0.03</v>
      </c>
      <c r="BA135" s="1">
        <f>0.245+0.164</f>
        <v>0.40900000000000003</v>
      </c>
      <c r="BB135" s="11">
        <v>0.2</v>
      </c>
      <c r="BI135" s="14">
        <f>(2.2*0.245+4.13*0.164)/BA135</f>
        <v>2.9738875305623473</v>
      </c>
      <c r="BJ135" s="11">
        <v>0.03</v>
      </c>
      <c r="BV135" s="1">
        <v>0</v>
      </c>
      <c r="CQ135" s="1">
        <v>0</v>
      </c>
      <c r="DL135" s="18" t="s">
        <v>96</v>
      </c>
      <c r="DM135" s="1" t="s">
        <v>96</v>
      </c>
      <c r="DN135" s="1">
        <f t="shared" si="49"/>
        <v>2.5262246963562753</v>
      </c>
      <c r="DO135" s="1">
        <f t="shared" si="50"/>
        <v>2.9999999999999995E-2</v>
      </c>
      <c r="DP135" s="1" t="s">
        <v>148</v>
      </c>
      <c r="DQ135" s="1" t="s">
        <v>2</v>
      </c>
      <c r="DR135" s="16">
        <f t="shared" si="51"/>
        <v>0.98799999999999999</v>
      </c>
      <c r="DS135" s="100">
        <f t="shared" si="52"/>
        <v>2.5262246963562753</v>
      </c>
      <c r="DT135" s="101">
        <f t="shared" si="53"/>
        <v>24.959099999999999</v>
      </c>
      <c r="DV135" s="16">
        <f t="shared" si="54"/>
        <v>0</v>
      </c>
      <c r="DZ135" s="37" t="s">
        <v>2</v>
      </c>
      <c r="EA135" s="37"/>
      <c r="EM135" s="73"/>
      <c r="EN135" s="37"/>
      <c r="EO135" s="37"/>
      <c r="EP135" s="37"/>
      <c r="EQ135" s="37"/>
      <c r="ER135" s="37"/>
      <c r="ES135" s="37"/>
      <c r="ET135" s="37"/>
      <c r="EU135" s="37"/>
      <c r="EV135" s="37"/>
      <c r="EW135" s="37"/>
      <c r="EX135" s="37"/>
      <c r="EY135" s="37"/>
      <c r="EZ135" s="37"/>
      <c r="FA135" s="37"/>
      <c r="FB135" s="37"/>
      <c r="FC135" s="37"/>
      <c r="FD135" s="37"/>
      <c r="FE135" s="37"/>
      <c r="FF135" s="55"/>
      <c r="FG135" s="55"/>
      <c r="FH135" s="55"/>
      <c r="FI135" s="37"/>
      <c r="FJ135" s="55"/>
      <c r="FK135" s="55"/>
      <c r="FL135" s="45"/>
      <c r="FM135" s="37"/>
      <c r="FN135" s="37"/>
      <c r="FO135" s="37"/>
      <c r="FP135" s="55"/>
      <c r="FQ135" s="1" t="s">
        <v>2</v>
      </c>
      <c r="FR135" s="1" t="s">
        <v>113</v>
      </c>
      <c r="FS135" s="1" t="s">
        <v>223</v>
      </c>
      <c r="FV135" s="1" t="s">
        <v>2</v>
      </c>
    </row>
    <row r="136" spans="1:178" ht="16.25" customHeight="1" x14ac:dyDescent="0.2">
      <c r="A136" s="18" t="s">
        <v>177</v>
      </c>
      <c r="B136" s="1" t="s">
        <v>63</v>
      </c>
      <c r="C136" s="15" t="s">
        <v>1212</v>
      </c>
      <c r="H136" s="1" t="s">
        <v>1213</v>
      </c>
      <c r="J136" s="1" t="s">
        <v>70</v>
      </c>
      <c r="K136" s="1">
        <v>0</v>
      </c>
      <c r="AF136" s="1">
        <v>0</v>
      </c>
      <c r="BA136" s="1">
        <v>0.39</v>
      </c>
      <c r="BI136" s="1">
        <v>3.78</v>
      </c>
      <c r="BV136" s="1">
        <v>0</v>
      </c>
      <c r="CQ136" s="1">
        <v>0</v>
      </c>
      <c r="DL136" s="18" t="s">
        <v>96</v>
      </c>
      <c r="DN136" s="1">
        <f t="shared" si="49"/>
        <v>3.78</v>
      </c>
      <c r="DO136" s="1">
        <f t="shared" si="50"/>
        <v>0</v>
      </c>
      <c r="DP136" s="1" t="s">
        <v>148</v>
      </c>
      <c r="DQ136" s="1" t="s">
        <v>2</v>
      </c>
      <c r="DR136" s="16">
        <f t="shared" si="51"/>
        <v>0.39</v>
      </c>
      <c r="DS136" s="16">
        <f t="shared" si="52"/>
        <v>3.78</v>
      </c>
      <c r="DT136" s="101">
        <f t="shared" si="53"/>
        <v>14.741999999999997</v>
      </c>
      <c r="DV136" s="16">
        <f t="shared" si="54"/>
        <v>0</v>
      </c>
      <c r="DZ136" s="37" t="s">
        <v>2</v>
      </c>
      <c r="EA136" s="37"/>
      <c r="EM136" s="73"/>
      <c r="EN136" s="37"/>
      <c r="EO136" s="37"/>
      <c r="EP136" s="37"/>
      <c r="EQ136" s="37"/>
      <c r="ER136" s="37"/>
      <c r="ES136" s="37"/>
      <c r="ET136" s="37"/>
      <c r="EU136" s="37"/>
      <c r="EV136" s="37"/>
      <c r="EW136" s="37"/>
      <c r="EX136" s="37"/>
      <c r="EY136" s="37"/>
      <c r="EZ136" s="37"/>
      <c r="FA136" s="37"/>
      <c r="FB136" s="37"/>
      <c r="FC136" s="37"/>
      <c r="FD136" s="37"/>
      <c r="FE136" s="37"/>
      <c r="FF136" s="55"/>
      <c r="FG136" s="55"/>
      <c r="FH136" s="55"/>
      <c r="FI136" s="37"/>
      <c r="FJ136" s="55"/>
      <c r="FK136" s="55"/>
      <c r="FL136" s="45"/>
      <c r="FM136" s="37"/>
      <c r="FN136" s="37"/>
      <c r="FO136" s="37"/>
      <c r="FP136" s="55"/>
      <c r="FQ136" s="1" t="s">
        <v>2</v>
      </c>
      <c r="FR136" s="1" t="s">
        <v>113</v>
      </c>
      <c r="FS136" s="1" t="s">
        <v>223</v>
      </c>
      <c r="FV136" s="1" t="s">
        <v>2</v>
      </c>
    </row>
    <row r="137" spans="1:178" ht="16.25" customHeight="1" x14ac:dyDescent="0.2">
      <c r="A137" s="18" t="s">
        <v>177</v>
      </c>
      <c r="B137" s="1" t="s">
        <v>63</v>
      </c>
      <c r="C137" s="79" t="s">
        <v>1083</v>
      </c>
      <c r="D137" s="1" t="s">
        <v>69</v>
      </c>
      <c r="H137" s="1" t="s">
        <v>131</v>
      </c>
      <c r="J137" s="1" t="s">
        <v>70</v>
      </c>
      <c r="K137" s="1">
        <v>0</v>
      </c>
      <c r="AF137" s="1">
        <v>0</v>
      </c>
      <c r="BA137" s="2">
        <v>2.2302</v>
      </c>
      <c r="BI137" s="1">
        <v>0.52</v>
      </c>
      <c r="BV137" s="1">
        <v>0</v>
      </c>
      <c r="CQ137" s="1">
        <v>0</v>
      </c>
      <c r="DL137" s="18" t="s">
        <v>96</v>
      </c>
      <c r="DN137" s="1">
        <f t="shared" si="49"/>
        <v>0.52</v>
      </c>
      <c r="DO137" s="1">
        <f t="shared" si="50"/>
        <v>0</v>
      </c>
      <c r="DP137" s="1" t="s">
        <v>148</v>
      </c>
      <c r="DQ137" s="1" t="s">
        <v>2</v>
      </c>
      <c r="DR137" s="100">
        <f t="shared" si="51"/>
        <v>2.2302</v>
      </c>
      <c r="DS137" s="16">
        <f t="shared" si="52"/>
        <v>0.52</v>
      </c>
      <c r="DT137" s="101">
        <f t="shared" si="53"/>
        <v>11.59704</v>
      </c>
      <c r="DV137" s="16">
        <f t="shared" si="54"/>
        <v>0</v>
      </c>
      <c r="DZ137" s="37" t="s">
        <v>2</v>
      </c>
      <c r="EA137" s="37"/>
      <c r="EM137" s="73"/>
      <c r="EN137" s="37"/>
      <c r="EO137" s="37"/>
      <c r="EP137" s="37"/>
      <c r="EQ137" s="37"/>
      <c r="ER137" s="37"/>
      <c r="ES137" s="37"/>
      <c r="ET137" s="37"/>
      <c r="EU137" s="37"/>
      <c r="EV137" s="37"/>
      <c r="EW137" s="37"/>
      <c r="EX137" s="37"/>
      <c r="EY137" s="37"/>
      <c r="EZ137" s="37"/>
      <c r="FA137" s="37"/>
      <c r="FB137" s="37"/>
      <c r="FC137" s="37"/>
      <c r="FD137" s="37"/>
      <c r="FE137" s="37"/>
      <c r="FF137" s="55"/>
      <c r="FG137" s="55"/>
      <c r="FH137" s="55"/>
      <c r="FI137" s="37"/>
      <c r="FJ137" s="55"/>
      <c r="FK137" s="55"/>
      <c r="FL137" s="45"/>
      <c r="FM137" s="37"/>
      <c r="FN137" s="37"/>
      <c r="FO137" s="37"/>
      <c r="FP137" s="55"/>
      <c r="FQ137" s="1" t="s">
        <v>2</v>
      </c>
      <c r="FR137" s="1" t="s">
        <v>113</v>
      </c>
      <c r="FS137" s="1" t="s">
        <v>223</v>
      </c>
      <c r="FV137" s="1" t="s">
        <v>2</v>
      </c>
    </row>
    <row r="138" spans="1:178" ht="16.25" customHeight="1" x14ac:dyDescent="0.2">
      <c r="A138" s="18" t="s">
        <v>177</v>
      </c>
      <c r="B138" s="1" t="s">
        <v>63</v>
      </c>
      <c r="C138" s="79" t="s">
        <v>476</v>
      </c>
      <c r="D138" s="1" t="s">
        <v>69</v>
      </c>
      <c r="G138" s="1" t="s">
        <v>72</v>
      </c>
      <c r="H138" s="1" t="s">
        <v>131</v>
      </c>
      <c r="J138" s="1" t="s">
        <v>70</v>
      </c>
      <c r="K138" s="1">
        <v>0</v>
      </c>
      <c r="AF138" s="1">
        <v>0.25</v>
      </c>
      <c r="AN138" s="1">
        <v>2.4</v>
      </c>
      <c r="BA138" s="1">
        <v>0.46</v>
      </c>
      <c r="BI138" s="1">
        <v>2.2000000000000002</v>
      </c>
      <c r="BV138" s="1">
        <v>0</v>
      </c>
      <c r="CQ138" s="1">
        <v>0</v>
      </c>
      <c r="DL138" s="18" t="s">
        <v>96</v>
      </c>
      <c r="DN138" s="1">
        <f t="shared" si="49"/>
        <v>2.2704225352112677</v>
      </c>
      <c r="DO138" s="1">
        <f t="shared" si="50"/>
        <v>0</v>
      </c>
      <c r="DP138" s="1" t="s">
        <v>448</v>
      </c>
      <c r="DQ138" s="1" t="s">
        <v>2</v>
      </c>
      <c r="DR138" s="16">
        <f t="shared" si="51"/>
        <v>0.71</v>
      </c>
      <c r="DS138" s="100">
        <f t="shared" si="52"/>
        <v>2.2704225352112677</v>
      </c>
      <c r="DT138" s="101">
        <f t="shared" si="53"/>
        <v>16.12</v>
      </c>
      <c r="DV138" s="16">
        <f t="shared" si="54"/>
        <v>0</v>
      </c>
      <c r="DZ138" s="37" t="s">
        <v>2</v>
      </c>
      <c r="EA138" s="37"/>
      <c r="EM138" s="73"/>
      <c r="EN138" s="37"/>
      <c r="EO138" s="37"/>
      <c r="EP138" s="37"/>
      <c r="EQ138" s="37"/>
      <c r="ER138" s="37"/>
      <c r="ES138" s="37"/>
      <c r="ET138" s="37"/>
      <c r="EU138" s="37"/>
      <c r="EV138" s="37"/>
      <c r="EW138" s="37"/>
      <c r="EX138" s="37"/>
      <c r="EY138" s="37"/>
      <c r="EZ138" s="37"/>
      <c r="FA138" s="37"/>
      <c r="FB138" s="37"/>
      <c r="FC138" s="37"/>
      <c r="FD138" s="37"/>
      <c r="FE138" s="37"/>
      <c r="FF138" s="55"/>
      <c r="FG138" s="55"/>
      <c r="FH138" s="55"/>
      <c r="FI138" s="37"/>
      <c r="FJ138" s="55"/>
      <c r="FK138" s="55"/>
      <c r="FL138" s="45"/>
      <c r="FM138" s="37"/>
      <c r="FN138" s="37"/>
      <c r="FO138" s="37"/>
      <c r="FP138" s="55"/>
      <c r="FQ138" s="1" t="s">
        <v>2</v>
      </c>
      <c r="FR138" s="1" t="s">
        <v>113</v>
      </c>
      <c r="FS138" s="1" t="s">
        <v>223</v>
      </c>
      <c r="FV138" s="1" t="s">
        <v>2</v>
      </c>
    </row>
    <row r="139" spans="1:178" ht="16.25" customHeight="1" x14ac:dyDescent="0.2">
      <c r="A139" s="18" t="s">
        <v>177</v>
      </c>
      <c r="B139" s="1" t="s">
        <v>63</v>
      </c>
      <c r="C139" s="15" t="s">
        <v>684</v>
      </c>
      <c r="D139" s="1" t="s">
        <v>69</v>
      </c>
      <c r="H139" s="1" t="s">
        <v>685</v>
      </c>
      <c r="J139" s="1" t="s">
        <v>70</v>
      </c>
      <c r="K139" s="1">
        <v>0</v>
      </c>
      <c r="AF139" s="1">
        <v>0.08</v>
      </c>
      <c r="AN139" s="1">
        <v>3.5</v>
      </c>
      <c r="BA139" s="1">
        <v>0</v>
      </c>
      <c r="BV139" s="1">
        <v>0</v>
      </c>
      <c r="CQ139" s="1">
        <v>0</v>
      </c>
      <c r="DL139" s="18" t="s">
        <v>96</v>
      </c>
      <c r="DN139" s="1">
        <f t="shared" si="49"/>
        <v>3.5000000000000004</v>
      </c>
      <c r="DO139" s="1">
        <f t="shared" si="50"/>
        <v>0</v>
      </c>
      <c r="DP139" s="1" t="s">
        <v>148</v>
      </c>
      <c r="DQ139" s="1" t="s">
        <v>2</v>
      </c>
      <c r="DR139" s="16">
        <f t="shared" si="51"/>
        <v>0.08</v>
      </c>
      <c r="DS139" s="16">
        <f t="shared" si="52"/>
        <v>3.5000000000000004</v>
      </c>
      <c r="DT139" s="101">
        <f t="shared" si="53"/>
        <v>2.8000000000000007</v>
      </c>
      <c r="DV139" s="16">
        <f t="shared" si="54"/>
        <v>0</v>
      </c>
      <c r="DZ139" s="37" t="s">
        <v>2</v>
      </c>
      <c r="EA139" s="37"/>
      <c r="EM139" s="73"/>
      <c r="EN139" s="37"/>
      <c r="EO139" s="37"/>
      <c r="EP139" s="37"/>
      <c r="EQ139" s="37"/>
      <c r="ER139" s="37"/>
      <c r="ES139" s="37"/>
      <c r="ET139" s="37"/>
      <c r="EU139" s="37"/>
      <c r="EV139" s="37"/>
      <c r="EW139" s="37"/>
      <c r="EX139" s="37"/>
      <c r="EY139" s="37"/>
      <c r="EZ139" s="37"/>
      <c r="FA139" s="37"/>
      <c r="FB139" s="37"/>
      <c r="FC139" s="37"/>
      <c r="FD139" s="37"/>
      <c r="FE139" s="37"/>
      <c r="FF139" s="55"/>
      <c r="FG139" s="55"/>
      <c r="FH139" s="55"/>
      <c r="FI139" s="37"/>
      <c r="FJ139" s="55"/>
      <c r="FK139" s="55"/>
      <c r="FL139" s="45"/>
      <c r="FM139" s="37"/>
      <c r="FN139" s="37"/>
      <c r="FO139" s="37"/>
      <c r="FP139" s="55"/>
      <c r="FQ139" s="1" t="s">
        <v>2</v>
      </c>
      <c r="FR139" s="1" t="s">
        <v>113</v>
      </c>
      <c r="FS139" s="1" t="s">
        <v>223</v>
      </c>
      <c r="FV139" s="1" t="s">
        <v>2</v>
      </c>
    </row>
    <row r="140" spans="1:178" ht="16.25" customHeight="1" x14ac:dyDescent="0.2">
      <c r="A140" s="18" t="s">
        <v>177</v>
      </c>
      <c r="B140" s="1" t="s">
        <v>63</v>
      </c>
      <c r="C140" s="79" t="s">
        <v>456</v>
      </c>
      <c r="D140" s="1" t="s">
        <v>69</v>
      </c>
      <c r="G140" s="1" t="s">
        <v>72</v>
      </c>
      <c r="H140" s="1" t="s">
        <v>274</v>
      </c>
      <c r="J140" s="1" t="s">
        <v>70</v>
      </c>
      <c r="K140" s="1">
        <v>0</v>
      </c>
      <c r="AF140" s="1">
        <f>0.382+0.091+0.103</f>
        <v>0.57599999999999996</v>
      </c>
      <c r="AG140" s="14">
        <f>(0.5*0.382+0.4*0.091+0.4*0.103)/AF140</f>
        <v>0.46631944444444451</v>
      </c>
      <c r="AN140" s="14">
        <f>(1.4*0.382+1.7*0.091+1.1*0.103)/AF140</f>
        <v>1.39375</v>
      </c>
      <c r="BA140" s="1">
        <f>0.021+0.004</f>
        <v>2.5000000000000001E-2</v>
      </c>
      <c r="BB140" s="14">
        <f>(0.4*0.021+0.5*0.004)/BA140</f>
        <v>0.41600000000000004</v>
      </c>
      <c r="BI140" s="14">
        <f>(1.6*0.021+1.4*0.004)/BA140</f>
        <v>1.5680000000000001</v>
      </c>
      <c r="BV140" s="1">
        <v>0</v>
      </c>
      <c r="CQ140" s="1">
        <v>0</v>
      </c>
      <c r="DL140" s="18" t="s">
        <v>96</v>
      </c>
      <c r="DN140" s="1">
        <f t="shared" si="49"/>
        <v>1.4009983361064893</v>
      </c>
      <c r="DO140" s="1">
        <f t="shared" si="50"/>
        <v>0</v>
      </c>
      <c r="DP140" s="1" t="s">
        <v>148</v>
      </c>
      <c r="DQ140" s="1" t="s">
        <v>2</v>
      </c>
      <c r="DR140" s="16">
        <f t="shared" si="51"/>
        <v>0.60099999999999998</v>
      </c>
      <c r="DS140" s="100">
        <f t="shared" si="52"/>
        <v>1.4009983361064893</v>
      </c>
      <c r="DT140" s="101">
        <f t="shared" si="53"/>
        <v>8.42</v>
      </c>
      <c r="DV140" s="16">
        <f t="shared" si="54"/>
        <v>0</v>
      </c>
      <c r="DZ140" s="37" t="s">
        <v>2</v>
      </c>
      <c r="EA140" s="37"/>
      <c r="EM140" s="73"/>
      <c r="EN140" s="37"/>
      <c r="EO140" s="37"/>
      <c r="EP140" s="37"/>
      <c r="EQ140" s="37"/>
      <c r="ER140" s="37"/>
      <c r="ES140" s="37"/>
      <c r="ET140" s="37"/>
      <c r="EU140" s="37"/>
      <c r="EV140" s="37"/>
      <c r="EW140" s="37"/>
      <c r="EX140" s="37"/>
      <c r="EY140" s="37"/>
      <c r="EZ140" s="37"/>
      <c r="FA140" s="37"/>
      <c r="FB140" s="37"/>
      <c r="FC140" s="37"/>
      <c r="FD140" s="37"/>
      <c r="FE140" s="37"/>
      <c r="FF140" s="55"/>
      <c r="FG140" s="55"/>
      <c r="FH140" s="55"/>
      <c r="FI140" s="37"/>
      <c r="FJ140" s="55"/>
      <c r="FK140" s="55"/>
      <c r="FL140" s="45"/>
      <c r="FM140" s="37"/>
      <c r="FN140" s="37"/>
      <c r="FO140" s="37"/>
      <c r="FP140" s="55"/>
      <c r="FQ140" s="1" t="s">
        <v>2</v>
      </c>
      <c r="FR140" s="1" t="s">
        <v>113</v>
      </c>
      <c r="FS140" s="1" t="s">
        <v>223</v>
      </c>
      <c r="FV140" s="1" t="s">
        <v>2</v>
      </c>
    </row>
    <row r="141" spans="1:178" ht="16.25" customHeight="1" x14ac:dyDescent="0.2">
      <c r="A141" s="18" t="s">
        <v>177</v>
      </c>
      <c r="B141" s="1" t="s">
        <v>63</v>
      </c>
      <c r="C141" s="79" t="s">
        <v>636</v>
      </c>
      <c r="D141" s="1" t="s">
        <v>69</v>
      </c>
      <c r="H141" s="1" t="s">
        <v>637</v>
      </c>
      <c r="J141" s="1" t="s">
        <v>70</v>
      </c>
      <c r="K141" s="1">
        <v>0</v>
      </c>
      <c r="AF141" s="1">
        <v>0</v>
      </c>
      <c r="BA141" s="1">
        <v>9.4E-2</v>
      </c>
      <c r="BB141" s="14">
        <v>1</v>
      </c>
      <c r="BI141" s="1">
        <v>0.8</v>
      </c>
      <c r="BV141" s="1">
        <v>0</v>
      </c>
      <c r="CQ141" s="1">
        <v>0</v>
      </c>
      <c r="DL141" s="18" t="s">
        <v>163</v>
      </c>
      <c r="DN141" s="1">
        <f t="shared" si="49"/>
        <v>0.8</v>
      </c>
      <c r="DO141" s="1">
        <f t="shared" si="50"/>
        <v>0</v>
      </c>
      <c r="DP141" s="1" t="s">
        <v>180</v>
      </c>
      <c r="DQ141" s="1" t="s">
        <v>2</v>
      </c>
      <c r="DR141" s="16">
        <f t="shared" si="51"/>
        <v>9.4E-2</v>
      </c>
      <c r="DS141" s="16">
        <f t="shared" si="52"/>
        <v>0.8</v>
      </c>
      <c r="DT141" s="101">
        <f t="shared" si="53"/>
        <v>0.752</v>
      </c>
      <c r="DV141" s="16">
        <f t="shared" si="54"/>
        <v>0</v>
      </c>
      <c r="DZ141" s="37" t="s">
        <v>2</v>
      </c>
      <c r="EA141" s="37"/>
      <c r="EM141" s="73"/>
      <c r="EN141" s="37"/>
      <c r="EO141" s="37"/>
      <c r="EP141" s="37"/>
      <c r="EQ141" s="37"/>
      <c r="ER141" s="37"/>
      <c r="ES141" s="37"/>
      <c r="ET141" s="37"/>
      <c r="EU141" s="37"/>
      <c r="EV141" s="37"/>
      <c r="EW141" s="37"/>
      <c r="EX141" s="37"/>
      <c r="EY141" s="37"/>
      <c r="EZ141" s="37"/>
      <c r="FA141" s="37"/>
      <c r="FB141" s="37"/>
      <c r="FC141" s="37"/>
      <c r="FD141" s="37"/>
      <c r="FE141" s="37"/>
      <c r="FF141" s="55"/>
      <c r="FG141" s="55"/>
      <c r="FH141" s="55"/>
      <c r="FI141" s="37"/>
      <c r="FJ141" s="55"/>
      <c r="FK141" s="55"/>
      <c r="FL141" s="45"/>
      <c r="FM141" s="37"/>
      <c r="FN141" s="37"/>
      <c r="FO141" s="37"/>
      <c r="FP141" s="55"/>
      <c r="FQ141" s="1" t="s">
        <v>2</v>
      </c>
      <c r="FR141" s="1" t="s">
        <v>113</v>
      </c>
      <c r="FS141" s="1" t="s">
        <v>181</v>
      </c>
      <c r="FV141" s="1" t="s">
        <v>2</v>
      </c>
    </row>
    <row r="142" spans="1:178" ht="16.25" customHeight="1" x14ac:dyDescent="0.2">
      <c r="A142" s="18" t="s">
        <v>177</v>
      </c>
      <c r="B142" s="1" t="s">
        <v>63</v>
      </c>
      <c r="C142" s="15" t="s">
        <v>435</v>
      </c>
      <c r="D142" s="1" t="s">
        <v>69</v>
      </c>
      <c r="G142" s="1" t="s">
        <v>65</v>
      </c>
      <c r="H142" s="1" t="s">
        <v>131</v>
      </c>
      <c r="J142" s="1" t="s">
        <v>70</v>
      </c>
      <c r="K142" s="1">
        <v>0</v>
      </c>
      <c r="AF142" s="1">
        <v>0</v>
      </c>
      <c r="BA142" s="1">
        <f>15.7+4.7+6.8+3</f>
        <v>30.2</v>
      </c>
      <c r="BB142" s="13">
        <f>(0.08*15.7+0.24*4.7+0.1*6.8+0.25*3)/BA142</f>
        <v>0.12629139072847684</v>
      </c>
      <c r="BC142" s="13">
        <f>(0.1*15.7+0.13*4.7+0.14*6.8+0.12*3)/BA142</f>
        <v>0.11566225165562914</v>
      </c>
      <c r="BI142" s="13">
        <f>(0.09*15.7+0.07*4.7+0.12*6.8+0.11*3)/BA142</f>
        <v>9.5629139072847674E-2</v>
      </c>
      <c r="BK142" s="13">
        <f>(0.69*15.7+0.07*4.7+0.71*6.8+0.06*3)/BA142</f>
        <v>0.53543046357615887</v>
      </c>
      <c r="BL142" s="13">
        <f>(0.59*15.7+0.05*4.7+0.65*6.8+0.05*3)/BA142</f>
        <v>0.46582781456953642</v>
      </c>
      <c r="BV142" s="1">
        <v>0</v>
      </c>
      <c r="CQ142" s="1">
        <v>0</v>
      </c>
      <c r="DL142" s="18" t="s">
        <v>96</v>
      </c>
      <c r="DN142" s="1">
        <f t="shared" si="49"/>
        <v>9.5629139072847674E-2</v>
      </c>
      <c r="DO142" s="1">
        <f t="shared" si="50"/>
        <v>0</v>
      </c>
      <c r="DP142" s="1" t="s">
        <v>260</v>
      </c>
      <c r="DQ142" s="1" t="s">
        <v>2</v>
      </c>
      <c r="DR142" s="16">
        <f t="shared" si="51"/>
        <v>30.2</v>
      </c>
      <c r="DS142" s="103">
        <f t="shared" si="52"/>
        <v>9.5629139072847674E-2</v>
      </c>
      <c r="DT142" s="101">
        <f t="shared" si="53"/>
        <v>28.879999999999995</v>
      </c>
      <c r="DV142" s="16">
        <f t="shared" si="54"/>
        <v>0</v>
      </c>
      <c r="DZ142" s="37" t="s">
        <v>2</v>
      </c>
      <c r="EA142" s="37"/>
      <c r="EM142" s="73"/>
      <c r="EN142" s="37"/>
      <c r="EO142" s="37"/>
      <c r="EP142" s="37"/>
      <c r="EQ142" s="37"/>
      <c r="ER142" s="37"/>
      <c r="ES142" s="37"/>
      <c r="ET142" s="37"/>
      <c r="EU142" s="37"/>
      <c r="EV142" s="37"/>
      <c r="EW142" s="37"/>
      <c r="EX142" s="37"/>
      <c r="EY142" s="37"/>
      <c r="EZ142" s="37"/>
      <c r="FA142" s="37"/>
      <c r="FB142" s="37"/>
      <c r="FC142" s="37"/>
      <c r="FD142" s="37"/>
      <c r="FE142" s="37"/>
      <c r="FF142" s="55"/>
      <c r="FG142" s="55"/>
      <c r="FH142" s="55"/>
      <c r="FI142" s="37"/>
      <c r="FJ142" s="55"/>
      <c r="FK142" s="55"/>
      <c r="FL142" s="45"/>
      <c r="FM142" s="37"/>
      <c r="FN142" s="37"/>
      <c r="FO142" s="37"/>
      <c r="FP142" s="55"/>
      <c r="FQ142" s="1" t="s">
        <v>2</v>
      </c>
      <c r="FR142" s="1" t="s">
        <v>113</v>
      </c>
      <c r="FS142" s="1" t="s">
        <v>261</v>
      </c>
      <c r="FV142" s="1" t="s">
        <v>2</v>
      </c>
    </row>
    <row r="143" spans="1:178" ht="16.25" customHeight="1" x14ac:dyDescent="0.2">
      <c r="A143" s="18" t="s">
        <v>177</v>
      </c>
      <c r="B143" s="1" t="s">
        <v>63</v>
      </c>
      <c r="C143" s="79" t="s">
        <v>443</v>
      </c>
      <c r="D143" s="1" t="s">
        <v>69</v>
      </c>
      <c r="G143" s="1" t="s">
        <v>72</v>
      </c>
      <c r="H143" s="1" t="s">
        <v>172</v>
      </c>
      <c r="J143" s="1" t="s">
        <v>70</v>
      </c>
      <c r="K143" s="1">
        <v>0</v>
      </c>
      <c r="AF143" s="1">
        <v>0</v>
      </c>
      <c r="BA143" s="14">
        <f>44.5+5.5</f>
        <v>50</v>
      </c>
      <c r="BB143" s="13">
        <f>(0.12*44.5+0.18*5.5)/BA143</f>
        <v>0.12659999999999999</v>
      </c>
      <c r="BI143" s="13">
        <f>(0.31*44.5+0.25*5.5)/BA143</f>
        <v>0.3034</v>
      </c>
      <c r="BJ143" s="13">
        <f>(0.03*44.5+0.03*5.5)/BA143</f>
        <v>0.03</v>
      </c>
      <c r="BV143" s="1">
        <v>0</v>
      </c>
      <c r="CQ143" s="1">
        <v>0</v>
      </c>
      <c r="DL143" s="18" t="s">
        <v>96</v>
      </c>
      <c r="DM143" s="1" t="s">
        <v>96</v>
      </c>
      <c r="DN143" s="1">
        <f t="shared" si="49"/>
        <v>0.3034</v>
      </c>
      <c r="DO143" s="1">
        <f t="shared" si="50"/>
        <v>0.03</v>
      </c>
      <c r="DP143" s="1" t="s">
        <v>148</v>
      </c>
      <c r="DQ143" s="1" t="s">
        <v>2</v>
      </c>
      <c r="DR143" s="16">
        <f t="shared" si="51"/>
        <v>50</v>
      </c>
      <c r="DS143" s="100">
        <f t="shared" si="52"/>
        <v>0.3034</v>
      </c>
      <c r="DT143" s="101">
        <f t="shared" si="53"/>
        <v>151.69999999999999</v>
      </c>
      <c r="DV143" s="16">
        <f t="shared" si="54"/>
        <v>0</v>
      </c>
      <c r="DZ143" s="37" t="s">
        <v>2</v>
      </c>
      <c r="EA143" s="37"/>
      <c r="EM143" s="73"/>
      <c r="EN143" s="37"/>
      <c r="EO143" s="37"/>
      <c r="EP143" s="37"/>
      <c r="EQ143" s="37"/>
      <c r="ER143" s="37"/>
      <c r="ES143" s="37"/>
      <c r="ET143" s="37"/>
      <c r="EU143" s="37"/>
      <c r="EV143" s="37"/>
      <c r="EW143" s="37"/>
      <c r="EX143" s="37"/>
      <c r="EY143" s="37"/>
      <c r="EZ143" s="37"/>
      <c r="FA143" s="37"/>
      <c r="FB143" s="37"/>
      <c r="FC143" s="37"/>
      <c r="FD143" s="37"/>
      <c r="FE143" s="37"/>
      <c r="FF143" s="55"/>
      <c r="FG143" s="55"/>
      <c r="FH143" s="55"/>
      <c r="FI143" s="37"/>
      <c r="FJ143" s="55"/>
      <c r="FK143" s="55"/>
      <c r="FL143" s="45"/>
      <c r="FM143" s="37"/>
      <c r="FN143" s="37"/>
      <c r="FO143" s="37"/>
      <c r="FP143" s="55"/>
      <c r="FQ143" s="1" t="s">
        <v>2</v>
      </c>
      <c r="FR143" s="1" t="s">
        <v>113</v>
      </c>
      <c r="FS143" s="1" t="s">
        <v>261</v>
      </c>
      <c r="FV143" s="1" t="s">
        <v>2</v>
      </c>
    </row>
    <row r="144" spans="1:178" ht="16.25" customHeight="1" x14ac:dyDescent="0.2">
      <c r="A144" s="18" t="s">
        <v>177</v>
      </c>
      <c r="B144" s="1" t="s">
        <v>63</v>
      </c>
      <c r="C144" s="79" t="s">
        <v>191</v>
      </c>
      <c r="D144" s="1" t="s">
        <v>69</v>
      </c>
      <c r="G144" s="1" t="s">
        <v>72</v>
      </c>
      <c r="H144" s="1" t="s">
        <v>131</v>
      </c>
      <c r="J144" s="1" t="s">
        <v>70</v>
      </c>
      <c r="K144" s="1">
        <f>1.275+0.78</f>
        <v>2.0549999999999997</v>
      </c>
      <c r="L144" s="13">
        <f>(0.87*1.275+0.76*0.78)/K144</f>
        <v>0.82824817518248184</v>
      </c>
      <c r="S144" s="13">
        <f>(1.51*1.275+1.64*0.78)/K144</f>
        <v>1.5593430656934306</v>
      </c>
      <c r="T144" s="13">
        <f>(0.07*1.275+0.1*0.78)/K144</f>
        <v>8.138686131386863E-2</v>
      </c>
      <c r="AF144" s="1">
        <f>0.759+0.125+4.229+2.697+0.242</f>
        <v>8.0519999999999996</v>
      </c>
      <c r="AG144" s="13">
        <f>(0.9*0.759+0.75*0.125+0.65*4.229+0.98*2.697+0.5*0.242)/AF144</f>
        <v>0.78114257327372094</v>
      </c>
      <c r="AN144" s="13">
        <f>(1.2*0.759+1.72*0.125+1.64*4.229+1.96*2.697+2.22*0.242)/AF144</f>
        <v>1.7243815201192254</v>
      </c>
      <c r="AO144" s="13">
        <f>(0.07*0.759+0.09*0.125+0.12*4.229+0.14*2.697+0.14*0.242)/AF144</f>
        <v>0.12212121212121214</v>
      </c>
      <c r="BA144" s="1">
        <f>1.759+0.853+0.493</f>
        <v>3.105</v>
      </c>
      <c r="BB144" s="13">
        <f>(0.49*1.759+0.93*0.853+0.53*0.493)/BA144</f>
        <v>0.61722705314009663</v>
      </c>
      <c r="BI144" s="13">
        <f>(1.25*1.759+2.02*0.853+1.67*0.493)/BA144</f>
        <v>1.5282190016103059</v>
      </c>
      <c r="BJ144" s="13">
        <f>(0.1*1.759+0.13*0.853+0.11*0.493)/BA144</f>
        <v>0.10982930756843801</v>
      </c>
      <c r="BV144" s="1">
        <v>1.365</v>
      </c>
      <c r="BW144" s="1">
        <v>0.66</v>
      </c>
      <c r="CD144" s="1">
        <v>1.1499999999999999</v>
      </c>
      <c r="CE144" s="1">
        <v>0.06</v>
      </c>
      <c r="CQ144" s="1">
        <f>0.194+6.65</f>
        <v>6.8440000000000003</v>
      </c>
      <c r="CR144" s="13">
        <f>(1.28*0.194+1.28*6.65)/CQ144</f>
        <v>1.28</v>
      </c>
      <c r="CY144" s="13">
        <f>(1.24*0.194+1.24*6.65)/CQ144</f>
        <v>1.24</v>
      </c>
      <c r="CZ144" s="13">
        <f>(0.07*0.194+0.1*6.65)/CQ144</f>
        <v>9.9149620105201647E-2</v>
      </c>
      <c r="DL144" s="18" t="s">
        <v>96</v>
      </c>
      <c r="DM144" s="1" t="s">
        <v>96</v>
      </c>
      <c r="DN144" s="1">
        <f t="shared" si="49"/>
        <v>1.652610505600969</v>
      </c>
      <c r="DO144" s="1">
        <f t="shared" si="50"/>
        <v>0.11289660914320315</v>
      </c>
      <c r="DP144" s="1" t="s">
        <v>67</v>
      </c>
      <c r="DQ144" s="1" t="s">
        <v>2</v>
      </c>
      <c r="DR144" s="100">
        <f t="shared" si="51"/>
        <v>13.212</v>
      </c>
      <c r="DS144" s="100">
        <f t="shared" si="52"/>
        <v>1.652610505600969</v>
      </c>
      <c r="DT144" s="101">
        <f t="shared" si="53"/>
        <v>218.34290000000001</v>
      </c>
      <c r="DV144" s="16">
        <f t="shared" si="54"/>
        <v>8.2089999999999996</v>
      </c>
      <c r="DW144" s="100">
        <f>(BV144*CD144+CQ144*CY144)/DV144</f>
        <v>1.2250347179924475</v>
      </c>
      <c r="DX144" s="101">
        <f>1000*DV144*DW144/100</f>
        <v>100.56310000000002</v>
      </c>
      <c r="DZ144" s="37" t="s">
        <v>2</v>
      </c>
      <c r="EA144" s="37"/>
      <c r="EM144" s="73"/>
      <c r="EN144" s="37"/>
      <c r="EO144" s="37"/>
      <c r="EP144" s="37"/>
      <c r="EQ144" s="37"/>
      <c r="ER144" s="37"/>
      <c r="ES144" s="37"/>
      <c r="ET144" s="37"/>
      <c r="EU144" s="37"/>
      <c r="EV144" s="37"/>
      <c r="EW144" s="37"/>
      <c r="EX144" s="37"/>
      <c r="EY144" s="37"/>
      <c r="EZ144" s="37"/>
      <c r="FA144" s="37"/>
      <c r="FB144" s="37"/>
      <c r="FC144" s="37"/>
      <c r="FD144" s="37"/>
      <c r="FE144" s="37"/>
      <c r="FF144" s="55"/>
      <c r="FG144" s="55"/>
      <c r="FH144" s="55"/>
      <c r="FI144" s="37"/>
      <c r="FJ144" s="55"/>
      <c r="FK144" s="55"/>
      <c r="FL144" s="45"/>
      <c r="FM144" s="37"/>
      <c r="FN144" s="37"/>
      <c r="FO144" s="37"/>
      <c r="FP144" s="55"/>
      <c r="FQ144" s="1" t="s">
        <v>2</v>
      </c>
      <c r="FR144" s="1" t="s">
        <v>113</v>
      </c>
      <c r="FS144" s="1" t="s">
        <v>261</v>
      </c>
      <c r="FV144" s="1" t="s">
        <v>2</v>
      </c>
    </row>
    <row r="145" spans="1:178" ht="16.25" customHeight="1" x14ac:dyDescent="0.2">
      <c r="A145" s="18" t="s">
        <v>177</v>
      </c>
      <c r="B145" s="1" t="s">
        <v>63</v>
      </c>
      <c r="C145" s="79" t="s">
        <v>1124</v>
      </c>
      <c r="D145" s="1" t="s">
        <v>69</v>
      </c>
      <c r="H145" s="1" t="s">
        <v>1125</v>
      </c>
      <c r="J145" s="1" t="s">
        <v>70</v>
      </c>
      <c r="K145" s="1">
        <f>4.4+2.13</f>
        <v>6.53</v>
      </c>
      <c r="L145" s="13">
        <f>(0.08*4.4+0.03*2.13)/K145</f>
        <v>6.3690658499234304E-2</v>
      </c>
      <c r="M145" s="13">
        <f>(0.42*4.4+0.1*2.13)/K145</f>
        <v>0.31562021439509952</v>
      </c>
      <c r="S145" s="13">
        <f>(0.28*4.4+0.18*2.13)/K145</f>
        <v>0.24738131699846863</v>
      </c>
      <c r="U145" s="13">
        <f>(2.46*4.4+1.36*2.13)/K145</f>
        <v>2.1011944869831547</v>
      </c>
      <c r="V145" s="13">
        <f>(2.83*4.4+1.09*2.13)/K145</f>
        <v>2.2624349157733539</v>
      </c>
      <c r="AF145" s="1">
        <f>4.13+1.5</f>
        <v>5.63</v>
      </c>
      <c r="AG145" s="13">
        <f>(0.09*4.13+0.04*1.5)/AF145</f>
        <v>7.6678507992895203E-2</v>
      </c>
      <c r="AH145" s="13">
        <f>(0.38*4.13+0.1*1.5)/AF145</f>
        <v>0.30539964476021314</v>
      </c>
      <c r="AN145" s="13">
        <f>(0.31*4.13+0.19*1.5)/AF145</f>
        <v>0.27802841918294852</v>
      </c>
      <c r="AP145" s="13">
        <f>(2.73*4.13+1.56*1.5)/AF145</f>
        <v>2.4182770870337476</v>
      </c>
      <c r="AQ145" s="13">
        <f>(3.21*4.13+1.28*1.5)/AF145</f>
        <v>2.6957904085257547</v>
      </c>
      <c r="BA145" s="1">
        <f>1.56+0.6</f>
        <v>2.16</v>
      </c>
      <c r="BB145" s="13">
        <f>(0.13*1.56+0.05*0.6)/BA145</f>
        <v>0.10777777777777778</v>
      </c>
      <c r="BC145" s="13">
        <f>(0.38*1.56+0.1*0.6)/BA145</f>
        <v>0.30222222222222223</v>
      </c>
      <c r="BI145" s="13">
        <f>(0.36*1.56+0.19*0.6)/BA145</f>
        <v>0.31277777777777777</v>
      </c>
      <c r="BK145" s="13">
        <f>(2.1*1.56+1.22*0.6)/BA145</f>
        <v>1.8555555555555554</v>
      </c>
      <c r="BL145" s="13">
        <f>(2.35*1.56+1.07*0.6)/BA145</f>
        <v>1.9944444444444447</v>
      </c>
      <c r="BV145" s="1">
        <v>0</v>
      </c>
      <c r="CQ145" s="1">
        <v>0</v>
      </c>
      <c r="DL145" s="18" t="s">
        <v>96</v>
      </c>
      <c r="DN145" s="1">
        <f t="shared" si="49"/>
        <v>0.26929469273743017</v>
      </c>
      <c r="DO145" s="1">
        <f t="shared" si="50"/>
        <v>0</v>
      </c>
      <c r="DP145" s="1" t="s">
        <v>67</v>
      </c>
      <c r="DQ145" s="1" t="s">
        <v>2</v>
      </c>
      <c r="DR145" s="16">
        <f t="shared" si="51"/>
        <v>14.32</v>
      </c>
      <c r="DS145" s="100">
        <f t="shared" si="52"/>
        <v>0.26929469273743017</v>
      </c>
      <c r="DT145" s="101">
        <f t="shared" si="53"/>
        <v>38.563000000000002</v>
      </c>
      <c r="DV145" s="16">
        <f t="shared" si="54"/>
        <v>0</v>
      </c>
      <c r="DZ145" s="37" t="s">
        <v>2</v>
      </c>
      <c r="EA145" s="37"/>
      <c r="EM145" s="73"/>
      <c r="EN145" s="37"/>
      <c r="EO145" s="37"/>
      <c r="EP145" s="37"/>
      <c r="EQ145" s="37"/>
      <c r="ER145" s="37"/>
      <c r="ES145" s="37"/>
      <c r="ET145" s="37"/>
      <c r="EU145" s="37"/>
      <c r="EV145" s="37"/>
      <c r="EW145" s="37"/>
      <c r="EX145" s="37"/>
      <c r="EY145" s="37"/>
      <c r="EZ145" s="37"/>
      <c r="FA145" s="37"/>
      <c r="FB145" s="37"/>
      <c r="FC145" s="37"/>
      <c r="FD145" s="37"/>
      <c r="FE145" s="37"/>
      <c r="FF145" s="55"/>
      <c r="FG145" s="55"/>
      <c r="FH145" s="55"/>
      <c r="FI145" s="37"/>
      <c r="FJ145" s="55"/>
      <c r="FK145" s="55"/>
      <c r="FL145" s="45"/>
      <c r="FM145" s="37"/>
      <c r="FN145" s="37"/>
      <c r="FO145" s="37"/>
      <c r="FP145" s="55"/>
      <c r="FQ145" s="1" t="s">
        <v>2</v>
      </c>
      <c r="FR145" s="1" t="s">
        <v>113</v>
      </c>
      <c r="FS145" s="1" t="s">
        <v>261</v>
      </c>
      <c r="FV145" s="1" t="s">
        <v>2</v>
      </c>
    </row>
    <row r="146" spans="1:178" ht="16.25" customHeight="1" x14ac:dyDescent="0.2">
      <c r="A146" s="18" t="s">
        <v>177</v>
      </c>
      <c r="B146" s="1" t="s">
        <v>63</v>
      </c>
      <c r="C146" s="79" t="s">
        <v>571</v>
      </c>
      <c r="D146" s="1" t="s">
        <v>64</v>
      </c>
      <c r="G146" s="1" t="s">
        <v>72</v>
      </c>
      <c r="H146" s="1" t="s">
        <v>466</v>
      </c>
      <c r="J146" s="1" t="s">
        <v>70</v>
      </c>
      <c r="K146" s="1">
        <v>12.4</v>
      </c>
      <c r="L146" s="1">
        <v>0.09</v>
      </c>
      <c r="M146" s="1">
        <v>0.2</v>
      </c>
      <c r="S146" s="1">
        <v>7.0000000000000007E-2</v>
      </c>
      <c r="U146" s="1">
        <v>1.1000000000000001</v>
      </c>
      <c r="V146" s="1">
        <v>1.4</v>
      </c>
      <c r="W146" s="1">
        <v>0.1</v>
      </c>
      <c r="AF146" s="1">
        <v>9.8000000000000007</v>
      </c>
      <c r="AG146" s="1">
        <v>0.22</v>
      </c>
      <c r="AH146" s="1">
        <v>0.3</v>
      </c>
      <c r="AN146" s="1">
        <v>0.11</v>
      </c>
      <c r="AP146" s="1">
        <v>1.1000000000000001</v>
      </c>
      <c r="AQ146" s="1">
        <v>1.6</v>
      </c>
      <c r="AR146" s="1">
        <v>0.1</v>
      </c>
      <c r="BA146" s="1">
        <v>1.4</v>
      </c>
      <c r="BB146" s="1">
        <v>0.15</v>
      </c>
      <c r="BC146" s="1">
        <v>0.3</v>
      </c>
      <c r="BI146" s="1">
        <v>0.09</v>
      </c>
      <c r="BK146" s="1">
        <v>1.1000000000000001</v>
      </c>
      <c r="BL146" s="1">
        <v>1.6</v>
      </c>
      <c r="BM146" s="1">
        <v>0.1</v>
      </c>
      <c r="BV146" s="1">
        <v>0</v>
      </c>
      <c r="CQ146" s="1">
        <v>0</v>
      </c>
      <c r="DL146" s="18" t="s">
        <v>96</v>
      </c>
      <c r="DN146" s="1">
        <f t="shared" si="49"/>
        <v>8.7796610169491529E-2</v>
      </c>
      <c r="DO146" s="1">
        <f t="shared" si="50"/>
        <v>0</v>
      </c>
      <c r="DP146" s="1" t="s">
        <v>126</v>
      </c>
      <c r="DQ146" s="1" t="s">
        <v>2</v>
      </c>
      <c r="DR146" s="16">
        <f t="shared" si="51"/>
        <v>23.6</v>
      </c>
      <c r="DS146" s="103">
        <f t="shared" si="52"/>
        <v>8.7796610169491529E-2</v>
      </c>
      <c r="DT146" s="101">
        <f t="shared" si="53"/>
        <v>20.72</v>
      </c>
      <c r="DV146" s="16">
        <f t="shared" si="54"/>
        <v>0</v>
      </c>
      <c r="DZ146" s="37" t="s">
        <v>2</v>
      </c>
      <c r="EA146" s="37"/>
      <c r="EM146" s="73"/>
      <c r="EN146" s="37"/>
      <c r="EO146" s="37"/>
      <c r="EP146" s="37"/>
      <c r="EQ146" s="37"/>
      <c r="ER146" s="37"/>
      <c r="ES146" s="37"/>
      <c r="ET146" s="37"/>
      <c r="EU146" s="37"/>
      <c r="EV146" s="37"/>
      <c r="EW146" s="37"/>
      <c r="EX146" s="37"/>
      <c r="EY146" s="37"/>
      <c r="EZ146" s="37"/>
      <c r="FA146" s="37"/>
      <c r="FB146" s="37"/>
      <c r="FC146" s="37"/>
      <c r="FD146" s="37"/>
      <c r="FE146" s="37"/>
      <c r="FF146" s="55"/>
      <c r="FG146" s="55"/>
      <c r="FH146" s="55"/>
      <c r="FI146" s="37"/>
      <c r="FJ146" s="55"/>
      <c r="FK146" s="55"/>
      <c r="FL146" s="45"/>
      <c r="FM146" s="37"/>
      <c r="FN146" s="37"/>
      <c r="FO146" s="37"/>
      <c r="FP146" s="55"/>
      <c r="FQ146" s="1" t="s">
        <v>2</v>
      </c>
      <c r="FR146" s="1" t="s">
        <v>113</v>
      </c>
      <c r="FS146" s="1" t="s">
        <v>261</v>
      </c>
      <c r="FV146" s="1" t="s">
        <v>2</v>
      </c>
    </row>
    <row r="147" spans="1:178" ht="16.25" customHeight="1" x14ac:dyDescent="0.2">
      <c r="A147" s="18" t="s">
        <v>177</v>
      </c>
      <c r="B147" s="1" t="s">
        <v>63</v>
      </c>
      <c r="C147" s="15" t="s">
        <v>687</v>
      </c>
      <c r="D147" s="1" t="s">
        <v>69</v>
      </c>
      <c r="H147" s="1" t="s">
        <v>688</v>
      </c>
      <c r="J147" s="1" t="s">
        <v>70</v>
      </c>
      <c r="K147" s="1">
        <v>0</v>
      </c>
      <c r="AF147" s="1">
        <v>0</v>
      </c>
      <c r="BA147" s="1">
        <v>0.1</v>
      </c>
      <c r="BI147" s="1">
        <v>1.4</v>
      </c>
      <c r="BV147" s="1">
        <v>0</v>
      </c>
      <c r="CQ147" s="1">
        <v>0</v>
      </c>
      <c r="DL147" s="18" t="s">
        <v>96</v>
      </c>
      <c r="DN147" s="1">
        <f t="shared" si="49"/>
        <v>1.3999999999999997</v>
      </c>
      <c r="DO147" s="1">
        <f t="shared" si="50"/>
        <v>0</v>
      </c>
      <c r="DP147" s="1" t="s">
        <v>148</v>
      </c>
      <c r="DQ147" s="1" t="s">
        <v>2</v>
      </c>
      <c r="DR147" s="16">
        <f t="shared" si="51"/>
        <v>0.1</v>
      </c>
      <c r="DS147" s="16">
        <f t="shared" si="52"/>
        <v>1.3999999999999997</v>
      </c>
      <c r="DT147" s="101">
        <f t="shared" si="53"/>
        <v>1.3999999999999997</v>
      </c>
      <c r="DV147" s="16">
        <f t="shared" si="54"/>
        <v>0</v>
      </c>
      <c r="DZ147" s="37" t="s">
        <v>2</v>
      </c>
      <c r="EA147" s="37"/>
      <c r="EM147" s="73"/>
      <c r="EN147" s="37"/>
      <c r="EO147" s="37"/>
      <c r="EP147" s="37"/>
      <c r="EQ147" s="37"/>
      <c r="ER147" s="37"/>
      <c r="ES147" s="37"/>
      <c r="ET147" s="37"/>
      <c r="EU147" s="37"/>
      <c r="EV147" s="37"/>
      <c r="EW147" s="37"/>
      <c r="EX147" s="37"/>
      <c r="EY147" s="37"/>
      <c r="EZ147" s="37"/>
      <c r="FA147" s="37"/>
      <c r="FB147" s="37"/>
      <c r="FC147" s="37"/>
      <c r="FD147" s="37"/>
      <c r="FE147" s="37"/>
      <c r="FF147" s="55"/>
      <c r="FG147" s="55"/>
      <c r="FH147" s="55"/>
      <c r="FI147" s="37"/>
      <c r="FJ147" s="55"/>
      <c r="FK147" s="55"/>
      <c r="FL147" s="45"/>
      <c r="FM147" s="37"/>
      <c r="FN147" s="37"/>
      <c r="FO147" s="37"/>
      <c r="FP147" s="55"/>
      <c r="FQ147" s="1" t="s">
        <v>2</v>
      </c>
      <c r="FR147" s="1" t="s">
        <v>113</v>
      </c>
      <c r="FS147" s="1" t="s">
        <v>261</v>
      </c>
      <c r="FV147" s="1" t="s">
        <v>2</v>
      </c>
    </row>
    <row r="148" spans="1:178" ht="16.25" customHeight="1" x14ac:dyDescent="0.2">
      <c r="A148" s="18" t="s">
        <v>177</v>
      </c>
      <c r="B148" s="1" t="s">
        <v>63</v>
      </c>
      <c r="C148" s="15" t="s">
        <v>1214</v>
      </c>
      <c r="H148" s="1" t="s">
        <v>1215</v>
      </c>
      <c r="I148" s="1" t="s">
        <v>432</v>
      </c>
      <c r="J148" s="1" t="s">
        <v>188</v>
      </c>
      <c r="K148" s="1">
        <v>0</v>
      </c>
      <c r="AF148" s="1">
        <v>0</v>
      </c>
      <c r="BA148" s="1">
        <v>14.3</v>
      </c>
      <c r="BB148" s="2">
        <v>2.1700000000000001E-2</v>
      </c>
      <c r="BI148" s="2">
        <v>6.6600000000000006E-2</v>
      </c>
      <c r="BJ148" s="2">
        <v>2.0799999999999999E-2</v>
      </c>
      <c r="BV148" s="1">
        <v>0</v>
      </c>
      <c r="CQ148" s="1">
        <v>0</v>
      </c>
      <c r="DL148" s="18" t="s">
        <v>96</v>
      </c>
      <c r="DM148" s="1" t="s">
        <v>96</v>
      </c>
      <c r="DN148" s="1">
        <f t="shared" si="49"/>
        <v>6.6600000000000006E-2</v>
      </c>
      <c r="DO148" s="1">
        <f t="shared" si="50"/>
        <v>2.0799999999999999E-2</v>
      </c>
      <c r="DP148" s="1" t="s">
        <v>433</v>
      </c>
      <c r="DQ148" s="1" t="s">
        <v>2</v>
      </c>
      <c r="DR148" s="16">
        <f t="shared" si="51"/>
        <v>14.3</v>
      </c>
      <c r="DS148" s="103">
        <f t="shared" si="52"/>
        <v>6.6600000000000006E-2</v>
      </c>
      <c r="DT148" s="101">
        <f t="shared" si="53"/>
        <v>9.5238000000000014</v>
      </c>
      <c r="DV148" s="16">
        <f t="shared" si="54"/>
        <v>0</v>
      </c>
      <c r="DZ148" s="37" t="s">
        <v>2</v>
      </c>
      <c r="EA148" s="37"/>
      <c r="EM148" s="73"/>
      <c r="EN148" s="37"/>
      <c r="EO148" s="37"/>
      <c r="EP148" s="37"/>
      <c r="EQ148" s="37"/>
      <c r="ER148" s="37"/>
      <c r="ES148" s="37"/>
      <c r="ET148" s="37"/>
      <c r="EU148" s="37"/>
      <c r="EV148" s="37"/>
      <c r="EW148" s="37"/>
      <c r="EX148" s="37"/>
      <c r="EY148" s="37"/>
      <c r="EZ148" s="37"/>
      <c r="FA148" s="37"/>
      <c r="FB148" s="37"/>
      <c r="FC148" s="37"/>
      <c r="FD148" s="37"/>
      <c r="FE148" s="37"/>
      <c r="FF148" s="55"/>
      <c r="FG148" s="55"/>
      <c r="FH148" s="55"/>
      <c r="FI148" s="37"/>
      <c r="FJ148" s="55"/>
      <c r="FK148" s="55"/>
      <c r="FL148" s="45"/>
      <c r="FM148" s="37"/>
      <c r="FN148" s="37"/>
      <c r="FO148" s="37"/>
      <c r="FP148" s="55"/>
      <c r="FQ148" s="1" t="s">
        <v>2</v>
      </c>
      <c r="FR148" s="1" t="s">
        <v>113</v>
      </c>
      <c r="FS148" s="1" t="s">
        <v>261</v>
      </c>
      <c r="FU148" s="1" t="s">
        <v>434</v>
      </c>
      <c r="FV148" s="1" t="s">
        <v>2</v>
      </c>
    </row>
    <row r="149" spans="1:178" ht="16.25" customHeight="1" x14ac:dyDescent="0.2">
      <c r="A149" s="18" t="s">
        <v>177</v>
      </c>
      <c r="B149" s="1" t="s">
        <v>63</v>
      </c>
      <c r="C149" s="79" t="s">
        <v>881</v>
      </c>
      <c r="D149" s="1" t="s">
        <v>69</v>
      </c>
      <c r="H149" s="1" t="s">
        <v>131</v>
      </c>
      <c r="J149" s="1" t="s">
        <v>70</v>
      </c>
      <c r="K149" s="1">
        <v>0</v>
      </c>
      <c r="AF149" s="1">
        <f>0.524+1.459</f>
        <v>1.9830000000000001</v>
      </c>
      <c r="AG149" s="13">
        <f>(0.6*0.524+0.7*1.459)/AF149</f>
        <v>0.67357539082198692</v>
      </c>
      <c r="AN149" s="13">
        <f>(0.6*0.524+0.5*1.459)/AF149</f>
        <v>0.52642460917801315</v>
      </c>
      <c r="AO149" s="1">
        <v>0.04</v>
      </c>
      <c r="BA149" s="1">
        <f>1.305+1.865</f>
        <v>3.17</v>
      </c>
      <c r="BB149" s="13">
        <f>(0.64*1.305+0.49*1.865)/BA149</f>
        <v>0.55175078864353311</v>
      </c>
      <c r="BI149" s="13">
        <f>(0.47*1.305+0.43*1.865)/BA149</f>
        <v>0.44646687697160875</v>
      </c>
      <c r="BJ149" s="1">
        <v>0.04</v>
      </c>
      <c r="BL149" s="13">
        <f>(0.62*2.069)/BA149</f>
        <v>0.40466246056782335</v>
      </c>
      <c r="BV149" s="1">
        <v>0</v>
      </c>
      <c r="CQ149" s="1">
        <v>0</v>
      </c>
      <c r="DL149" s="18" t="s">
        <v>96</v>
      </c>
      <c r="DM149" s="1" t="s">
        <v>96</v>
      </c>
      <c r="DN149" s="1">
        <f t="shared" si="49"/>
        <v>0.47723656122646996</v>
      </c>
      <c r="DO149" s="1">
        <f t="shared" si="50"/>
        <v>3.9999999999999994E-2</v>
      </c>
      <c r="DP149" s="1" t="s">
        <v>148</v>
      </c>
      <c r="DQ149" s="1" t="s">
        <v>2</v>
      </c>
      <c r="DR149" s="16">
        <f t="shared" si="51"/>
        <v>5.1530000000000005</v>
      </c>
      <c r="DS149" s="100">
        <f t="shared" si="52"/>
        <v>0.47723656122646996</v>
      </c>
      <c r="DT149" s="101">
        <f t="shared" si="53"/>
        <v>24.592000000000002</v>
      </c>
      <c r="DV149" s="16">
        <f t="shared" si="54"/>
        <v>0</v>
      </c>
      <c r="DZ149" s="37" t="s">
        <v>2</v>
      </c>
      <c r="EA149" s="37"/>
      <c r="EM149" s="73"/>
      <c r="EN149" s="37"/>
      <c r="EO149" s="37"/>
      <c r="EP149" s="37"/>
      <c r="EQ149" s="37"/>
      <c r="ER149" s="37"/>
      <c r="ES149" s="37"/>
      <c r="ET149" s="37"/>
      <c r="EU149" s="37"/>
      <c r="EV149" s="37"/>
      <c r="EW149" s="37"/>
      <c r="EX149" s="37"/>
      <c r="EY149" s="37"/>
      <c r="EZ149" s="37"/>
      <c r="FA149" s="37"/>
      <c r="FB149" s="37"/>
      <c r="FC149" s="37"/>
      <c r="FD149" s="37"/>
      <c r="FE149" s="37"/>
      <c r="FF149" s="55"/>
      <c r="FG149" s="55"/>
      <c r="FH149" s="55"/>
      <c r="FI149" s="37"/>
      <c r="FJ149" s="55"/>
      <c r="FK149" s="55"/>
      <c r="FL149" s="45"/>
      <c r="FM149" s="37"/>
      <c r="FN149" s="37"/>
      <c r="FO149" s="37"/>
      <c r="FP149" s="55"/>
      <c r="FQ149" s="1" t="s">
        <v>2</v>
      </c>
      <c r="FR149" s="1" t="s">
        <v>113</v>
      </c>
      <c r="FS149" s="1" t="s">
        <v>261</v>
      </c>
      <c r="FV149" s="1" t="s">
        <v>2</v>
      </c>
    </row>
    <row r="150" spans="1:178" ht="16.25" customHeight="1" x14ac:dyDescent="0.2">
      <c r="A150" s="18" t="s">
        <v>177</v>
      </c>
      <c r="B150" s="1" t="s">
        <v>63</v>
      </c>
      <c r="C150" s="16" t="s">
        <v>1170</v>
      </c>
      <c r="D150" s="1" t="s">
        <v>69</v>
      </c>
      <c r="H150" s="1" t="s">
        <v>1171</v>
      </c>
      <c r="J150" s="1" t="s">
        <v>70</v>
      </c>
      <c r="K150" s="14">
        <f>11.9+0.1</f>
        <v>12</v>
      </c>
      <c r="L150" s="13">
        <f>(0.88*11.9+0.68*0.1)/K150</f>
        <v>0.8783333333333333</v>
      </c>
      <c r="S150" s="13">
        <f>(2.15*11.9+1.66*0.1)/K150</f>
        <v>2.1459166666666669</v>
      </c>
      <c r="T150" s="13">
        <f>(0.07*11.9+0.07*0.1)/K150</f>
        <v>7.0000000000000007E-2</v>
      </c>
      <c r="AF150" s="1">
        <v>1.1000000000000001</v>
      </c>
      <c r="AG150" s="1">
        <v>0.39</v>
      </c>
      <c r="AN150" s="1">
        <v>0.88</v>
      </c>
      <c r="AO150" s="1">
        <v>0.04</v>
      </c>
      <c r="BA150" s="1">
        <v>0.1</v>
      </c>
      <c r="BB150" s="1">
        <v>0.4</v>
      </c>
      <c r="BI150" s="1">
        <v>0.6</v>
      </c>
      <c r="BJ150" s="1">
        <v>0.02</v>
      </c>
      <c r="BV150" s="1">
        <v>10.199999999999999</v>
      </c>
      <c r="BW150" s="1">
        <v>0.79</v>
      </c>
      <c r="CD150" s="1">
        <v>1.93</v>
      </c>
      <c r="CE150" s="1">
        <v>7.0000000000000007E-2</v>
      </c>
      <c r="CQ150" s="1">
        <v>1.3</v>
      </c>
      <c r="CR150" s="1">
        <v>0.56999999999999995</v>
      </c>
      <c r="CY150" s="1">
        <v>1.34</v>
      </c>
      <c r="CZ150" s="1">
        <v>0.04</v>
      </c>
      <c r="DL150" s="18" t="s">
        <v>96</v>
      </c>
      <c r="DM150" s="1" t="s">
        <v>96</v>
      </c>
      <c r="DN150" s="1">
        <f t="shared" si="49"/>
        <v>2.0287121212121217</v>
      </c>
      <c r="DO150" s="1">
        <f t="shared" si="50"/>
        <v>6.7121212121212137E-2</v>
      </c>
      <c r="DP150" s="1" t="s">
        <v>67</v>
      </c>
      <c r="DQ150" s="1" t="s">
        <v>2</v>
      </c>
      <c r="DR150" s="16">
        <f t="shared" si="51"/>
        <v>13.2</v>
      </c>
      <c r="DS150" s="100">
        <f t="shared" si="52"/>
        <v>2.0287121212121217</v>
      </c>
      <c r="DT150" s="101">
        <f t="shared" si="53"/>
        <v>267.79000000000008</v>
      </c>
      <c r="DV150" s="16">
        <f t="shared" si="54"/>
        <v>11.5</v>
      </c>
      <c r="DW150" s="100">
        <f>(BV150*CD150+CQ150*CY150)/DV150</f>
        <v>1.8633043478260867</v>
      </c>
      <c r="DX150" s="101">
        <f>1000*DV150*DW150/100</f>
        <v>214.27999999999997</v>
      </c>
      <c r="DZ150" s="37" t="s">
        <v>2</v>
      </c>
      <c r="EA150" s="37"/>
      <c r="EM150" s="73"/>
      <c r="EN150" s="37"/>
      <c r="EO150" s="37"/>
      <c r="EP150" s="37"/>
      <c r="EQ150" s="37"/>
      <c r="ER150" s="37"/>
      <c r="ES150" s="37"/>
      <c r="ET150" s="37"/>
      <c r="EU150" s="37"/>
      <c r="EV150" s="37"/>
      <c r="EW150" s="37"/>
      <c r="EX150" s="37"/>
      <c r="EY150" s="37"/>
      <c r="EZ150" s="37"/>
      <c r="FA150" s="37"/>
      <c r="FB150" s="37"/>
      <c r="FC150" s="37"/>
      <c r="FD150" s="37"/>
      <c r="FE150" s="37"/>
      <c r="FF150" s="55"/>
      <c r="FG150" s="55"/>
      <c r="FH150" s="55"/>
      <c r="FI150" s="37"/>
      <c r="FJ150" s="55"/>
      <c r="FK150" s="55"/>
      <c r="FL150" s="45"/>
      <c r="FM150" s="37"/>
      <c r="FN150" s="37"/>
      <c r="FO150" s="37"/>
      <c r="FP150" s="55"/>
      <c r="FQ150" s="1" t="s">
        <v>2</v>
      </c>
      <c r="FR150" s="1" t="s">
        <v>113</v>
      </c>
      <c r="FS150" s="1" t="s">
        <v>375</v>
      </c>
      <c r="FV150" s="1" t="s">
        <v>2</v>
      </c>
    </row>
    <row r="151" spans="1:178" ht="16.25" customHeight="1" x14ac:dyDescent="0.2">
      <c r="A151" s="18" t="s">
        <v>177</v>
      </c>
      <c r="B151" s="1" t="s">
        <v>63</v>
      </c>
      <c r="C151" s="15" t="s">
        <v>922</v>
      </c>
      <c r="D151" s="1" t="s">
        <v>69</v>
      </c>
      <c r="H151" s="1" t="s">
        <v>923</v>
      </c>
      <c r="J151" s="1" t="s">
        <v>70</v>
      </c>
      <c r="K151" s="1">
        <v>0</v>
      </c>
      <c r="AF151" s="1">
        <v>0</v>
      </c>
      <c r="BA151" s="1">
        <v>0.47799999999999998</v>
      </c>
      <c r="BI151" s="1">
        <v>0.9</v>
      </c>
      <c r="BV151" s="1">
        <v>0</v>
      </c>
      <c r="CQ151" s="1">
        <v>0</v>
      </c>
      <c r="DL151" s="18" t="s">
        <v>96</v>
      </c>
      <c r="DN151" s="1">
        <f t="shared" si="49"/>
        <v>0.9</v>
      </c>
      <c r="DO151" s="1">
        <f t="shared" si="50"/>
        <v>0</v>
      </c>
      <c r="DP151" s="1" t="s">
        <v>148</v>
      </c>
      <c r="DQ151" s="1" t="s">
        <v>2</v>
      </c>
      <c r="DR151" s="16">
        <f t="shared" si="51"/>
        <v>0.47799999999999998</v>
      </c>
      <c r="DS151" s="16">
        <f t="shared" si="52"/>
        <v>0.9</v>
      </c>
      <c r="DT151" s="101">
        <f t="shared" si="53"/>
        <v>4.3019999999999996</v>
      </c>
      <c r="DV151" s="16">
        <f t="shared" si="54"/>
        <v>0</v>
      </c>
      <c r="DZ151" s="37" t="s">
        <v>2</v>
      </c>
      <c r="EA151" s="37"/>
      <c r="EM151" s="73"/>
      <c r="EN151" s="37"/>
      <c r="EO151" s="37"/>
      <c r="EP151" s="37"/>
      <c r="EQ151" s="37"/>
      <c r="ER151" s="37"/>
      <c r="ES151" s="37"/>
      <c r="ET151" s="37"/>
      <c r="EU151" s="37"/>
      <c r="EV151" s="37"/>
      <c r="EW151" s="37"/>
      <c r="EX151" s="37"/>
      <c r="EY151" s="37"/>
      <c r="EZ151" s="37"/>
      <c r="FA151" s="37"/>
      <c r="FB151" s="37"/>
      <c r="FC151" s="37"/>
      <c r="FD151" s="37"/>
      <c r="FE151" s="37"/>
      <c r="FF151" s="55"/>
      <c r="FG151" s="55"/>
      <c r="FH151" s="55"/>
      <c r="FI151" s="37"/>
      <c r="FJ151" s="55"/>
      <c r="FK151" s="55"/>
      <c r="FL151" s="45"/>
      <c r="FM151" s="37"/>
      <c r="FN151" s="37"/>
      <c r="FO151" s="37"/>
      <c r="FP151" s="55"/>
      <c r="FQ151" s="1" t="s">
        <v>2</v>
      </c>
      <c r="FR151" s="1" t="s">
        <v>113</v>
      </c>
      <c r="FS151" s="1" t="s">
        <v>375</v>
      </c>
      <c r="FV151" s="1" t="s">
        <v>2</v>
      </c>
    </row>
    <row r="152" spans="1:178" ht="16.25" customHeight="1" x14ac:dyDescent="0.2">
      <c r="A152" s="18" t="s">
        <v>177</v>
      </c>
      <c r="B152" s="1" t="s">
        <v>63</v>
      </c>
      <c r="C152" s="15" t="s">
        <v>823</v>
      </c>
      <c r="D152" s="1" t="s">
        <v>69</v>
      </c>
      <c r="H152" s="1" t="s">
        <v>131</v>
      </c>
      <c r="J152" s="1" t="s">
        <v>70</v>
      </c>
      <c r="K152" s="1">
        <v>0</v>
      </c>
      <c r="AF152" s="1">
        <v>0</v>
      </c>
      <c r="BA152" s="1">
        <v>0.156</v>
      </c>
      <c r="BI152" s="1">
        <v>2.3199999999999998</v>
      </c>
      <c r="BV152" s="1">
        <v>0</v>
      </c>
      <c r="CQ152" s="1">
        <v>0</v>
      </c>
      <c r="DL152" s="18" t="s">
        <v>96</v>
      </c>
      <c r="DN152" s="1">
        <f t="shared" si="49"/>
        <v>2.3199999999999998</v>
      </c>
      <c r="DO152" s="1">
        <f t="shared" si="50"/>
        <v>0</v>
      </c>
      <c r="DP152" s="1" t="s">
        <v>148</v>
      </c>
      <c r="DQ152" s="1" t="s">
        <v>2</v>
      </c>
      <c r="DR152" s="16">
        <f t="shared" si="51"/>
        <v>0.156</v>
      </c>
      <c r="DS152" s="16">
        <f t="shared" si="52"/>
        <v>2.3199999999999998</v>
      </c>
      <c r="DT152" s="101">
        <f t="shared" si="53"/>
        <v>3.6191999999999998</v>
      </c>
      <c r="DV152" s="16">
        <f t="shared" si="54"/>
        <v>0</v>
      </c>
      <c r="DZ152" s="37" t="s">
        <v>2</v>
      </c>
      <c r="EA152" s="37"/>
      <c r="EM152" s="73"/>
      <c r="EN152" s="37"/>
      <c r="EO152" s="37"/>
      <c r="EP152" s="37"/>
      <c r="EQ152" s="37"/>
      <c r="ER152" s="37"/>
      <c r="ES152" s="37"/>
      <c r="ET152" s="37"/>
      <c r="EU152" s="37"/>
      <c r="EV152" s="37"/>
      <c r="EW152" s="37"/>
      <c r="EX152" s="37"/>
      <c r="EY152" s="37"/>
      <c r="EZ152" s="37"/>
      <c r="FA152" s="37"/>
      <c r="FB152" s="37"/>
      <c r="FC152" s="37"/>
      <c r="FD152" s="37"/>
      <c r="FE152" s="37"/>
      <c r="FF152" s="55"/>
      <c r="FG152" s="55"/>
      <c r="FH152" s="55"/>
      <c r="FI152" s="37"/>
      <c r="FJ152" s="55"/>
      <c r="FK152" s="55"/>
      <c r="FL152" s="45"/>
      <c r="FM152" s="37"/>
      <c r="FN152" s="37"/>
      <c r="FO152" s="37"/>
      <c r="FP152" s="55"/>
      <c r="FQ152" s="1" t="s">
        <v>2</v>
      </c>
      <c r="FR152" s="1" t="s">
        <v>113</v>
      </c>
      <c r="FS152" s="1" t="s">
        <v>375</v>
      </c>
      <c r="FV152" s="1" t="s">
        <v>2</v>
      </c>
    </row>
    <row r="153" spans="1:178" ht="16.25" customHeight="1" x14ac:dyDescent="0.2">
      <c r="A153" s="18" t="s">
        <v>177</v>
      </c>
      <c r="B153" s="1" t="s">
        <v>63</v>
      </c>
      <c r="C153" s="15" t="s">
        <v>997</v>
      </c>
      <c r="H153" s="1" t="s">
        <v>131</v>
      </c>
      <c r="J153" s="1" t="s">
        <v>70</v>
      </c>
      <c r="K153" s="1">
        <v>0</v>
      </c>
      <c r="AF153" s="1">
        <v>0</v>
      </c>
      <c r="BA153" s="1">
        <v>0.22500000000000001</v>
      </c>
      <c r="BB153" s="1">
        <v>0.24</v>
      </c>
      <c r="BI153" s="1">
        <v>0.65</v>
      </c>
      <c r="BJ153" s="1">
        <v>0.03</v>
      </c>
      <c r="BV153" s="1">
        <v>0</v>
      </c>
      <c r="CQ153" s="1">
        <v>0</v>
      </c>
      <c r="DL153" s="18" t="s">
        <v>96</v>
      </c>
      <c r="DM153" s="1" t="s">
        <v>96</v>
      </c>
      <c r="DN153" s="1">
        <f t="shared" si="49"/>
        <v>0.65</v>
      </c>
      <c r="DO153" s="1">
        <f t="shared" si="50"/>
        <v>0.03</v>
      </c>
      <c r="DP153" s="1" t="s">
        <v>148</v>
      </c>
      <c r="DQ153" s="1" t="s">
        <v>2</v>
      </c>
      <c r="DR153" s="16">
        <f t="shared" si="51"/>
        <v>0.22500000000000001</v>
      </c>
      <c r="DS153" s="16">
        <f t="shared" si="52"/>
        <v>0.65</v>
      </c>
      <c r="DT153" s="101">
        <f t="shared" si="53"/>
        <v>1.4624999999999999</v>
      </c>
      <c r="DV153" s="16">
        <f t="shared" si="54"/>
        <v>0</v>
      </c>
      <c r="DZ153" s="37" t="s">
        <v>2</v>
      </c>
      <c r="EA153" s="37"/>
      <c r="EM153" s="73"/>
      <c r="EN153" s="37"/>
      <c r="EO153" s="37"/>
      <c r="EP153" s="37"/>
      <c r="EQ153" s="37"/>
      <c r="ER153" s="37"/>
      <c r="ES153" s="37"/>
      <c r="ET153" s="37"/>
      <c r="EU153" s="37"/>
      <c r="EV153" s="37"/>
      <c r="EW153" s="37"/>
      <c r="EX153" s="37"/>
      <c r="EY153" s="37"/>
      <c r="EZ153" s="37"/>
      <c r="FA153" s="37"/>
      <c r="FB153" s="37"/>
      <c r="FC153" s="37"/>
      <c r="FD153" s="37"/>
      <c r="FE153" s="37"/>
      <c r="FF153" s="55"/>
      <c r="FG153" s="55"/>
      <c r="FH153" s="55"/>
      <c r="FI153" s="37"/>
      <c r="FJ153" s="55"/>
      <c r="FK153" s="55"/>
      <c r="FL153" s="45"/>
      <c r="FM153" s="37"/>
      <c r="FN153" s="37"/>
      <c r="FO153" s="37"/>
      <c r="FP153" s="55"/>
      <c r="FQ153" s="1" t="s">
        <v>2</v>
      </c>
      <c r="FR153" s="1" t="s">
        <v>113</v>
      </c>
      <c r="FS153" s="1" t="s">
        <v>375</v>
      </c>
      <c r="FV153" s="1" t="s">
        <v>2</v>
      </c>
    </row>
    <row r="154" spans="1:178" ht="16.25" customHeight="1" x14ac:dyDescent="0.2">
      <c r="A154" s="18" t="s">
        <v>177</v>
      </c>
      <c r="B154" s="1" t="s">
        <v>63</v>
      </c>
      <c r="C154" s="79" t="s">
        <v>496</v>
      </c>
      <c r="D154" s="1" t="s">
        <v>69</v>
      </c>
      <c r="G154" s="1" t="s">
        <v>72</v>
      </c>
      <c r="J154" s="1" t="s">
        <v>70</v>
      </c>
      <c r="K154" s="1">
        <v>0</v>
      </c>
      <c r="AF154" s="1">
        <v>0</v>
      </c>
      <c r="BA154" s="1">
        <v>0.02</v>
      </c>
      <c r="BB154" s="1">
        <v>0.15</v>
      </c>
      <c r="BI154" s="1">
        <v>2.7</v>
      </c>
      <c r="BV154" s="1">
        <v>0</v>
      </c>
      <c r="CQ154" s="1">
        <v>0</v>
      </c>
      <c r="DL154" s="18" t="s">
        <v>96</v>
      </c>
      <c r="DN154" s="1">
        <f t="shared" si="49"/>
        <v>2.7</v>
      </c>
      <c r="DO154" s="1">
        <f t="shared" si="50"/>
        <v>0</v>
      </c>
      <c r="DP154" s="1" t="s">
        <v>148</v>
      </c>
      <c r="DQ154" s="1" t="s">
        <v>2</v>
      </c>
      <c r="DR154" s="16">
        <f t="shared" si="51"/>
        <v>0.02</v>
      </c>
      <c r="DS154" s="16">
        <f t="shared" si="52"/>
        <v>2.7</v>
      </c>
      <c r="DT154" s="101">
        <f t="shared" si="53"/>
        <v>0.54</v>
      </c>
      <c r="DV154" s="16">
        <f t="shared" si="54"/>
        <v>0</v>
      </c>
      <c r="DZ154" s="37" t="s">
        <v>2</v>
      </c>
      <c r="EA154" s="37"/>
      <c r="EM154" s="73"/>
      <c r="EN154" s="37"/>
      <c r="EO154" s="37"/>
      <c r="EP154" s="37"/>
      <c r="EQ154" s="37"/>
      <c r="ER154" s="37"/>
      <c r="ES154" s="37"/>
      <c r="ET154" s="37"/>
      <c r="EU154" s="37"/>
      <c r="EV154" s="37"/>
      <c r="EW154" s="37"/>
      <c r="EX154" s="37"/>
      <c r="EY154" s="37"/>
      <c r="EZ154" s="37"/>
      <c r="FA154" s="37"/>
      <c r="FB154" s="37"/>
      <c r="FC154" s="37"/>
      <c r="FD154" s="37"/>
      <c r="FE154" s="37"/>
      <c r="FF154" s="55"/>
      <c r="FG154" s="55"/>
      <c r="FH154" s="55"/>
      <c r="FI154" s="37"/>
      <c r="FJ154" s="55"/>
      <c r="FK154" s="55"/>
      <c r="FL154" s="45"/>
      <c r="FM154" s="37"/>
      <c r="FN154" s="37"/>
      <c r="FO154" s="37"/>
      <c r="FP154" s="55"/>
      <c r="FQ154" s="1" t="s">
        <v>2</v>
      </c>
      <c r="FR154" s="1" t="s">
        <v>113</v>
      </c>
      <c r="FS154" s="1" t="s">
        <v>375</v>
      </c>
      <c r="FV154" s="1" t="s">
        <v>2</v>
      </c>
    </row>
    <row r="155" spans="1:178" ht="16.25" customHeight="1" x14ac:dyDescent="0.2">
      <c r="A155" s="18" t="s">
        <v>177</v>
      </c>
      <c r="B155" s="1" t="s">
        <v>63</v>
      </c>
      <c r="C155" s="16" t="s">
        <v>1076</v>
      </c>
      <c r="D155" s="1" t="s">
        <v>69</v>
      </c>
      <c r="H155" s="1" t="s">
        <v>131</v>
      </c>
      <c r="J155" s="60" t="s">
        <v>70</v>
      </c>
      <c r="K155" s="1">
        <v>0</v>
      </c>
      <c r="AF155" s="1">
        <f>10.5+5.2</f>
        <v>15.7</v>
      </c>
      <c r="AN155" s="13">
        <f>(0.58*10.5+0.64*5.2)/AF155</f>
        <v>0.59987261146496818</v>
      </c>
      <c r="AO155" s="13">
        <f>(0.12*10.5+0.15*5.2)/AF155</f>
        <v>0.12993630573248408</v>
      </c>
      <c r="BA155" s="1">
        <f>2+0.8+7.7+2.8</f>
        <v>13.3</v>
      </c>
      <c r="BI155" s="13">
        <f>(0.51*2+0.52*0.8+0.45*7.7+0.47*2.8)/BA155</f>
        <v>0.46744360902255633</v>
      </c>
      <c r="BJ155" s="13">
        <f>(0.11*2+0.15*0.8+0.11*7.7+0.15*2.8)/BA155</f>
        <v>0.12082706766917291</v>
      </c>
      <c r="BV155" s="1">
        <v>0</v>
      </c>
      <c r="CQ155" s="1">
        <v>0</v>
      </c>
      <c r="DL155" s="18" t="s">
        <v>96</v>
      </c>
      <c r="DM155" s="1" t="s">
        <v>96</v>
      </c>
      <c r="DN155" s="1">
        <f t="shared" si="49"/>
        <v>0.53913793103448271</v>
      </c>
      <c r="DO155" s="1">
        <f t="shared" si="50"/>
        <v>0.12575862068965515</v>
      </c>
      <c r="DP155" s="1" t="s">
        <v>67</v>
      </c>
      <c r="DQ155" s="1" t="s">
        <v>2</v>
      </c>
      <c r="DR155" s="16">
        <f t="shared" si="51"/>
        <v>29</v>
      </c>
      <c r="DS155" s="100">
        <f t="shared" si="52"/>
        <v>0.53913793103448271</v>
      </c>
      <c r="DT155" s="101">
        <f t="shared" si="53"/>
        <v>156.35</v>
      </c>
      <c r="DV155" s="16">
        <f t="shared" si="54"/>
        <v>0</v>
      </c>
      <c r="DZ155" s="37" t="s">
        <v>2</v>
      </c>
      <c r="EA155" s="37"/>
      <c r="EM155" s="73"/>
      <c r="EN155" s="37"/>
      <c r="EO155" s="37"/>
      <c r="EP155" s="37"/>
      <c r="EQ155" s="37"/>
      <c r="ER155" s="37"/>
      <c r="ES155" s="37"/>
      <c r="ET155" s="37"/>
      <c r="EU155" s="37"/>
      <c r="EV155" s="37"/>
      <c r="EW155" s="37"/>
      <c r="EX155" s="37"/>
      <c r="EY155" s="37"/>
      <c r="EZ155" s="37"/>
      <c r="FA155" s="37"/>
      <c r="FB155" s="37"/>
      <c r="FC155" s="37"/>
      <c r="FD155" s="37"/>
      <c r="FE155" s="37"/>
      <c r="FF155" s="55"/>
      <c r="FG155" s="55"/>
      <c r="FH155" s="55"/>
      <c r="FI155" s="37"/>
      <c r="FJ155" s="55"/>
      <c r="FK155" s="55"/>
      <c r="FL155" s="45"/>
      <c r="FM155" s="37"/>
      <c r="FN155" s="37"/>
      <c r="FO155" s="37"/>
      <c r="FP155" s="55"/>
      <c r="FQ155" s="1" t="s">
        <v>2</v>
      </c>
      <c r="FR155" s="1" t="s">
        <v>113</v>
      </c>
      <c r="FS155" s="1" t="s">
        <v>375</v>
      </c>
      <c r="FV155" s="1" t="s">
        <v>2</v>
      </c>
    </row>
    <row r="156" spans="1:178" ht="16.25" customHeight="1" x14ac:dyDescent="0.2">
      <c r="A156" s="18" t="s">
        <v>177</v>
      </c>
      <c r="B156" s="1" t="s">
        <v>63</v>
      </c>
      <c r="C156" s="79" t="s">
        <v>512</v>
      </c>
      <c r="D156" s="1" t="s">
        <v>64</v>
      </c>
      <c r="G156" s="1" t="s">
        <v>72</v>
      </c>
      <c r="H156" s="1" t="s">
        <v>511</v>
      </c>
      <c r="J156" s="1" t="s">
        <v>70</v>
      </c>
      <c r="K156" s="1">
        <v>0</v>
      </c>
      <c r="AF156" s="1">
        <v>3.9</v>
      </c>
      <c r="AG156" s="1">
        <v>0.6</v>
      </c>
      <c r="AN156" s="1">
        <v>0.8</v>
      </c>
      <c r="AO156" s="1">
        <v>0.04</v>
      </c>
      <c r="BA156" s="1">
        <v>0.4</v>
      </c>
      <c r="BB156" s="1">
        <v>0.3</v>
      </c>
      <c r="BI156" s="1">
        <v>0.6</v>
      </c>
      <c r="BJ156" s="1">
        <v>0.03</v>
      </c>
      <c r="BV156" s="1">
        <v>0</v>
      </c>
      <c r="CQ156" s="1">
        <v>0</v>
      </c>
      <c r="DL156" s="18" t="s">
        <v>96</v>
      </c>
      <c r="DM156" s="1" t="s">
        <v>96</v>
      </c>
      <c r="DN156" s="1">
        <f t="shared" si="49"/>
        <v>0.7813953488372094</v>
      </c>
      <c r="DO156" s="1">
        <f t="shared" si="50"/>
        <v>3.906976744186047E-2</v>
      </c>
      <c r="DP156" s="1" t="s">
        <v>148</v>
      </c>
      <c r="DQ156" s="1" t="s">
        <v>2</v>
      </c>
      <c r="DR156" s="16">
        <f t="shared" si="51"/>
        <v>4.3</v>
      </c>
      <c r="DS156" s="100">
        <f t="shared" si="52"/>
        <v>0.7813953488372094</v>
      </c>
      <c r="DT156" s="101">
        <f t="shared" si="53"/>
        <v>33.6</v>
      </c>
      <c r="DV156" s="16">
        <f t="shared" si="54"/>
        <v>0</v>
      </c>
      <c r="DZ156" s="37" t="s">
        <v>2</v>
      </c>
      <c r="EA156" s="37"/>
      <c r="EM156" s="73"/>
      <c r="EN156" s="37"/>
      <c r="EO156" s="37"/>
      <c r="EP156" s="37"/>
      <c r="EQ156" s="37"/>
      <c r="ER156" s="37"/>
      <c r="ES156" s="37"/>
      <c r="ET156" s="37"/>
      <c r="EU156" s="37"/>
      <c r="EV156" s="37"/>
      <c r="EW156" s="37"/>
      <c r="EX156" s="37"/>
      <c r="EY156" s="37"/>
      <c r="EZ156" s="37"/>
      <c r="FA156" s="37"/>
      <c r="FB156" s="37"/>
      <c r="FC156" s="37"/>
      <c r="FD156" s="37"/>
      <c r="FE156" s="37"/>
      <c r="FF156" s="55"/>
      <c r="FG156" s="55"/>
      <c r="FH156" s="55"/>
      <c r="FI156" s="37"/>
      <c r="FJ156" s="55"/>
      <c r="FK156" s="55"/>
      <c r="FL156" s="45"/>
      <c r="FM156" s="37"/>
      <c r="FN156" s="37"/>
      <c r="FO156" s="37"/>
      <c r="FP156" s="55"/>
      <c r="FQ156" s="1" t="s">
        <v>2</v>
      </c>
      <c r="FR156" s="1" t="s">
        <v>113</v>
      </c>
      <c r="FS156" s="1" t="s">
        <v>375</v>
      </c>
      <c r="FV156" s="1" t="s">
        <v>2</v>
      </c>
    </row>
    <row r="157" spans="1:178" ht="16.25" customHeight="1" x14ac:dyDescent="0.2">
      <c r="A157" s="11" t="s">
        <v>108</v>
      </c>
      <c r="B157" s="1" t="s">
        <v>63</v>
      </c>
      <c r="C157" s="15" t="s">
        <v>925</v>
      </c>
      <c r="D157" s="1" t="s">
        <v>71</v>
      </c>
      <c r="H157" s="1" t="s">
        <v>131</v>
      </c>
      <c r="J157" s="1" t="s">
        <v>95</v>
      </c>
      <c r="K157" s="1">
        <v>10.1</v>
      </c>
      <c r="L157" s="1">
        <v>0.49</v>
      </c>
      <c r="N157" s="1">
        <v>10.5</v>
      </c>
      <c r="Q157" s="1">
        <v>3.32</v>
      </c>
      <c r="R157" s="1">
        <v>0.54</v>
      </c>
      <c r="S157" s="13">
        <v>0.1</v>
      </c>
      <c r="T157" s="1">
        <v>0.12</v>
      </c>
      <c r="AF157" s="1">
        <v>22.7</v>
      </c>
      <c r="AG157" s="1">
        <v>0.38</v>
      </c>
      <c r="AI157" s="1">
        <v>13.8</v>
      </c>
      <c r="AL157" s="1">
        <v>3.47</v>
      </c>
      <c r="AM157" s="1">
        <v>0.71</v>
      </c>
      <c r="AN157" s="1">
        <v>0.09</v>
      </c>
      <c r="AO157" s="1">
        <v>0.11</v>
      </c>
      <c r="BA157" s="1">
        <v>26.7</v>
      </c>
      <c r="BB157" s="1">
        <v>0.65</v>
      </c>
      <c r="BD157" s="1">
        <v>14.3</v>
      </c>
      <c r="BG157" s="13">
        <v>2.7</v>
      </c>
      <c r="BI157" s="1">
        <v>0.09</v>
      </c>
      <c r="BJ157" s="1">
        <v>0.09</v>
      </c>
      <c r="BV157" s="1">
        <v>0</v>
      </c>
      <c r="CQ157" s="1">
        <v>0</v>
      </c>
      <c r="DL157" s="18" t="s">
        <v>96</v>
      </c>
      <c r="DM157" s="1" t="s">
        <v>96</v>
      </c>
      <c r="DN157" s="1">
        <f t="shared" si="49"/>
        <v>9.1697478991596637E-2</v>
      </c>
      <c r="DO157" s="1">
        <f t="shared" si="50"/>
        <v>0.10272268907563026</v>
      </c>
      <c r="DP157" s="1" t="s">
        <v>111</v>
      </c>
      <c r="DQ157" s="1" t="s">
        <v>2</v>
      </c>
      <c r="DR157" s="16">
        <f t="shared" si="51"/>
        <v>59.5</v>
      </c>
      <c r="DS157" s="103">
        <f t="shared" si="52"/>
        <v>9.1697478991596637E-2</v>
      </c>
      <c r="DT157" s="101">
        <f t="shared" si="53"/>
        <v>54.56</v>
      </c>
      <c r="DV157" s="16">
        <f t="shared" si="54"/>
        <v>0</v>
      </c>
      <c r="DZ157" s="37" t="s">
        <v>2</v>
      </c>
      <c r="EA157" s="37"/>
      <c r="EM157" s="73"/>
      <c r="EN157" s="37"/>
      <c r="EO157" s="37"/>
      <c r="EP157" s="37"/>
      <c r="EQ157" s="37"/>
      <c r="ER157" s="37"/>
      <c r="ES157" s="37"/>
      <c r="ET157" s="37"/>
      <c r="EU157" s="37"/>
      <c r="EV157" s="37"/>
      <c r="EW157" s="37"/>
      <c r="EX157" s="37"/>
      <c r="EY157" s="37"/>
      <c r="EZ157" s="37"/>
      <c r="FA157" s="37"/>
      <c r="FB157" s="37"/>
      <c r="FC157" s="37"/>
      <c r="FD157" s="37"/>
      <c r="FE157" s="37"/>
      <c r="FF157" s="55"/>
      <c r="FG157" s="55"/>
      <c r="FH157" s="55"/>
      <c r="FI157" s="37"/>
      <c r="FJ157" s="55"/>
      <c r="FK157" s="55"/>
      <c r="FL157" s="45"/>
      <c r="FM157" s="37"/>
      <c r="FN157" s="37"/>
      <c r="FO157" s="37"/>
      <c r="FP157" s="55"/>
      <c r="FQ157" s="1" t="s">
        <v>2</v>
      </c>
      <c r="FR157" s="1" t="s">
        <v>113</v>
      </c>
      <c r="FS157" s="1" t="s">
        <v>114</v>
      </c>
      <c r="FV157" s="1" t="s">
        <v>2</v>
      </c>
    </row>
    <row r="158" spans="1:178" ht="16.25" customHeight="1" x14ac:dyDescent="0.2">
      <c r="A158" s="11" t="s">
        <v>108</v>
      </c>
      <c r="B158" s="1" t="s">
        <v>63</v>
      </c>
      <c r="C158" s="15" t="s">
        <v>1217</v>
      </c>
      <c r="H158" s="1" t="s">
        <v>1203</v>
      </c>
      <c r="J158" s="1" t="s">
        <v>95</v>
      </c>
      <c r="K158" s="1">
        <v>0</v>
      </c>
      <c r="AF158" s="1">
        <v>12.2</v>
      </c>
      <c r="AG158" s="1">
        <v>0.49</v>
      </c>
      <c r="AL158" s="1">
        <v>0.56000000000000005</v>
      </c>
      <c r="AN158" s="13">
        <v>0.2</v>
      </c>
      <c r="AO158" s="1">
        <v>0.21</v>
      </c>
      <c r="BA158" s="1">
        <v>0</v>
      </c>
      <c r="BV158" s="1">
        <v>0</v>
      </c>
      <c r="CQ158" s="1">
        <v>0</v>
      </c>
      <c r="DL158" s="18" t="s">
        <v>96</v>
      </c>
      <c r="DM158" s="1" t="s">
        <v>96</v>
      </c>
      <c r="DN158" s="1">
        <f t="shared" si="49"/>
        <v>0.2</v>
      </c>
      <c r="DO158" s="1">
        <f t="shared" si="50"/>
        <v>0.21</v>
      </c>
      <c r="DP158" s="1" t="s">
        <v>121</v>
      </c>
      <c r="DQ158" s="1" t="s">
        <v>2</v>
      </c>
      <c r="DR158" s="16">
        <f t="shared" si="51"/>
        <v>12.2</v>
      </c>
      <c r="DS158" s="16">
        <f t="shared" si="52"/>
        <v>0.2</v>
      </c>
      <c r="DT158" s="101">
        <f t="shared" si="53"/>
        <v>24.4</v>
      </c>
      <c r="DV158" s="16">
        <f t="shared" si="54"/>
        <v>0</v>
      </c>
      <c r="DZ158" s="37" t="s">
        <v>2</v>
      </c>
      <c r="EA158" s="37"/>
      <c r="EM158" s="73"/>
      <c r="EN158" s="37"/>
      <c r="EO158" s="37"/>
      <c r="EP158" s="37"/>
      <c r="EQ158" s="37"/>
      <c r="ER158" s="37"/>
      <c r="ES158" s="37"/>
      <c r="ET158" s="37"/>
      <c r="EU158" s="37"/>
      <c r="EV158" s="37"/>
      <c r="EW158" s="37"/>
      <c r="EX158" s="37"/>
      <c r="EY158" s="37"/>
      <c r="EZ158" s="37"/>
      <c r="FA158" s="37"/>
      <c r="FB158" s="37"/>
      <c r="FC158" s="37"/>
      <c r="FD158" s="37"/>
      <c r="FE158" s="37"/>
      <c r="FF158" s="55"/>
      <c r="FG158" s="55"/>
      <c r="FH158" s="55"/>
      <c r="FI158" s="37"/>
      <c r="FJ158" s="55"/>
      <c r="FK158" s="55"/>
      <c r="FL158" s="45"/>
      <c r="FM158" s="37"/>
      <c r="FN158" s="37"/>
      <c r="FO158" s="37"/>
      <c r="FP158" s="55"/>
      <c r="FQ158" s="1" t="s">
        <v>2</v>
      </c>
      <c r="FR158" s="1" t="s">
        <v>113</v>
      </c>
      <c r="FS158" s="1" t="s">
        <v>114</v>
      </c>
      <c r="FV158" s="1" t="s">
        <v>2</v>
      </c>
    </row>
    <row r="159" spans="1:178" ht="16.25" customHeight="1" x14ac:dyDescent="0.2">
      <c r="A159" s="18" t="s">
        <v>177</v>
      </c>
      <c r="B159" s="1" t="s">
        <v>63</v>
      </c>
      <c r="C159" s="79" t="s">
        <v>250</v>
      </c>
      <c r="D159" s="1" t="s">
        <v>69</v>
      </c>
      <c r="G159" s="1" t="s">
        <v>72</v>
      </c>
      <c r="H159" s="1" t="s">
        <v>249</v>
      </c>
      <c r="J159" s="1" t="s">
        <v>70</v>
      </c>
      <c r="K159" s="1">
        <v>0</v>
      </c>
      <c r="AF159" s="1">
        <v>37.799999999999997</v>
      </c>
      <c r="AG159" s="1">
        <v>0.44</v>
      </c>
      <c r="AH159" s="1">
        <v>0.04</v>
      </c>
      <c r="AN159" s="1">
        <v>0.49</v>
      </c>
      <c r="AO159" s="2">
        <v>2.1100000000000001E-2</v>
      </c>
      <c r="AP159" s="1">
        <v>7.0000000000000007E-2</v>
      </c>
      <c r="AQ159" s="1">
        <v>0.08</v>
      </c>
      <c r="BA159" s="1">
        <v>1.9</v>
      </c>
      <c r="BB159" s="1">
        <v>0.34</v>
      </c>
      <c r="BC159" s="1">
        <v>0.04</v>
      </c>
      <c r="BI159" s="1">
        <v>0.37</v>
      </c>
      <c r="BJ159" s="2">
        <v>2.29E-2</v>
      </c>
      <c r="BK159" s="1">
        <v>0.08</v>
      </c>
      <c r="BL159" s="1">
        <v>7.0000000000000007E-2</v>
      </c>
      <c r="BV159" s="1">
        <v>0</v>
      </c>
      <c r="CQ159" s="1">
        <v>0</v>
      </c>
      <c r="DL159" s="18" t="s">
        <v>96</v>
      </c>
      <c r="DM159" s="1" t="s">
        <v>96</v>
      </c>
      <c r="DN159" s="1">
        <f t="shared" si="49"/>
        <v>0.48425692695214106</v>
      </c>
      <c r="DO159" s="1">
        <f t="shared" si="50"/>
        <v>2.1186146095717888E-2</v>
      </c>
      <c r="DP159" s="1" t="s">
        <v>67</v>
      </c>
      <c r="DQ159" s="1" t="s">
        <v>2</v>
      </c>
      <c r="DR159" s="16">
        <f t="shared" si="51"/>
        <v>39.699999999999996</v>
      </c>
      <c r="DS159" s="100">
        <f t="shared" si="52"/>
        <v>0.48425692695214106</v>
      </c>
      <c r="DT159" s="101">
        <f t="shared" si="53"/>
        <v>192.24999999999997</v>
      </c>
      <c r="DV159" s="16">
        <f t="shared" si="54"/>
        <v>0</v>
      </c>
      <c r="DZ159" s="37" t="s">
        <v>2</v>
      </c>
      <c r="EA159" s="37"/>
      <c r="EM159" s="73"/>
      <c r="EN159" s="37"/>
      <c r="EO159" s="37"/>
      <c r="EP159" s="37"/>
      <c r="EQ159" s="37"/>
      <c r="ER159" s="37"/>
      <c r="ES159" s="37"/>
      <c r="ET159" s="37"/>
      <c r="EU159" s="37"/>
      <c r="EV159" s="37"/>
      <c r="EW159" s="37"/>
      <c r="EX159" s="37"/>
      <c r="EY159" s="37"/>
      <c r="EZ159" s="37"/>
      <c r="FA159" s="37"/>
      <c r="FB159" s="37"/>
      <c r="FC159" s="37"/>
      <c r="FD159" s="37"/>
      <c r="FE159" s="37"/>
      <c r="FF159" s="55"/>
      <c r="FG159" s="55"/>
      <c r="FH159" s="55"/>
      <c r="FI159" s="37"/>
      <c r="FJ159" s="55"/>
      <c r="FK159" s="55"/>
      <c r="FL159" s="45"/>
      <c r="FM159" s="37"/>
      <c r="FN159" s="37"/>
      <c r="FO159" s="37"/>
      <c r="FP159" s="55"/>
      <c r="FQ159" s="1" t="s">
        <v>2</v>
      </c>
      <c r="FR159" s="1" t="s">
        <v>113</v>
      </c>
      <c r="FS159" s="1" t="s">
        <v>129</v>
      </c>
      <c r="FV159" s="1" t="s">
        <v>2</v>
      </c>
    </row>
    <row r="160" spans="1:178" ht="16.25" customHeight="1" x14ac:dyDescent="0.2">
      <c r="A160" s="18" t="s">
        <v>177</v>
      </c>
      <c r="B160" s="1" t="s">
        <v>63</v>
      </c>
      <c r="C160" s="15" t="s">
        <v>248</v>
      </c>
      <c r="D160" s="1" t="s">
        <v>69</v>
      </c>
      <c r="G160" s="1" t="s">
        <v>72</v>
      </c>
      <c r="H160" s="1" t="s">
        <v>249</v>
      </c>
      <c r="J160" s="1" t="s">
        <v>70</v>
      </c>
      <c r="K160" s="1">
        <v>0</v>
      </c>
      <c r="AF160" s="1">
        <v>73.900000000000006</v>
      </c>
      <c r="AG160" s="1">
        <v>0.41</v>
      </c>
      <c r="AH160" s="1">
        <v>0.06</v>
      </c>
      <c r="AN160" s="1">
        <v>0.36</v>
      </c>
      <c r="AO160" s="2">
        <v>1.32E-2</v>
      </c>
      <c r="AP160" s="1">
        <v>0.09</v>
      </c>
      <c r="AQ160" s="13">
        <v>0.1</v>
      </c>
      <c r="BA160" s="1">
        <v>169.4</v>
      </c>
      <c r="BB160" s="1">
        <v>0.37</v>
      </c>
      <c r="BC160" s="1">
        <v>0.06</v>
      </c>
      <c r="BI160" s="1">
        <v>0.33</v>
      </c>
      <c r="BJ160" s="2">
        <v>1.23E-2</v>
      </c>
      <c r="BK160" s="1">
        <v>0.09</v>
      </c>
      <c r="BL160" s="13">
        <v>0.1</v>
      </c>
      <c r="BV160" s="1">
        <v>0</v>
      </c>
      <c r="CQ160" s="1">
        <v>0</v>
      </c>
      <c r="DL160" s="18" t="s">
        <v>96</v>
      </c>
      <c r="DM160" s="1" t="s">
        <v>96</v>
      </c>
      <c r="DN160" s="1">
        <f t="shared" si="49"/>
        <v>0.33911220715166462</v>
      </c>
      <c r="DO160" s="1">
        <f t="shared" si="50"/>
        <v>1.2573366214549939E-2</v>
      </c>
      <c r="DP160" s="1" t="s">
        <v>67</v>
      </c>
      <c r="DQ160" s="1" t="s">
        <v>2</v>
      </c>
      <c r="DR160" s="16">
        <f t="shared" si="51"/>
        <v>243.3</v>
      </c>
      <c r="DS160" s="100">
        <f t="shared" si="52"/>
        <v>0.33911220715166462</v>
      </c>
      <c r="DT160" s="101">
        <f t="shared" si="53"/>
        <v>825.06</v>
      </c>
      <c r="DV160" s="16">
        <f t="shared" si="54"/>
        <v>0</v>
      </c>
      <c r="DZ160" s="37" t="s">
        <v>2</v>
      </c>
      <c r="EA160" s="37"/>
      <c r="EM160" s="73"/>
      <c r="EN160" s="37"/>
      <c r="EO160" s="37"/>
      <c r="EP160" s="37"/>
      <c r="EQ160" s="37"/>
      <c r="ER160" s="37"/>
      <c r="ES160" s="37"/>
      <c r="ET160" s="37"/>
      <c r="EU160" s="37"/>
      <c r="EV160" s="37"/>
      <c r="EW160" s="37"/>
      <c r="EX160" s="37"/>
      <c r="EY160" s="37"/>
      <c r="EZ160" s="37"/>
      <c r="FA160" s="37"/>
      <c r="FB160" s="37"/>
      <c r="FC160" s="37"/>
      <c r="FD160" s="37"/>
      <c r="FE160" s="37"/>
      <c r="FF160" s="55"/>
      <c r="FG160" s="55"/>
      <c r="FH160" s="55"/>
      <c r="FI160" s="37"/>
      <c r="FJ160" s="55"/>
      <c r="FK160" s="55"/>
      <c r="FL160" s="45"/>
      <c r="FM160" s="37"/>
      <c r="FN160" s="37"/>
      <c r="FO160" s="37"/>
      <c r="FP160" s="55"/>
      <c r="FQ160" s="1" t="s">
        <v>2</v>
      </c>
      <c r="FR160" s="1" t="s">
        <v>113</v>
      </c>
      <c r="FS160" s="1" t="s">
        <v>129</v>
      </c>
      <c r="FV160" s="1" t="s">
        <v>2</v>
      </c>
    </row>
    <row r="161" spans="1:178" ht="16.25" customHeight="1" x14ac:dyDescent="0.2">
      <c r="A161" s="18" t="s">
        <v>177</v>
      </c>
      <c r="B161" s="1" t="s">
        <v>63</v>
      </c>
      <c r="C161" s="15" t="s">
        <v>1002</v>
      </c>
      <c r="H161" s="1" t="s">
        <v>131</v>
      </c>
      <c r="J161" s="1" t="s">
        <v>70</v>
      </c>
      <c r="K161" s="1">
        <v>0</v>
      </c>
      <c r="AF161" s="1">
        <v>0</v>
      </c>
      <c r="BA161" s="2">
        <f>1.6336+1.5302</f>
        <v>3.1638000000000002</v>
      </c>
      <c r="BB161" s="13">
        <f>(0.512*1.6336+0.621*1.5302)/BA161</f>
        <v>0.56471881914153865</v>
      </c>
      <c r="BI161" s="13">
        <f>(0.151*1.6336+0.247*1.5302)/BA161</f>
        <v>0.19743125355585053</v>
      </c>
      <c r="BV161" s="1">
        <v>0</v>
      </c>
      <c r="CQ161" s="1">
        <v>0</v>
      </c>
      <c r="DL161" s="18" t="s">
        <v>163</v>
      </c>
      <c r="DN161" s="1">
        <f t="shared" si="49"/>
        <v>0.19743125355585053</v>
      </c>
      <c r="DO161" s="1">
        <f t="shared" si="50"/>
        <v>0</v>
      </c>
      <c r="DP161" s="1" t="s">
        <v>396</v>
      </c>
      <c r="DQ161" s="1" t="s">
        <v>2</v>
      </c>
      <c r="DR161" s="103">
        <f t="shared" si="51"/>
        <v>3.1638000000000002</v>
      </c>
      <c r="DS161" s="100">
        <f t="shared" si="52"/>
        <v>0.19743125355585053</v>
      </c>
      <c r="DT161" s="101">
        <f t="shared" si="53"/>
        <v>6.2463299999999995</v>
      </c>
      <c r="DV161" s="16">
        <f t="shared" si="54"/>
        <v>0</v>
      </c>
      <c r="DZ161" s="37" t="s">
        <v>2</v>
      </c>
      <c r="EA161" s="37"/>
      <c r="EM161" s="73"/>
      <c r="EN161" s="37"/>
      <c r="EO161" s="37"/>
      <c r="EP161" s="37"/>
      <c r="EQ161" s="37"/>
      <c r="ER161" s="37"/>
      <c r="ES161" s="37"/>
      <c r="ET161" s="37"/>
      <c r="EU161" s="37"/>
      <c r="EV161" s="37"/>
      <c r="EW161" s="37"/>
      <c r="EX161" s="37"/>
      <c r="EY161" s="37"/>
      <c r="EZ161" s="37"/>
      <c r="FA161" s="37"/>
      <c r="FB161" s="37"/>
      <c r="FC161" s="37"/>
      <c r="FD161" s="37"/>
      <c r="FE161" s="37"/>
      <c r="FF161" s="55"/>
      <c r="FG161" s="55"/>
      <c r="FH161" s="55"/>
      <c r="FI161" s="37"/>
      <c r="FJ161" s="55"/>
      <c r="FK161" s="55"/>
      <c r="FL161" s="45"/>
      <c r="FM161" s="37"/>
      <c r="FN161" s="37"/>
      <c r="FO161" s="37"/>
      <c r="FP161" s="55"/>
      <c r="FQ161" s="1" t="s">
        <v>2</v>
      </c>
      <c r="FR161" s="1" t="s">
        <v>113</v>
      </c>
      <c r="FS161" s="1" t="s">
        <v>129</v>
      </c>
      <c r="FV161" s="1" t="s">
        <v>2</v>
      </c>
    </row>
    <row r="162" spans="1:178" ht="16.25" customHeight="1" x14ac:dyDescent="0.2">
      <c r="A162" s="18" t="s">
        <v>177</v>
      </c>
      <c r="B162" s="1" t="s">
        <v>63</v>
      </c>
      <c r="C162" s="80" t="s">
        <v>927</v>
      </c>
      <c r="D162" s="1" t="s">
        <v>69</v>
      </c>
      <c r="H162" s="1" t="s">
        <v>928</v>
      </c>
      <c r="J162" s="1" t="s">
        <v>70</v>
      </c>
      <c r="K162" s="1">
        <v>0</v>
      </c>
      <c r="AF162" s="1">
        <v>0</v>
      </c>
      <c r="BA162" s="1">
        <v>101.98399999999999</v>
      </c>
      <c r="BI162" s="1">
        <v>0.21</v>
      </c>
      <c r="BV162" s="1">
        <v>0</v>
      </c>
      <c r="CQ162" s="1">
        <v>0</v>
      </c>
      <c r="DL162" s="18" t="s">
        <v>96</v>
      </c>
      <c r="DN162" s="1">
        <f t="shared" si="49"/>
        <v>0.21</v>
      </c>
      <c r="DO162" s="1">
        <f t="shared" si="50"/>
        <v>0</v>
      </c>
      <c r="DP162" s="1" t="s">
        <v>148</v>
      </c>
      <c r="DQ162" s="1" t="s">
        <v>2</v>
      </c>
      <c r="DR162" s="101">
        <f t="shared" si="51"/>
        <v>101.98399999999999</v>
      </c>
      <c r="DS162" s="16">
        <f t="shared" si="52"/>
        <v>0.21</v>
      </c>
      <c r="DT162" s="101">
        <f t="shared" si="53"/>
        <v>214.16639999999998</v>
      </c>
      <c r="DV162" s="16">
        <f t="shared" si="54"/>
        <v>0</v>
      </c>
      <c r="DZ162" s="37" t="s">
        <v>2</v>
      </c>
      <c r="EA162" s="37"/>
      <c r="EM162" s="73"/>
      <c r="EN162" s="37"/>
      <c r="EO162" s="37"/>
      <c r="EP162" s="37"/>
      <c r="EQ162" s="37"/>
      <c r="ER162" s="37"/>
      <c r="ES162" s="37"/>
      <c r="ET162" s="37"/>
      <c r="EU162" s="37"/>
      <c r="EV162" s="37"/>
      <c r="EW162" s="37"/>
      <c r="EX162" s="37"/>
      <c r="EY162" s="37"/>
      <c r="EZ162" s="37"/>
      <c r="FA162" s="37"/>
      <c r="FB162" s="37"/>
      <c r="FC162" s="37"/>
      <c r="FD162" s="37"/>
      <c r="FE162" s="37"/>
      <c r="FF162" s="55"/>
      <c r="FG162" s="55"/>
      <c r="FH162" s="55"/>
      <c r="FI162" s="37"/>
      <c r="FJ162" s="55"/>
      <c r="FK162" s="55"/>
      <c r="FL162" s="45"/>
      <c r="FM162" s="37"/>
      <c r="FN162" s="37"/>
      <c r="FO162" s="37"/>
      <c r="FP162" s="55"/>
      <c r="FQ162" s="1" t="s">
        <v>2</v>
      </c>
      <c r="FR162" s="1" t="s">
        <v>160</v>
      </c>
      <c r="FS162" s="1" t="s">
        <v>113</v>
      </c>
      <c r="FT162" s="1" t="s">
        <v>223</v>
      </c>
      <c r="FV162" s="1" t="s">
        <v>2</v>
      </c>
    </row>
    <row r="163" spans="1:178" ht="16.25" customHeight="1" x14ac:dyDescent="0.2">
      <c r="A163" s="18" t="s">
        <v>177</v>
      </c>
      <c r="B163" s="1" t="s">
        <v>63</v>
      </c>
      <c r="C163" s="80" t="s">
        <v>988</v>
      </c>
      <c r="D163" s="1" t="s">
        <v>64</v>
      </c>
      <c r="H163" s="1" t="s">
        <v>989</v>
      </c>
      <c r="J163" s="1" t="s">
        <v>70</v>
      </c>
      <c r="K163" s="1">
        <v>0</v>
      </c>
      <c r="AF163" s="1">
        <v>0</v>
      </c>
      <c r="BA163" s="1">
        <v>32.64</v>
      </c>
      <c r="BB163" s="11">
        <v>0.1</v>
      </c>
      <c r="BI163" s="1">
        <v>0.41</v>
      </c>
      <c r="BV163" s="1">
        <v>0</v>
      </c>
      <c r="CQ163" s="1">
        <v>0</v>
      </c>
      <c r="DL163" s="18" t="s">
        <v>96</v>
      </c>
      <c r="DN163" s="1">
        <f t="shared" si="49"/>
        <v>0.41</v>
      </c>
      <c r="DO163" s="1">
        <f t="shared" si="50"/>
        <v>0</v>
      </c>
      <c r="DP163" s="1" t="s">
        <v>148</v>
      </c>
      <c r="DQ163" s="1" t="s">
        <v>2</v>
      </c>
      <c r="DR163" s="16">
        <f t="shared" si="51"/>
        <v>32.64</v>
      </c>
      <c r="DS163" s="16">
        <f t="shared" si="52"/>
        <v>0.41</v>
      </c>
      <c r="DT163" s="101">
        <f t="shared" si="53"/>
        <v>133.82399999999998</v>
      </c>
      <c r="DV163" s="16">
        <f t="shared" si="54"/>
        <v>0</v>
      </c>
      <c r="DZ163" s="37" t="s">
        <v>2</v>
      </c>
      <c r="EA163" s="37"/>
      <c r="EM163" s="73"/>
      <c r="EN163" s="37"/>
      <c r="EO163" s="37"/>
      <c r="EP163" s="37"/>
      <c r="EQ163" s="37"/>
      <c r="ER163" s="37"/>
      <c r="ES163" s="37"/>
      <c r="ET163" s="37"/>
      <c r="EU163" s="37"/>
      <c r="EV163" s="37"/>
      <c r="EW163" s="37"/>
      <c r="EX163" s="37"/>
      <c r="EY163" s="37"/>
      <c r="EZ163" s="37"/>
      <c r="FA163" s="37"/>
      <c r="FB163" s="37"/>
      <c r="FC163" s="37"/>
      <c r="FD163" s="37"/>
      <c r="FE163" s="37"/>
      <c r="FF163" s="55"/>
      <c r="FG163" s="55"/>
      <c r="FH163" s="55"/>
      <c r="FI163" s="37"/>
      <c r="FJ163" s="55"/>
      <c r="FK163" s="55"/>
      <c r="FL163" s="45"/>
      <c r="FM163" s="37"/>
      <c r="FN163" s="37"/>
      <c r="FO163" s="37"/>
      <c r="FP163" s="55"/>
      <c r="FQ163" s="1" t="s">
        <v>2</v>
      </c>
      <c r="FR163" s="1" t="s">
        <v>160</v>
      </c>
      <c r="FS163" s="1" t="s">
        <v>113</v>
      </c>
      <c r="FT163" s="1" t="s">
        <v>223</v>
      </c>
      <c r="FV163" s="1" t="s">
        <v>2</v>
      </c>
    </row>
    <row r="164" spans="1:178" ht="16.25" customHeight="1" x14ac:dyDescent="0.2">
      <c r="A164" s="18" t="s">
        <v>177</v>
      </c>
      <c r="B164" s="1" t="s">
        <v>63</v>
      </c>
      <c r="C164" s="80" t="s">
        <v>1004</v>
      </c>
      <c r="H164" s="1" t="s">
        <v>131</v>
      </c>
      <c r="J164" s="1" t="s">
        <v>70</v>
      </c>
      <c r="K164" s="1">
        <v>3.16</v>
      </c>
      <c r="S164" s="1">
        <v>0.6</v>
      </c>
      <c r="AF164" s="1">
        <v>0</v>
      </c>
      <c r="BA164" s="1">
        <v>26.45</v>
      </c>
      <c r="BI164" s="1">
        <v>0.44</v>
      </c>
      <c r="BV164" s="1">
        <v>0</v>
      </c>
      <c r="CQ164" s="1">
        <v>0</v>
      </c>
      <c r="DL164" s="18" t="s">
        <v>96</v>
      </c>
      <c r="DN164" s="1">
        <f t="shared" si="49"/>
        <v>0.45707531239446131</v>
      </c>
      <c r="DO164" s="1">
        <f t="shared" si="50"/>
        <v>0</v>
      </c>
      <c r="DP164" s="1" t="s">
        <v>148</v>
      </c>
      <c r="DQ164" s="1" t="s">
        <v>2</v>
      </c>
      <c r="DR164" s="16">
        <f t="shared" si="51"/>
        <v>29.61</v>
      </c>
      <c r="DS164" s="100">
        <f t="shared" si="52"/>
        <v>0.45707531239446131</v>
      </c>
      <c r="DT164" s="101">
        <f t="shared" si="53"/>
        <v>135.34</v>
      </c>
      <c r="DV164" s="16">
        <f t="shared" si="54"/>
        <v>0</v>
      </c>
      <c r="DZ164" s="37" t="s">
        <v>2</v>
      </c>
      <c r="EA164" s="37"/>
      <c r="EM164" s="73"/>
      <c r="EN164" s="37"/>
      <c r="EO164" s="37"/>
      <c r="EP164" s="37"/>
      <c r="EQ164" s="37"/>
      <c r="ER164" s="37"/>
      <c r="ES164" s="37"/>
      <c r="ET164" s="37"/>
      <c r="EU164" s="37"/>
      <c r="EV164" s="37"/>
      <c r="EW164" s="37"/>
      <c r="EX164" s="37"/>
      <c r="EY164" s="37"/>
      <c r="EZ164" s="37"/>
      <c r="FA164" s="37"/>
      <c r="FB164" s="37"/>
      <c r="FC164" s="37"/>
      <c r="FD164" s="37"/>
      <c r="FE164" s="37"/>
      <c r="FF164" s="55"/>
      <c r="FG164" s="55"/>
      <c r="FH164" s="55"/>
      <c r="FI164" s="37"/>
      <c r="FJ164" s="55"/>
      <c r="FK164" s="55"/>
      <c r="FL164" s="45"/>
      <c r="FM164" s="37"/>
      <c r="FN164" s="37"/>
      <c r="FO164" s="37"/>
      <c r="FP164" s="55"/>
      <c r="FQ164" s="1" t="s">
        <v>2</v>
      </c>
      <c r="FR164" s="1" t="s">
        <v>160</v>
      </c>
      <c r="FS164" s="1" t="s">
        <v>113</v>
      </c>
      <c r="FT164" s="1" t="s">
        <v>223</v>
      </c>
      <c r="FV164" s="1" t="s">
        <v>2</v>
      </c>
    </row>
    <row r="165" spans="1:178" ht="16.25" customHeight="1" x14ac:dyDescent="0.2">
      <c r="A165" s="11" t="s">
        <v>123</v>
      </c>
      <c r="B165" s="1" t="s">
        <v>63</v>
      </c>
      <c r="C165" s="80" t="s">
        <v>826</v>
      </c>
      <c r="D165" s="1" t="s">
        <v>69</v>
      </c>
      <c r="H165" s="1" t="s">
        <v>131</v>
      </c>
      <c r="J165" s="1" t="s">
        <v>95</v>
      </c>
      <c r="K165" s="1">
        <v>0</v>
      </c>
      <c r="AF165" s="1">
        <f>1.3+19.8</f>
        <v>21.1</v>
      </c>
      <c r="AG165" s="2">
        <f>(0.075*1.3+0.034*19.8)/AF165</f>
        <v>3.6526066350710901E-2</v>
      </c>
      <c r="AJ165" s="2">
        <f>((0.069*1.3+0.072*19.8)/AF165)/1.179</f>
        <v>6.0911930345018871E-2</v>
      </c>
      <c r="AK165" s="2"/>
      <c r="AM165" s="13">
        <f>(0.128*1.3+0.134*19.8)/AF165</f>
        <v>0.13363033175355452</v>
      </c>
      <c r="AN165" s="2">
        <f>(0.044*1.3+0.063*19.8)/AF165</f>
        <v>6.1829383886255918E-2</v>
      </c>
      <c r="AO165" s="2">
        <f>(0.021*1.3+0.031*19.8)/AF165</f>
        <v>3.038388625592417E-2</v>
      </c>
      <c r="AX165" s="17">
        <f>(60*1.3+30*13.2)/(1.3+13.2)</f>
        <v>32.689655172413794</v>
      </c>
      <c r="BA165" s="1">
        <f>2.5+10.4</f>
        <v>12.9</v>
      </c>
      <c r="BB165" s="2">
        <f>(0.027*2.5+0.011*10.4)/BA165</f>
        <v>1.4100775193798449E-2</v>
      </c>
      <c r="BE165" s="2">
        <f>((0.038*2.5+0.033*10.4)/BA165)/1.179</f>
        <v>2.8811698259594586E-2</v>
      </c>
      <c r="BF165" s="2"/>
      <c r="BH165" s="2">
        <f>(0.05*2.5+0.032*10.4)/BA165</f>
        <v>3.548837209302326E-2</v>
      </c>
      <c r="BI165" s="2">
        <f>(0.025*2.5+0.025*10.4)/BA165</f>
        <v>2.5000000000000001E-2</v>
      </c>
      <c r="BJ165" s="2">
        <f>(0.014*2.5+0.014*10.4)/BA165</f>
        <v>1.4E-2</v>
      </c>
      <c r="BS165" s="17">
        <f>(20*2.5+20*16.1)/(2.5+16.1)</f>
        <v>20</v>
      </c>
      <c r="BV165" s="1">
        <v>0</v>
      </c>
      <c r="CQ165" s="1">
        <v>0</v>
      </c>
      <c r="DL165" s="18" t="s">
        <v>96</v>
      </c>
      <c r="DM165" s="1" t="s">
        <v>96</v>
      </c>
      <c r="DN165" s="1">
        <f t="shared" si="49"/>
        <v>4.7855882352941179E-2</v>
      </c>
      <c r="DO165" s="1">
        <f t="shared" si="50"/>
        <v>2.416764705882353E-2</v>
      </c>
      <c r="DP165" s="1" t="s">
        <v>126</v>
      </c>
      <c r="DQ165" s="1" t="s">
        <v>2</v>
      </c>
      <c r="DR165" s="16">
        <f t="shared" si="51"/>
        <v>34</v>
      </c>
      <c r="DS165" s="103">
        <f t="shared" si="52"/>
        <v>4.7855882352941179E-2</v>
      </c>
      <c r="DT165" s="101">
        <f t="shared" si="53"/>
        <v>16.271000000000001</v>
      </c>
      <c r="DV165" s="16">
        <f t="shared" si="54"/>
        <v>0</v>
      </c>
      <c r="DZ165" s="37" t="s">
        <v>2</v>
      </c>
      <c r="EA165" s="37"/>
      <c r="EM165" s="73"/>
      <c r="EN165" s="37"/>
      <c r="EO165" s="37"/>
      <c r="EP165" s="37"/>
      <c r="EQ165" s="37"/>
      <c r="ER165" s="37"/>
      <c r="ES165" s="37"/>
      <c r="ET165" s="37"/>
      <c r="EU165" s="37"/>
      <c r="EV165" s="37"/>
      <c r="EW165" s="37"/>
      <c r="EX165" s="37"/>
      <c r="EY165" s="37"/>
      <c r="EZ165" s="37"/>
      <c r="FA165" s="37"/>
      <c r="FB165" s="37"/>
      <c r="FC165" s="37"/>
      <c r="FD165" s="37"/>
      <c r="FE165" s="37"/>
      <c r="FF165" s="55"/>
      <c r="FG165" s="55"/>
      <c r="FH165" s="55"/>
      <c r="FI165" s="37"/>
      <c r="FJ165" s="55"/>
      <c r="FK165" s="55"/>
      <c r="FL165" s="45"/>
      <c r="FM165" s="37"/>
      <c r="FN165" s="37"/>
      <c r="FO165" s="37"/>
      <c r="FP165" s="55"/>
      <c r="FQ165" s="1" t="s">
        <v>2</v>
      </c>
      <c r="FR165" s="62" t="s">
        <v>118</v>
      </c>
      <c r="FS165" s="57" t="s">
        <v>119</v>
      </c>
      <c r="FV165" s="1" t="s">
        <v>2</v>
      </c>
    </row>
    <row r="166" spans="1:178" ht="16.25" customHeight="1" x14ac:dyDescent="0.2">
      <c r="A166" s="18" t="s">
        <v>177</v>
      </c>
      <c r="B166" s="1" t="s">
        <v>102</v>
      </c>
      <c r="C166" s="79" t="s">
        <v>904</v>
      </c>
      <c r="D166" s="1" t="s">
        <v>69</v>
      </c>
      <c r="H166" s="1" t="s">
        <v>131</v>
      </c>
      <c r="K166" s="1">
        <v>0</v>
      </c>
      <c r="AF166" s="1">
        <v>124</v>
      </c>
      <c r="AG166" s="1">
        <v>0.27</v>
      </c>
      <c r="AN166" s="1">
        <v>0.23</v>
      </c>
      <c r="BA166" s="1">
        <v>11.3</v>
      </c>
      <c r="BB166" s="1">
        <v>0.3</v>
      </c>
      <c r="BI166" s="1">
        <v>0.27</v>
      </c>
      <c r="BV166" s="1">
        <v>0</v>
      </c>
      <c r="CQ166" s="1">
        <v>0</v>
      </c>
      <c r="DL166" s="18" t="s">
        <v>96</v>
      </c>
      <c r="DN166" s="1">
        <f t="shared" si="49"/>
        <v>0.23334072431633407</v>
      </c>
      <c r="DO166" s="1">
        <f t="shared" si="50"/>
        <v>0</v>
      </c>
      <c r="DP166" s="1" t="s">
        <v>195</v>
      </c>
      <c r="DQ166" s="1" t="s">
        <v>2</v>
      </c>
      <c r="DR166" s="16">
        <f t="shared" si="51"/>
        <v>135.30000000000001</v>
      </c>
      <c r="DS166" s="100">
        <f t="shared" si="52"/>
        <v>0.23334072431633407</v>
      </c>
      <c r="DT166" s="101">
        <f t="shared" si="53"/>
        <v>315.70999999999998</v>
      </c>
      <c r="DV166" s="16">
        <f t="shared" si="54"/>
        <v>0</v>
      </c>
      <c r="DZ166" s="37" t="s">
        <v>2</v>
      </c>
      <c r="EA166" s="37" t="s">
        <v>102</v>
      </c>
      <c r="EM166" s="73" t="s">
        <v>102</v>
      </c>
      <c r="EN166" s="37"/>
      <c r="EO166" s="37"/>
      <c r="EP166" s="37"/>
      <c r="EQ166" s="37"/>
      <c r="ER166" s="37"/>
      <c r="ES166" s="37"/>
      <c r="ET166" s="37"/>
      <c r="EU166" s="37"/>
      <c r="EV166" s="37"/>
      <c r="EW166" s="37"/>
      <c r="EX166" s="37"/>
      <c r="EY166" s="37"/>
      <c r="EZ166" s="37"/>
      <c r="FA166" s="37"/>
      <c r="FB166" s="37"/>
      <c r="FC166" s="37"/>
      <c r="FD166" s="37"/>
      <c r="FE166" s="37"/>
      <c r="FF166" s="55"/>
      <c r="FG166" s="55"/>
      <c r="FH166" s="55"/>
      <c r="FI166" s="37"/>
      <c r="FJ166" s="55"/>
      <c r="FK166" s="55"/>
      <c r="FL166" s="45"/>
      <c r="FM166" s="37"/>
      <c r="FN166" s="37"/>
      <c r="FO166" s="37"/>
      <c r="FP166" s="55" t="s">
        <v>102</v>
      </c>
      <c r="FQ166" s="1" t="s">
        <v>2</v>
      </c>
      <c r="FR166" s="1" t="s">
        <v>113</v>
      </c>
      <c r="FS166" s="1" t="s">
        <v>261</v>
      </c>
      <c r="FV166" s="1" t="s">
        <v>2</v>
      </c>
    </row>
    <row r="167" spans="1:178" ht="16.25" customHeight="1" x14ac:dyDescent="0.2">
      <c r="A167" s="18" t="s">
        <v>177</v>
      </c>
      <c r="B167" s="1" t="s">
        <v>102</v>
      </c>
      <c r="C167" s="15" t="s">
        <v>930</v>
      </c>
      <c r="D167" s="1" t="s">
        <v>69</v>
      </c>
      <c r="H167" s="1" t="s">
        <v>131</v>
      </c>
      <c r="K167" s="1">
        <v>0</v>
      </c>
      <c r="AF167" s="1">
        <v>0</v>
      </c>
      <c r="BA167" s="1">
        <v>4.0999999999999996</v>
      </c>
      <c r="BB167" s="1">
        <v>0.5</v>
      </c>
      <c r="BI167" s="1">
        <v>0.7</v>
      </c>
      <c r="BV167" s="1">
        <v>0</v>
      </c>
      <c r="CQ167" s="1">
        <v>0</v>
      </c>
      <c r="DL167" s="18" t="s">
        <v>96</v>
      </c>
      <c r="DN167" s="1">
        <f t="shared" si="49"/>
        <v>0.7</v>
      </c>
      <c r="DO167" s="1">
        <f t="shared" si="50"/>
        <v>0</v>
      </c>
      <c r="DP167" s="1" t="s">
        <v>155</v>
      </c>
      <c r="DQ167" s="1" t="s">
        <v>2</v>
      </c>
      <c r="DR167" s="16">
        <f t="shared" si="51"/>
        <v>4.0999999999999996</v>
      </c>
      <c r="DS167" s="16">
        <f t="shared" si="52"/>
        <v>0.7</v>
      </c>
      <c r="DT167" s="101">
        <f t="shared" si="53"/>
        <v>28.7</v>
      </c>
      <c r="DV167" s="16">
        <f t="shared" si="54"/>
        <v>0</v>
      </c>
      <c r="DZ167" s="37" t="s">
        <v>2</v>
      </c>
      <c r="EA167" s="37"/>
      <c r="EM167" s="73"/>
      <c r="EN167" s="37"/>
      <c r="EO167" s="37"/>
      <c r="EP167" s="37"/>
      <c r="EQ167" s="37"/>
      <c r="ER167" s="37"/>
      <c r="ES167" s="37"/>
      <c r="ET167" s="37"/>
      <c r="EU167" s="37"/>
      <c r="EV167" s="37"/>
      <c r="EW167" s="37"/>
      <c r="EX167" s="37"/>
      <c r="EY167" s="37"/>
      <c r="EZ167" s="37"/>
      <c r="FA167" s="37"/>
      <c r="FB167" s="37"/>
      <c r="FC167" s="37"/>
      <c r="FD167" s="37"/>
      <c r="FE167" s="37"/>
      <c r="FF167" s="55"/>
      <c r="FG167" s="55"/>
      <c r="FH167" s="55"/>
      <c r="FI167" s="37"/>
      <c r="FJ167" s="55"/>
      <c r="FK167" s="55"/>
      <c r="FL167" s="45"/>
      <c r="FM167" s="37"/>
      <c r="FN167" s="37"/>
      <c r="FO167" s="37"/>
      <c r="FP167" s="55"/>
      <c r="FQ167" s="1" t="s">
        <v>2</v>
      </c>
      <c r="FR167" s="1" t="s">
        <v>113</v>
      </c>
      <c r="FS167" s="1" t="s">
        <v>129</v>
      </c>
      <c r="FV167" s="1" t="s">
        <v>2</v>
      </c>
    </row>
    <row r="168" spans="1:178" ht="16.25" customHeight="1" x14ac:dyDescent="0.2">
      <c r="A168" s="18" t="s">
        <v>177</v>
      </c>
      <c r="B168" s="1" t="s">
        <v>102</v>
      </c>
      <c r="C168" s="15" t="s">
        <v>931</v>
      </c>
      <c r="D168" s="1" t="s">
        <v>69</v>
      </c>
      <c r="H168" s="1" t="s">
        <v>131</v>
      </c>
      <c r="K168" s="1">
        <v>0</v>
      </c>
      <c r="AF168" s="14">
        <v>106</v>
      </c>
      <c r="AG168" s="1">
        <v>0.17</v>
      </c>
      <c r="AN168" s="1">
        <v>0.21</v>
      </c>
      <c r="BA168" s="1">
        <v>0</v>
      </c>
      <c r="BV168" s="1">
        <v>0</v>
      </c>
      <c r="CQ168" s="1">
        <v>0</v>
      </c>
      <c r="DL168" s="18" t="s">
        <v>96</v>
      </c>
      <c r="DN168" s="1">
        <f t="shared" si="49"/>
        <v>0.21</v>
      </c>
      <c r="DO168" s="1">
        <f t="shared" si="50"/>
        <v>0</v>
      </c>
      <c r="DP168" s="1" t="s">
        <v>195</v>
      </c>
      <c r="DQ168" s="1" t="s">
        <v>2</v>
      </c>
      <c r="DR168" s="16">
        <f t="shared" si="51"/>
        <v>106</v>
      </c>
      <c r="DS168" s="16">
        <f t="shared" si="52"/>
        <v>0.21</v>
      </c>
      <c r="DT168" s="101">
        <f t="shared" si="53"/>
        <v>222.6</v>
      </c>
      <c r="DV168" s="16">
        <f t="shared" si="54"/>
        <v>0</v>
      </c>
      <c r="DZ168" s="37" t="s">
        <v>2</v>
      </c>
      <c r="EA168" s="37"/>
      <c r="EM168" s="73"/>
      <c r="EN168" s="37"/>
      <c r="EO168" s="37"/>
      <c r="EP168" s="37"/>
      <c r="EQ168" s="37"/>
      <c r="ER168" s="37"/>
      <c r="ES168" s="37"/>
      <c r="ET168" s="37"/>
      <c r="EU168" s="37"/>
      <c r="EV168" s="37"/>
      <c r="EW168" s="37"/>
      <c r="EX168" s="37"/>
      <c r="EY168" s="37"/>
      <c r="EZ168" s="37"/>
      <c r="FA168" s="37"/>
      <c r="FB168" s="37"/>
      <c r="FC168" s="37"/>
      <c r="FD168" s="37"/>
      <c r="FE168" s="37"/>
      <c r="FF168" s="55"/>
      <c r="FG168" s="55"/>
      <c r="FH168" s="55"/>
      <c r="FI168" s="37"/>
      <c r="FJ168" s="55"/>
      <c r="FK168" s="55"/>
      <c r="FL168" s="45"/>
      <c r="FM168" s="37"/>
      <c r="FN168" s="37"/>
      <c r="FO168" s="37"/>
      <c r="FP168" s="55"/>
      <c r="FQ168" s="1" t="s">
        <v>2</v>
      </c>
      <c r="FR168" s="1" t="s">
        <v>113</v>
      </c>
      <c r="FS168" s="1" t="s">
        <v>129</v>
      </c>
      <c r="FV168" s="1" t="s">
        <v>2</v>
      </c>
    </row>
    <row r="169" spans="1:178" ht="16.25" customHeight="1" x14ac:dyDescent="0.2">
      <c r="A169" s="18" t="s">
        <v>177</v>
      </c>
      <c r="B169" s="1" t="s">
        <v>102</v>
      </c>
      <c r="C169" s="15" t="s">
        <v>932</v>
      </c>
      <c r="D169" s="1" t="s">
        <v>69</v>
      </c>
      <c r="H169" s="1" t="s">
        <v>131</v>
      </c>
      <c r="K169" s="1">
        <v>0</v>
      </c>
      <c r="AF169" s="1">
        <v>0</v>
      </c>
      <c r="BA169" s="13">
        <v>37.201155999999997</v>
      </c>
      <c r="BB169" s="1">
        <v>0.42</v>
      </c>
      <c r="BI169" s="1">
        <v>0.46</v>
      </c>
      <c r="BV169" s="1">
        <v>0</v>
      </c>
      <c r="CQ169" s="1">
        <v>0</v>
      </c>
      <c r="DL169" s="18" t="s">
        <v>96</v>
      </c>
      <c r="DN169" s="1">
        <f t="shared" si="49"/>
        <v>0.46</v>
      </c>
      <c r="DO169" s="1">
        <f t="shared" si="50"/>
        <v>0</v>
      </c>
      <c r="DP169" s="1" t="s">
        <v>913</v>
      </c>
      <c r="DQ169" s="1" t="s">
        <v>2</v>
      </c>
      <c r="DR169" s="100">
        <f t="shared" si="51"/>
        <v>37.201155999999997</v>
      </c>
      <c r="DS169" s="16">
        <f t="shared" si="52"/>
        <v>0.46</v>
      </c>
      <c r="DT169" s="101">
        <f t="shared" si="53"/>
        <v>171.12531759999999</v>
      </c>
      <c r="DV169" s="16">
        <f t="shared" si="54"/>
        <v>0</v>
      </c>
      <c r="DZ169" s="37" t="s">
        <v>2</v>
      </c>
      <c r="EA169" s="37"/>
      <c r="EM169" s="73"/>
      <c r="EN169" s="37"/>
      <c r="EO169" s="37"/>
      <c r="EP169" s="37"/>
      <c r="EQ169" s="37"/>
      <c r="ER169" s="37"/>
      <c r="ES169" s="37"/>
      <c r="ET169" s="37"/>
      <c r="EU169" s="37"/>
      <c r="EV169" s="37"/>
      <c r="EW169" s="37"/>
      <c r="EX169" s="37"/>
      <c r="EY169" s="37"/>
      <c r="EZ169" s="37"/>
      <c r="FA169" s="37"/>
      <c r="FB169" s="37"/>
      <c r="FC169" s="37"/>
      <c r="FD169" s="37"/>
      <c r="FE169" s="37"/>
      <c r="FF169" s="55"/>
      <c r="FG169" s="55"/>
      <c r="FH169" s="55"/>
      <c r="FI169" s="37"/>
      <c r="FJ169" s="55"/>
      <c r="FK169" s="55"/>
      <c r="FL169" s="45"/>
      <c r="FM169" s="37"/>
      <c r="FN169" s="37"/>
      <c r="FO169" s="37"/>
      <c r="FP169" s="55"/>
      <c r="FQ169" s="1" t="s">
        <v>2</v>
      </c>
      <c r="FR169" s="1" t="s">
        <v>113</v>
      </c>
      <c r="FS169" s="1" t="s">
        <v>129</v>
      </c>
      <c r="FV169" s="1" t="s">
        <v>2</v>
      </c>
    </row>
    <row r="170" spans="1:178" ht="16.25" customHeight="1" x14ac:dyDescent="0.2">
      <c r="A170" s="18" t="s">
        <v>177</v>
      </c>
      <c r="B170" s="1" t="s">
        <v>102</v>
      </c>
      <c r="C170" s="15" t="s">
        <v>933</v>
      </c>
      <c r="D170" s="1" t="s">
        <v>69</v>
      </c>
      <c r="H170" s="1" t="s">
        <v>131</v>
      </c>
      <c r="K170" s="1">
        <v>0</v>
      </c>
      <c r="AF170" s="1">
        <v>0</v>
      </c>
      <c r="BA170" s="13">
        <v>4.4675609999999999</v>
      </c>
      <c r="BB170" s="1">
        <v>1.19</v>
      </c>
      <c r="BI170" s="1">
        <v>1.47</v>
      </c>
      <c r="BV170" s="1">
        <v>0</v>
      </c>
      <c r="CQ170" s="1">
        <v>0</v>
      </c>
      <c r="DL170" s="18" t="s">
        <v>96</v>
      </c>
      <c r="DN170" s="1">
        <f t="shared" si="49"/>
        <v>1.47</v>
      </c>
      <c r="DO170" s="1">
        <f t="shared" si="50"/>
        <v>0</v>
      </c>
      <c r="DP170" s="1" t="s">
        <v>913</v>
      </c>
      <c r="DQ170" s="1" t="s">
        <v>2</v>
      </c>
      <c r="DR170" s="103">
        <f t="shared" si="51"/>
        <v>4.4675609999999999</v>
      </c>
      <c r="DS170" s="16">
        <f t="shared" si="52"/>
        <v>1.47</v>
      </c>
      <c r="DT170" s="101">
        <f t="shared" si="53"/>
        <v>65.673146700000004</v>
      </c>
      <c r="DV170" s="16">
        <f t="shared" si="54"/>
        <v>0</v>
      </c>
      <c r="DZ170" s="37" t="s">
        <v>2</v>
      </c>
      <c r="EA170" s="37"/>
      <c r="EM170" s="73"/>
      <c r="EN170" s="37"/>
      <c r="EO170" s="37"/>
      <c r="EP170" s="37"/>
      <c r="EQ170" s="37"/>
      <c r="ER170" s="37"/>
      <c r="ES170" s="37"/>
      <c r="ET170" s="37"/>
      <c r="EU170" s="37"/>
      <c r="EV170" s="37"/>
      <c r="EW170" s="37"/>
      <c r="EX170" s="37"/>
      <c r="EY170" s="37"/>
      <c r="EZ170" s="37"/>
      <c r="FA170" s="37"/>
      <c r="FB170" s="37"/>
      <c r="FC170" s="37"/>
      <c r="FD170" s="37"/>
      <c r="FE170" s="37"/>
      <c r="FF170" s="55"/>
      <c r="FG170" s="55"/>
      <c r="FH170" s="55"/>
      <c r="FI170" s="37"/>
      <c r="FJ170" s="55"/>
      <c r="FK170" s="55"/>
      <c r="FL170" s="45"/>
      <c r="FM170" s="37"/>
      <c r="FN170" s="37"/>
      <c r="FO170" s="37"/>
      <c r="FP170" s="55"/>
      <c r="FQ170" s="1" t="s">
        <v>2</v>
      </c>
      <c r="FR170" s="1" t="s">
        <v>113</v>
      </c>
      <c r="FS170" s="1" t="s">
        <v>129</v>
      </c>
      <c r="FV170" s="1" t="s">
        <v>2</v>
      </c>
    </row>
    <row r="171" spans="1:178" ht="16.25" customHeight="1" x14ac:dyDescent="0.2">
      <c r="A171" s="18" t="s">
        <v>177</v>
      </c>
      <c r="B171" s="1" t="s">
        <v>102</v>
      </c>
      <c r="C171" s="15" t="s">
        <v>1218</v>
      </c>
      <c r="H171" s="1" t="s">
        <v>1185</v>
      </c>
      <c r="K171" s="1">
        <v>0</v>
      </c>
      <c r="AF171" s="1">
        <v>0</v>
      </c>
      <c r="BA171" s="13">
        <v>26.753516999999999</v>
      </c>
      <c r="BB171" s="1">
        <v>1.1499999999999999</v>
      </c>
      <c r="BI171" s="1">
        <v>0.79</v>
      </c>
      <c r="BV171" s="1">
        <v>0</v>
      </c>
      <c r="CQ171" s="1">
        <v>0</v>
      </c>
      <c r="DL171" s="18" t="s">
        <v>96</v>
      </c>
      <c r="DN171" s="1">
        <f t="shared" si="49"/>
        <v>0.79</v>
      </c>
      <c r="DO171" s="1">
        <f t="shared" si="50"/>
        <v>0</v>
      </c>
      <c r="DP171" s="1" t="s">
        <v>913</v>
      </c>
      <c r="DQ171" s="1" t="s">
        <v>2</v>
      </c>
      <c r="DR171" s="100">
        <f t="shared" si="51"/>
        <v>26.753516999999999</v>
      </c>
      <c r="DS171" s="16">
        <f t="shared" si="52"/>
        <v>0.79</v>
      </c>
      <c r="DT171" s="101">
        <f t="shared" si="53"/>
        <v>211.35278430000002</v>
      </c>
      <c r="DV171" s="16">
        <f t="shared" si="54"/>
        <v>0</v>
      </c>
      <c r="DZ171" s="37" t="s">
        <v>2</v>
      </c>
      <c r="EA171" s="37"/>
      <c r="EM171" s="73"/>
      <c r="EN171" s="37"/>
      <c r="EO171" s="37"/>
      <c r="EP171" s="37"/>
      <c r="EQ171" s="37"/>
      <c r="ER171" s="37"/>
      <c r="ES171" s="37"/>
      <c r="ET171" s="37"/>
      <c r="EU171" s="37"/>
      <c r="EV171" s="37"/>
      <c r="EW171" s="37"/>
      <c r="EX171" s="37"/>
      <c r="EY171" s="37"/>
      <c r="EZ171" s="37"/>
      <c r="FA171" s="37"/>
      <c r="FB171" s="37"/>
      <c r="FC171" s="37"/>
      <c r="FD171" s="37"/>
      <c r="FE171" s="37"/>
      <c r="FF171" s="55"/>
      <c r="FG171" s="55"/>
      <c r="FH171" s="55"/>
      <c r="FI171" s="37"/>
      <c r="FJ171" s="55"/>
      <c r="FK171" s="55"/>
      <c r="FL171" s="45"/>
      <c r="FM171" s="37"/>
      <c r="FN171" s="37"/>
      <c r="FO171" s="37"/>
      <c r="FP171" s="55"/>
      <c r="FQ171" s="1" t="s">
        <v>2</v>
      </c>
      <c r="FR171" s="1" t="s">
        <v>113</v>
      </c>
      <c r="FS171" s="1" t="s">
        <v>129</v>
      </c>
      <c r="FV171" s="1" t="s">
        <v>2</v>
      </c>
    </row>
    <row r="172" spans="1:178" ht="16.25" customHeight="1" x14ac:dyDescent="0.2">
      <c r="A172" s="18" t="s">
        <v>177</v>
      </c>
      <c r="B172" s="1" t="s">
        <v>102</v>
      </c>
      <c r="C172" s="15" t="s">
        <v>1219</v>
      </c>
      <c r="H172" s="1" t="s">
        <v>1220</v>
      </c>
      <c r="K172" s="1">
        <v>0</v>
      </c>
      <c r="AF172" s="1">
        <v>0</v>
      </c>
      <c r="BA172" s="13">
        <v>19.505586000000001</v>
      </c>
      <c r="BB172" s="1">
        <v>0.75</v>
      </c>
      <c r="BI172" s="1">
        <v>0.68</v>
      </c>
      <c r="BV172" s="1">
        <v>0</v>
      </c>
      <c r="CQ172" s="1">
        <v>0</v>
      </c>
      <c r="DL172" s="18" t="s">
        <v>96</v>
      </c>
      <c r="DN172" s="1">
        <f t="shared" si="49"/>
        <v>0.68</v>
      </c>
      <c r="DO172" s="1">
        <f t="shared" si="50"/>
        <v>0</v>
      </c>
      <c r="DP172" s="1" t="s">
        <v>913</v>
      </c>
      <c r="DQ172" s="1" t="s">
        <v>2</v>
      </c>
      <c r="DR172" s="100">
        <f t="shared" si="51"/>
        <v>19.505586000000001</v>
      </c>
      <c r="DS172" s="16">
        <f t="shared" si="52"/>
        <v>0.68</v>
      </c>
      <c r="DT172" s="101">
        <f t="shared" si="53"/>
        <v>132.63798480000003</v>
      </c>
      <c r="DV172" s="16">
        <f t="shared" si="54"/>
        <v>0</v>
      </c>
      <c r="DZ172" s="37" t="s">
        <v>2</v>
      </c>
      <c r="EA172" s="37"/>
      <c r="EM172" s="73"/>
      <c r="EN172" s="37"/>
      <c r="EO172" s="37"/>
      <c r="EP172" s="37"/>
      <c r="EQ172" s="37"/>
      <c r="ER172" s="37"/>
      <c r="ES172" s="37"/>
      <c r="ET172" s="37"/>
      <c r="EU172" s="37"/>
      <c r="EV172" s="37"/>
      <c r="EW172" s="37"/>
      <c r="EX172" s="37"/>
      <c r="EY172" s="37"/>
      <c r="EZ172" s="37"/>
      <c r="FA172" s="37"/>
      <c r="FB172" s="37"/>
      <c r="FC172" s="37"/>
      <c r="FD172" s="37"/>
      <c r="FE172" s="37"/>
      <c r="FF172" s="55"/>
      <c r="FG172" s="55"/>
      <c r="FH172" s="55"/>
      <c r="FI172" s="37"/>
      <c r="FJ172" s="55"/>
      <c r="FK172" s="55"/>
      <c r="FL172" s="45"/>
      <c r="FM172" s="37"/>
      <c r="FN172" s="37"/>
      <c r="FO172" s="37"/>
      <c r="FP172" s="55"/>
      <c r="FQ172" s="1" t="s">
        <v>2</v>
      </c>
      <c r="FR172" s="1" t="s">
        <v>113</v>
      </c>
      <c r="FS172" s="1" t="s">
        <v>129</v>
      </c>
      <c r="FV172" s="1" t="s">
        <v>2</v>
      </c>
    </row>
    <row r="173" spans="1:178" ht="16.25" customHeight="1" x14ac:dyDescent="0.2">
      <c r="A173" s="18" t="s">
        <v>177</v>
      </c>
      <c r="B173" s="1" t="s">
        <v>102</v>
      </c>
      <c r="C173" s="79" t="s">
        <v>546</v>
      </c>
      <c r="D173" s="1" t="s">
        <v>69</v>
      </c>
      <c r="G173" s="1" t="s">
        <v>72</v>
      </c>
      <c r="H173" s="1" t="s">
        <v>547</v>
      </c>
      <c r="K173" s="1">
        <v>0</v>
      </c>
      <c r="AF173" s="1">
        <v>0</v>
      </c>
      <c r="BA173" s="13">
        <v>5.9466710000000003</v>
      </c>
      <c r="BB173" s="1">
        <v>0.95</v>
      </c>
      <c r="BI173" s="1">
        <v>1.0900000000000001</v>
      </c>
      <c r="BV173" s="1">
        <v>0</v>
      </c>
      <c r="CQ173" s="1">
        <v>0</v>
      </c>
      <c r="DL173" s="18" t="s">
        <v>96</v>
      </c>
      <c r="DN173" s="1">
        <f t="shared" si="49"/>
        <v>1.0900000000000001</v>
      </c>
      <c r="DO173" s="1">
        <f t="shared" si="50"/>
        <v>0</v>
      </c>
      <c r="DP173" s="1" t="s">
        <v>913</v>
      </c>
      <c r="DQ173" s="1" t="s">
        <v>2</v>
      </c>
      <c r="DR173" s="103">
        <f t="shared" si="51"/>
        <v>5.9466710000000003</v>
      </c>
      <c r="DS173" s="16">
        <f t="shared" si="52"/>
        <v>1.0900000000000001</v>
      </c>
      <c r="DT173" s="101">
        <f t="shared" si="53"/>
        <v>64.818713900000006</v>
      </c>
      <c r="DV173" s="16">
        <f t="shared" si="54"/>
        <v>0</v>
      </c>
      <c r="DZ173" s="37" t="s">
        <v>2</v>
      </c>
      <c r="EA173" s="37"/>
      <c r="EM173" s="73"/>
      <c r="EN173" s="37"/>
      <c r="EO173" s="37"/>
      <c r="EP173" s="37"/>
      <c r="EQ173" s="37"/>
      <c r="ER173" s="37"/>
      <c r="ES173" s="37"/>
      <c r="ET173" s="37"/>
      <c r="EU173" s="37"/>
      <c r="EV173" s="37"/>
      <c r="EW173" s="37"/>
      <c r="EX173" s="37"/>
      <c r="EY173" s="37"/>
      <c r="EZ173" s="37"/>
      <c r="FA173" s="37"/>
      <c r="FB173" s="37"/>
      <c r="FC173" s="37"/>
      <c r="FD173" s="37"/>
      <c r="FE173" s="37"/>
      <c r="FF173" s="55"/>
      <c r="FG173" s="55"/>
      <c r="FH173" s="55"/>
      <c r="FI173" s="37"/>
      <c r="FJ173" s="55"/>
      <c r="FK173" s="55"/>
      <c r="FL173" s="45"/>
      <c r="FM173" s="37"/>
      <c r="FN173" s="37"/>
      <c r="FO173" s="37"/>
      <c r="FP173" s="55"/>
      <c r="FQ173" s="1" t="s">
        <v>2</v>
      </c>
      <c r="FR173" s="1" t="s">
        <v>113</v>
      </c>
      <c r="FS173" s="1" t="s">
        <v>129</v>
      </c>
      <c r="FV173" s="1" t="s">
        <v>2</v>
      </c>
    </row>
    <row r="174" spans="1:178" ht="16.25" customHeight="1" x14ac:dyDescent="0.2">
      <c r="A174" s="18" t="s">
        <v>177</v>
      </c>
      <c r="B174" s="1" t="s">
        <v>79</v>
      </c>
      <c r="C174" s="79" t="s">
        <v>621</v>
      </c>
      <c r="D174" s="1" t="s">
        <v>69</v>
      </c>
      <c r="H174" s="1" t="s">
        <v>131</v>
      </c>
      <c r="J174" s="1" t="s">
        <v>70</v>
      </c>
      <c r="K174" s="14">
        <v>19</v>
      </c>
      <c r="L174" s="1">
        <v>0.06</v>
      </c>
      <c r="S174" s="1">
        <v>0.79</v>
      </c>
      <c r="T174" s="1">
        <v>1.4500000000000001E-2</v>
      </c>
      <c r="AF174" s="1">
        <v>21.4</v>
      </c>
      <c r="AG174" s="1">
        <v>7.0000000000000007E-2</v>
      </c>
      <c r="AN174" s="1">
        <v>0.77</v>
      </c>
      <c r="AO174" s="1">
        <v>1.23E-2</v>
      </c>
      <c r="BA174" s="1">
        <v>0</v>
      </c>
      <c r="BV174" s="1">
        <v>0</v>
      </c>
      <c r="CQ174" s="1">
        <v>0</v>
      </c>
      <c r="DL174" s="18" t="s">
        <v>163</v>
      </c>
      <c r="DM174" s="1" t="s">
        <v>163</v>
      </c>
      <c r="DN174" s="1">
        <f t="shared" si="49"/>
        <v>0.77940594059405943</v>
      </c>
      <c r="DO174" s="1">
        <f t="shared" si="50"/>
        <v>1.3334653465346537E-2</v>
      </c>
      <c r="DP174" s="1" t="s">
        <v>604</v>
      </c>
      <c r="DQ174" s="1" t="s">
        <v>2</v>
      </c>
      <c r="DR174" s="16">
        <f t="shared" si="51"/>
        <v>40.4</v>
      </c>
      <c r="DS174" s="100">
        <f t="shared" si="52"/>
        <v>0.77940594059405943</v>
      </c>
      <c r="DT174" s="101">
        <f t="shared" si="53"/>
        <v>314.88</v>
      </c>
      <c r="DV174" s="16">
        <f t="shared" si="54"/>
        <v>0</v>
      </c>
      <c r="DZ174" s="37" t="s">
        <v>2</v>
      </c>
      <c r="EA174" s="37" t="s">
        <v>79</v>
      </c>
      <c r="EM174" s="73" t="s">
        <v>79</v>
      </c>
      <c r="EN174" s="37"/>
      <c r="EO174" s="37"/>
      <c r="EP174" s="37"/>
      <c r="EQ174" s="37"/>
      <c r="ER174" s="37"/>
      <c r="ES174" s="37"/>
      <c r="ET174" s="37"/>
      <c r="EU174" s="37"/>
      <c r="EV174" s="37"/>
      <c r="EW174" s="37"/>
      <c r="EX174" s="37"/>
      <c r="EY174" s="37"/>
      <c r="EZ174" s="37"/>
      <c r="FA174" s="37"/>
      <c r="FB174" s="37"/>
      <c r="FC174" s="37"/>
      <c r="FD174" s="37"/>
      <c r="FE174" s="37"/>
      <c r="FF174" s="55"/>
      <c r="FG174" s="55"/>
      <c r="FH174" s="55"/>
      <c r="FI174" s="37"/>
      <c r="FJ174" s="55"/>
      <c r="FK174" s="55"/>
      <c r="FL174" s="45"/>
      <c r="FM174" s="37"/>
      <c r="FN174" s="37"/>
      <c r="FO174" s="37"/>
      <c r="FP174" s="55" t="s">
        <v>79</v>
      </c>
      <c r="FQ174" s="1" t="s">
        <v>2</v>
      </c>
      <c r="FR174" s="1" t="s">
        <v>118</v>
      </c>
      <c r="FS174" s="1" t="s">
        <v>68</v>
      </c>
      <c r="FV174" s="1" t="s">
        <v>2</v>
      </c>
    </row>
    <row r="175" spans="1:178" ht="16.25" customHeight="1" x14ac:dyDescent="0.2">
      <c r="A175" s="25" t="s">
        <v>190</v>
      </c>
      <c r="B175" s="1" t="s">
        <v>79</v>
      </c>
      <c r="C175" s="21" t="s">
        <v>535</v>
      </c>
      <c r="D175" s="1" t="s">
        <v>69</v>
      </c>
      <c r="G175" s="1" t="s">
        <v>72</v>
      </c>
      <c r="H175" s="1" t="s">
        <v>499</v>
      </c>
      <c r="K175" s="1">
        <v>0</v>
      </c>
      <c r="AF175" s="1">
        <v>0</v>
      </c>
      <c r="BA175" s="1">
        <v>4</v>
      </c>
      <c r="BI175" s="1">
        <v>1.2</v>
      </c>
      <c r="BV175" s="1">
        <v>0</v>
      </c>
      <c r="CQ175" s="1">
        <v>0</v>
      </c>
      <c r="DL175" s="18" t="s">
        <v>163</v>
      </c>
      <c r="DN175" s="1">
        <f t="shared" si="49"/>
        <v>1.2</v>
      </c>
      <c r="DO175" s="1">
        <f t="shared" si="50"/>
        <v>0</v>
      </c>
      <c r="DP175" s="1" t="s">
        <v>471</v>
      </c>
      <c r="DQ175" s="1" t="s">
        <v>2</v>
      </c>
      <c r="DR175" s="16">
        <f t="shared" si="51"/>
        <v>4</v>
      </c>
      <c r="DS175" s="16">
        <f t="shared" si="52"/>
        <v>1.2</v>
      </c>
      <c r="DT175" s="101">
        <f t="shared" si="53"/>
        <v>48</v>
      </c>
      <c r="DV175" s="16">
        <f t="shared" si="54"/>
        <v>0</v>
      </c>
      <c r="DZ175" s="37" t="s">
        <v>2</v>
      </c>
      <c r="EA175" s="37"/>
      <c r="EM175" s="73"/>
      <c r="EN175" s="37"/>
      <c r="EO175" s="37"/>
      <c r="EP175" s="37"/>
      <c r="EQ175" s="37"/>
      <c r="ER175" s="37"/>
      <c r="ES175" s="37"/>
      <c r="ET175" s="37"/>
      <c r="EU175" s="37"/>
      <c r="EV175" s="37"/>
      <c r="EW175" s="37"/>
      <c r="EX175" s="37"/>
      <c r="EY175" s="37"/>
      <c r="EZ175" s="37"/>
      <c r="FA175" s="37"/>
      <c r="FB175" s="37"/>
      <c r="FC175" s="37"/>
      <c r="FD175" s="37"/>
      <c r="FE175" s="37"/>
      <c r="FF175" s="55"/>
      <c r="FG175" s="55"/>
      <c r="FH175" s="55"/>
      <c r="FI175" s="37"/>
      <c r="FJ175" s="55"/>
      <c r="FK175" s="55"/>
      <c r="FL175" s="45"/>
      <c r="FM175" s="37"/>
      <c r="FN175" s="37"/>
      <c r="FO175" s="37"/>
      <c r="FP175" s="55"/>
      <c r="FQ175" s="1" t="s">
        <v>2</v>
      </c>
      <c r="FR175" s="1" t="s">
        <v>31</v>
      </c>
      <c r="FS175" s="1" t="s">
        <v>230</v>
      </c>
      <c r="FV175" s="1" t="s">
        <v>2</v>
      </c>
    </row>
    <row r="176" spans="1:178" ht="16.25" customHeight="1" x14ac:dyDescent="0.2">
      <c r="A176" s="25" t="s">
        <v>190</v>
      </c>
      <c r="B176" s="1" t="s">
        <v>79</v>
      </c>
      <c r="C176" s="21" t="s">
        <v>1098</v>
      </c>
      <c r="D176" s="1" t="s">
        <v>64</v>
      </c>
      <c r="H176" s="1" t="s">
        <v>1099</v>
      </c>
      <c r="K176" s="1">
        <v>52.887</v>
      </c>
      <c r="S176" s="1">
        <v>1.03</v>
      </c>
      <c r="T176" s="1">
        <v>4.8000000000000001E-2</v>
      </c>
      <c r="Z176" s="1">
        <v>0.69</v>
      </c>
      <c r="AA176" s="13">
        <f>17.84*(2*55.85/(2*55.85+3*16.001))</f>
        <v>12.477711752440467</v>
      </c>
      <c r="AF176" s="1">
        <v>19.324000000000002</v>
      </c>
      <c r="AN176" s="1">
        <v>0.92</v>
      </c>
      <c r="AO176" s="1">
        <v>4.8000000000000001E-2</v>
      </c>
      <c r="AU176" s="1">
        <v>0.84</v>
      </c>
      <c r="AV176" s="13">
        <f>18.26*(2*55.85/(2*55.85+3*16.001))</f>
        <v>12.771469540334246</v>
      </c>
      <c r="BA176" s="1">
        <v>0</v>
      </c>
      <c r="BV176" s="1">
        <v>0</v>
      </c>
      <c r="CQ176" s="1">
        <v>0</v>
      </c>
      <c r="DL176" s="18" t="s">
        <v>96</v>
      </c>
      <c r="DM176" s="1" t="s">
        <v>96</v>
      </c>
      <c r="DN176" s="1">
        <f t="shared" si="49"/>
        <v>1.0005634875572973</v>
      </c>
      <c r="DO176" s="1">
        <f t="shared" si="50"/>
        <v>4.8000000000000001E-2</v>
      </c>
      <c r="DP176" s="1" t="s">
        <v>617</v>
      </c>
      <c r="DQ176" s="1" t="s">
        <v>2</v>
      </c>
      <c r="DR176" s="100">
        <f t="shared" si="51"/>
        <v>72.210999999999999</v>
      </c>
      <c r="DS176" s="100">
        <f t="shared" si="52"/>
        <v>1.0005634875572973</v>
      </c>
      <c r="DT176" s="101">
        <f t="shared" si="53"/>
        <v>722.51689999999985</v>
      </c>
      <c r="DV176" s="16">
        <f t="shared" si="54"/>
        <v>0</v>
      </c>
      <c r="DZ176" s="37" t="s">
        <v>2</v>
      </c>
      <c r="EA176" s="37"/>
      <c r="EM176" s="73"/>
      <c r="EN176" s="37"/>
      <c r="EO176" s="37"/>
      <c r="EP176" s="37"/>
      <c r="EQ176" s="37"/>
      <c r="ER176" s="37"/>
      <c r="ES176" s="37"/>
      <c r="ET176" s="37"/>
      <c r="EU176" s="37"/>
      <c r="EV176" s="37"/>
      <c r="EW176" s="37"/>
      <c r="EX176" s="37"/>
      <c r="EY176" s="37"/>
      <c r="EZ176" s="37"/>
      <c r="FA176" s="37"/>
      <c r="FB176" s="37"/>
      <c r="FC176" s="37"/>
      <c r="FD176" s="37"/>
      <c r="FE176" s="37"/>
      <c r="FF176" s="55"/>
      <c r="FG176" s="55"/>
      <c r="FH176" s="55"/>
      <c r="FI176" s="37"/>
      <c r="FJ176" s="55"/>
      <c r="FK176" s="55"/>
      <c r="FL176" s="45"/>
      <c r="FM176" s="37"/>
      <c r="FN176" s="37"/>
      <c r="FO176" s="37"/>
      <c r="FP176" s="55"/>
      <c r="FQ176" s="1" t="s">
        <v>2</v>
      </c>
      <c r="FR176" s="1" t="s">
        <v>31</v>
      </c>
      <c r="FS176" s="1" t="s">
        <v>618</v>
      </c>
      <c r="FT176" s="1" t="s">
        <v>618</v>
      </c>
      <c r="FV176" s="1" t="s">
        <v>2</v>
      </c>
    </row>
    <row r="177" spans="1:178" ht="16.25" customHeight="1" x14ac:dyDescent="0.2">
      <c r="A177" s="25" t="s">
        <v>190</v>
      </c>
      <c r="B177" s="1" t="s">
        <v>79</v>
      </c>
      <c r="C177" s="21" t="s">
        <v>553</v>
      </c>
      <c r="D177" s="1" t="s">
        <v>69</v>
      </c>
      <c r="G177" s="1" t="s">
        <v>72</v>
      </c>
      <c r="H177" s="1" t="s">
        <v>554</v>
      </c>
      <c r="K177" s="1">
        <v>0</v>
      </c>
      <c r="AF177" s="1">
        <v>0</v>
      </c>
      <c r="BA177" s="1">
        <v>38.6</v>
      </c>
      <c r="BI177" s="1">
        <v>1.1000000000000001</v>
      </c>
      <c r="BV177" s="1">
        <v>0</v>
      </c>
      <c r="CQ177" s="1">
        <v>0</v>
      </c>
      <c r="DL177" s="18" t="s">
        <v>163</v>
      </c>
      <c r="DN177" s="1">
        <f t="shared" si="49"/>
        <v>1.1000000000000001</v>
      </c>
      <c r="DO177" s="1">
        <f t="shared" si="50"/>
        <v>0</v>
      </c>
      <c r="DP177" s="1" t="s">
        <v>471</v>
      </c>
      <c r="DQ177" s="1" t="s">
        <v>2</v>
      </c>
      <c r="DR177" s="16">
        <f t="shared" si="51"/>
        <v>38.6</v>
      </c>
      <c r="DS177" s="16">
        <f t="shared" si="52"/>
        <v>1.1000000000000001</v>
      </c>
      <c r="DT177" s="101">
        <f t="shared" si="53"/>
        <v>424.6</v>
      </c>
      <c r="DV177" s="16">
        <f t="shared" si="54"/>
        <v>0</v>
      </c>
      <c r="DZ177" s="37" t="s">
        <v>2</v>
      </c>
      <c r="EA177" s="37"/>
      <c r="EM177" s="73"/>
      <c r="EN177" s="37"/>
      <c r="EO177" s="37"/>
      <c r="EP177" s="37"/>
      <c r="EQ177" s="37"/>
      <c r="ER177" s="37"/>
      <c r="ES177" s="37"/>
      <c r="ET177" s="37"/>
      <c r="EU177" s="37"/>
      <c r="EV177" s="37"/>
      <c r="EW177" s="37"/>
      <c r="EX177" s="37"/>
      <c r="EY177" s="37"/>
      <c r="EZ177" s="37"/>
      <c r="FA177" s="37"/>
      <c r="FB177" s="37"/>
      <c r="FC177" s="37"/>
      <c r="FD177" s="37"/>
      <c r="FE177" s="37"/>
      <c r="FF177" s="55"/>
      <c r="FG177" s="55"/>
      <c r="FH177" s="55"/>
      <c r="FI177" s="37"/>
      <c r="FJ177" s="55"/>
      <c r="FK177" s="55"/>
      <c r="FL177" s="45"/>
      <c r="FM177" s="37"/>
      <c r="FN177" s="37"/>
      <c r="FO177" s="37"/>
      <c r="FP177" s="55"/>
      <c r="FQ177" s="1" t="s">
        <v>2</v>
      </c>
      <c r="FR177" s="1" t="s">
        <v>31</v>
      </c>
      <c r="FS177" s="1" t="s">
        <v>490</v>
      </c>
      <c r="FT177" s="1" t="s">
        <v>490</v>
      </c>
      <c r="FV177" s="1" t="s">
        <v>2</v>
      </c>
    </row>
    <row r="178" spans="1:178" ht="16.25" customHeight="1" x14ac:dyDescent="0.2">
      <c r="A178" s="25" t="s">
        <v>190</v>
      </c>
      <c r="B178" s="1" t="s">
        <v>79</v>
      </c>
      <c r="C178" s="16" t="s">
        <v>827</v>
      </c>
      <c r="D178" s="1" t="s">
        <v>69</v>
      </c>
      <c r="H178" s="1" t="s">
        <v>131</v>
      </c>
      <c r="K178" s="1">
        <v>0</v>
      </c>
      <c r="AF178" s="1">
        <v>0</v>
      </c>
      <c r="BA178" s="1">
        <v>61</v>
      </c>
      <c r="BI178" s="1">
        <v>1.5</v>
      </c>
      <c r="BJ178" s="1">
        <v>0.06</v>
      </c>
      <c r="BV178" s="1">
        <v>0</v>
      </c>
      <c r="CQ178" s="1">
        <v>0</v>
      </c>
      <c r="DL178" s="18" t="s">
        <v>163</v>
      </c>
      <c r="DM178" s="1" t="s">
        <v>163</v>
      </c>
      <c r="DN178" s="1">
        <f t="shared" si="49"/>
        <v>1.5</v>
      </c>
      <c r="DO178" s="1">
        <f t="shared" si="50"/>
        <v>0.06</v>
      </c>
      <c r="DP178" s="1" t="s">
        <v>471</v>
      </c>
      <c r="DQ178" s="1" t="s">
        <v>2</v>
      </c>
      <c r="DR178" s="16">
        <f t="shared" si="51"/>
        <v>61</v>
      </c>
      <c r="DS178" s="16">
        <f t="shared" si="52"/>
        <v>1.5</v>
      </c>
      <c r="DT178" s="101">
        <f t="shared" si="53"/>
        <v>915</v>
      </c>
      <c r="DV178" s="16">
        <f t="shared" si="54"/>
        <v>0</v>
      </c>
      <c r="DZ178" s="37" t="s">
        <v>2</v>
      </c>
      <c r="EA178" s="37"/>
      <c r="EM178" s="73"/>
      <c r="EN178" s="37"/>
      <c r="EO178" s="37"/>
      <c r="EP178" s="37"/>
      <c r="EQ178" s="37"/>
      <c r="ER178" s="37"/>
      <c r="ES178" s="37"/>
      <c r="ET178" s="37"/>
      <c r="EU178" s="37"/>
      <c r="EV178" s="37"/>
      <c r="EW178" s="37"/>
      <c r="EX178" s="37"/>
      <c r="EY178" s="37"/>
      <c r="EZ178" s="37"/>
      <c r="FA178" s="37"/>
      <c r="FB178" s="37"/>
      <c r="FC178" s="37"/>
      <c r="FD178" s="37"/>
      <c r="FE178" s="37"/>
      <c r="FF178" s="55"/>
      <c r="FG178" s="55"/>
      <c r="FH178" s="55"/>
      <c r="FI178" s="37"/>
      <c r="FJ178" s="55"/>
      <c r="FK178" s="55"/>
      <c r="FL178" s="45"/>
      <c r="FM178" s="37"/>
      <c r="FN178" s="37"/>
      <c r="FO178" s="37"/>
      <c r="FP178" s="55"/>
      <c r="FQ178" s="1" t="s">
        <v>2</v>
      </c>
      <c r="FR178" s="1" t="s">
        <v>31</v>
      </c>
      <c r="FS178" s="1" t="s">
        <v>490</v>
      </c>
      <c r="FT178" s="1" t="s">
        <v>490</v>
      </c>
      <c r="FV178" s="1" t="s">
        <v>2</v>
      </c>
    </row>
    <row r="179" spans="1:178" ht="16.25" customHeight="1" x14ac:dyDescent="0.2">
      <c r="A179" s="25" t="s">
        <v>190</v>
      </c>
      <c r="B179" s="1" t="s">
        <v>79</v>
      </c>
      <c r="C179" s="80" t="s">
        <v>934</v>
      </c>
      <c r="D179" s="1" t="s">
        <v>69</v>
      </c>
      <c r="H179" s="1" t="s">
        <v>131</v>
      </c>
      <c r="K179" s="1">
        <f>13.9+0.5</f>
        <v>14.4</v>
      </c>
      <c r="S179" s="13">
        <f>(1.42*13.9+1.18*0.5)/K179</f>
        <v>1.4116666666666666</v>
      </c>
      <c r="AF179" s="1">
        <f>38.1+7.5+4</f>
        <v>49.6</v>
      </c>
      <c r="AN179" s="13">
        <f>(1.27*38.1+1.11*7.5+1.21*4)/AF179</f>
        <v>1.2409677419354839</v>
      </c>
      <c r="BA179" s="1">
        <f>9.2+8.3</f>
        <v>17.5</v>
      </c>
      <c r="BI179" s="13">
        <f>(1.34*9.2+1.19*8.3)/BA179</f>
        <v>1.2688571428571427</v>
      </c>
      <c r="BV179" s="1">
        <v>13.9</v>
      </c>
      <c r="CD179" s="1">
        <v>1.42</v>
      </c>
      <c r="CQ179" s="1">
        <v>38.1</v>
      </c>
      <c r="CY179" s="1">
        <v>1.27</v>
      </c>
      <c r="DL179" s="18" t="s">
        <v>96</v>
      </c>
      <c r="DN179" s="1">
        <f t="shared" si="49"/>
        <v>1.2771165644171778</v>
      </c>
      <c r="DO179" s="1">
        <f t="shared" si="50"/>
        <v>0</v>
      </c>
      <c r="DP179" s="1" t="s">
        <v>73</v>
      </c>
      <c r="DQ179" s="1" t="s">
        <v>2</v>
      </c>
      <c r="DR179" s="16">
        <f t="shared" si="51"/>
        <v>81.5</v>
      </c>
      <c r="DS179" s="100">
        <f t="shared" si="52"/>
        <v>1.2771165644171778</v>
      </c>
      <c r="DT179" s="102">
        <f t="shared" si="53"/>
        <v>1040.8499999999999</v>
      </c>
      <c r="DV179" s="16">
        <f t="shared" si="54"/>
        <v>52</v>
      </c>
      <c r="DW179" s="100">
        <f>(BV179*CD179+CQ179*CY179)/DV179</f>
        <v>1.3100961538461537</v>
      </c>
      <c r="DX179" s="101">
        <f>1000*DV179*DW179/100</f>
        <v>681.25</v>
      </c>
      <c r="DZ179" s="37" t="s">
        <v>2</v>
      </c>
      <c r="EA179" s="37"/>
      <c r="EM179" s="73"/>
      <c r="EN179" s="37"/>
      <c r="EO179" s="37"/>
      <c r="EP179" s="37"/>
      <c r="EQ179" s="37"/>
      <c r="ER179" s="37"/>
      <c r="ES179" s="37"/>
      <c r="ET179" s="37"/>
      <c r="EU179" s="37"/>
      <c r="EV179" s="37"/>
      <c r="EW179" s="37"/>
      <c r="EX179" s="37"/>
      <c r="EY179" s="37"/>
      <c r="EZ179" s="37"/>
      <c r="FA179" s="37"/>
      <c r="FB179" s="37"/>
      <c r="FC179" s="37"/>
      <c r="FD179" s="37"/>
      <c r="FE179" s="37"/>
      <c r="FF179" s="55"/>
      <c r="FG179" s="55"/>
      <c r="FH179" s="55"/>
      <c r="FI179" s="37"/>
      <c r="FJ179" s="55"/>
      <c r="FK179" s="55"/>
      <c r="FL179" s="45"/>
      <c r="FM179" s="37"/>
      <c r="FN179" s="37"/>
      <c r="FO179" s="37"/>
      <c r="FP179" s="55"/>
      <c r="FQ179" s="1" t="s">
        <v>2</v>
      </c>
      <c r="FR179" s="1" t="s">
        <v>31</v>
      </c>
      <c r="FS179" s="1" t="s">
        <v>612</v>
      </c>
      <c r="FT179" s="1" t="s">
        <v>612</v>
      </c>
      <c r="FV179" s="1" t="s">
        <v>2</v>
      </c>
    </row>
    <row r="180" spans="1:178" ht="16.25" customHeight="1" x14ac:dyDescent="0.2">
      <c r="A180" s="25" t="s">
        <v>190</v>
      </c>
      <c r="B180" s="1" t="s">
        <v>79</v>
      </c>
      <c r="C180" s="21" t="s">
        <v>619</v>
      </c>
      <c r="D180" s="1" t="s">
        <v>69</v>
      </c>
      <c r="H180" s="1" t="s">
        <v>611</v>
      </c>
      <c r="K180" s="1">
        <v>0</v>
      </c>
      <c r="AF180" s="1">
        <f>8.3+1.6</f>
        <v>9.9</v>
      </c>
      <c r="AN180" s="13">
        <f>(1.26*8.3+1.27*1.6)/AF180</f>
        <v>1.2616161616161616</v>
      </c>
      <c r="BA180" s="1">
        <v>5.3</v>
      </c>
      <c r="BI180" s="1">
        <v>1.21</v>
      </c>
      <c r="BV180" s="1">
        <v>0</v>
      </c>
      <c r="CQ180" s="1">
        <v>8.3000000000000007</v>
      </c>
      <c r="CY180" s="1">
        <v>1.26</v>
      </c>
      <c r="DL180" s="18" t="s">
        <v>96</v>
      </c>
      <c r="DN180" s="1">
        <f t="shared" si="49"/>
        <v>1.2436184210526315</v>
      </c>
      <c r="DO180" s="1">
        <f t="shared" si="50"/>
        <v>0</v>
      </c>
      <c r="DP180" s="1" t="s">
        <v>73</v>
      </c>
      <c r="DQ180" s="1" t="s">
        <v>2</v>
      </c>
      <c r="DR180" s="16">
        <f t="shared" si="51"/>
        <v>15.2</v>
      </c>
      <c r="DS180" s="100">
        <f t="shared" si="52"/>
        <v>1.2436184210526315</v>
      </c>
      <c r="DT180" s="101">
        <f t="shared" si="53"/>
        <v>189.03</v>
      </c>
      <c r="DV180" s="16">
        <f t="shared" si="54"/>
        <v>8.3000000000000007</v>
      </c>
      <c r="DW180" s="100">
        <f>(BV180*CD180+CQ180*CY180)/DV180</f>
        <v>1.26</v>
      </c>
      <c r="DX180" s="101">
        <f>1000*DV180*DW180/100</f>
        <v>104.58</v>
      </c>
      <c r="DZ180" s="37" t="s">
        <v>2</v>
      </c>
      <c r="EA180" s="37"/>
      <c r="EM180" s="73"/>
      <c r="EN180" s="37"/>
      <c r="EO180" s="37"/>
      <c r="EP180" s="37"/>
      <c r="EQ180" s="37"/>
      <c r="ER180" s="37"/>
      <c r="ES180" s="37"/>
      <c r="ET180" s="37"/>
      <c r="EU180" s="37"/>
      <c r="EV180" s="37"/>
      <c r="EW180" s="37"/>
      <c r="EX180" s="37"/>
      <c r="EY180" s="37"/>
      <c r="EZ180" s="37"/>
      <c r="FA180" s="37"/>
      <c r="FB180" s="37"/>
      <c r="FC180" s="37"/>
      <c r="FD180" s="37"/>
      <c r="FE180" s="37"/>
      <c r="FF180" s="55"/>
      <c r="FG180" s="55"/>
      <c r="FH180" s="55"/>
      <c r="FI180" s="37"/>
      <c r="FJ180" s="55"/>
      <c r="FK180" s="55"/>
      <c r="FL180" s="45"/>
      <c r="FM180" s="37"/>
      <c r="FN180" s="37"/>
      <c r="FO180" s="37"/>
      <c r="FP180" s="55"/>
      <c r="FQ180" s="1" t="s">
        <v>2</v>
      </c>
      <c r="FR180" s="1" t="s">
        <v>31</v>
      </c>
      <c r="FS180" s="1" t="s">
        <v>614</v>
      </c>
      <c r="FT180" s="1" t="s">
        <v>614</v>
      </c>
      <c r="FV180" s="1" t="s">
        <v>2</v>
      </c>
    </row>
    <row r="181" spans="1:178" ht="16.25" customHeight="1" x14ac:dyDescent="0.2">
      <c r="A181" s="25" t="s">
        <v>190</v>
      </c>
      <c r="B181" s="1" t="s">
        <v>79</v>
      </c>
      <c r="C181" s="80" t="s">
        <v>1299</v>
      </c>
      <c r="D181" s="1" t="s">
        <v>69</v>
      </c>
      <c r="H181" s="1" t="s">
        <v>131</v>
      </c>
      <c r="K181" s="1">
        <v>0</v>
      </c>
      <c r="AF181" s="1">
        <v>0</v>
      </c>
      <c r="BA181" s="1">
        <v>13</v>
      </c>
      <c r="BI181" s="1">
        <v>1.4</v>
      </c>
      <c r="BV181" s="1">
        <v>0</v>
      </c>
      <c r="CQ181" s="1">
        <v>0</v>
      </c>
      <c r="DL181" s="18" t="s">
        <v>163</v>
      </c>
      <c r="DN181" s="1">
        <f t="shared" si="49"/>
        <v>1.4</v>
      </c>
      <c r="DO181" s="1">
        <f t="shared" si="50"/>
        <v>0</v>
      </c>
      <c r="DP181" s="1" t="s">
        <v>471</v>
      </c>
      <c r="DQ181" s="1" t="s">
        <v>2</v>
      </c>
      <c r="DR181" s="16">
        <f t="shared" si="51"/>
        <v>13</v>
      </c>
      <c r="DS181" s="16">
        <f t="shared" si="52"/>
        <v>1.4</v>
      </c>
      <c r="DT181" s="101">
        <f t="shared" si="53"/>
        <v>182</v>
      </c>
      <c r="DV181" s="16">
        <f t="shared" si="54"/>
        <v>0</v>
      </c>
      <c r="DZ181" s="37" t="s">
        <v>2</v>
      </c>
      <c r="EA181" s="37"/>
      <c r="EM181" s="73"/>
      <c r="EN181" s="37"/>
      <c r="EO181" s="37"/>
      <c r="EP181" s="37"/>
      <c r="EQ181" s="37"/>
      <c r="ER181" s="37"/>
      <c r="ES181" s="37"/>
      <c r="ET181" s="37"/>
      <c r="EU181" s="37"/>
      <c r="EV181" s="37"/>
      <c r="EW181" s="37"/>
      <c r="EX181" s="37"/>
      <c r="EY181" s="37"/>
      <c r="EZ181" s="37"/>
      <c r="FA181" s="37"/>
      <c r="FB181" s="37"/>
      <c r="FC181" s="37"/>
      <c r="FD181" s="37"/>
      <c r="FE181" s="37"/>
      <c r="FF181" s="55"/>
      <c r="FG181" s="55"/>
      <c r="FH181" s="55"/>
      <c r="FI181" s="37"/>
      <c r="FJ181" s="55"/>
      <c r="FK181" s="55"/>
      <c r="FL181" s="45"/>
      <c r="FM181" s="37"/>
      <c r="FN181" s="37"/>
      <c r="FO181" s="37"/>
      <c r="FP181" s="55"/>
      <c r="FQ181" s="1" t="s">
        <v>2</v>
      </c>
      <c r="FR181" s="1" t="s">
        <v>31</v>
      </c>
      <c r="FS181" s="1" t="s">
        <v>614</v>
      </c>
      <c r="FV181" s="1" t="s">
        <v>2</v>
      </c>
    </row>
    <row r="182" spans="1:178" ht="16.25" customHeight="1" x14ac:dyDescent="0.2">
      <c r="A182" s="25" t="s">
        <v>190</v>
      </c>
      <c r="B182" s="1" t="s">
        <v>79</v>
      </c>
      <c r="C182" s="79" t="s">
        <v>622</v>
      </c>
      <c r="D182" s="1" t="s">
        <v>69</v>
      </c>
      <c r="H182" s="1" t="s">
        <v>131</v>
      </c>
      <c r="K182" s="1">
        <v>18.167999999999999</v>
      </c>
      <c r="S182" s="1">
        <v>1.44</v>
      </c>
      <c r="T182" s="1">
        <v>0.05</v>
      </c>
      <c r="AA182" s="1">
        <v>16.260000000000002</v>
      </c>
      <c r="AF182" s="14">
        <v>101.169</v>
      </c>
      <c r="AN182" s="1">
        <v>1.25</v>
      </c>
      <c r="AO182" s="1">
        <v>0.06</v>
      </c>
      <c r="AV182" s="1">
        <v>19.39</v>
      </c>
      <c r="BA182" s="1">
        <v>12.92</v>
      </c>
      <c r="BI182" s="1">
        <v>1.19</v>
      </c>
      <c r="BJ182" s="1">
        <v>0.06</v>
      </c>
      <c r="BQ182" s="1">
        <v>20.21</v>
      </c>
      <c r="BV182" s="1">
        <v>0</v>
      </c>
      <c r="CQ182" s="1">
        <v>0</v>
      </c>
      <c r="DL182" s="18" t="s">
        <v>96</v>
      </c>
      <c r="DM182" s="1" t="s">
        <v>96</v>
      </c>
      <c r="DN182" s="1">
        <f t="shared" si="49"/>
        <v>1.2702387775316242</v>
      </c>
      <c r="DO182" s="1">
        <f t="shared" si="50"/>
        <v>5.8626310894697456E-2</v>
      </c>
      <c r="DP182" s="1" t="s">
        <v>583</v>
      </c>
      <c r="DQ182" s="1" t="s">
        <v>2</v>
      </c>
      <c r="DR182" s="101">
        <f t="shared" si="51"/>
        <v>132.25699999999998</v>
      </c>
      <c r="DS182" s="100">
        <f t="shared" si="52"/>
        <v>1.2702387775316242</v>
      </c>
      <c r="DT182" s="102">
        <f t="shared" si="53"/>
        <v>1679.9796999999996</v>
      </c>
      <c r="DV182" s="16">
        <f t="shared" si="54"/>
        <v>0</v>
      </c>
      <c r="DZ182" s="37" t="s">
        <v>2</v>
      </c>
      <c r="EA182" s="37"/>
      <c r="EM182" s="73"/>
      <c r="EN182" s="37"/>
      <c r="EO182" s="37"/>
      <c r="EP182" s="37"/>
      <c r="EQ182" s="37"/>
      <c r="ER182" s="37"/>
      <c r="ES182" s="37"/>
      <c r="ET182" s="37"/>
      <c r="EU182" s="37"/>
      <c r="EV182" s="37"/>
      <c r="EW182" s="37"/>
      <c r="EX182" s="37"/>
      <c r="EY182" s="37"/>
      <c r="EZ182" s="37"/>
      <c r="FA182" s="37"/>
      <c r="FB182" s="37"/>
      <c r="FC182" s="37"/>
      <c r="FD182" s="37"/>
      <c r="FE182" s="37"/>
      <c r="FF182" s="55"/>
      <c r="FG182" s="55"/>
      <c r="FH182" s="55"/>
      <c r="FI182" s="37"/>
      <c r="FJ182" s="55"/>
      <c r="FK182" s="55"/>
      <c r="FL182" s="45"/>
      <c r="FM182" s="37"/>
      <c r="FN182" s="37"/>
      <c r="FO182" s="37"/>
      <c r="FP182" s="55"/>
      <c r="FQ182" s="1" t="s">
        <v>2</v>
      </c>
      <c r="FR182" s="1" t="s">
        <v>31</v>
      </c>
      <c r="FS182" s="1" t="s">
        <v>469</v>
      </c>
      <c r="FT182" s="1" t="s">
        <v>469</v>
      </c>
      <c r="FV182" s="1" t="s">
        <v>2</v>
      </c>
    </row>
    <row r="183" spans="1:178" ht="16.25" customHeight="1" x14ac:dyDescent="0.2">
      <c r="A183" s="25" t="s">
        <v>190</v>
      </c>
      <c r="B183" s="1" t="s">
        <v>79</v>
      </c>
      <c r="C183" s="16" t="s">
        <v>602</v>
      </c>
      <c r="D183" s="1" t="s">
        <v>69</v>
      </c>
      <c r="H183" s="1" t="s">
        <v>603</v>
      </c>
      <c r="K183" s="1">
        <v>14.295999999999999</v>
      </c>
      <c r="S183" s="1">
        <v>1.31</v>
      </c>
      <c r="T183" s="1">
        <v>0.05</v>
      </c>
      <c r="AA183" s="1">
        <v>16.420000000000002</v>
      </c>
      <c r="AB183" s="1">
        <v>41.27</v>
      </c>
      <c r="AF183" s="1">
        <v>55.970999999999997</v>
      </c>
      <c r="AN183" s="13">
        <v>1.2</v>
      </c>
      <c r="AO183" s="1">
        <v>0.05</v>
      </c>
      <c r="AV183" s="1">
        <v>17.02</v>
      </c>
      <c r="AW183" s="1">
        <v>40.619999999999997</v>
      </c>
      <c r="BA183" s="1">
        <v>2.68</v>
      </c>
      <c r="BI183" s="1">
        <v>1.1399999999999999</v>
      </c>
      <c r="BJ183" s="1">
        <v>0.06</v>
      </c>
      <c r="BQ183" s="1">
        <v>22.32</v>
      </c>
      <c r="BR183" s="1">
        <v>35.869999999999997</v>
      </c>
      <c r="BV183" s="1">
        <v>0</v>
      </c>
      <c r="CQ183" s="1">
        <v>0</v>
      </c>
      <c r="DL183" s="18" t="s">
        <v>96</v>
      </c>
      <c r="DM183" s="1" t="s">
        <v>96</v>
      </c>
      <c r="DN183" s="1">
        <f t="shared" si="49"/>
        <v>1.2193532290567124</v>
      </c>
      <c r="DO183" s="1">
        <f t="shared" si="50"/>
        <v>5.0367390022893331E-2</v>
      </c>
      <c r="DP183" s="1" t="s">
        <v>585</v>
      </c>
      <c r="DQ183" s="1" t="s">
        <v>2</v>
      </c>
      <c r="DR183" s="100">
        <f t="shared" si="51"/>
        <v>72.947000000000003</v>
      </c>
      <c r="DS183" s="100">
        <f t="shared" si="52"/>
        <v>1.2193532290567124</v>
      </c>
      <c r="DT183" s="101">
        <f t="shared" si="53"/>
        <v>889.48160000000007</v>
      </c>
      <c r="DV183" s="16">
        <f t="shared" si="54"/>
        <v>0</v>
      </c>
      <c r="DZ183" s="37" t="s">
        <v>2</v>
      </c>
      <c r="EA183" s="37"/>
      <c r="EM183" s="73"/>
      <c r="EN183" s="37"/>
      <c r="EO183" s="37"/>
      <c r="EP183" s="37"/>
      <c r="EQ183" s="37"/>
      <c r="ER183" s="37"/>
      <c r="ES183" s="37"/>
      <c r="ET183" s="37"/>
      <c r="EU183" s="37"/>
      <c r="EV183" s="37"/>
      <c r="EW183" s="37"/>
      <c r="EX183" s="37"/>
      <c r="EY183" s="37"/>
      <c r="EZ183" s="37"/>
      <c r="FA183" s="37"/>
      <c r="FB183" s="37"/>
      <c r="FC183" s="37"/>
      <c r="FD183" s="37"/>
      <c r="FE183" s="37"/>
      <c r="FF183" s="55"/>
      <c r="FG183" s="55"/>
      <c r="FH183" s="55"/>
      <c r="FI183" s="37"/>
      <c r="FJ183" s="55"/>
      <c r="FK183" s="55"/>
      <c r="FL183" s="45"/>
      <c r="FM183" s="37"/>
      <c r="FN183" s="37"/>
      <c r="FO183" s="37"/>
      <c r="FP183" s="55"/>
      <c r="FQ183" s="1" t="s">
        <v>2</v>
      </c>
      <c r="FR183" s="1" t="s">
        <v>31</v>
      </c>
      <c r="FS183" s="1" t="s">
        <v>469</v>
      </c>
      <c r="FV183" s="1" t="s">
        <v>2</v>
      </c>
    </row>
    <row r="184" spans="1:178" ht="16.25" customHeight="1" x14ac:dyDescent="0.2">
      <c r="A184" s="25" t="s">
        <v>190</v>
      </c>
      <c r="B184" s="1" t="s">
        <v>79</v>
      </c>
      <c r="C184" s="16" t="s">
        <v>936</v>
      </c>
      <c r="D184" s="1" t="s">
        <v>69</v>
      </c>
      <c r="H184" s="1" t="s">
        <v>131</v>
      </c>
      <c r="K184" s="1">
        <v>60.7</v>
      </c>
      <c r="S184" s="1">
        <v>1.66</v>
      </c>
      <c r="AF184" s="1">
        <v>53.1</v>
      </c>
      <c r="AN184" s="1">
        <v>1.38</v>
      </c>
      <c r="BA184" s="1">
        <v>0</v>
      </c>
      <c r="BV184" s="1">
        <v>60.7</v>
      </c>
      <c r="CD184" s="1">
        <v>1.66</v>
      </c>
      <c r="CQ184" s="1">
        <v>53.1</v>
      </c>
      <c r="CY184" s="1">
        <v>1.38</v>
      </c>
      <c r="DL184" s="18" t="s">
        <v>96</v>
      </c>
      <c r="DN184" s="1">
        <f t="shared" si="49"/>
        <v>1.5293497363796131</v>
      </c>
      <c r="DO184" s="1">
        <f t="shared" si="50"/>
        <v>0</v>
      </c>
      <c r="DP184" s="1" t="s">
        <v>606</v>
      </c>
      <c r="DQ184" s="1" t="s">
        <v>2</v>
      </c>
      <c r="DR184" s="16">
        <f t="shared" si="51"/>
        <v>113.80000000000001</v>
      </c>
      <c r="DS184" s="100">
        <f t="shared" si="52"/>
        <v>1.5293497363796131</v>
      </c>
      <c r="DT184" s="102">
        <f t="shared" si="53"/>
        <v>1740.4</v>
      </c>
      <c r="DV184" s="16">
        <f t="shared" si="54"/>
        <v>113.80000000000001</v>
      </c>
      <c r="DW184" s="100">
        <f>(BV184*CD184+CQ184*CY184)/DV184</f>
        <v>1.5293497363796131</v>
      </c>
      <c r="DX184" s="102">
        <f>1000*DV184*DW184/100</f>
        <v>1740.4</v>
      </c>
      <c r="DZ184" s="37" t="s">
        <v>2</v>
      </c>
      <c r="EA184" s="37"/>
      <c r="EM184" s="73"/>
      <c r="EN184" s="37"/>
      <c r="EO184" s="37"/>
      <c r="EP184" s="37"/>
      <c r="EQ184" s="37"/>
      <c r="ER184" s="37"/>
      <c r="ES184" s="37"/>
      <c r="ET184" s="37"/>
      <c r="EU184" s="37"/>
      <c r="EV184" s="37"/>
      <c r="EW184" s="37"/>
      <c r="EX184" s="37"/>
      <c r="EY184" s="37"/>
      <c r="EZ184" s="37"/>
      <c r="FA184" s="37"/>
      <c r="FB184" s="37"/>
      <c r="FC184" s="37"/>
      <c r="FD184" s="37"/>
      <c r="FE184" s="37"/>
      <c r="FF184" s="55"/>
      <c r="FG184" s="55"/>
      <c r="FH184" s="55"/>
      <c r="FI184" s="37"/>
      <c r="FJ184" s="55"/>
      <c r="FK184" s="55"/>
      <c r="FL184" s="45"/>
      <c r="FM184" s="37"/>
      <c r="FN184" s="37"/>
      <c r="FO184" s="37"/>
      <c r="FP184" s="55"/>
      <c r="FQ184" s="1" t="s">
        <v>2</v>
      </c>
      <c r="FR184" s="1" t="s">
        <v>31</v>
      </c>
      <c r="FS184" s="1" t="s">
        <v>469</v>
      </c>
      <c r="FT184" s="1" t="s">
        <v>469</v>
      </c>
      <c r="FV184" s="1" t="s">
        <v>2</v>
      </c>
    </row>
    <row r="185" spans="1:178" ht="16.25" customHeight="1" x14ac:dyDescent="0.2">
      <c r="A185" s="25" t="s">
        <v>190</v>
      </c>
      <c r="B185" s="1" t="s">
        <v>79</v>
      </c>
      <c r="C185" s="80" t="s">
        <v>228</v>
      </c>
      <c r="D185" s="1" t="s">
        <v>69</v>
      </c>
      <c r="G185" s="1" t="s">
        <v>65</v>
      </c>
      <c r="H185" s="1" t="s">
        <v>66</v>
      </c>
      <c r="K185" s="1">
        <v>0</v>
      </c>
      <c r="AF185" s="1">
        <v>0</v>
      </c>
      <c r="BA185" s="1">
        <f>31-6.9</f>
        <v>24.1</v>
      </c>
      <c r="BI185" s="1">
        <v>1.3</v>
      </c>
      <c r="BV185" s="1">
        <v>0</v>
      </c>
      <c r="CQ185" s="1">
        <v>0</v>
      </c>
      <c r="DL185" s="18" t="s">
        <v>163</v>
      </c>
      <c r="DN185" s="1">
        <f t="shared" si="49"/>
        <v>1.3</v>
      </c>
      <c r="DO185" s="1">
        <f t="shared" si="50"/>
        <v>0</v>
      </c>
      <c r="DP185" s="1" t="s">
        <v>471</v>
      </c>
      <c r="DQ185" s="1" t="s">
        <v>2</v>
      </c>
      <c r="DR185" s="16">
        <f t="shared" si="51"/>
        <v>24.1</v>
      </c>
      <c r="DS185" s="16">
        <f t="shared" si="52"/>
        <v>1.3</v>
      </c>
      <c r="DT185" s="101">
        <f t="shared" si="53"/>
        <v>313.3</v>
      </c>
      <c r="DV185" s="16">
        <f t="shared" si="54"/>
        <v>0</v>
      </c>
      <c r="DZ185" s="37" t="s">
        <v>2</v>
      </c>
      <c r="EA185" s="37"/>
      <c r="EM185" s="73"/>
      <c r="EN185" s="37"/>
      <c r="EO185" s="37"/>
      <c r="EP185" s="37"/>
      <c r="EQ185" s="37"/>
      <c r="ER185" s="37"/>
      <c r="ES185" s="37"/>
      <c r="ET185" s="37"/>
      <c r="EU185" s="37"/>
      <c r="EV185" s="37"/>
      <c r="EW185" s="37"/>
      <c r="EX185" s="37"/>
      <c r="EY185" s="37"/>
      <c r="EZ185" s="37"/>
      <c r="FA185" s="37"/>
      <c r="FB185" s="37"/>
      <c r="FC185" s="37"/>
      <c r="FD185" s="37"/>
      <c r="FE185" s="37"/>
      <c r="FF185" s="55"/>
      <c r="FG185" s="55"/>
      <c r="FH185" s="55"/>
      <c r="FI185" s="37"/>
      <c r="FJ185" s="55"/>
      <c r="FK185" s="55"/>
      <c r="FL185" s="45"/>
      <c r="FM185" s="37"/>
      <c r="FN185" s="37"/>
      <c r="FO185" s="37"/>
      <c r="FP185" s="55"/>
      <c r="FQ185" s="1" t="s">
        <v>2</v>
      </c>
      <c r="FR185" s="1" t="s">
        <v>31</v>
      </c>
      <c r="FS185" s="1" t="s">
        <v>469</v>
      </c>
      <c r="FV185" s="1" t="s">
        <v>2</v>
      </c>
    </row>
    <row r="186" spans="1:178" ht="16.25" customHeight="1" x14ac:dyDescent="0.2">
      <c r="A186" s="25" t="s">
        <v>190</v>
      </c>
      <c r="B186" s="1" t="s">
        <v>79</v>
      </c>
      <c r="C186" s="21" t="s">
        <v>328</v>
      </c>
      <c r="D186" s="1" t="s">
        <v>69</v>
      </c>
      <c r="G186" s="1" t="s">
        <v>72</v>
      </c>
      <c r="H186" s="1" t="s">
        <v>329</v>
      </c>
      <c r="K186" s="1">
        <v>0</v>
      </c>
      <c r="AF186" s="1">
        <v>0</v>
      </c>
      <c r="BA186" s="1">
        <v>4.5309999999999997</v>
      </c>
      <c r="BI186" s="13">
        <v>1.4</v>
      </c>
      <c r="BV186" s="1">
        <v>0</v>
      </c>
      <c r="CQ186" s="1">
        <v>0</v>
      </c>
      <c r="DL186" s="18" t="s">
        <v>163</v>
      </c>
      <c r="DN186" s="1">
        <f t="shared" si="49"/>
        <v>1.4</v>
      </c>
      <c r="DO186" s="1">
        <f t="shared" si="50"/>
        <v>0</v>
      </c>
      <c r="DP186" s="1" t="s">
        <v>629</v>
      </c>
      <c r="DQ186" s="1" t="s">
        <v>2</v>
      </c>
      <c r="DR186" s="16">
        <f t="shared" si="51"/>
        <v>4.5309999999999997</v>
      </c>
      <c r="DS186" s="16">
        <f t="shared" si="52"/>
        <v>1.4</v>
      </c>
      <c r="DT186" s="101">
        <f t="shared" si="53"/>
        <v>63.433999999999997</v>
      </c>
      <c r="DV186" s="16">
        <f t="shared" si="54"/>
        <v>0</v>
      </c>
      <c r="DZ186" s="37" t="s">
        <v>2</v>
      </c>
      <c r="EA186" s="37"/>
      <c r="EM186" s="73"/>
      <c r="EN186" s="37"/>
      <c r="EO186" s="37"/>
      <c r="EP186" s="37"/>
      <c r="EQ186" s="37"/>
      <c r="ER186" s="37"/>
      <c r="ES186" s="37"/>
      <c r="ET186" s="37"/>
      <c r="EU186" s="37"/>
      <c r="EV186" s="37"/>
      <c r="EW186" s="37"/>
      <c r="EX186" s="37"/>
      <c r="EY186" s="37"/>
      <c r="EZ186" s="37"/>
      <c r="FA186" s="37"/>
      <c r="FB186" s="37"/>
      <c r="FC186" s="37"/>
      <c r="FD186" s="37"/>
      <c r="FE186" s="37"/>
      <c r="FF186" s="55"/>
      <c r="FG186" s="55"/>
      <c r="FH186" s="55"/>
      <c r="FI186" s="37"/>
      <c r="FJ186" s="55"/>
      <c r="FK186" s="55"/>
      <c r="FL186" s="45"/>
      <c r="FM186" s="37"/>
      <c r="FN186" s="37"/>
      <c r="FO186" s="37"/>
      <c r="FP186" s="55"/>
      <c r="FQ186" s="1" t="s">
        <v>2</v>
      </c>
      <c r="FR186" s="1" t="s">
        <v>31</v>
      </c>
      <c r="FS186" s="1" t="s">
        <v>469</v>
      </c>
      <c r="FV186" s="1" t="s">
        <v>2</v>
      </c>
    </row>
    <row r="187" spans="1:178" ht="16.25" customHeight="1" x14ac:dyDescent="0.2">
      <c r="A187" s="25" t="s">
        <v>190</v>
      </c>
      <c r="B187" s="1" t="s">
        <v>79</v>
      </c>
      <c r="C187" s="80" t="s">
        <v>1001</v>
      </c>
      <c r="H187" s="1" t="s">
        <v>131</v>
      </c>
      <c r="K187" s="1">
        <v>0</v>
      </c>
      <c r="AF187" s="1">
        <v>0</v>
      </c>
      <c r="BA187" s="1">
        <v>11.103999999999999</v>
      </c>
      <c r="BI187" s="1">
        <v>1.33</v>
      </c>
      <c r="BV187" s="1">
        <v>0</v>
      </c>
      <c r="CQ187" s="1">
        <v>0</v>
      </c>
      <c r="DL187" s="18" t="s">
        <v>163</v>
      </c>
      <c r="DN187" s="1">
        <f t="shared" si="49"/>
        <v>1.33</v>
      </c>
      <c r="DO187" s="1">
        <f t="shared" si="50"/>
        <v>0</v>
      </c>
      <c r="DP187" s="1" t="s">
        <v>629</v>
      </c>
      <c r="DQ187" s="1" t="s">
        <v>2</v>
      </c>
      <c r="DR187" s="100">
        <f t="shared" si="51"/>
        <v>11.103999999999999</v>
      </c>
      <c r="DS187" s="16">
        <f t="shared" si="52"/>
        <v>1.33</v>
      </c>
      <c r="DT187" s="101">
        <f t="shared" si="53"/>
        <v>147.68320000000003</v>
      </c>
      <c r="DV187" s="16">
        <f t="shared" si="54"/>
        <v>0</v>
      </c>
      <c r="DZ187" s="37" t="s">
        <v>2</v>
      </c>
      <c r="EA187" s="37"/>
      <c r="EM187" s="73"/>
      <c r="EN187" s="37"/>
      <c r="EO187" s="37"/>
      <c r="EP187" s="37"/>
      <c r="EQ187" s="37"/>
      <c r="ER187" s="37"/>
      <c r="ES187" s="37"/>
      <c r="ET187" s="37"/>
      <c r="EU187" s="37"/>
      <c r="EV187" s="37"/>
      <c r="EW187" s="37"/>
      <c r="EX187" s="37"/>
      <c r="EY187" s="37"/>
      <c r="EZ187" s="37"/>
      <c r="FA187" s="37"/>
      <c r="FB187" s="37"/>
      <c r="FC187" s="37"/>
      <c r="FD187" s="37"/>
      <c r="FE187" s="37"/>
      <c r="FF187" s="55"/>
      <c r="FG187" s="55"/>
      <c r="FH187" s="55"/>
      <c r="FI187" s="37"/>
      <c r="FJ187" s="55"/>
      <c r="FK187" s="55"/>
      <c r="FL187" s="45"/>
      <c r="FM187" s="37"/>
      <c r="FN187" s="37"/>
      <c r="FO187" s="37"/>
      <c r="FP187" s="55"/>
      <c r="FQ187" s="1" t="s">
        <v>2</v>
      </c>
      <c r="FR187" s="1" t="s">
        <v>31</v>
      </c>
      <c r="FS187" s="1" t="s">
        <v>469</v>
      </c>
      <c r="FV187" s="1" t="s">
        <v>2</v>
      </c>
    </row>
    <row r="188" spans="1:178" ht="16.25" customHeight="1" x14ac:dyDescent="0.2">
      <c r="A188" s="25" t="s">
        <v>190</v>
      </c>
      <c r="B188" s="1" t="s">
        <v>79</v>
      </c>
      <c r="C188" s="80" t="s">
        <v>985</v>
      </c>
      <c r="H188" s="1" t="s">
        <v>986</v>
      </c>
      <c r="K188" s="1">
        <v>0</v>
      </c>
      <c r="AF188" s="1">
        <v>0</v>
      </c>
      <c r="BA188" s="1">
        <v>45.601999999999997</v>
      </c>
      <c r="BI188" s="1">
        <v>1.55</v>
      </c>
      <c r="BV188" s="1">
        <v>0</v>
      </c>
      <c r="CQ188" s="1">
        <v>0</v>
      </c>
      <c r="DL188" s="18" t="s">
        <v>163</v>
      </c>
      <c r="DN188" s="1">
        <f t="shared" si="49"/>
        <v>1.55</v>
      </c>
      <c r="DO188" s="1">
        <f t="shared" si="50"/>
        <v>0</v>
      </c>
      <c r="DP188" s="1" t="s">
        <v>629</v>
      </c>
      <c r="DQ188" s="1" t="s">
        <v>2</v>
      </c>
      <c r="DR188" s="100">
        <f t="shared" si="51"/>
        <v>45.601999999999997</v>
      </c>
      <c r="DS188" s="16">
        <f t="shared" si="52"/>
        <v>1.55</v>
      </c>
      <c r="DT188" s="101">
        <f t="shared" si="53"/>
        <v>706.83100000000002</v>
      </c>
      <c r="DV188" s="16">
        <f t="shared" si="54"/>
        <v>0</v>
      </c>
      <c r="DZ188" s="37" t="s">
        <v>2</v>
      </c>
      <c r="EA188" s="37"/>
      <c r="EM188" s="73"/>
      <c r="EN188" s="37"/>
      <c r="EO188" s="37"/>
      <c r="EP188" s="37"/>
      <c r="EQ188" s="37"/>
      <c r="ER188" s="37"/>
      <c r="ES188" s="37"/>
      <c r="ET188" s="37"/>
      <c r="EU188" s="37"/>
      <c r="EV188" s="37"/>
      <c r="EW188" s="37"/>
      <c r="EX188" s="37"/>
      <c r="EY188" s="37"/>
      <c r="EZ188" s="37"/>
      <c r="FA188" s="37"/>
      <c r="FB188" s="37"/>
      <c r="FC188" s="37"/>
      <c r="FD188" s="37"/>
      <c r="FE188" s="37"/>
      <c r="FF188" s="55"/>
      <c r="FG188" s="55"/>
      <c r="FH188" s="55"/>
      <c r="FI188" s="37"/>
      <c r="FJ188" s="55"/>
      <c r="FK188" s="55"/>
      <c r="FL188" s="45"/>
      <c r="FM188" s="37"/>
      <c r="FN188" s="37"/>
      <c r="FO188" s="37"/>
      <c r="FP188" s="55"/>
      <c r="FQ188" s="1" t="s">
        <v>2</v>
      </c>
      <c r="FR188" s="1" t="s">
        <v>31</v>
      </c>
      <c r="FS188" s="1" t="s">
        <v>469</v>
      </c>
      <c r="FV188" s="1" t="s">
        <v>2</v>
      </c>
    </row>
    <row r="189" spans="1:178" ht="16.25" customHeight="1" x14ac:dyDescent="0.2">
      <c r="A189" s="25" t="s">
        <v>190</v>
      </c>
      <c r="B189" s="1" t="s">
        <v>79</v>
      </c>
      <c r="C189" s="21" t="s">
        <v>436</v>
      </c>
      <c r="D189" s="1" t="s">
        <v>69</v>
      </c>
      <c r="G189" s="1" t="s">
        <v>65</v>
      </c>
      <c r="H189" s="1" t="s">
        <v>289</v>
      </c>
      <c r="K189" s="1">
        <v>0</v>
      </c>
      <c r="AF189" s="1">
        <v>0</v>
      </c>
      <c r="BA189" s="1">
        <v>49.966000000000001</v>
      </c>
      <c r="BI189" s="1">
        <v>1.26</v>
      </c>
      <c r="BV189" s="1">
        <v>0</v>
      </c>
      <c r="CQ189" s="1">
        <v>0</v>
      </c>
      <c r="DL189" s="18" t="s">
        <v>163</v>
      </c>
      <c r="DN189" s="1">
        <f t="shared" si="49"/>
        <v>1.26</v>
      </c>
      <c r="DO189" s="1">
        <f t="shared" si="50"/>
        <v>0</v>
      </c>
      <c r="DP189" s="1" t="s">
        <v>629</v>
      </c>
      <c r="DQ189" s="1" t="s">
        <v>2</v>
      </c>
      <c r="DR189" s="100">
        <f t="shared" si="51"/>
        <v>49.966000000000001</v>
      </c>
      <c r="DS189" s="16">
        <f t="shared" si="52"/>
        <v>1.26</v>
      </c>
      <c r="DT189" s="101">
        <f t="shared" si="53"/>
        <v>629.57159999999999</v>
      </c>
      <c r="DV189" s="16">
        <f t="shared" si="54"/>
        <v>0</v>
      </c>
      <c r="DZ189" s="37" t="s">
        <v>2</v>
      </c>
      <c r="EA189" s="37"/>
      <c r="EM189" s="73"/>
      <c r="EN189" s="37"/>
      <c r="EO189" s="37"/>
      <c r="EP189" s="37"/>
      <c r="EQ189" s="37"/>
      <c r="ER189" s="37"/>
      <c r="ES189" s="37"/>
      <c r="ET189" s="37"/>
      <c r="EU189" s="37"/>
      <c r="EV189" s="37"/>
      <c r="EW189" s="37"/>
      <c r="EX189" s="37"/>
      <c r="EY189" s="37"/>
      <c r="EZ189" s="37"/>
      <c r="FA189" s="37"/>
      <c r="FB189" s="37"/>
      <c r="FC189" s="37"/>
      <c r="FD189" s="37"/>
      <c r="FE189" s="37"/>
      <c r="FF189" s="55"/>
      <c r="FG189" s="55"/>
      <c r="FH189" s="55"/>
      <c r="FI189" s="37"/>
      <c r="FJ189" s="55"/>
      <c r="FK189" s="55"/>
      <c r="FL189" s="45"/>
      <c r="FM189" s="37"/>
      <c r="FN189" s="37"/>
      <c r="FO189" s="37"/>
      <c r="FP189" s="55"/>
      <c r="FQ189" s="1" t="s">
        <v>2</v>
      </c>
      <c r="FR189" s="1" t="s">
        <v>31</v>
      </c>
      <c r="FS189" s="1" t="s">
        <v>469</v>
      </c>
      <c r="FV189" s="1" t="s">
        <v>2</v>
      </c>
    </row>
    <row r="190" spans="1:178" ht="16.25" customHeight="1" x14ac:dyDescent="0.2">
      <c r="A190" s="25" t="s">
        <v>190</v>
      </c>
      <c r="B190" s="1" t="s">
        <v>79</v>
      </c>
      <c r="C190" s="80" t="s">
        <v>690</v>
      </c>
      <c r="D190" s="1" t="s">
        <v>69</v>
      </c>
      <c r="H190" s="1" t="s">
        <v>691</v>
      </c>
      <c r="K190" s="1">
        <v>0</v>
      </c>
      <c r="AF190" s="1">
        <v>0</v>
      </c>
      <c r="BA190" s="1">
        <f>40.287+17.716</f>
        <v>58.003</v>
      </c>
      <c r="BI190" s="13">
        <f>(1.79*40.287+1.73*17.716)/BA190</f>
        <v>1.771674051342172</v>
      </c>
      <c r="BV190" s="1">
        <v>0</v>
      </c>
      <c r="CQ190" s="1">
        <v>0</v>
      </c>
      <c r="DL190" s="18" t="s">
        <v>163</v>
      </c>
      <c r="DN190" s="1">
        <f t="shared" si="49"/>
        <v>1.771674051342172</v>
      </c>
      <c r="DO190" s="1">
        <f t="shared" si="50"/>
        <v>0</v>
      </c>
      <c r="DP190" s="1" t="s">
        <v>635</v>
      </c>
      <c r="DQ190" s="1" t="s">
        <v>2</v>
      </c>
      <c r="DR190" s="100">
        <f t="shared" si="51"/>
        <v>58.003</v>
      </c>
      <c r="DS190" s="100">
        <f t="shared" si="52"/>
        <v>1.771674051342172</v>
      </c>
      <c r="DT190" s="102">
        <f t="shared" si="53"/>
        <v>1027.6241</v>
      </c>
      <c r="DV190" s="16">
        <f t="shared" si="54"/>
        <v>0</v>
      </c>
      <c r="DZ190" s="37" t="s">
        <v>2</v>
      </c>
      <c r="EA190" s="37"/>
      <c r="EM190" s="73"/>
      <c r="EN190" s="37"/>
      <c r="EO190" s="37"/>
      <c r="EP190" s="37"/>
      <c r="EQ190" s="37"/>
      <c r="ER190" s="37"/>
      <c r="ES190" s="37"/>
      <c r="ET190" s="37"/>
      <c r="EU190" s="37"/>
      <c r="EV190" s="37"/>
      <c r="EW190" s="37"/>
      <c r="EX190" s="37"/>
      <c r="EY190" s="37"/>
      <c r="EZ190" s="37"/>
      <c r="FA190" s="37"/>
      <c r="FB190" s="37"/>
      <c r="FC190" s="37"/>
      <c r="FD190" s="37"/>
      <c r="FE190" s="37"/>
      <c r="FF190" s="55"/>
      <c r="FG190" s="55"/>
      <c r="FH190" s="55"/>
      <c r="FI190" s="37"/>
      <c r="FJ190" s="55"/>
      <c r="FK190" s="55"/>
      <c r="FL190" s="45"/>
      <c r="FM190" s="37"/>
      <c r="FN190" s="37"/>
      <c r="FO190" s="37"/>
      <c r="FP190" s="55"/>
      <c r="FQ190" s="1" t="s">
        <v>2</v>
      </c>
      <c r="FR190" s="1" t="s">
        <v>31</v>
      </c>
      <c r="FS190" s="1" t="s">
        <v>469</v>
      </c>
      <c r="FV190" s="1" t="s">
        <v>2</v>
      </c>
    </row>
    <row r="191" spans="1:178" ht="16.25" customHeight="1" x14ac:dyDescent="0.2">
      <c r="A191" s="25" t="s">
        <v>190</v>
      </c>
      <c r="B191" s="1" t="s">
        <v>79</v>
      </c>
      <c r="C191" s="80" t="s">
        <v>693</v>
      </c>
      <c r="D191" s="1" t="s">
        <v>69</v>
      </c>
      <c r="H191" s="1" t="s">
        <v>691</v>
      </c>
      <c r="K191" s="1">
        <v>185.6</v>
      </c>
      <c r="S191" s="1">
        <v>0.96</v>
      </c>
      <c r="T191" s="1">
        <v>0.05</v>
      </c>
      <c r="AA191" s="13">
        <f>31.53*(2*55.85/(2*55.85+3*16.001))</f>
        <v>22.052816791168606</v>
      </c>
      <c r="AF191" s="1">
        <v>7.7</v>
      </c>
      <c r="AN191" s="1">
        <v>0.88</v>
      </c>
      <c r="AO191" s="1">
        <v>0.06</v>
      </c>
      <c r="AV191" s="13">
        <f>27.15*(2*55.85/(2*55.85+3*16.001))</f>
        <v>18.989342717419209</v>
      </c>
      <c r="BA191" s="1">
        <v>3.8</v>
      </c>
      <c r="BI191" s="1">
        <v>0.87</v>
      </c>
      <c r="BJ191" s="1">
        <v>0.04</v>
      </c>
      <c r="BQ191" s="13">
        <f>31.53*(2*55.85/(2*55.85+3*16.001))</f>
        <v>22.052816791168606</v>
      </c>
      <c r="BV191" s="1">
        <v>0</v>
      </c>
      <c r="CQ191" s="1">
        <v>0</v>
      </c>
      <c r="DL191" s="18" t="s">
        <v>96</v>
      </c>
      <c r="DM191" s="1" t="s">
        <v>96</v>
      </c>
      <c r="DN191" s="1">
        <f t="shared" si="49"/>
        <v>0.9551395230847286</v>
      </c>
      <c r="DO191" s="1">
        <f t="shared" si="50"/>
        <v>5.0197869101978682E-2</v>
      </c>
      <c r="DP191" s="1" t="s">
        <v>608</v>
      </c>
      <c r="DQ191" s="1" t="s">
        <v>2</v>
      </c>
      <c r="DR191" s="16">
        <f t="shared" si="51"/>
        <v>197.1</v>
      </c>
      <c r="DS191" s="100">
        <f t="shared" si="52"/>
        <v>0.9551395230847286</v>
      </c>
      <c r="DT191" s="102">
        <f t="shared" si="53"/>
        <v>1882.58</v>
      </c>
      <c r="DV191" s="16">
        <f t="shared" si="54"/>
        <v>0</v>
      </c>
      <c r="DZ191" s="37" t="s">
        <v>2</v>
      </c>
      <c r="EA191" s="37"/>
      <c r="EM191" s="73"/>
      <c r="EN191" s="37"/>
      <c r="EO191" s="37"/>
      <c r="EP191" s="37"/>
      <c r="EQ191" s="37"/>
      <c r="ER191" s="37"/>
      <c r="ES191" s="37"/>
      <c r="ET191" s="37"/>
      <c r="EU191" s="37"/>
      <c r="EV191" s="37"/>
      <c r="EW191" s="37"/>
      <c r="EX191" s="37"/>
      <c r="EY191" s="37"/>
      <c r="EZ191" s="37"/>
      <c r="FA191" s="37"/>
      <c r="FB191" s="37"/>
      <c r="FC191" s="37"/>
      <c r="FD191" s="37"/>
      <c r="FE191" s="37"/>
      <c r="FF191" s="55"/>
      <c r="FG191" s="55"/>
      <c r="FH191" s="55"/>
      <c r="FI191" s="37"/>
      <c r="FJ191" s="55"/>
      <c r="FK191" s="55"/>
      <c r="FL191" s="45"/>
      <c r="FM191" s="37"/>
      <c r="FN191" s="37"/>
      <c r="FO191" s="37"/>
      <c r="FP191" s="55"/>
      <c r="FQ191" s="1" t="s">
        <v>2</v>
      </c>
      <c r="FR191" s="1" t="s">
        <v>31</v>
      </c>
      <c r="FS191" s="1" t="s">
        <v>506</v>
      </c>
      <c r="FT191" s="1" t="s">
        <v>609</v>
      </c>
      <c r="FV191" s="1" t="s">
        <v>2</v>
      </c>
    </row>
    <row r="192" spans="1:178" ht="16.25" customHeight="1" x14ac:dyDescent="0.2">
      <c r="A192" s="25" t="s">
        <v>190</v>
      </c>
      <c r="B192" s="1" t="s">
        <v>79</v>
      </c>
      <c r="C192" s="29" t="s">
        <v>829</v>
      </c>
      <c r="D192" s="1" t="s">
        <v>69</v>
      </c>
      <c r="H192" s="1" t="s">
        <v>131</v>
      </c>
      <c r="K192" s="1">
        <v>6.3</v>
      </c>
      <c r="S192" s="1">
        <v>1.1499999999999999</v>
      </c>
      <c r="AF192" s="1">
        <f>53.8+39.6</f>
        <v>93.4</v>
      </c>
      <c r="AN192" s="13">
        <f>(1.21*53.8+1.49*39.6)/AF192</f>
        <v>1.3287152034261243</v>
      </c>
      <c r="BA192" s="1">
        <f>125+81.9</f>
        <v>206.9</v>
      </c>
      <c r="BI192" s="13">
        <f>(1.17*125+1.39*81.9)/BA192</f>
        <v>1.2570855485741905</v>
      </c>
      <c r="BV192" s="1">
        <v>0</v>
      </c>
      <c r="CQ192" s="1">
        <v>0</v>
      </c>
      <c r="DL192" s="18" t="s">
        <v>96</v>
      </c>
      <c r="DN192" s="1">
        <f t="shared" si="49"/>
        <v>1.276705805609915</v>
      </c>
      <c r="DO192" s="1">
        <f t="shared" si="50"/>
        <v>0</v>
      </c>
      <c r="DP192" s="1" t="s">
        <v>73</v>
      </c>
      <c r="DQ192" s="1" t="s">
        <v>2</v>
      </c>
      <c r="DR192" s="16">
        <f t="shared" si="51"/>
        <v>306.60000000000002</v>
      </c>
      <c r="DS192" s="100">
        <f t="shared" si="52"/>
        <v>1.276705805609915</v>
      </c>
      <c r="DT192" s="102">
        <f t="shared" si="53"/>
        <v>3914.3799999999992</v>
      </c>
      <c r="DV192" s="16">
        <f t="shared" si="54"/>
        <v>0</v>
      </c>
      <c r="DZ192" s="37" t="s">
        <v>2</v>
      </c>
      <c r="EA192" s="37"/>
      <c r="EM192" s="73"/>
      <c r="EN192" s="37"/>
      <c r="EO192" s="37"/>
      <c r="EP192" s="37"/>
      <c r="EQ192" s="37"/>
      <c r="ER192" s="37"/>
      <c r="ES192" s="37"/>
      <c r="ET192" s="37"/>
      <c r="EU192" s="37"/>
      <c r="EV192" s="37"/>
      <c r="EW192" s="37"/>
      <c r="EX192" s="37"/>
      <c r="EY192" s="37"/>
      <c r="EZ192" s="37"/>
      <c r="FA192" s="37"/>
      <c r="FB192" s="37"/>
      <c r="FC192" s="37"/>
      <c r="FD192" s="37"/>
      <c r="FE192" s="37"/>
      <c r="FF192" s="55"/>
      <c r="FG192" s="55"/>
      <c r="FH192" s="55"/>
      <c r="FI192" s="37"/>
      <c r="FJ192" s="55"/>
      <c r="FK192" s="55"/>
      <c r="FL192" s="45"/>
      <c r="FM192" s="37"/>
      <c r="FN192" s="37"/>
      <c r="FO192" s="37"/>
      <c r="FP192" s="55"/>
      <c r="FQ192" s="1" t="s">
        <v>2</v>
      </c>
      <c r="FR192" s="1" t="s">
        <v>31</v>
      </c>
      <c r="FS192" s="1" t="s">
        <v>205</v>
      </c>
      <c r="FT192" s="1" t="s">
        <v>205</v>
      </c>
      <c r="FV192" s="1" t="s">
        <v>2</v>
      </c>
    </row>
    <row r="193" spans="1:178" ht="16.25" customHeight="1" x14ac:dyDescent="0.2">
      <c r="A193" s="25" t="s">
        <v>190</v>
      </c>
      <c r="B193" s="1" t="s">
        <v>79</v>
      </c>
      <c r="C193" s="80" t="s">
        <v>1037</v>
      </c>
      <c r="D193" s="1" t="s">
        <v>69</v>
      </c>
      <c r="H193" s="1" t="s">
        <v>1038</v>
      </c>
      <c r="K193" s="1">
        <v>0</v>
      </c>
      <c r="AF193" s="1">
        <v>0</v>
      </c>
      <c r="BA193" s="1">
        <v>13</v>
      </c>
      <c r="BI193" s="1">
        <v>1.3</v>
      </c>
      <c r="BV193" s="1">
        <v>0</v>
      </c>
      <c r="CQ193" s="1">
        <v>0</v>
      </c>
      <c r="DL193" s="18" t="s">
        <v>96</v>
      </c>
      <c r="DN193" s="1">
        <f t="shared" si="49"/>
        <v>1.3000000000000003</v>
      </c>
      <c r="DO193" s="1">
        <f t="shared" si="50"/>
        <v>0</v>
      </c>
      <c r="DP193" s="1" t="s">
        <v>626</v>
      </c>
      <c r="DQ193" s="1" t="s">
        <v>2</v>
      </c>
      <c r="DR193" s="16">
        <f t="shared" si="51"/>
        <v>13</v>
      </c>
      <c r="DS193" s="16">
        <f t="shared" si="52"/>
        <v>1.3000000000000003</v>
      </c>
      <c r="DT193" s="101">
        <f t="shared" si="53"/>
        <v>169.00000000000003</v>
      </c>
      <c r="DV193" s="16">
        <f t="shared" si="54"/>
        <v>0</v>
      </c>
      <c r="DZ193" s="37" t="s">
        <v>2</v>
      </c>
      <c r="EA193" s="37"/>
      <c r="EM193" s="73"/>
      <c r="EN193" s="37"/>
      <c r="EO193" s="37"/>
      <c r="EP193" s="37"/>
      <c r="EQ193" s="37"/>
      <c r="ER193" s="37"/>
      <c r="ES193" s="37"/>
      <c r="ET193" s="37"/>
      <c r="EU193" s="37"/>
      <c r="EV193" s="37"/>
      <c r="EW193" s="37"/>
      <c r="EX193" s="37"/>
      <c r="EY193" s="37"/>
      <c r="EZ193" s="37"/>
      <c r="FA193" s="37"/>
      <c r="FB193" s="37"/>
      <c r="FC193" s="37"/>
      <c r="FD193" s="37"/>
      <c r="FE193" s="37"/>
      <c r="FF193" s="55"/>
      <c r="FG193" s="55"/>
      <c r="FH193" s="55"/>
      <c r="FI193" s="37"/>
      <c r="FJ193" s="55"/>
      <c r="FK193" s="55"/>
      <c r="FL193" s="45"/>
      <c r="FM193" s="37"/>
      <c r="FN193" s="37"/>
      <c r="FO193" s="37"/>
      <c r="FP193" s="55"/>
      <c r="FQ193" s="1" t="s">
        <v>2</v>
      </c>
      <c r="FR193" s="1" t="s">
        <v>31</v>
      </c>
      <c r="FS193" s="1" t="s">
        <v>506</v>
      </c>
      <c r="FV193" s="1" t="s">
        <v>2</v>
      </c>
    </row>
    <row r="194" spans="1:178" ht="16.25" customHeight="1" x14ac:dyDescent="0.2">
      <c r="A194" s="18" t="s">
        <v>177</v>
      </c>
      <c r="B194" s="1" t="s">
        <v>79</v>
      </c>
      <c r="C194" s="15" t="s">
        <v>990</v>
      </c>
      <c r="D194" s="1" t="s">
        <v>64</v>
      </c>
      <c r="H194" s="1" t="s">
        <v>989</v>
      </c>
      <c r="K194" s="1">
        <v>13.167</v>
      </c>
      <c r="L194" s="1">
        <v>0.13</v>
      </c>
      <c r="S194" s="13">
        <f>0.38*(58.69/(58.69+32.07))</f>
        <v>0.24572719259585721</v>
      </c>
      <c r="T194" s="1">
        <v>0.01</v>
      </c>
      <c r="AF194" s="1">
        <v>46.006</v>
      </c>
      <c r="AG194" s="1">
        <v>0.11</v>
      </c>
      <c r="AN194" s="13">
        <f>0.31*(58.69/(58.69+32.07))</f>
        <v>0.20046165711767297</v>
      </c>
      <c r="AO194" s="1">
        <v>0.01</v>
      </c>
      <c r="BA194" s="1">
        <v>4.4999999999999998E-2</v>
      </c>
      <c r="BB194" s="13">
        <v>0.1</v>
      </c>
      <c r="BI194" s="13">
        <f>0.25*(58.69/(58.69+32.07))</f>
        <v>0.16166262670780079</v>
      </c>
      <c r="BJ194" s="1">
        <v>0.01</v>
      </c>
      <c r="BV194" s="1">
        <v>0</v>
      </c>
      <c r="CQ194" s="1">
        <v>0</v>
      </c>
      <c r="DL194" s="18" t="s">
        <v>96</v>
      </c>
      <c r="DM194" s="1" t="s">
        <v>96</v>
      </c>
      <c r="DN194" s="1">
        <f t="shared" si="49"/>
        <v>0.21049687190494726</v>
      </c>
      <c r="DO194" s="1">
        <f t="shared" si="50"/>
        <v>0.01</v>
      </c>
      <c r="DP194" s="1" t="s">
        <v>588</v>
      </c>
      <c r="DQ194" s="1" t="s">
        <v>2</v>
      </c>
      <c r="DR194" s="100">
        <f t="shared" si="51"/>
        <v>59.218000000000004</v>
      </c>
      <c r="DS194" s="100">
        <f t="shared" si="52"/>
        <v>0.21049687190494726</v>
      </c>
      <c r="DT194" s="101">
        <f t="shared" si="53"/>
        <v>124.65203760467166</v>
      </c>
      <c r="DV194" s="16">
        <f t="shared" si="54"/>
        <v>0</v>
      </c>
      <c r="DZ194" s="37" t="s">
        <v>2</v>
      </c>
      <c r="EA194" s="37"/>
      <c r="EM194" s="73"/>
      <c r="EN194" s="37"/>
      <c r="EO194" s="37"/>
      <c r="EP194" s="37"/>
      <c r="EQ194" s="37"/>
      <c r="ER194" s="37"/>
      <c r="ES194" s="37"/>
      <c r="ET194" s="37"/>
      <c r="EU194" s="37"/>
      <c r="EV194" s="37"/>
      <c r="EW194" s="37"/>
      <c r="EX194" s="37"/>
      <c r="EY194" s="37"/>
      <c r="EZ194" s="37"/>
      <c r="FA194" s="37"/>
      <c r="FB194" s="37"/>
      <c r="FC194" s="37"/>
      <c r="FD194" s="37"/>
      <c r="FE194" s="37"/>
      <c r="FF194" s="55"/>
      <c r="FG194" s="55"/>
      <c r="FH194" s="55"/>
      <c r="FI194" s="37"/>
      <c r="FJ194" s="55"/>
      <c r="FK194" s="55"/>
      <c r="FL194" s="45"/>
      <c r="FM194" s="37"/>
      <c r="FN194" s="37"/>
      <c r="FO194" s="37"/>
      <c r="FP194" s="55"/>
      <c r="FQ194" s="1" t="s">
        <v>2</v>
      </c>
      <c r="FR194" s="1" t="s">
        <v>113</v>
      </c>
      <c r="FS194" s="1" t="s">
        <v>261</v>
      </c>
      <c r="FT194" s="1" t="s">
        <v>589</v>
      </c>
      <c r="FV194" s="1" t="s">
        <v>2</v>
      </c>
    </row>
    <row r="195" spans="1:178" ht="16.25" customHeight="1" x14ac:dyDescent="0.2">
      <c r="A195" s="18" t="s">
        <v>177</v>
      </c>
      <c r="B195" s="1" t="s">
        <v>79</v>
      </c>
      <c r="C195" s="79" t="s">
        <v>1148</v>
      </c>
      <c r="D195" s="1" t="s">
        <v>69</v>
      </c>
      <c r="H195" s="1" t="s">
        <v>1145</v>
      </c>
      <c r="K195" s="1">
        <v>0</v>
      </c>
      <c r="AF195" s="1">
        <v>0</v>
      </c>
      <c r="BA195" s="1">
        <v>200</v>
      </c>
      <c r="BB195" s="1">
        <v>0.13</v>
      </c>
      <c r="BI195" s="13">
        <v>0.2</v>
      </c>
      <c r="BJ195" s="1">
        <v>1.6E-2</v>
      </c>
      <c r="BV195" s="1">
        <v>0</v>
      </c>
      <c r="CQ195" s="1">
        <v>0</v>
      </c>
      <c r="DL195" s="18" t="s">
        <v>163</v>
      </c>
      <c r="DM195" s="1" t="s">
        <v>163</v>
      </c>
      <c r="DN195" s="1">
        <f t="shared" si="49"/>
        <v>0.2</v>
      </c>
      <c r="DO195" s="1">
        <f t="shared" si="50"/>
        <v>1.6E-2</v>
      </c>
      <c r="DP195" s="1" t="s">
        <v>591</v>
      </c>
      <c r="DQ195" s="1" t="s">
        <v>2</v>
      </c>
      <c r="DR195" s="16">
        <f t="shared" si="51"/>
        <v>200</v>
      </c>
      <c r="DS195" s="16">
        <f t="shared" si="52"/>
        <v>0.2</v>
      </c>
      <c r="DT195" s="101">
        <f t="shared" si="53"/>
        <v>400</v>
      </c>
      <c r="DV195" s="16">
        <f t="shared" si="54"/>
        <v>0</v>
      </c>
      <c r="DZ195" s="37" t="s">
        <v>2</v>
      </c>
      <c r="EA195" s="37"/>
      <c r="EM195" s="73"/>
      <c r="EN195" s="37"/>
      <c r="EO195" s="37"/>
      <c r="EP195" s="37"/>
      <c r="EQ195" s="37"/>
      <c r="ER195" s="37"/>
      <c r="ES195" s="37"/>
      <c r="ET195" s="37"/>
      <c r="EU195" s="37"/>
      <c r="EV195" s="37"/>
      <c r="EW195" s="37"/>
      <c r="EX195" s="37"/>
      <c r="EY195" s="37"/>
      <c r="EZ195" s="37"/>
      <c r="FA195" s="37"/>
      <c r="FB195" s="37"/>
      <c r="FC195" s="37"/>
      <c r="FD195" s="37"/>
      <c r="FE195" s="37"/>
      <c r="FF195" s="55"/>
      <c r="FG195" s="55"/>
      <c r="FH195" s="55"/>
      <c r="FI195" s="37"/>
      <c r="FJ195" s="55"/>
      <c r="FK195" s="55"/>
      <c r="FL195" s="45"/>
      <c r="FM195" s="37"/>
      <c r="FN195" s="37"/>
      <c r="FO195" s="37"/>
      <c r="FP195" s="55"/>
      <c r="FQ195" s="1" t="s">
        <v>2</v>
      </c>
      <c r="FR195" s="1" t="s">
        <v>113</v>
      </c>
      <c r="FS195" s="1" t="s">
        <v>261</v>
      </c>
      <c r="FV195" s="1" t="s">
        <v>2</v>
      </c>
    </row>
    <row r="196" spans="1:178" ht="16.25" customHeight="1" x14ac:dyDescent="0.2">
      <c r="A196" s="18" t="s">
        <v>177</v>
      </c>
      <c r="B196" s="1" t="s">
        <v>79</v>
      </c>
      <c r="C196" s="16" t="s">
        <v>1018</v>
      </c>
      <c r="D196" s="1" t="s">
        <v>69</v>
      </c>
      <c r="H196" s="1" t="s">
        <v>263</v>
      </c>
      <c r="K196" s="1">
        <v>0</v>
      </c>
      <c r="AF196" s="1">
        <v>0</v>
      </c>
      <c r="BA196" s="1">
        <v>3.09</v>
      </c>
      <c r="BB196" s="1">
        <v>1.02</v>
      </c>
      <c r="BI196" s="1">
        <v>1.1200000000000001</v>
      </c>
      <c r="BJ196" s="2">
        <v>6.6199999999999995E-2</v>
      </c>
      <c r="BV196" s="1">
        <v>0</v>
      </c>
      <c r="CQ196" s="1">
        <v>0</v>
      </c>
      <c r="DL196" s="18" t="s">
        <v>163</v>
      </c>
      <c r="DM196" s="1" t="s">
        <v>163</v>
      </c>
      <c r="DN196" s="1">
        <f t="shared" ref="DN196:DN259" si="55">(S196*K196+AN196*AF196+BI196*BA196)/(K196+AF196+BA196)</f>
        <v>1.1200000000000001</v>
      </c>
      <c r="DO196" s="1">
        <f t="shared" ref="DO196:DO259" si="56">(T196*K196+AO196*AF196+BJ196*BA196)/(K196+AF196+BA196)</f>
        <v>6.6199999999999995E-2</v>
      </c>
      <c r="DP196" s="1" t="s">
        <v>594</v>
      </c>
      <c r="DQ196" s="1" t="s">
        <v>2</v>
      </c>
      <c r="DR196" s="16">
        <f t="shared" ref="DR196:DR259" si="57">K196+AF196+BA196</f>
        <v>3.09</v>
      </c>
      <c r="DS196" s="16">
        <f t="shared" ref="DS196:DS259" si="58">(K196*S196+AF196*AN196+BA196*BI196)/DR196</f>
        <v>1.1200000000000001</v>
      </c>
      <c r="DT196" s="101">
        <f t="shared" ref="DT196:DT259" si="59">1000*DR196*DS196/100</f>
        <v>34.608000000000004</v>
      </c>
      <c r="DV196" s="16">
        <f t="shared" ref="DV196:DV259" si="60">BV196+CQ196</f>
        <v>0</v>
      </c>
      <c r="DZ196" s="37" t="s">
        <v>2</v>
      </c>
      <c r="EA196" s="37"/>
      <c r="EM196" s="73"/>
      <c r="EN196" s="37"/>
      <c r="EO196" s="37"/>
      <c r="EP196" s="37"/>
      <c r="EQ196" s="37"/>
      <c r="ER196" s="37"/>
      <c r="ES196" s="37"/>
      <c r="ET196" s="37"/>
      <c r="EU196" s="37"/>
      <c r="EV196" s="37"/>
      <c r="EW196" s="37"/>
      <c r="EX196" s="37"/>
      <c r="EY196" s="37"/>
      <c r="EZ196" s="37"/>
      <c r="FA196" s="37"/>
      <c r="FB196" s="37"/>
      <c r="FC196" s="37"/>
      <c r="FD196" s="37"/>
      <c r="FE196" s="37"/>
      <c r="FF196" s="55"/>
      <c r="FG196" s="55"/>
      <c r="FH196" s="55"/>
      <c r="FI196" s="37"/>
      <c r="FJ196" s="55"/>
      <c r="FK196" s="55"/>
      <c r="FL196" s="45"/>
      <c r="FM196" s="37"/>
      <c r="FN196" s="37"/>
      <c r="FO196" s="37"/>
      <c r="FP196" s="55"/>
      <c r="FQ196" s="1" t="s">
        <v>2</v>
      </c>
      <c r="FR196" s="1" t="s">
        <v>113</v>
      </c>
      <c r="FS196" s="1" t="s">
        <v>261</v>
      </c>
      <c r="FV196" s="1" t="s">
        <v>2</v>
      </c>
    </row>
    <row r="197" spans="1:178" ht="16.25" customHeight="1" x14ac:dyDescent="0.2">
      <c r="A197" s="18" t="s">
        <v>595</v>
      </c>
      <c r="B197" s="1" t="s">
        <v>79</v>
      </c>
      <c r="C197" s="40" t="s">
        <v>463</v>
      </c>
      <c r="D197" s="1" t="s">
        <v>71</v>
      </c>
      <c r="G197" s="1" t="s">
        <v>160</v>
      </c>
      <c r="H197" s="1" t="s">
        <v>462</v>
      </c>
      <c r="K197" s="1">
        <v>0</v>
      </c>
      <c r="AF197" s="1">
        <v>0</v>
      </c>
      <c r="BA197" s="1">
        <v>27.2</v>
      </c>
      <c r="BB197" s="1">
        <v>0.03</v>
      </c>
      <c r="BC197" s="1">
        <v>0.02</v>
      </c>
      <c r="BI197" s="1">
        <v>0.18</v>
      </c>
      <c r="BJ197" s="2">
        <v>1.149E-2</v>
      </c>
      <c r="BK197" s="1">
        <v>0.42</v>
      </c>
      <c r="BL197" s="1">
        <v>0.77</v>
      </c>
      <c r="BP197" s="13">
        <f>0.85*(2*52/(2*52+3*16.001))</f>
        <v>0.58156746906311063</v>
      </c>
      <c r="BV197" s="1">
        <v>0</v>
      </c>
      <c r="CQ197" s="1">
        <v>0</v>
      </c>
      <c r="DL197" s="18" t="s">
        <v>96</v>
      </c>
      <c r="DM197" s="1" t="s">
        <v>96</v>
      </c>
      <c r="DN197" s="1">
        <f t="shared" si="55"/>
        <v>0.18</v>
      </c>
      <c r="DO197" s="1">
        <f t="shared" si="56"/>
        <v>1.1489999999999998E-2</v>
      </c>
      <c r="DP197" s="1" t="s">
        <v>598</v>
      </c>
      <c r="DQ197" s="1" t="s">
        <v>2</v>
      </c>
      <c r="DR197" s="16">
        <f t="shared" si="57"/>
        <v>27.2</v>
      </c>
      <c r="DS197" s="16">
        <f t="shared" si="58"/>
        <v>0.18</v>
      </c>
      <c r="DT197" s="101">
        <f t="shared" si="59"/>
        <v>48.96</v>
      </c>
      <c r="DV197" s="16">
        <f t="shared" si="60"/>
        <v>0</v>
      </c>
      <c r="DZ197" s="37" t="s">
        <v>2</v>
      </c>
      <c r="EA197" s="37"/>
      <c r="EM197" s="73"/>
      <c r="EN197" s="37"/>
      <c r="EO197" s="37"/>
      <c r="EP197" s="37"/>
      <c r="EQ197" s="37"/>
      <c r="ER197" s="37"/>
      <c r="ES197" s="37"/>
      <c r="ET197" s="37"/>
      <c r="EU197" s="37"/>
      <c r="EV197" s="37"/>
      <c r="EW197" s="37"/>
      <c r="EX197" s="37"/>
      <c r="EY197" s="37"/>
      <c r="EZ197" s="37"/>
      <c r="FA197" s="37"/>
      <c r="FB197" s="37"/>
      <c r="FC197" s="37"/>
      <c r="FD197" s="37"/>
      <c r="FE197" s="37"/>
      <c r="FF197" s="55"/>
      <c r="FG197" s="55"/>
      <c r="FH197" s="55"/>
      <c r="FI197" s="37"/>
      <c r="FJ197" s="55"/>
      <c r="FK197" s="55"/>
      <c r="FL197" s="45"/>
      <c r="FM197" s="37"/>
      <c r="FN197" s="37"/>
      <c r="FO197" s="37"/>
      <c r="FP197" s="55"/>
      <c r="FQ197" s="1" t="s">
        <v>2</v>
      </c>
      <c r="FR197" s="1" t="s">
        <v>113</v>
      </c>
      <c r="FS197" s="1" t="s">
        <v>261</v>
      </c>
      <c r="FT197" s="1" t="s">
        <v>589</v>
      </c>
      <c r="FV197" s="1" t="s">
        <v>2</v>
      </c>
    </row>
    <row r="198" spans="1:178" ht="16.25" customHeight="1" x14ac:dyDescent="0.2">
      <c r="A198" s="18" t="s">
        <v>177</v>
      </c>
      <c r="B198" s="1" t="s">
        <v>79</v>
      </c>
      <c r="C198" s="15" t="s">
        <v>366</v>
      </c>
      <c r="D198" s="1" t="s">
        <v>71</v>
      </c>
      <c r="G198" s="1" t="s">
        <v>65</v>
      </c>
      <c r="H198" s="1" t="s">
        <v>367</v>
      </c>
      <c r="K198" s="1">
        <v>0</v>
      </c>
      <c r="AF198" s="1">
        <v>0</v>
      </c>
      <c r="BA198" s="1">
        <v>35</v>
      </c>
      <c r="BB198" s="1">
        <v>0.27</v>
      </c>
      <c r="BI198" s="1">
        <v>0.25</v>
      </c>
      <c r="BK198" s="1">
        <v>0.16</v>
      </c>
      <c r="BL198" s="13">
        <v>0.4</v>
      </c>
      <c r="BV198" s="1">
        <v>0</v>
      </c>
      <c r="CQ198" s="1">
        <v>0</v>
      </c>
      <c r="DL198" s="18" t="s">
        <v>163</v>
      </c>
      <c r="DN198" s="1">
        <f t="shared" si="55"/>
        <v>0.25</v>
      </c>
      <c r="DO198" s="1">
        <f t="shared" si="56"/>
        <v>0</v>
      </c>
      <c r="DP198" s="1" t="s">
        <v>601</v>
      </c>
      <c r="DQ198" s="1" t="s">
        <v>2</v>
      </c>
      <c r="DR198" s="16">
        <f t="shared" si="57"/>
        <v>35</v>
      </c>
      <c r="DS198" s="16">
        <f t="shared" si="58"/>
        <v>0.25</v>
      </c>
      <c r="DT198" s="101">
        <f t="shared" si="59"/>
        <v>87.5</v>
      </c>
      <c r="DV198" s="16">
        <f t="shared" si="60"/>
        <v>0</v>
      </c>
      <c r="DZ198" s="37" t="s">
        <v>2</v>
      </c>
      <c r="EA198" s="37"/>
      <c r="EM198" s="73"/>
      <c r="EN198" s="37"/>
      <c r="EO198" s="37"/>
      <c r="EP198" s="37"/>
      <c r="EQ198" s="37"/>
      <c r="ER198" s="37"/>
      <c r="ES198" s="37"/>
      <c r="ET198" s="37"/>
      <c r="EU198" s="37"/>
      <c r="EV198" s="37"/>
      <c r="EW198" s="37"/>
      <c r="EX198" s="37"/>
      <c r="EY198" s="37"/>
      <c r="EZ198" s="37"/>
      <c r="FA198" s="37"/>
      <c r="FB198" s="37"/>
      <c r="FC198" s="37"/>
      <c r="FD198" s="37"/>
      <c r="FE198" s="37"/>
      <c r="FF198" s="55"/>
      <c r="FG198" s="55"/>
      <c r="FH198" s="55"/>
      <c r="FI198" s="37"/>
      <c r="FJ198" s="55"/>
      <c r="FK198" s="55"/>
      <c r="FL198" s="45"/>
      <c r="FM198" s="37"/>
      <c r="FN198" s="37"/>
      <c r="FO198" s="37"/>
      <c r="FP198" s="55"/>
      <c r="FQ198" s="1" t="s">
        <v>2</v>
      </c>
      <c r="FR198" s="1" t="s">
        <v>113</v>
      </c>
      <c r="FS198" s="1" t="s">
        <v>129</v>
      </c>
      <c r="FV198" s="1" t="s">
        <v>2</v>
      </c>
    </row>
    <row r="199" spans="1:178" ht="16.25" customHeight="1" x14ac:dyDescent="0.2">
      <c r="A199" s="25" t="s">
        <v>190</v>
      </c>
      <c r="B199" s="1" t="s">
        <v>117</v>
      </c>
      <c r="C199" s="80" t="s">
        <v>354</v>
      </c>
      <c r="D199" s="1" t="s">
        <v>71</v>
      </c>
      <c r="G199" s="1" t="s">
        <v>65</v>
      </c>
      <c r="H199" s="1" t="s">
        <v>334</v>
      </c>
      <c r="K199" s="1">
        <v>0</v>
      </c>
      <c r="AF199" s="1">
        <v>0</v>
      </c>
      <c r="BA199" s="1">
        <v>46</v>
      </c>
      <c r="BI199" s="1">
        <v>1.45</v>
      </c>
      <c r="BJ199" s="1">
        <v>0.03</v>
      </c>
      <c r="BV199" s="1">
        <v>0</v>
      </c>
      <c r="CQ199" s="1">
        <v>0</v>
      </c>
      <c r="DL199" s="18" t="s">
        <v>96</v>
      </c>
      <c r="DM199" s="1" t="s">
        <v>96</v>
      </c>
      <c r="DN199" s="1">
        <f t="shared" si="55"/>
        <v>1.45</v>
      </c>
      <c r="DO199" s="1">
        <f t="shared" si="56"/>
        <v>0.03</v>
      </c>
      <c r="DP199" s="1" t="s">
        <v>1030</v>
      </c>
      <c r="DQ199" s="1" t="s">
        <v>2</v>
      </c>
      <c r="DR199" s="16">
        <f t="shared" si="57"/>
        <v>46</v>
      </c>
      <c r="DS199" s="16">
        <f t="shared" si="58"/>
        <v>1.45</v>
      </c>
      <c r="DT199" s="101">
        <f t="shared" si="59"/>
        <v>667</v>
      </c>
      <c r="DV199" s="16">
        <f t="shared" si="60"/>
        <v>0</v>
      </c>
      <c r="DZ199" s="37" t="s">
        <v>2</v>
      </c>
      <c r="EA199" s="37" t="s">
        <v>117</v>
      </c>
      <c r="EM199" s="73" t="s">
        <v>117</v>
      </c>
      <c r="EN199" s="37"/>
      <c r="EO199" s="37"/>
      <c r="EP199" s="37"/>
      <c r="EQ199" s="37"/>
      <c r="ER199" s="37"/>
      <c r="ES199" s="37"/>
      <c r="ET199" s="37"/>
      <c r="EU199" s="37"/>
      <c r="EV199" s="37"/>
      <c r="EW199" s="37"/>
      <c r="EX199" s="37"/>
      <c r="EY199" s="37"/>
      <c r="EZ199" s="37"/>
      <c r="FA199" s="37"/>
      <c r="FB199" s="37"/>
      <c r="FC199" s="37"/>
      <c r="FD199" s="37"/>
      <c r="FE199" s="37"/>
      <c r="FF199" s="55"/>
      <c r="FG199" s="55"/>
      <c r="FH199" s="55"/>
      <c r="FI199" s="37"/>
      <c r="FJ199" s="55"/>
      <c r="FK199" s="55"/>
      <c r="FL199" s="45"/>
      <c r="FM199" s="37"/>
      <c r="FN199" s="37"/>
      <c r="FO199" s="37"/>
      <c r="FP199" s="55" t="s">
        <v>117</v>
      </c>
      <c r="FQ199" s="1" t="s">
        <v>2</v>
      </c>
      <c r="FR199" s="1" t="s">
        <v>31</v>
      </c>
      <c r="FS199" s="1" t="s">
        <v>469</v>
      </c>
      <c r="FT199" s="1" t="s">
        <v>469</v>
      </c>
      <c r="FV199" s="1" t="s">
        <v>2</v>
      </c>
    </row>
    <row r="200" spans="1:178" ht="16.25" customHeight="1" x14ac:dyDescent="0.2">
      <c r="A200" s="25" t="s">
        <v>190</v>
      </c>
      <c r="B200" s="1" t="s">
        <v>117</v>
      </c>
      <c r="C200" s="80" t="s">
        <v>428</v>
      </c>
      <c r="D200" s="1" t="s">
        <v>71</v>
      </c>
      <c r="G200" s="1" t="s">
        <v>65</v>
      </c>
      <c r="H200" s="1" t="s">
        <v>429</v>
      </c>
      <c r="K200" s="1">
        <v>0</v>
      </c>
      <c r="AF200" s="1">
        <v>0</v>
      </c>
      <c r="BA200" s="1">
        <v>38</v>
      </c>
      <c r="BI200" s="1">
        <v>1.38</v>
      </c>
      <c r="BJ200" s="1">
        <v>0.04</v>
      </c>
      <c r="BV200" s="1">
        <v>0</v>
      </c>
      <c r="CQ200" s="1">
        <v>0</v>
      </c>
      <c r="DL200" s="18" t="s">
        <v>96</v>
      </c>
      <c r="DM200" s="1" t="s">
        <v>96</v>
      </c>
      <c r="DN200" s="1">
        <f t="shared" si="55"/>
        <v>1.38</v>
      </c>
      <c r="DO200" s="1">
        <f t="shared" si="56"/>
        <v>0.04</v>
      </c>
      <c r="DP200" s="1" t="s">
        <v>1030</v>
      </c>
      <c r="DQ200" s="1" t="s">
        <v>2</v>
      </c>
      <c r="DR200" s="16">
        <f t="shared" si="57"/>
        <v>38</v>
      </c>
      <c r="DS200" s="16">
        <f t="shared" si="58"/>
        <v>1.38</v>
      </c>
      <c r="DT200" s="101">
        <f t="shared" si="59"/>
        <v>524.4</v>
      </c>
      <c r="DV200" s="16">
        <f t="shared" si="60"/>
        <v>0</v>
      </c>
      <c r="DZ200" s="37" t="s">
        <v>2</v>
      </c>
      <c r="EA200" s="37"/>
      <c r="EM200" s="73"/>
      <c r="EN200" s="37"/>
      <c r="EO200" s="37"/>
      <c r="EP200" s="37"/>
      <c r="EQ200" s="37"/>
      <c r="ER200" s="37"/>
      <c r="ES200" s="37"/>
      <c r="ET200" s="37"/>
      <c r="EU200" s="37"/>
      <c r="EV200" s="37"/>
      <c r="EW200" s="37"/>
      <c r="EX200" s="37"/>
      <c r="EY200" s="37"/>
      <c r="EZ200" s="37"/>
      <c r="FA200" s="37"/>
      <c r="FB200" s="37"/>
      <c r="FC200" s="37"/>
      <c r="FD200" s="37"/>
      <c r="FE200" s="37"/>
      <c r="FF200" s="55"/>
      <c r="FG200" s="55"/>
      <c r="FH200" s="55"/>
      <c r="FI200" s="37"/>
      <c r="FJ200" s="55"/>
      <c r="FK200" s="55"/>
      <c r="FL200" s="45"/>
      <c r="FM200" s="37"/>
      <c r="FN200" s="37"/>
      <c r="FO200" s="37"/>
      <c r="FP200" s="55"/>
      <c r="FQ200" s="1" t="s">
        <v>2</v>
      </c>
      <c r="FR200" s="1" t="s">
        <v>31</v>
      </c>
      <c r="FS200" s="1" t="s">
        <v>469</v>
      </c>
      <c r="FT200" s="1" t="s">
        <v>469</v>
      </c>
      <c r="FV200" s="1" t="s">
        <v>2</v>
      </c>
    </row>
    <row r="201" spans="1:178" ht="16.25" customHeight="1" x14ac:dyDescent="0.2">
      <c r="A201" s="25" t="s">
        <v>190</v>
      </c>
      <c r="B201" s="1" t="s">
        <v>117</v>
      </c>
      <c r="C201" s="80" t="s">
        <v>372</v>
      </c>
      <c r="D201" s="1" t="s">
        <v>71</v>
      </c>
      <c r="G201" s="1" t="s">
        <v>65</v>
      </c>
      <c r="H201" s="1" t="s">
        <v>373</v>
      </c>
      <c r="K201" s="1">
        <v>0</v>
      </c>
      <c r="AF201" s="1">
        <f>26.66+20.18</f>
        <v>46.84</v>
      </c>
      <c r="AG201" s="13">
        <f>(0.35*26.66+0.21*20.18)/AF201</f>
        <v>0.28968403074295473</v>
      </c>
      <c r="AH201" s="13">
        <f>(0.1*26.66+0.037*13.91+0*6.27)/AF201</f>
        <v>6.7904995730145176E-2</v>
      </c>
      <c r="AN201" s="13">
        <f>(1.13*26.66+2.19*20.18)/AF201</f>
        <v>1.5866780529461995</v>
      </c>
      <c r="AO201" s="13">
        <f>(0.17*26.66+0.06*20.18)/AF201</f>
        <v>0.12260888129803586</v>
      </c>
      <c r="AP201" s="13">
        <f>(0.394*26.66+0.197*13.91+0*6.27)/AF201</f>
        <v>0.2827564047822374</v>
      </c>
      <c r="AQ201" s="13">
        <f>(0.778*26.66+0.323*13.91+0*6.27)/AF201</f>
        <v>0.53873633646456021</v>
      </c>
      <c r="BA201" s="1">
        <f>27.32+76.02</f>
        <v>103.34</v>
      </c>
      <c r="BB201" s="13">
        <f>(0.24*27.32+0.15*76.02)/BA201</f>
        <v>0.1737933036578285</v>
      </c>
      <c r="BC201" s="13">
        <f>(0.103*0.71+0.102*8.45+0*14.66+0*3.5+0.045*3.3+0.047*15.94+0*41.3+0*15.48)/(0.71+8.45+14.66+3.5+3.3+15.94+41.3+15.48)</f>
        <v>1.7734759047803365E-2</v>
      </c>
      <c r="BI201" s="13">
        <f>(0.99*27.32+1.26*76.02)/BA201</f>
        <v>1.1886200890265144</v>
      </c>
      <c r="BJ201" s="13">
        <f>(0.14*27.32+0.05*76.02)/BA201</f>
        <v>7.3793303657828518E-2</v>
      </c>
      <c r="BK201" s="13">
        <f>(0.498*0.71+0.356*8.45+0*14.66+0*3.5+0.191*3.3+0.145*15.94+0*41.3+0*15.48)/(0.71+8.45+14.66+3.5+3.3+15.94+41.3+15.48)</f>
        <v>6.0996516353783614E-2</v>
      </c>
      <c r="BL201" s="13">
        <f>(0.606*0.71+0.792*8.45+0*14.66+0*3.5)/(0.71+8.45+14.66+3.5)</f>
        <v>0.26071229868228402</v>
      </c>
      <c r="BV201" s="1">
        <v>0</v>
      </c>
      <c r="CQ201" s="1">
        <v>0</v>
      </c>
      <c r="DL201" s="18" t="s">
        <v>96</v>
      </c>
      <c r="DM201" s="1" t="s">
        <v>96</v>
      </c>
      <c r="DN201" s="1">
        <f t="shared" si="55"/>
        <v>1.3127713410573976</v>
      </c>
      <c r="DO201" s="1">
        <f t="shared" si="56"/>
        <v>8.9018511119989346E-2</v>
      </c>
      <c r="DP201" s="1" t="s">
        <v>1028</v>
      </c>
      <c r="DQ201" s="1" t="s">
        <v>2</v>
      </c>
      <c r="DR201" s="101">
        <f t="shared" si="57"/>
        <v>150.18</v>
      </c>
      <c r="DS201" s="100">
        <f t="shared" si="58"/>
        <v>1.3127713410573976</v>
      </c>
      <c r="DT201" s="102">
        <f t="shared" si="59"/>
        <v>1971.5199999999998</v>
      </c>
      <c r="DV201" s="16">
        <f t="shared" si="60"/>
        <v>0</v>
      </c>
      <c r="DZ201" s="37" t="s">
        <v>2</v>
      </c>
      <c r="EA201" s="37"/>
      <c r="EM201" s="73"/>
      <c r="EN201" s="37"/>
      <c r="EO201" s="37"/>
      <c r="EP201" s="37"/>
      <c r="EQ201" s="37"/>
      <c r="ER201" s="37"/>
      <c r="ES201" s="37"/>
      <c r="ET201" s="37"/>
      <c r="EU201" s="37"/>
      <c r="EV201" s="37"/>
      <c r="EW201" s="37"/>
      <c r="EX201" s="37"/>
      <c r="EY201" s="37"/>
      <c r="EZ201" s="37"/>
      <c r="FA201" s="37"/>
      <c r="FB201" s="37"/>
      <c r="FC201" s="37"/>
      <c r="FD201" s="37"/>
      <c r="FE201" s="37"/>
      <c r="FF201" s="55"/>
      <c r="FG201" s="55"/>
      <c r="FH201" s="55"/>
      <c r="FI201" s="37"/>
      <c r="FJ201" s="55"/>
      <c r="FK201" s="55"/>
      <c r="FL201" s="45"/>
      <c r="FM201" s="37"/>
      <c r="FN201" s="37"/>
      <c r="FO201" s="37"/>
      <c r="FP201" s="55"/>
      <c r="FQ201" s="1" t="s">
        <v>2</v>
      </c>
      <c r="FR201" s="1" t="s">
        <v>31</v>
      </c>
      <c r="FS201" s="1" t="s">
        <v>506</v>
      </c>
      <c r="FT201" s="1" t="s">
        <v>506</v>
      </c>
      <c r="FV201" s="1" t="s">
        <v>2</v>
      </c>
    </row>
    <row r="202" spans="1:178" ht="16.25" customHeight="1" x14ac:dyDescent="0.2">
      <c r="A202" s="25" t="s">
        <v>190</v>
      </c>
      <c r="B202" s="1" t="s">
        <v>145</v>
      </c>
      <c r="C202" s="80" t="s">
        <v>364</v>
      </c>
      <c r="D202" s="1" t="s">
        <v>71</v>
      </c>
      <c r="G202" s="1" t="s">
        <v>65</v>
      </c>
      <c r="H202" s="1" t="s">
        <v>365</v>
      </c>
      <c r="K202" s="1">
        <v>59.805</v>
      </c>
      <c r="S202" s="1">
        <v>0.68</v>
      </c>
      <c r="T202" s="1">
        <v>0.24</v>
      </c>
      <c r="AF202" s="1">
        <f>20.918+33.251</f>
        <v>54.168999999999997</v>
      </c>
      <c r="AN202" s="13">
        <f>(0.67*20.918+0.6*33.251)/AF202</f>
        <v>0.62703132788126048</v>
      </c>
      <c r="AO202" s="13">
        <f>(0.19*20.918+0.21*33.251)/AF202</f>
        <v>0.20227676346249701</v>
      </c>
      <c r="BA202" s="14">
        <f>19.929+182.621</f>
        <v>202.55</v>
      </c>
      <c r="BI202" s="13">
        <f>(0.65*19.929+0.58*182.621)/BA202</f>
        <v>0.58688733646013325</v>
      </c>
      <c r="BJ202" s="13">
        <f>(0.19*19.929+0.2*182.621)/BA202</f>
        <v>0.19901609479140953</v>
      </c>
      <c r="BV202" s="1">
        <v>0</v>
      </c>
      <c r="CQ202" s="1">
        <v>68.132000000000005</v>
      </c>
      <c r="CY202" s="1">
        <v>0.66</v>
      </c>
      <c r="CZ202" s="1">
        <v>0.26</v>
      </c>
      <c r="DL202" s="18" t="s">
        <v>96</v>
      </c>
      <c r="DM202" s="1" t="s">
        <v>96</v>
      </c>
      <c r="DN202" s="1">
        <f t="shared" si="55"/>
        <v>0.61135045051876002</v>
      </c>
      <c r="DO202" s="1">
        <f t="shared" si="56"/>
        <v>0.20731773893922734</v>
      </c>
      <c r="DP202" s="1" t="s">
        <v>580</v>
      </c>
      <c r="DQ202" s="1" t="s">
        <v>2</v>
      </c>
      <c r="DR202" s="101">
        <f t="shared" si="57"/>
        <v>316.524</v>
      </c>
      <c r="DS202" s="100">
        <f t="shared" si="58"/>
        <v>0.61135045051876002</v>
      </c>
      <c r="DT202" s="102">
        <f t="shared" si="59"/>
        <v>1935.0708999999999</v>
      </c>
      <c r="DV202" s="100">
        <f t="shared" si="60"/>
        <v>68.132000000000005</v>
      </c>
      <c r="DW202" s="16">
        <f>(BV202*CD202+CQ202*CY202)/DV202</f>
        <v>0.66</v>
      </c>
      <c r="DX202" s="101">
        <f>1000*DV202*DW202/100</f>
        <v>449.6712</v>
      </c>
      <c r="DZ202" s="37" t="s">
        <v>2</v>
      </c>
      <c r="EA202" s="37" t="s">
        <v>145</v>
      </c>
      <c r="EM202" s="73" t="s">
        <v>145</v>
      </c>
      <c r="EN202" s="37"/>
      <c r="EO202" s="37"/>
      <c r="EP202" s="37"/>
      <c r="EQ202" s="37"/>
      <c r="ER202" s="37"/>
      <c r="ES202" s="37"/>
      <c r="ET202" s="37"/>
      <c r="EU202" s="37"/>
      <c r="EV202" s="37"/>
      <c r="EW202" s="37"/>
      <c r="EX202" s="37"/>
      <c r="EY202" s="37"/>
      <c r="EZ202" s="37"/>
      <c r="FA202" s="37"/>
      <c r="FB202" s="37"/>
      <c r="FC202" s="37"/>
      <c r="FD202" s="37"/>
      <c r="FE202" s="37"/>
      <c r="FF202" s="55"/>
      <c r="FG202" s="55"/>
      <c r="FH202" s="55"/>
      <c r="FI202" s="37"/>
      <c r="FJ202" s="55"/>
      <c r="FK202" s="55"/>
      <c r="FL202" s="45"/>
      <c r="FM202" s="37"/>
      <c r="FN202" s="37"/>
      <c r="FO202" s="37"/>
      <c r="FP202" s="55" t="s">
        <v>145</v>
      </c>
      <c r="FQ202" s="1" t="s">
        <v>2</v>
      </c>
      <c r="FR202" s="1" t="s">
        <v>31</v>
      </c>
      <c r="FS202" s="1" t="s">
        <v>280</v>
      </c>
      <c r="FT202" s="1" t="s">
        <v>280</v>
      </c>
      <c r="FV202" s="1" t="s">
        <v>2</v>
      </c>
    </row>
    <row r="203" spans="1:178" ht="16.25" customHeight="1" x14ac:dyDescent="0.2">
      <c r="A203" s="18" t="s">
        <v>177</v>
      </c>
      <c r="B203" s="1" t="s">
        <v>82</v>
      </c>
      <c r="C203" s="80" t="s">
        <v>361</v>
      </c>
      <c r="D203" s="1" t="s">
        <v>71</v>
      </c>
      <c r="G203" s="1" t="s">
        <v>65</v>
      </c>
      <c r="H203" s="1" t="s">
        <v>171</v>
      </c>
      <c r="K203" s="1">
        <v>0</v>
      </c>
      <c r="AF203" s="4">
        <v>1906.63</v>
      </c>
      <c r="AN203" s="1">
        <v>0.121</v>
      </c>
      <c r="BA203" s="14">
        <v>504.88</v>
      </c>
      <c r="BI203" s="1">
        <v>9.7000000000000003E-2</v>
      </c>
      <c r="BV203" s="1">
        <v>0</v>
      </c>
      <c r="CQ203" s="1">
        <v>0</v>
      </c>
      <c r="DL203" s="18" t="s">
        <v>96</v>
      </c>
      <c r="DN203" s="1">
        <f t="shared" si="55"/>
        <v>0.11597529763509169</v>
      </c>
      <c r="DO203" s="1">
        <f t="shared" si="56"/>
        <v>0</v>
      </c>
      <c r="DP203" s="1" t="s">
        <v>664</v>
      </c>
      <c r="DQ203" s="1" t="s">
        <v>2</v>
      </c>
      <c r="DR203" s="104">
        <f t="shared" si="57"/>
        <v>2411.5100000000002</v>
      </c>
      <c r="DS203" s="100">
        <f t="shared" si="58"/>
        <v>0.11597529763509169</v>
      </c>
      <c r="DT203" s="102">
        <f t="shared" si="59"/>
        <v>2796.7558999999997</v>
      </c>
      <c r="DV203" s="16">
        <f t="shared" si="60"/>
        <v>0</v>
      </c>
      <c r="DZ203" s="37" t="s">
        <v>2</v>
      </c>
      <c r="EA203" s="37" t="s">
        <v>82</v>
      </c>
      <c r="EM203" s="73" t="s">
        <v>82</v>
      </c>
      <c r="EN203" s="37"/>
      <c r="EO203" s="37"/>
      <c r="EP203" s="37"/>
      <c r="EQ203" s="37"/>
      <c r="ER203" s="37"/>
      <c r="ES203" s="37"/>
      <c r="ET203" s="37"/>
      <c r="EU203" s="37"/>
      <c r="EV203" s="37"/>
      <c r="EW203" s="37"/>
      <c r="EX203" s="37"/>
      <c r="EY203" s="37"/>
      <c r="EZ203" s="37"/>
      <c r="FA203" s="37"/>
      <c r="FB203" s="37"/>
      <c r="FC203" s="37"/>
      <c r="FD203" s="37"/>
      <c r="FE203" s="37"/>
      <c r="FF203" s="55"/>
      <c r="FG203" s="55"/>
      <c r="FH203" s="55"/>
      <c r="FI203" s="37"/>
      <c r="FJ203" s="55"/>
      <c r="FK203" s="55"/>
      <c r="FL203" s="45"/>
      <c r="FM203" s="37"/>
      <c r="FN203" s="37"/>
      <c r="FO203" s="37"/>
      <c r="FP203" s="55" t="s">
        <v>82</v>
      </c>
      <c r="FQ203" s="1" t="s">
        <v>2</v>
      </c>
      <c r="FR203" s="1" t="s">
        <v>118</v>
      </c>
      <c r="FS203" s="1" t="s">
        <v>665</v>
      </c>
      <c r="FT203" s="1" t="s">
        <v>666</v>
      </c>
      <c r="FU203" s="1" t="s">
        <v>667</v>
      </c>
      <c r="FV203" s="1" t="s">
        <v>2</v>
      </c>
    </row>
    <row r="204" spans="1:178" ht="16.25" customHeight="1" x14ac:dyDescent="0.2">
      <c r="A204" s="18" t="s">
        <v>177</v>
      </c>
      <c r="B204" s="1" t="s">
        <v>82</v>
      </c>
      <c r="C204" s="80" t="s">
        <v>422</v>
      </c>
      <c r="D204" s="1" t="s">
        <v>71</v>
      </c>
      <c r="G204" s="1" t="s">
        <v>158</v>
      </c>
      <c r="H204" s="1" t="s">
        <v>423</v>
      </c>
      <c r="K204" s="1">
        <v>0</v>
      </c>
      <c r="AF204" s="1">
        <v>0</v>
      </c>
      <c r="BA204" s="13">
        <v>30.496085000000001</v>
      </c>
      <c r="BI204" s="2">
        <v>0.16020000000000001</v>
      </c>
      <c r="BJ204" s="2">
        <v>8.3000000000000001E-3</v>
      </c>
      <c r="BV204" s="1">
        <v>0</v>
      </c>
      <c r="CQ204" s="1">
        <v>0</v>
      </c>
      <c r="DL204" s="18" t="s">
        <v>96</v>
      </c>
      <c r="DM204" s="1" t="s">
        <v>96</v>
      </c>
      <c r="DN204" s="1">
        <f t="shared" si="55"/>
        <v>0.16020000000000001</v>
      </c>
      <c r="DO204" s="1">
        <f t="shared" si="56"/>
        <v>8.3000000000000001E-3</v>
      </c>
      <c r="DP204" s="1" t="s">
        <v>716</v>
      </c>
      <c r="DQ204" s="1" t="s">
        <v>2</v>
      </c>
      <c r="DR204" s="100">
        <f t="shared" si="57"/>
        <v>30.496085000000001</v>
      </c>
      <c r="DS204" s="100">
        <f t="shared" si="58"/>
        <v>0.16020000000000001</v>
      </c>
      <c r="DT204" s="101">
        <f t="shared" si="59"/>
        <v>48.854728170000001</v>
      </c>
      <c r="DV204" s="16">
        <f t="shared" si="60"/>
        <v>0</v>
      </c>
      <c r="DZ204" s="37" t="s">
        <v>2</v>
      </c>
      <c r="EA204" s="37"/>
      <c r="EM204" s="73"/>
      <c r="EN204" s="37"/>
      <c r="EO204" s="37"/>
      <c r="EP204" s="37"/>
      <c r="EQ204" s="37"/>
      <c r="ER204" s="37"/>
      <c r="ES204" s="37"/>
      <c r="ET204" s="37"/>
      <c r="EU204" s="37"/>
      <c r="EV204" s="37"/>
      <c r="EW204" s="37"/>
      <c r="EX204" s="37"/>
      <c r="EY204" s="37"/>
      <c r="EZ204" s="37"/>
      <c r="FA204" s="37"/>
      <c r="FB204" s="37"/>
      <c r="FC204" s="37"/>
      <c r="FD204" s="37"/>
      <c r="FE204" s="37"/>
      <c r="FF204" s="55"/>
      <c r="FG204" s="55"/>
      <c r="FH204" s="55"/>
      <c r="FI204" s="37"/>
      <c r="FJ204" s="55"/>
      <c r="FK204" s="55"/>
      <c r="FL204" s="45"/>
      <c r="FM204" s="37"/>
      <c r="FN204" s="37"/>
      <c r="FO204" s="37"/>
      <c r="FP204" s="55"/>
      <c r="FQ204" s="1" t="s">
        <v>2</v>
      </c>
      <c r="FR204" s="1" t="s">
        <v>118</v>
      </c>
      <c r="FS204" s="1" t="s">
        <v>83</v>
      </c>
      <c r="FT204" s="1" t="s">
        <v>138</v>
      </c>
      <c r="FV204" s="1" t="s">
        <v>2</v>
      </c>
    </row>
    <row r="205" spans="1:178" ht="16.25" customHeight="1" x14ac:dyDescent="0.2">
      <c r="A205" s="18" t="s">
        <v>177</v>
      </c>
      <c r="B205" s="1" t="s">
        <v>82</v>
      </c>
      <c r="C205" s="80" t="s">
        <v>408</v>
      </c>
      <c r="D205" s="1" t="s">
        <v>71</v>
      </c>
      <c r="G205" s="1" t="s">
        <v>72</v>
      </c>
      <c r="H205" s="1" t="s">
        <v>401</v>
      </c>
      <c r="K205" s="1">
        <v>0</v>
      </c>
      <c r="AF205" s="14">
        <f>271.934</f>
        <v>271.93400000000003</v>
      </c>
      <c r="AG205" s="2">
        <v>4.1599999999999996E-3</v>
      </c>
      <c r="AJ205" s="2">
        <f>0.00109/1.179</f>
        <v>9.2451229855810006E-4</v>
      </c>
      <c r="AK205" s="2">
        <f>0.0027*(95.94/(95.94+3*16.001))</f>
        <v>1.7995873366540927E-3</v>
      </c>
      <c r="AM205" s="2">
        <v>1.7479999999999999E-2</v>
      </c>
      <c r="AN205" s="2">
        <v>7.0299999999999998E-3</v>
      </c>
      <c r="AO205" s="2">
        <v>1.65E-3</v>
      </c>
      <c r="BA205" s="4">
        <f>4440.112+496.968</f>
        <v>4937.08</v>
      </c>
      <c r="BB205" s="2">
        <f>(0.00402*4440.112+0.00472*496.968)/BA205</f>
        <v>4.0904622165328494E-3</v>
      </c>
      <c r="BE205" s="2">
        <f>((0.00107*4440.112+0.00118*496.968)/BA205)/1.179</f>
        <v>9.1694031724053472E-4</v>
      </c>
      <c r="BF205" s="2">
        <f>((0.0023*4440.112+0.00259*496.968)/BA205)*(95.94/(95.94+3*16.001))</f>
        <v>1.5524383368586063E-3</v>
      </c>
      <c r="BH205" s="2">
        <f>(0.01696*4440.112+0.01847*496.968)/BA205</f>
        <v>1.711199706709229E-2</v>
      </c>
      <c r="BI205" s="2">
        <f>(0.00674*4440.112+0.00713*496.968)/BA205</f>
        <v>6.7792575206397305E-3</v>
      </c>
      <c r="BJ205" s="2">
        <f>(0.00153*4440.112+0.00152*496.968)/BA205</f>
        <v>1.5289933969066735E-3</v>
      </c>
      <c r="BV205" s="1">
        <v>0</v>
      </c>
      <c r="CQ205" s="1">
        <v>0</v>
      </c>
      <c r="DL205" s="18" t="s">
        <v>96</v>
      </c>
      <c r="DM205" s="1" t="s">
        <v>96</v>
      </c>
      <c r="DN205" s="1">
        <f t="shared" si="55"/>
        <v>6.792347407781972E-3</v>
      </c>
      <c r="DO205" s="1">
        <f t="shared" si="56"/>
        <v>1.5353104867831032E-3</v>
      </c>
      <c r="DP205" s="1" t="s">
        <v>650</v>
      </c>
      <c r="DQ205" s="1" t="s">
        <v>2</v>
      </c>
      <c r="DR205" s="104">
        <f t="shared" si="57"/>
        <v>5209.0140000000001</v>
      </c>
      <c r="DS205" s="105">
        <f t="shared" si="58"/>
        <v>6.792347407781972E-3</v>
      </c>
      <c r="DT205" s="101">
        <f t="shared" si="59"/>
        <v>353.81432740000002</v>
      </c>
      <c r="DV205" s="16">
        <f t="shared" si="60"/>
        <v>0</v>
      </c>
      <c r="DZ205" s="37" t="s">
        <v>2</v>
      </c>
      <c r="EA205" s="37"/>
      <c r="EM205" s="73"/>
      <c r="EN205" s="37"/>
      <c r="EO205" s="37"/>
      <c r="EP205" s="37"/>
      <c r="EQ205" s="37"/>
      <c r="ER205" s="37"/>
      <c r="ES205" s="37"/>
      <c r="ET205" s="37"/>
      <c r="EU205" s="37"/>
      <c r="EV205" s="37"/>
      <c r="EW205" s="37"/>
      <c r="EX205" s="37"/>
      <c r="EY205" s="37"/>
      <c r="EZ205" s="37"/>
      <c r="FA205" s="37"/>
      <c r="FB205" s="37"/>
      <c r="FC205" s="37"/>
      <c r="FD205" s="37"/>
      <c r="FE205" s="37"/>
      <c r="FF205" s="55"/>
      <c r="FG205" s="55"/>
      <c r="FH205" s="55"/>
      <c r="FI205" s="37"/>
      <c r="FJ205" s="55"/>
      <c r="FK205" s="55"/>
      <c r="FL205" s="45"/>
      <c r="FM205" s="37"/>
      <c r="FN205" s="37"/>
      <c r="FO205" s="37"/>
      <c r="FP205" s="55"/>
      <c r="FQ205" s="1" t="s">
        <v>2</v>
      </c>
      <c r="FR205" s="1" t="s">
        <v>118</v>
      </c>
      <c r="FS205" s="1" t="s">
        <v>651</v>
      </c>
      <c r="FT205" s="1" t="s">
        <v>652</v>
      </c>
      <c r="FU205" s="1" t="s">
        <v>653</v>
      </c>
      <c r="FV205" s="1" t="s">
        <v>2</v>
      </c>
    </row>
    <row r="206" spans="1:178" ht="16.25" customHeight="1" x14ac:dyDescent="0.2">
      <c r="A206" s="18" t="s">
        <v>177</v>
      </c>
      <c r="B206" s="1" t="s">
        <v>82</v>
      </c>
      <c r="C206" s="79" t="s">
        <v>1150</v>
      </c>
      <c r="D206" s="1" t="s">
        <v>69</v>
      </c>
      <c r="H206" s="1" t="s">
        <v>1145</v>
      </c>
      <c r="K206" s="1">
        <v>0</v>
      </c>
      <c r="AF206" s="1">
        <f>0.0582+0.336</f>
        <v>0.39419999999999999</v>
      </c>
      <c r="AG206" s="13">
        <f>(0.41*0.0582+0*0.336)/AF206</f>
        <v>6.0532724505327241E-2</v>
      </c>
      <c r="AJ206" s="13">
        <f>(10.68*0.0582+0.48*0.336)/AF206/1.179</f>
        <v>1.6844241501775747</v>
      </c>
      <c r="AK206" s="13">
        <f>(0.22*0.0582+0*0.336)/AF206</f>
        <v>3.2480974124809742E-2</v>
      </c>
      <c r="AN206" s="13">
        <f>(0.15*0.0582+0*0.336)/AF206</f>
        <v>2.2146118721461189E-2</v>
      </c>
      <c r="AO206" s="2">
        <f>(0.03*0.0582+0*0.336)/AF206</f>
        <v>4.4292237442922376E-3</v>
      </c>
      <c r="BA206" s="1">
        <f>0.0366+0.007+0.118</f>
        <v>0.16159999999999999</v>
      </c>
      <c r="BB206" s="13">
        <f>(0.57*0.0366+0*0.007+0.86*0.118)/BA206</f>
        <v>0.75706683168316824</v>
      </c>
      <c r="BE206" s="13">
        <f>(13.07*0.0366+0.31*0.007+11.58*0.118)/BA206/1.179</f>
        <v>9.6940476490397121</v>
      </c>
      <c r="BF206" s="13">
        <f>(0.26*0.0366+0*0.007+0.1*0.118)/BA206</f>
        <v>0.13190594059405941</v>
      </c>
      <c r="BI206" s="13">
        <f>(0.55*0.0366+0*0.007+0.02*0.118)/BA206</f>
        <v>0.13917079207920793</v>
      </c>
      <c r="BJ206" s="13">
        <f>(0.1*0.0366+0*0.007+0.01*0.118)/BA206</f>
        <v>2.9950495049504956E-2</v>
      </c>
      <c r="BV206" s="1">
        <v>0</v>
      </c>
      <c r="CQ206" s="1">
        <v>0</v>
      </c>
      <c r="DL206" s="18" t="s">
        <v>96</v>
      </c>
      <c r="DM206" s="1" t="s">
        <v>96</v>
      </c>
      <c r="DN206" s="1">
        <f t="shared" si="55"/>
        <v>5.6171284634760704E-2</v>
      </c>
      <c r="DO206" s="1">
        <f t="shared" si="56"/>
        <v>1.1849586182079886E-2</v>
      </c>
      <c r="DP206" s="1" t="s">
        <v>754</v>
      </c>
      <c r="DQ206" s="1" t="s">
        <v>2</v>
      </c>
      <c r="DR206" s="103">
        <f t="shared" si="57"/>
        <v>0.55579999999999996</v>
      </c>
      <c r="DS206" s="103">
        <f t="shared" si="58"/>
        <v>5.6171284634760704E-2</v>
      </c>
      <c r="DT206" s="101">
        <f t="shared" si="59"/>
        <v>0.31219999999999998</v>
      </c>
      <c r="DV206" s="16">
        <f t="shared" si="60"/>
        <v>0</v>
      </c>
      <c r="DZ206" s="37" t="s">
        <v>2</v>
      </c>
      <c r="EA206" s="37"/>
      <c r="EM206" s="73"/>
      <c r="EN206" s="37"/>
      <c r="EO206" s="37"/>
      <c r="EP206" s="37"/>
      <c r="EQ206" s="37"/>
      <c r="ER206" s="37"/>
      <c r="ES206" s="37"/>
      <c r="ET206" s="37"/>
      <c r="EU206" s="37"/>
      <c r="EV206" s="37"/>
      <c r="EW206" s="37"/>
      <c r="EX206" s="37"/>
      <c r="EY206" s="37"/>
      <c r="EZ206" s="37"/>
      <c r="FA206" s="37"/>
      <c r="FB206" s="37"/>
      <c r="FC206" s="37"/>
      <c r="FD206" s="37"/>
      <c r="FE206" s="37"/>
      <c r="FF206" s="55"/>
      <c r="FG206" s="55"/>
      <c r="FH206" s="55"/>
      <c r="FI206" s="37"/>
      <c r="FJ206" s="55"/>
      <c r="FK206" s="55"/>
      <c r="FL206" s="45"/>
      <c r="FM206" s="37"/>
      <c r="FN206" s="37"/>
      <c r="FO206" s="37"/>
      <c r="FP206" s="55"/>
      <c r="FQ206" s="1" t="s">
        <v>2</v>
      </c>
      <c r="FR206" s="1" t="s">
        <v>118</v>
      </c>
      <c r="FS206" s="1" t="s">
        <v>119</v>
      </c>
      <c r="FV206" s="1" t="s">
        <v>2</v>
      </c>
    </row>
    <row r="207" spans="1:178" ht="16.25" customHeight="1" x14ac:dyDescent="0.2">
      <c r="A207" s="18" t="s">
        <v>177</v>
      </c>
      <c r="B207" s="1" t="s">
        <v>82</v>
      </c>
      <c r="C207" s="79" t="s">
        <v>1036</v>
      </c>
      <c r="D207" s="1" t="s">
        <v>69</v>
      </c>
      <c r="H207" s="1" t="s">
        <v>131</v>
      </c>
      <c r="K207" s="1">
        <v>0</v>
      </c>
      <c r="AF207" s="2">
        <v>0.45768700000000001</v>
      </c>
      <c r="AG207" s="1">
        <v>0.01</v>
      </c>
      <c r="AH207" s="1">
        <v>0.08</v>
      </c>
      <c r="AJ207" s="13">
        <f>1.04/1.179</f>
        <v>0.88210347752332485</v>
      </c>
      <c r="AK207" s="13">
        <v>0.1</v>
      </c>
      <c r="AN207" s="1">
        <v>0.04</v>
      </c>
      <c r="AO207" s="1">
        <v>0.01</v>
      </c>
      <c r="BA207" s="2">
        <v>0.23900199999999999</v>
      </c>
      <c r="BB207" s="1">
        <v>0.02</v>
      </c>
      <c r="BC207" s="1">
        <v>0.04</v>
      </c>
      <c r="BE207" s="13">
        <f>0.54/1.179</f>
        <v>0.4580152671755725</v>
      </c>
      <c r="BF207" s="1">
        <v>7.0000000000000007E-2</v>
      </c>
      <c r="BI207" s="1">
        <v>0.02</v>
      </c>
      <c r="BJ207" s="1">
        <v>0.01</v>
      </c>
      <c r="BV207" s="1">
        <v>0</v>
      </c>
      <c r="CQ207" s="1">
        <v>0</v>
      </c>
      <c r="DL207" s="18" t="s">
        <v>96</v>
      </c>
      <c r="DM207" s="1" t="s">
        <v>96</v>
      </c>
      <c r="DN207" s="1">
        <f t="shared" si="55"/>
        <v>3.3138918513138577E-2</v>
      </c>
      <c r="DO207" s="1">
        <f t="shared" si="56"/>
        <v>0.01</v>
      </c>
      <c r="DP207" s="1" t="s">
        <v>798</v>
      </c>
      <c r="DQ207" s="1" t="s">
        <v>2</v>
      </c>
      <c r="DR207" s="103">
        <f t="shared" si="57"/>
        <v>0.696689</v>
      </c>
      <c r="DS207" s="103">
        <f t="shared" si="58"/>
        <v>3.3138918513138577E-2</v>
      </c>
      <c r="DT207" s="101">
        <f t="shared" si="59"/>
        <v>0.2308752</v>
      </c>
      <c r="DV207" s="16">
        <f t="shared" si="60"/>
        <v>0</v>
      </c>
      <c r="DZ207" s="37" t="s">
        <v>2</v>
      </c>
      <c r="EA207" s="37"/>
      <c r="EM207" s="73"/>
      <c r="EN207" s="37"/>
      <c r="EO207" s="37"/>
      <c r="EP207" s="37"/>
      <c r="EQ207" s="37"/>
      <c r="ER207" s="37"/>
      <c r="ES207" s="37"/>
      <c r="ET207" s="37"/>
      <c r="EU207" s="37"/>
      <c r="EV207" s="37"/>
      <c r="EW207" s="37"/>
      <c r="EX207" s="37"/>
      <c r="EY207" s="37"/>
      <c r="EZ207" s="37"/>
      <c r="FA207" s="37"/>
      <c r="FB207" s="37"/>
      <c r="FC207" s="37"/>
      <c r="FD207" s="37"/>
      <c r="FE207" s="37"/>
      <c r="FF207" s="55"/>
      <c r="FG207" s="55"/>
      <c r="FH207" s="55"/>
      <c r="FI207" s="37"/>
      <c r="FJ207" s="55"/>
      <c r="FK207" s="55"/>
      <c r="FL207" s="45"/>
      <c r="FM207" s="37"/>
      <c r="FN207" s="37"/>
      <c r="FO207" s="37"/>
      <c r="FP207" s="55"/>
      <c r="FQ207" s="1" t="s">
        <v>2</v>
      </c>
      <c r="FR207" s="1" t="s">
        <v>118</v>
      </c>
      <c r="FS207" s="1" t="s">
        <v>119</v>
      </c>
      <c r="FV207" s="1" t="s">
        <v>2</v>
      </c>
    </row>
    <row r="208" spans="1:178" ht="16.25" customHeight="1" x14ac:dyDescent="0.2">
      <c r="A208" s="18" t="s">
        <v>177</v>
      </c>
      <c r="B208" s="1" t="s">
        <v>82</v>
      </c>
      <c r="C208" s="79" t="s">
        <v>1116</v>
      </c>
      <c r="D208" s="1" t="s">
        <v>64</v>
      </c>
      <c r="H208" s="1" t="s">
        <v>1112</v>
      </c>
      <c r="K208" s="1">
        <v>360.91300000000001</v>
      </c>
      <c r="S208" s="2">
        <v>0.23</v>
      </c>
      <c r="T208" s="1">
        <v>1.4E-2</v>
      </c>
      <c r="AF208" s="1">
        <v>712.40599999999995</v>
      </c>
      <c r="AN208" s="1">
        <v>0.215</v>
      </c>
      <c r="AO208" s="1">
        <v>1.2999999999999999E-2</v>
      </c>
      <c r="BA208" s="4">
        <v>1142.1010000000001</v>
      </c>
      <c r="BI208" s="2">
        <v>0.22</v>
      </c>
      <c r="BJ208" s="1">
        <v>1.2999999999999999E-2</v>
      </c>
      <c r="BV208" s="1">
        <v>0</v>
      </c>
      <c r="CQ208" s="1">
        <v>0</v>
      </c>
      <c r="DL208" s="18" t="s">
        <v>96</v>
      </c>
      <c r="DM208" s="1" t="s">
        <v>96</v>
      </c>
      <c r="DN208" s="1">
        <f t="shared" si="55"/>
        <v>0.22002126007709599</v>
      </c>
      <c r="DO208" s="1">
        <f t="shared" si="56"/>
        <v>1.3162909516028564E-2</v>
      </c>
      <c r="DP208" s="1" t="s">
        <v>793</v>
      </c>
      <c r="DQ208" s="1" t="s">
        <v>2</v>
      </c>
      <c r="DR208" s="104">
        <f t="shared" si="57"/>
        <v>2215.42</v>
      </c>
      <c r="DS208" s="100">
        <f t="shared" si="58"/>
        <v>0.22002126007709599</v>
      </c>
      <c r="DT208" s="102">
        <f t="shared" si="59"/>
        <v>4874.3950000000004</v>
      </c>
      <c r="DV208" s="16">
        <f t="shared" si="60"/>
        <v>0</v>
      </c>
      <c r="DZ208" s="37" t="s">
        <v>2</v>
      </c>
      <c r="EA208" s="37"/>
      <c r="EM208" s="73"/>
      <c r="EN208" s="37"/>
      <c r="EO208" s="37"/>
      <c r="EP208" s="37"/>
      <c r="EQ208" s="37"/>
      <c r="ER208" s="37"/>
      <c r="ES208" s="37"/>
      <c r="ET208" s="37"/>
      <c r="EU208" s="37"/>
      <c r="EV208" s="37"/>
      <c r="EW208" s="37"/>
      <c r="EX208" s="37"/>
      <c r="EY208" s="37"/>
      <c r="EZ208" s="37"/>
      <c r="FA208" s="37"/>
      <c r="FB208" s="37"/>
      <c r="FC208" s="37"/>
      <c r="FD208" s="37"/>
      <c r="FE208" s="37"/>
      <c r="FF208" s="55"/>
      <c r="FG208" s="55"/>
      <c r="FH208" s="55"/>
      <c r="FI208" s="37"/>
      <c r="FJ208" s="55"/>
      <c r="FK208" s="55"/>
      <c r="FL208" s="45"/>
      <c r="FM208" s="37"/>
      <c r="FN208" s="37"/>
      <c r="FO208" s="37"/>
      <c r="FP208" s="55"/>
      <c r="FQ208" s="1" t="s">
        <v>2</v>
      </c>
      <c r="FR208" s="1" t="s">
        <v>113</v>
      </c>
      <c r="FS208" s="1" t="s">
        <v>794</v>
      </c>
      <c r="FT208" s="1" t="s">
        <v>794</v>
      </c>
      <c r="FV208" s="1" t="s">
        <v>2</v>
      </c>
    </row>
    <row r="209" spans="1:178" ht="16.25" customHeight="1" x14ac:dyDescent="0.2">
      <c r="A209" s="18" t="s">
        <v>177</v>
      </c>
      <c r="B209" s="1" t="s">
        <v>82</v>
      </c>
      <c r="C209" s="15" t="s">
        <v>937</v>
      </c>
      <c r="D209" s="1" t="s">
        <v>69</v>
      </c>
      <c r="H209" s="1" t="s">
        <v>938</v>
      </c>
      <c r="K209" s="1">
        <v>0</v>
      </c>
      <c r="AF209" s="1">
        <v>0.47299999999999998</v>
      </c>
      <c r="AG209" s="1">
        <v>0.04</v>
      </c>
      <c r="AH209" s="1">
        <v>0.01</v>
      </c>
      <c r="AN209" s="1">
        <v>0.96</v>
      </c>
      <c r="AO209" s="1">
        <v>0.03</v>
      </c>
      <c r="AP209" s="1">
        <v>0.03</v>
      </c>
      <c r="AQ209" s="1">
        <v>7.0000000000000007E-2</v>
      </c>
      <c r="BA209" s="1">
        <v>6.6000000000000003E-2</v>
      </c>
      <c r="BB209" s="1">
        <v>0.04</v>
      </c>
      <c r="BC209" s="1">
        <v>0.01</v>
      </c>
      <c r="BI209" s="1">
        <v>0.82</v>
      </c>
      <c r="BJ209" s="1">
        <v>0.02</v>
      </c>
      <c r="BK209" s="1">
        <v>0.01</v>
      </c>
      <c r="BL209" s="1">
        <v>0.02</v>
      </c>
      <c r="BV209" s="1">
        <v>0</v>
      </c>
      <c r="CQ209" s="1">
        <v>0</v>
      </c>
      <c r="DL209" s="18" t="s">
        <v>96</v>
      </c>
      <c r="DM209" s="1" t="s">
        <v>96</v>
      </c>
      <c r="DN209" s="1">
        <f t="shared" si="55"/>
        <v>0.94285714285714295</v>
      </c>
      <c r="DO209" s="1">
        <f t="shared" si="56"/>
        <v>2.8775510204081634E-2</v>
      </c>
      <c r="DP209" s="1" t="s">
        <v>641</v>
      </c>
      <c r="DQ209" s="1" t="s">
        <v>2</v>
      </c>
      <c r="DR209" s="16">
        <f t="shared" si="57"/>
        <v>0.53899999999999992</v>
      </c>
      <c r="DS209" s="100">
        <f t="shared" si="58"/>
        <v>0.94285714285714295</v>
      </c>
      <c r="DT209" s="101">
        <f t="shared" si="59"/>
        <v>5.081999999999999</v>
      </c>
      <c r="DV209" s="16">
        <f t="shared" si="60"/>
        <v>0</v>
      </c>
      <c r="DZ209" s="37" t="s">
        <v>2</v>
      </c>
      <c r="EA209" s="37"/>
      <c r="EM209" s="73"/>
      <c r="EN209" s="37"/>
      <c r="EO209" s="37"/>
      <c r="EP209" s="37"/>
      <c r="EQ209" s="37"/>
      <c r="ER209" s="37"/>
      <c r="ES209" s="37"/>
      <c r="ET209" s="37"/>
      <c r="EU209" s="37"/>
      <c r="EV209" s="37"/>
      <c r="EW209" s="37"/>
      <c r="EX209" s="37"/>
      <c r="EY209" s="37"/>
      <c r="EZ209" s="37"/>
      <c r="FA209" s="37"/>
      <c r="FB209" s="37"/>
      <c r="FC209" s="37"/>
      <c r="FD209" s="37"/>
      <c r="FE209" s="37"/>
      <c r="FF209" s="55"/>
      <c r="FG209" s="55"/>
      <c r="FH209" s="55"/>
      <c r="FI209" s="37"/>
      <c r="FJ209" s="55"/>
      <c r="FK209" s="55"/>
      <c r="FL209" s="45"/>
      <c r="FM209" s="37"/>
      <c r="FN209" s="37"/>
      <c r="FO209" s="37"/>
      <c r="FP209" s="55"/>
      <c r="FQ209" s="1" t="s">
        <v>2</v>
      </c>
      <c r="FR209" s="1" t="s">
        <v>113</v>
      </c>
      <c r="FS209" s="1" t="s">
        <v>223</v>
      </c>
      <c r="FV209" s="1" t="s">
        <v>2</v>
      </c>
    </row>
    <row r="210" spans="1:178" ht="16.25" customHeight="1" x14ac:dyDescent="0.2">
      <c r="A210" s="18" t="s">
        <v>177</v>
      </c>
      <c r="B210" s="1" t="s">
        <v>82</v>
      </c>
      <c r="C210" s="15" t="s">
        <v>405</v>
      </c>
      <c r="D210" s="1" t="s">
        <v>69</v>
      </c>
      <c r="G210" s="1" t="s">
        <v>65</v>
      </c>
      <c r="H210" s="1" t="s">
        <v>365</v>
      </c>
      <c r="K210" s="14">
        <f>59.490559+145.379632</f>
        <v>204.87019099999998</v>
      </c>
      <c r="S210" s="13">
        <f>(0.31*59.490559+0.21*145.379632)/K210</f>
        <v>0.23903817227368132</v>
      </c>
      <c r="T210" s="2">
        <f>(0.013*59.490559+0.013*145.379632)/K210</f>
        <v>1.3000000000000001E-2</v>
      </c>
      <c r="U210" s="2">
        <f>(0.01*59.490559+0*145.379632)/K210</f>
        <v>2.9038172273681342E-3</v>
      </c>
      <c r="V210" s="2">
        <f>(0.026*59.490559+0*145.379632)/K210</f>
        <v>7.5499247911571489E-3</v>
      </c>
      <c r="AA210" s="13">
        <f>(6.37*59.490559+6.91*145.379632)/K210</f>
        <v>6.7531938697221205</v>
      </c>
      <c r="AF210" s="14">
        <f>203.350316+192.169547</f>
        <v>395.51986299999999</v>
      </c>
      <c r="AN210" s="13">
        <f>(0.31*203.350316+0.21*192.169547)/AF210</f>
        <v>0.26141342699140246</v>
      </c>
      <c r="AO210" s="2">
        <f>(0.013*203.350316+0.013*192.169547)/AF210</f>
        <v>1.2999999999999999E-2</v>
      </c>
      <c r="AP210" s="2">
        <f>(0.011*203.350316+0*192.169547)/AF210</f>
        <v>5.6554769690542695E-3</v>
      </c>
      <c r="AQ210" s="2">
        <f>(0.028*203.350316+0*192.169547)/AF210</f>
        <v>1.4395759557592687E-2</v>
      </c>
      <c r="AV210" s="13">
        <f>(6.32*203.350316+6.86*192.169547)/AF210</f>
        <v>6.5823674942464274</v>
      </c>
      <c r="BA210" s="14">
        <f>66.385504+244.110758</f>
        <v>310.496262</v>
      </c>
      <c r="BI210" s="13">
        <f>(0.29*66.385504+0.21*244.110758)/BA210</f>
        <v>0.22710436153334432</v>
      </c>
      <c r="BJ210" s="2">
        <f>(0.013*66.385504+0.013*244.110758)/BA210</f>
        <v>1.2999999999999998E-2</v>
      </c>
      <c r="BK210" s="2">
        <f>(0.014*66.385504+0*244.110758)/BA210</f>
        <v>2.9932632683352563E-3</v>
      </c>
      <c r="BL210" s="2">
        <f>(0.029*66.385504+0*244.110758)/BA210</f>
        <v>6.2003310558373164E-3</v>
      </c>
      <c r="BQ210" s="13">
        <f>(6.46*66.385504+6.75*244.110758)/BA210</f>
        <v>6.6879966894416274</v>
      </c>
      <c r="BV210" s="1">
        <v>0</v>
      </c>
      <c r="CQ210" s="1">
        <v>0</v>
      </c>
      <c r="DL210" s="18" t="s">
        <v>96</v>
      </c>
      <c r="DM210" s="1" t="s">
        <v>96</v>
      </c>
      <c r="DN210" s="1">
        <f t="shared" si="55"/>
        <v>0.24468591773202134</v>
      </c>
      <c r="DO210" s="1">
        <f t="shared" si="56"/>
        <v>1.2999999999999999E-2</v>
      </c>
      <c r="DP210" s="1" t="s">
        <v>661</v>
      </c>
      <c r="DQ210" s="1" t="s">
        <v>2</v>
      </c>
      <c r="DR210" s="101">
        <f t="shared" si="57"/>
        <v>910.88631599999997</v>
      </c>
      <c r="DS210" s="100">
        <f t="shared" si="58"/>
        <v>0.24468591773202134</v>
      </c>
      <c r="DT210" s="102">
        <f t="shared" si="59"/>
        <v>2228.8105417999996</v>
      </c>
      <c r="DV210" s="16">
        <f t="shared" si="60"/>
        <v>0</v>
      </c>
      <c r="DZ210" s="37" t="s">
        <v>2</v>
      </c>
      <c r="EA210" s="37"/>
      <c r="EM210" s="73"/>
      <c r="EN210" s="37"/>
      <c r="EO210" s="37"/>
      <c r="EP210" s="37"/>
      <c r="EQ210" s="37"/>
      <c r="ER210" s="37"/>
      <c r="ES210" s="37"/>
      <c r="ET210" s="37"/>
      <c r="EU210" s="37"/>
      <c r="EV210" s="37"/>
      <c r="EW210" s="37"/>
      <c r="EX210" s="37"/>
      <c r="EY210" s="37"/>
      <c r="EZ210" s="37"/>
      <c r="FA210" s="37"/>
      <c r="FB210" s="37"/>
      <c r="FC210" s="37"/>
      <c r="FD210" s="37"/>
      <c r="FE210" s="37"/>
      <c r="FF210" s="55"/>
      <c r="FG210" s="55"/>
      <c r="FH210" s="55"/>
      <c r="FI210" s="37"/>
      <c r="FJ210" s="55"/>
      <c r="FK210" s="55"/>
      <c r="FL210" s="45"/>
      <c r="FM210" s="37"/>
      <c r="FN210" s="37"/>
      <c r="FO210" s="37"/>
      <c r="FP210" s="55"/>
      <c r="FQ210" s="1" t="s">
        <v>2</v>
      </c>
      <c r="FR210" s="1" t="s">
        <v>113</v>
      </c>
      <c r="FS210" s="1" t="s">
        <v>223</v>
      </c>
      <c r="FV210" s="1" t="s">
        <v>2</v>
      </c>
    </row>
    <row r="211" spans="1:178" ht="16.25" customHeight="1" x14ac:dyDescent="0.2">
      <c r="A211" s="18" t="s">
        <v>177</v>
      </c>
      <c r="B211" s="1" t="s">
        <v>82</v>
      </c>
      <c r="C211" s="79" t="s">
        <v>1122</v>
      </c>
      <c r="D211" s="1" t="s">
        <v>71</v>
      </c>
      <c r="H211" s="1" t="s">
        <v>1123</v>
      </c>
      <c r="K211" s="1">
        <v>372.1</v>
      </c>
      <c r="S211" s="1">
        <v>0.28000000000000003</v>
      </c>
      <c r="T211" s="2">
        <v>1.12E-2</v>
      </c>
      <c r="U211" s="1">
        <v>1.0999999999999999E-2</v>
      </c>
      <c r="V211" s="1">
        <v>2.4E-2</v>
      </c>
      <c r="AF211" s="4">
        <v>1293.5</v>
      </c>
      <c r="AN211" s="1">
        <v>0.26</v>
      </c>
      <c r="AO211" s="2">
        <v>1.06E-2</v>
      </c>
      <c r="AP211" s="1">
        <v>8.0000000000000002E-3</v>
      </c>
      <c r="AQ211" s="1">
        <v>1.7000000000000001E-2</v>
      </c>
      <c r="BA211" s="1">
        <v>499.8</v>
      </c>
      <c r="BI211" s="1">
        <v>0.26</v>
      </c>
      <c r="BJ211" s="2">
        <v>1.01E-2</v>
      </c>
      <c r="BK211" s="1">
        <v>6.0000000000000001E-3</v>
      </c>
      <c r="BL211" s="1">
        <v>1.4E-2</v>
      </c>
      <c r="BV211" s="1">
        <v>163.13999999999999</v>
      </c>
      <c r="CD211" s="1">
        <v>0.33</v>
      </c>
      <c r="CE211" s="2">
        <v>1.14E-2</v>
      </c>
      <c r="CF211" s="1">
        <v>1.2999999999999999E-2</v>
      </c>
      <c r="CG211" s="1">
        <v>3.1E-2</v>
      </c>
      <c r="CQ211" s="14">
        <v>864.90800000000002</v>
      </c>
      <c r="CY211" s="1">
        <v>0.26</v>
      </c>
      <c r="CZ211" s="2">
        <v>1.06E-2</v>
      </c>
      <c r="DA211" s="1">
        <v>8.0000000000000002E-3</v>
      </c>
      <c r="DB211" s="1">
        <v>1.7000000000000001E-2</v>
      </c>
      <c r="DL211" s="18" t="s">
        <v>96</v>
      </c>
      <c r="DM211" s="1" t="s">
        <v>96</v>
      </c>
      <c r="DN211" s="1">
        <f t="shared" si="55"/>
        <v>0.26343677842430957</v>
      </c>
      <c r="DO211" s="1">
        <f t="shared" si="56"/>
        <v>1.0587697423108893E-2</v>
      </c>
      <c r="DP211" s="1" t="s">
        <v>674</v>
      </c>
      <c r="DQ211" s="1" t="s">
        <v>2</v>
      </c>
      <c r="DR211" s="104">
        <f t="shared" si="57"/>
        <v>2165.4</v>
      </c>
      <c r="DS211" s="100">
        <f t="shared" si="58"/>
        <v>0.26343677842430957</v>
      </c>
      <c r="DT211" s="102">
        <f t="shared" si="59"/>
        <v>5704.46</v>
      </c>
      <c r="DV211" s="104">
        <f t="shared" si="60"/>
        <v>1028.048</v>
      </c>
      <c r="DW211" s="100">
        <f>(BV211*CD211+CQ211*CY211)/DV211</f>
        <v>0.27110823619130625</v>
      </c>
      <c r="DX211" s="102">
        <f>1000*DV211*DW211/100</f>
        <v>2787.1228000000001</v>
      </c>
      <c r="DZ211" s="37" t="s">
        <v>2</v>
      </c>
      <c r="EA211" s="37"/>
      <c r="EM211" s="73"/>
      <c r="EN211" s="37"/>
      <c r="EO211" s="37"/>
      <c r="EP211" s="37"/>
      <c r="EQ211" s="37"/>
      <c r="ER211" s="37"/>
      <c r="ES211" s="37"/>
      <c r="ET211" s="37"/>
      <c r="EU211" s="37"/>
      <c r="EV211" s="37"/>
      <c r="EW211" s="37"/>
      <c r="EX211" s="37"/>
      <c r="EY211" s="37"/>
      <c r="EZ211" s="37"/>
      <c r="FA211" s="37"/>
      <c r="FB211" s="37"/>
      <c r="FC211" s="37"/>
      <c r="FD211" s="37"/>
      <c r="FE211" s="37"/>
      <c r="FF211" s="55"/>
      <c r="FG211" s="55"/>
      <c r="FH211" s="55"/>
      <c r="FI211" s="37"/>
      <c r="FJ211" s="55"/>
      <c r="FK211" s="55"/>
      <c r="FL211" s="45"/>
      <c r="FM211" s="37"/>
      <c r="FN211" s="37"/>
      <c r="FO211" s="37"/>
      <c r="FP211" s="55"/>
      <c r="FQ211" s="1" t="s">
        <v>2</v>
      </c>
      <c r="FR211" s="1" t="s">
        <v>113</v>
      </c>
      <c r="FS211" s="1" t="s">
        <v>223</v>
      </c>
      <c r="FV211" s="1" t="s">
        <v>2</v>
      </c>
    </row>
    <row r="212" spans="1:178" ht="16.25" customHeight="1" x14ac:dyDescent="0.2">
      <c r="A212" s="18" t="s">
        <v>177</v>
      </c>
      <c r="B212" s="1" t="s">
        <v>82</v>
      </c>
      <c r="C212" s="15" t="s">
        <v>694</v>
      </c>
      <c r="D212" s="1" t="s">
        <v>69</v>
      </c>
      <c r="H212" s="1" t="s">
        <v>695</v>
      </c>
      <c r="K212" s="1">
        <v>0</v>
      </c>
      <c r="AF212" s="1">
        <v>0</v>
      </c>
      <c r="BA212" s="1">
        <v>0.11600000000000001</v>
      </c>
      <c r="BI212" s="1">
        <v>3.16</v>
      </c>
      <c r="BV212" s="1">
        <v>0</v>
      </c>
      <c r="CQ212" s="1">
        <v>0</v>
      </c>
      <c r="DL212" s="18" t="s">
        <v>96</v>
      </c>
      <c r="DM212" s="1" t="s">
        <v>96</v>
      </c>
      <c r="DN212" s="1">
        <f t="shared" si="55"/>
        <v>3.16</v>
      </c>
      <c r="DO212" s="1">
        <f t="shared" si="56"/>
        <v>0</v>
      </c>
      <c r="DP212" s="1" t="s">
        <v>677</v>
      </c>
      <c r="DQ212" s="1" t="s">
        <v>2</v>
      </c>
      <c r="DR212" s="16">
        <f t="shared" si="57"/>
        <v>0.11600000000000001</v>
      </c>
      <c r="DS212" s="16">
        <f t="shared" si="58"/>
        <v>3.16</v>
      </c>
      <c r="DT212" s="101">
        <f t="shared" si="59"/>
        <v>3.6656</v>
      </c>
      <c r="DV212" s="16">
        <f t="shared" si="60"/>
        <v>0</v>
      </c>
      <c r="DZ212" s="37" t="s">
        <v>2</v>
      </c>
      <c r="EA212" s="37"/>
      <c r="EM212" s="73"/>
      <c r="EN212" s="37"/>
      <c r="EO212" s="37"/>
      <c r="EP212" s="37"/>
      <c r="EQ212" s="37"/>
      <c r="ER212" s="37"/>
      <c r="ES212" s="37"/>
      <c r="ET212" s="37"/>
      <c r="EU212" s="37"/>
      <c r="EV212" s="37"/>
      <c r="EW212" s="37"/>
      <c r="EX212" s="37"/>
      <c r="EY212" s="37"/>
      <c r="EZ212" s="37"/>
      <c r="FA212" s="37"/>
      <c r="FB212" s="37"/>
      <c r="FC212" s="37"/>
      <c r="FD212" s="37"/>
      <c r="FE212" s="37"/>
      <c r="FF212" s="55"/>
      <c r="FG212" s="55"/>
      <c r="FH212" s="55"/>
      <c r="FI212" s="37"/>
      <c r="FJ212" s="55"/>
      <c r="FK212" s="55"/>
      <c r="FL212" s="45"/>
      <c r="FM212" s="37"/>
      <c r="FN212" s="37"/>
      <c r="FO212" s="37"/>
      <c r="FP212" s="55"/>
      <c r="FQ212" s="1" t="s">
        <v>2</v>
      </c>
      <c r="FR212" s="1" t="s">
        <v>113</v>
      </c>
      <c r="FS212" s="1" t="s">
        <v>223</v>
      </c>
      <c r="FV212" s="1" t="s">
        <v>2</v>
      </c>
    </row>
    <row r="213" spans="1:178" ht="16.25" customHeight="1" x14ac:dyDescent="0.2">
      <c r="A213" s="18" t="s">
        <v>177</v>
      </c>
      <c r="B213" s="1" t="s">
        <v>82</v>
      </c>
      <c r="C213" s="15" t="s">
        <v>939</v>
      </c>
      <c r="D213" s="1" t="s">
        <v>64</v>
      </c>
      <c r="H213" s="1" t="s">
        <v>940</v>
      </c>
      <c r="K213" s="1">
        <v>0</v>
      </c>
      <c r="AF213" s="1">
        <v>15.564</v>
      </c>
      <c r="AG213" s="1">
        <v>7.0000000000000007E-2</v>
      </c>
      <c r="AN213" s="1">
        <v>0.72</v>
      </c>
      <c r="AO213" s="1">
        <v>0.02</v>
      </c>
      <c r="AP213" s="1">
        <v>0.14000000000000001</v>
      </c>
      <c r="AQ213" s="1">
        <v>0.34</v>
      </c>
      <c r="BA213" s="2">
        <v>2.9994000000000001</v>
      </c>
      <c r="BB213" s="1">
        <v>0.04</v>
      </c>
      <c r="BI213" s="1">
        <v>0.43</v>
      </c>
      <c r="BJ213" s="1">
        <v>0.01</v>
      </c>
      <c r="BK213" s="1">
        <v>0.06</v>
      </c>
      <c r="BL213" s="1">
        <v>0.15</v>
      </c>
      <c r="BV213" s="1">
        <v>0</v>
      </c>
      <c r="CQ213" s="1">
        <v>0</v>
      </c>
      <c r="DL213" s="18" t="s">
        <v>96</v>
      </c>
      <c r="DM213" s="1" t="s">
        <v>96</v>
      </c>
      <c r="DN213" s="1">
        <f t="shared" si="55"/>
        <v>0.67314295872523344</v>
      </c>
      <c r="DO213" s="1">
        <f t="shared" si="56"/>
        <v>1.8384239956042533E-2</v>
      </c>
      <c r="DP213" s="1" t="s">
        <v>689</v>
      </c>
      <c r="DQ213" s="1" t="s">
        <v>2</v>
      </c>
      <c r="DR213" s="100">
        <f t="shared" si="57"/>
        <v>18.563400000000001</v>
      </c>
      <c r="DS213" s="100">
        <f t="shared" si="58"/>
        <v>0.67314295872523344</v>
      </c>
      <c r="DT213" s="101">
        <f t="shared" si="59"/>
        <v>124.95822</v>
      </c>
      <c r="DV213" s="16">
        <f t="shared" si="60"/>
        <v>0</v>
      </c>
      <c r="DZ213" s="37" t="s">
        <v>2</v>
      </c>
      <c r="EA213" s="37"/>
      <c r="EM213" s="73"/>
      <c r="EN213" s="37"/>
      <c r="EO213" s="37"/>
      <c r="EP213" s="37"/>
      <c r="EQ213" s="37"/>
      <c r="ER213" s="37"/>
      <c r="ES213" s="37"/>
      <c r="ET213" s="37"/>
      <c r="EU213" s="37"/>
      <c r="EV213" s="37"/>
      <c r="EW213" s="37"/>
      <c r="EX213" s="37"/>
      <c r="EY213" s="37"/>
      <c r="EZ213" s="37"/>
      <c r="FA213" s="37"/>
      <c r="FB213" s="37"/>
      <c r="FC213" s="37"/>
      <c r="FD213" s="37"/>
      <c r="FE213" s="37"/>
      <c r="FF213" s="55"/>
      <c r="FG213" s="55"/>
      <c r="FH213" s="55"/>
      <c r="FI213" s="37"/>
      <c r="FJ213" s="55"/>
      <c r="FK213" s="55"/>
      <c r="FL213" s="45"/>
      <c r="FM213" s="37"/>
      <c r="FN213" s="37"/>
      <c r="FO213" s="37"/>
      <c r="FP213" s="55"/>
      <c r="FQ213" s="1" t="s">
        <v>2</v>
      </c>
      <c r="FR213" s="1" t="s">
        <v>113</v>
      </c>
      <c r="FS213" s="1" t="s">
        <v>223</v>
      </c>
      <c r="FV213" s="1" t="s">
        <v>2</v>
      </c>
    </row>
    <row r="214" spans="1:178" ht="16.25" customHeight="1" x14ac:dyDescent="0.2">
      <c r="A214" s="18" t="s">
        <v>177</v>
      </c>
      <c r="B214" s="1" t="s">
        <v>82</v>
      </c>
      <c r="C214" s="15" t="s">
        <v>830</v>
      </c>
      <c r="D214" s="1" t="s">
        <v>69</v>
      </c>
      <c r="H214" s="1" t="s">
        <v>131</v>
      </c>
      <c r="K214" s="1">
        <v>0</v>
      </c>
      <c r="AF214" s="1">
        <v>3.2919999999999998</v>
      </c>
      <c r="AG214" s="1">
        <v>0.42</v>
      </c>
      <c r="AH214" s="1">
        <v>0.03</v>
      </c>
      <c r="AN214" s="1">
        <v>0.62</v>
      </c>
      <c r="AO214" s="1">
        <v>0.05</v>
      </c>
      <c r="AP214" s="1">
        <v>0.13</v>
      </c>
      <c r="AQ214" s="1">
        <v>0.53</v>
      </c>
      <c r="BA214" s="1">
        <v>0.56799999999999995</v>
      </c>
      <c r="BB214" s="1">
        <v>0.52</v>
      </c>
      <c r="BC214" s="1">
        <v>0.03</v>
      </c>
      <c r="BI214" s="1">
        <v>0.61</v>
      </c>
      <c r="BJ214" s="1">
        <v>0.05</v>
      </c>
      <c r="BK214" s="1">
        <v>0.08</v>
      </c>
      <c r="BL214" s="13">
        <v>0.5</v>
      </c>
      <c r="BV214" s="1">
        <v>0</v>
      </c>
      <c r="CQ214" s="1">
        <v>0</v>
      </c>
      <c r="DL214" s="18" t="s">
        <v>96</v>
      </c>
      <c r="DM214" s="1" t="s">
        <v>96</v>
      </c>
      <c r="DN214" s="1">
        <f t="shared" si="55"/>
        <v>0.61852849740932636</v>
      </c>
      <c r="DO214" s="1">
        <f t="shared" si="56"/>
        <v>0.05</v>
      </c>
      <c r="DP214" s="1" t="s">
        <v>692</v>
      </c>
      <c r="DQ214" s="1" t="s">
        <v>2</v>
      </c>
      <c r="DR214" s="16">
        <f t="shared" si="57"/>
        <v>3.86</v>
      </c>
      <c r="DS214" s="100">
        <f t="shared" si="58"/>
        <v>0.61852849740932636</v>
      </c>
      <c r="DT214" s="101">
        <f t="shared" si="59"/>
        <v>23.875199999999996</v>
      </c>
      <c r="DV214" s="16">
        <f t="shared" si="60"/>
        <v>0</v>
      </c>
      <c r="DZ214" s="37" t="s">
        <v>2</v>
      </c>
      <c r="EA214" s="37"/>
      <c r="EM214" s="73"/>
      <c r="EN214" s="37"/>
      <c r="EO214" s="37"/>
      <c r="EP214" s="37"/>
      <c r="EQ214" s="37"/>
      <c r="ER214" s="37"/>
      <c r="ES214" s="37"/>
      <c r="ET214" s="37"/>
      <c r="EU214" s="37"/>
      <c r="EV214" s="37"/>
      <c r="EW214" s="37"/>
      <c r="EX214" s="37"/>
      <c r="EY214" s="37"/>
      <c r="EZ214" s="37"/>
      <c r="FA214" s="37"/>
      <c r="FB214" s="37"/>
      <c r="FC214" s="37"/>
      <c r="FD214" s="37"/>
      <c r="FE214" s="37"/>
      <c r="FF214" s="55"/>
      <c r="FG214" s="55"/>
      <c r="FH214" s="55"/>
      <c r="FI214" s="37"/>
      <c r="FJ214" s="55"/>
      <c r="FK214" s="55"/>
      <c r="FL214" s="45"/>
      <c r="FM214" s="37"/>
      <c r="FN214" s="37"/>
      <c r="FO214" s="37"/>
      <c r="FP214" s="55"/>
      <c r="FQ214" s="1" t="s">
        <v>2</v>
      </c>
      <c r="FR214" s="1" t="s">
        <v>113</v>
      </c>
      <c r="FS214" s="1" t="s">
        <v>223</v>
      </c>
      <c r="FV214" s="1" t="s">
        <v>2</v>
      </c>
    </row>
    <row r="215" spans="1:178" ht="16.25" customHeight="1" x14ac:dyDescent="0.15">
      <c r="A215" s="18" t="s">
        <v>177</v>
      </c>
      <c r="B215" s="1" t="s">
        <v>82</v>
      </c>
      <c r="C215" s="31" t="s">
        <v>832</v>
      </c>
      <c r="D215" s="1" t="s">
        <v>69</v>
      </c>
      <c r="H215" s="1" t="s">
        <v>833</v>
      </c>
      <c r="K215" s="1">
        <v>0</v>
      </c>
      <c r="AF215" s="1">
        <v>1.0840000000000001</v>
      </c>
      <c r="AG215" s="1">
        <v>7.0000000000000007E-2</v>
      </c>
      <c r="AH215" s="1">
        <v>0.01</v>
      </c>
      <c r="AN215" s="1">
        <v>0.63</v>
      </c>
      <c r="AO215" s="1">
        <v>0.02</v>
      </c>
      <c r="AP215" s="1">
        <v>0.04</v>
      </c>
      <c r="AQ215" s="1">
        <v>0.05</v>
      </c>
      <c r="BA215" s="1">
        <v>0.18</v>
      </c>
      <c r="BB215" s="1">
        <v>7.0000000000000007E-2</v>
      </c>
      <c r="BC215" s="1">
        <v>0.01</v>
      </c>
      <c r="BI215" s="13">
        <v>0.6</v>
      </c>
      <c r="BJ215" s="1">
        <v>0.02</v>
      </c>
      <c r="BK215" s="1">
        <v>0.02</v>
      </c>
      <c r="BL215" s="1">
        <v>0.04</v>
      </c>
      <c r="BV215" s="1">
        <v>0</v>
      </c>
      <c r="CQ215" s="1">
        <v>0</v>
      </c>
      <c r="DL215" s="18" t="s">
        <v>96</v>
      </c>
      <c r="DM215" s="1" t="s">
        <v>96</v>
      </c>
      <c r="DN215" s="1">
        <f t="shared" si="55"/>
        <v>0.62572784810126592</v>
      </c>
      <c r="DO215" s="1">
        <f t="shared" si="56"/>
        <v>0.02</v>
      </c>
      <c r="DP215" s="1" t="s">
        <v>692</v>
      </c>
      <c r="DQ215" s="1" t="s">
        <v>2</v>
      </c>
      <c r="DR215" s="16">
        <f t="shared" si="57"/>
        <v>1.264</v>
      </c>
      <c r="DS215" s="100">
        <f t="shared" si="58"/>
        <v>0.62572784810126592</v>
      </c>
      <c r="DT215" s="101">
        <f t="shared" si="59"/>
        <v>7.9092000000000011</v>
      </c>
      <c r="DV215" s="16">
        <f t="shared" si="60"/>
        <v>0</v>
      </c>
      <c r="DZ215" s="37" t="s">
        <v>2</v>
      </c>
      <c r="EA215" s="37"/>
      <c r="EM215" s="73"/>
      <c r="EN215" s="37"/>
      <c r="EO215" s="37"/>
      <c r="EP215" s="37"/>
      <c r="EQ215" s="37"/>
      <c r="ER215" s="37"/>
      <c r="ES215" s="37"/>
      <c r="ET215" s="37"/>
      <c r="EU215" s="37"/>
      <c r="EV215" s="37"/>
      <c r="EW215" s="37"/>
      <c r="EX215" s="37"/>
      <c r="EY215" s="37"/>
      <c r="EZ215" s="37"/>
      <c r="FA215" s="37"/>
      <c r="FB215" s="37"/>
      <c r="FC215" s="37"/>
      <c r="FD215" s="37"/>
      <c r="FE215" s="37"/>
      <c r="FF215" s="55"/>
      <c r="FG215" s="55"/>
      <c r="FH215" s="55"/>
      <c r="FI215" s="37"/>
      <c r="FJ215" s="55"/>
      <c r="FK215" s="55"/>
      <c r="FL215" s="45"/>
      <c r="FM215" s="37"/>
      <c r="FN215" s="37"/>
      <c r="FO215" s="37"/>
      <c r="FP215" s="55"/>
      <c r="FQ215" s="1" t="s">
        <v>2</v>
      </c>
      <c r="FR215" s="1" t="s">
        <v>113</v>
      </c>
      <c r="FS215" s="1" t="s">
        <v>223</v>
      </c>
      <c r="FV215" s="1" t="s">
        <v>2</v>
      </c>
    </row>
    <row r="216" spans="1:178" ht="16.25" customHeight="1" x14ac:dyDescent="0.15">
      <c r="A216" s="18" t="s">
        <v>177</v>
      </c>
      <c r="B216" s="1" t="s">
        <v>82</v>
      </c>
      <c r="C216" s="31" t="s">
        <v>836</v>
      </c>
      <c r="D216" s="1" t="s">
        <v>69</v>
      </c>
      <c r="H216" s="1" t="s">
        <v>833</v>
      </c>
      <c r="K216" s="1">
        <v>0</v>
      </c>
      <c r="AF216" s="1">
        <v>0</v>
      </c>
      <c r="BA216" s="1">
        <v>0.2</v>
      </c>
      <c r="BI216" s="1">
        <v>0.85</v>
      </c>
      <c r="BV216" s="1">
        <v>0</v>
      </c>
      <c r="CQ216" s="1">
        <v>0</v>
      </c>
      <c r="DL216" s="18" t="s">
        <v>163</v>
      </c>
      <c r="DN216" s="1">
        <f t="shared" si="55"/>
        <v>0.85</v>
      </c>
      <c r="DO216" s="1">
        <f t="shared" si="56"/>
        <v>0</v>
      </c>
      <c r="DP216" s="1" t="s">
        <v>716</v>
      </c>
      <c r="DQ216" s="1" t="s">
        <v>2</v>
      </c>
      <c r="DR216" s="16">
        <f t="shared" si="57"/>
        <v>0.2</v>
      </c>
      <c r="DS216" s="16">
        <f t="shared" si="58"/>
        <v>0.85</v>
      </c>
      <c r="DT216" s="101">
        <f t="shared" si="59"/>
        <v>1.7</v>
      </c>
      <c r="DV216" s="16">
        <f t="shared" si="60"/>
        <v>0</v>
      </c>
      <c r="DZ216" s="37" t="s">
        <v>2</v>
      </c>
      <c r="EA216" s="37"/>
      <c r="EM216" s="73"/>
      <c r="EN216" s="37"/>
      <c r="EO216" s="37"/>
      <c r="EP216" s="37"/>
      <c r="EQ216" s="37"/>
      <c r="ER216" s="37"/>
      <c r="ES216" s="37"/>
      <c r="ET216" s="37"/>
      <c r="EU216" s="37"/>
      <c r="EV216" s="37"/>
      <c r="EW216" s="37"/>
      <c r="EX216" s="37"/>
      <c r="EY216" s="37"/>
      <c r="EZ216" s="37"/>
      <c r="FA216" s="37"/>
      <c r="FB216" s="37"/>
      <c r="FC216" s="37"/>
      <c r="FD216" s="37"/>
      <c r="FE216" s="37"/>
      <c r="FF216" s="55"/>
      <c r="FG216" s="55"/>
      <c r="FH216" s="55"/>
      <c r="FI216" s="37"/>
      <c r="FJ216" s="55"/>
      <c r="FK216" s="55"/>
      <c r="FL216" s="45"/>
      <c r="FM216" s="37"/>
      <c r="FN216" s="37"/>
      <c r="FO216" s="37"/>
      <c r="FP216" s="55"/>
      <c r="FQ216" s="1" t="s">
        <v>2</v>
      </c>
      <c r="FR216" s="1" t="s">
        <v>113</v>
      </c>
      <c r="FS216" s="1" t="s">
        <v>223</v>
      </c>
      <c r="FV216" s="1" t="s">
        <v>2</v>
      </c>
    </row>
    <row r="217" spans="1:178" ht="16.25" customHeight="1" x14ac:dyDescent="0.15">
      <c r="A217" s="18" t="s">
        <v>177</v>
      </c>
      <c r="B217" s="1" t="s">
        <v>82</v>
      </c>
      <c r="C217" s="31" t="s">
        <v>837</v>
      </c>
      <c r="D217" s="1" t="s">
        <v>69</v>
      </c>
      <c r="H217" s="1" t="s">
        <v>833</v>
      </c>
      <c r="K217" s="1">
        <v>0</v>
      </c>
      <c r="AF217" s="1">
        <v>1.546</v>
      </c>
      <c r="AG217" s="13">
        <v>0.1</v>
      </c>
      <c r="AN217" s="13">
        <v>1.4</v>
      </c>
      <c r="BA217" s="1">
        <v>0.32200000000000001</v>
      </c>
      <c r="BB217" s="1">
        <v>0.08</v>
      </c>
      <c r="BI217" s="13">
        <f>(0.86*12+1.4*228+1.12*59+0.52*22)/(12+228+59+22)</f>
        <v>1.2680373831775702</v>
      </c>
      <c r="BV217" s="1">
        <v>0</v>
      </c>
      <c r="CQ217" s="1">
        <v>0</v>
      </c>
      <c r="DL217" s="18" t="s">
        <v>96</v>
      </c>
      <c r="DN217" s="1">
        <f t="shared" si="55"/>
        <v>1.3772526966719367</v>
      </c>
      <c r="DO217" s="1">
        <f t="shared" si="56"/>
        <v>0</v>
      </c>
      <c r="DP217" s="1" t="s">
        <v>720</v>
      </c>
      <c r="DQ217" s="1" t="s">
        <v>2</v>
      </c>
      <c r="DR217" s="16">
        <f t="shared" si="57"/>
        <v>1.8680000000000001</v>
      </c>
      <c r="DS217" s="100">
        <f t="shared" si="58"/>
        <v>1.3772526966719367</v>
      </c>
      <c r="DT217" s="101">
        <f t="shared" si="59"/>
        <v>25.727080373831779</v>
      </c>
      <c r="DV217" s="16">
        <f t="shared" si="60"/>
        <v>0</v>
      </c>
      <c r="DZ217" s="37" t="s">
        <v>2</v>
      </c>
      <c r="EA217" s="37"/>
      <c r="EM217" s="73"/>
      <c r="EN217" s="37"/>
      <c r="EO217" s="37"/>
      <c r="EP217" s="37"/>
      <c r="EQ217" s="37"/>
      <c r="ER217" s="37"/>
      <c r="ES217" s="37"/>
      <c r="ET217" s="37"/>
      <c r="EU217" s="37"/>
      <c r="EV217" s="37"/>
      <c r="EW217" s="37"/>
      <c r="EX217" s="37"/>
      <c r="EY217" s="37"/>
      <c r="EZ217" s="37"/>
      <c r="FA217" s="37"/>
      <c r="FB217" s="37"/>
      <c r="FC217" s="37"/>
      <c r="FD217" s="37"/>
      <c r="FE217" s="37"/>
      <c r="FF217" s="55"/>
      <c r="FG217" s="55"/>
      <c r="FH217" s="55"/>
      <c r="FI217" s="37"/>
      <c r="FJ217" s="55"/>
      <c r="FK217" s="55"/>
      <c r="FL217" s="45"/>
      <c r="FM217" s="37"/>
      <c r="FN217" s="37"/>
      <c r="FO217" s="37"/>
      <c r="FP217" s="55"/>
      <c r="FQ217" s="1" t="s">
        <v>2</v>
      </c>
      <c r="FR217" s="1" t="s">
        <v>113</v>
      </c>
      <c r="FS217" s="1" t="s">
        <v>223</v>
      </c>
      <c r="FV217" s="1" t="s">
        <v>2</v>
      </c>
    </row>
    <row r="218" spans="1:178" ht="16.25" customHeight="1" x14ac:dyDescent="0.2">
      <c r="A218" s="18" t="s">
        <v>177</v>
      </c>
      <c r="B218" s="1" t="s">
        <v>82</v>
      </c>
      <c r="C218" s="15" t="s">
        <v>1221</v>
      </c>
      <c r="H218" s="35" t="s">
        <v>151</v>
      </c>
      <c r="K218" s="1">
        <v>0</v>
      </c>
      <c r="AF218" s="1">
        <v>0</v>
      </c>
      <c r="BA218" s="2">
        <v>0.79249999999999998</v>
      </c>
      <c r="BI218" s="1">
        <v>0.81</v>
      </c>
      <c r="BV218" s="1">
        <v>0</v>
      </c>
      <c r="CQ218" s="1">
        <v>0.872</v>
      </c>
      <c r="CY218" s="13">
        <v>0.7</v>
      </c>
      <c r="DL218" s="18" t="s">
        <v>96</v>
      </c>
      <c r="DN218" s="1">
        <f t="shared" si="55"/>
        <v>0.81000000000000016</v>
      </c>
      <c r="DO218" s="1">
        <f t="shared" si="56"/>
        <v>0</v>
      </c>
      <c r="DP218" s="1" t="s">
        <v>704</v>
      </c>
      <c r="DQ218" s="1" t="s">
        <v>2</v>
      </c>
      <c r="DR218" s="103">
        <f t="shared" si="57"/>
        <v>0.79249999999999998</v>
      </c>
      <c r="DS218" s="16">
        <f t="shared" si="58"/>
        <v>0.81000000000000016</v>
      </c>
      <c r="DT218" s="101">
        <f t="shared" si="59"/>
        <v>6.4192500000000017</v>
      </c>
      <c r="DV218" s="16">
        <f t="shared" si="60"/>
        <v>0.872</v>
      </c>
      <c r="DW218" s="100">
        <f>(BV218*CD218+CQ218*CY218)/DV218</f>
        <v>0.7</v>
      </c>
      <c r="DX218" s="101">
        <f>1000*DV218*DW218/100</f>
        <v>6.1040000000000001</v>
      </c>
      <c r="DZ218" s="37" t="s">
        <v>2</v>
      </c>
      <c r="EA218" s="37"/>
      <c r="EM218" s="73"/>
      <c r="EN218" s="37"/>
      <c r="EO218" s="37"/>
      <c r="EP218" s="37"/>
      <c r="EQ218" s="37"/>
      <c r="ER218" s="37"/>
      <c r="ES218" s="37"/>
      <c r="ET218" s="37"/>
      <c r="EU218" s="37"/>
      <c r="EV218" s="37"/>
      <c r="EW218" s="37"/>
      <c r="EX218" s="37"/>
      <c r="EY218" s="37"/>
      <c r="EZ218" s="37"/>
      <c r="FA218" s="37"/>
      <c r="FB218" s="37"/>
      <c r="FC218" s="37"/>
      <c r="FD218" s="37"/>
      <c r="FE218" s="37"/>
      <c r="FF218" s="55"/>
      <c r="FG218" s="55"/>
      <c r="FH218" s="55"/>
      <c r="FI218" s="37"/>
      <c r="FJ218" s="55"/>
      <c r="FK218" s="55"/>
      <c r="FL218" s="45"/>
      <c r="FM218" s="37"/>
      <c r="FN218" s="37"/>
      <c r="FO218" s="37"/>
      <c r="FP218" s="55"/>
      <c r="FQ218" s="1" t="s">
        <v>2</v>
      </c>
      <c r="FR218" s="1" t="s">
        <v>113</v>
      </c>
      <c r="FS218" s="1" t="s">
        <v>223</v>
      </c>
      <c r="FV218" s="1" t="s">
        <v>2</v>
      </c>
    </row>
    <row r="219" spans="1:178" ht="16.25" customHeight="1" x14ac:dyDescent="0.2">
      <c r="A219" s="18" t="s">
        <v>177</v>
      </c>
      <c r="B219" s="1" t="s">
        <v>82</v>
      </c>
      <c r="C219" s="79" t="s">
        <v>242</v>
      </c>
      <c r="D219" s="1" t="s">
        <v>69</v>
      </c>
      <c r="G219" s="1" t="s">
        <v>72</v>
      </c>
      <c r="H219" s="1" t="s">
        <v>172</v>
      </c>
      <c r="K219" s="1">
        <v>0.14799999999999999</v>
      </c>
      <c r="L219" s="1">
        <v>0.03</v>
      </c>
      <c r="S219" s="1">
        <v>2.4300000000000002</v>
      </c>
      <c r="AF219" s="1">
        <v>0.45100000000000001</v>
      </c>
      <c r="AG219" s="1">
        <v>0.01</v>
      </c>
      <c r="AN219" s="1">
        <v>1.1599999999999999</v>
      </c>
      <c r="BA219" s="1">
        <v>0.73699999999999999</v>
      </c>
      <c r="BB219" s="1">
        <v>0.03</v>
      </c>
      <c r="BI219" s="1">
        <v>1.57</v>
      </c>
      <c r="BV219" s="1">
        <v>6.2899999999999998E-2</v>
      </c>
      <c r="CD219" s="1">
        <v>1.35</v>
      </c>
      <c r="CQ219" s="1">
        <v>0.19700000000000001</v>
      </c>
      <c r="CY219" s="1">
        <v>0.95</v>
      </c>
      <c r="DL219" s="18" t="s">
        <v>96</v>
      </c>
      <c r="DN219" s="1">
        <f t="shared" si="55"/>
        <v>1.5268637724550898</v>
      </c>
      <c r="DO219" s="1">
        <f t="shared" si="56"/>
        <v>0</v>
      </c>
      <c r="DP219" s="1" t="s">
        <v>720</v>
      </c>
      <c r="DQ219" s="1" t="s">
        <v>2</v>
      </c>
      <c r="DR219" s="16">
        <f t="shared" si="57"/>
        <v>1.3359999999999999</v>
      </c>
      <c r="DS219" s="100">
        <f t="shared" si="58"/>
        <v>1.5268637724550898</v>
      </c>
      <c r="DT219" s="101">
        <f t="shared" si="59"/>
        <v>20.398899999999998</v>
      </c>
      <c r="DV219" s="103">
        <f t="shared" si="60"/>
        <v>0.25990000000000002</v>
      </c>
      <c r="DW219" s="100">
        <f>(BV219*CD219+CQ219*CY219)/DV219</f>
        <v>1.0468064640246248</v>
      </c>
      <c r="DX219" s="101">
        <f>1000*DV219*DW219/100</f>
        <v>2.7206500000000005</v>
      </c>
      <c r="DZ219" s="37" t="s">
        <v>2</v>
      </c>
      <c r="EA219" s="37"/>
      <c r="EM219" s="73"/>
      <c r="EN219" s="37"/>
      <c r="EO219" s="37"/>
      <c r="EP219" s="37"/>
      <c r="EQ219" s="37"/>
      <c r="ER219" s="37"/>
      <c r="ES219" s="37"/>
      <c r="ET219" s="37"/>
      <c r="EU219" s="37"/>
      <c r="EV219" s="37"/>
      <c r="EW219" s="37"/>
      <c r="EX219" s="37"/>
      <c r="EY219" s="37"/>
      <c r="EZ219" s="37"/>
      <c r="FA219" s="37"/>
      <c r="FB219" s="37"/>
      <c r="FC219" s="37"/>
      <c r="FD219" s="37"/>
      <c r="FE219" s="37"/>
      <c r="FF219" s="55"/>
      <c r="FG219" s="55"/>
      <c r="FH219" s="55"/>
      <c r="FI219" s="37"/>
      <c r="FJ219" s="55"/>
      <c r="FK219" s="55"/>
      <c r="FL219" s="45"/>
      <c r="FM219" s="37"/>
      <c r="FN219" s="37"/>
      <c r="FO219" s="37"/>
      <c r="FP219" s="55"/>
      <c r="FQ219" s="1" t="s">
        <v>2</v>
      </c>
      <c r="FR219" s="1" t="s">
        <v>113</v>
      </c>
      <c r="FS219" s="1" t="s">
        <v>223</v>
      </c>
      <c r="FV219" s="1" t="s">
        <v>2</v>
      </c>
    </row>
    <row r="220" spans="1:178" ht="16.25" customHeight="1" x14ac:dyDescent="0.2">
      <c r="A220" s="18" t="s">
        <v>177</v>
      </c>
      <c r="B220" s="1" t="s">
        <v>82</v>
      </c>
      <c r="C220" s="79" t="s">
        <v>241</v>
      </c>
      <c r="D220" s="1" t="s">
        <v>69</v>
      </c>
      <c r="G220" s="1" t="s">
        <v>72</v>
      </c>
      <c r="H220" s="1" t="s">
        <v>172</v>
      </c>
      <c r="K220" s="1">
        <v>0</v>
      </c>
      <c r="AF220" s="1">
        <v>0</v>
      </c>
      <c r="BA220" s="1">
        <v>3.19</v>
      </c>
      <c r="BI220" s="1">
        <v>0.92</v>
      </c>
      <c r="BV220" s="1">
        <v>0</v>
      </c>
      <c r="CQ220" s="1">
        <v>0</v>
      </c>
      <c r="DL220" s="18" t="s">
        <v>163</v>
      </c>
      <c r="DN220" s="1">
        <f t="shared" si="55"/>
        <v>0.92</v>
      </c>
      <c r="DO220" s="1">
        <f t="shared" si="56"/>
        <v>0</v>
      </c>
      <c r="DP220" s="1" t="s">
        <v>716</v>
      </c>
      <c r="DQ220" s="1" t="s">
        <v>2</v>
      </c>
      <c r="DR220" s="16">
        <f t="shared" si="57"/>
        <v>3.19</v>
      </c>
      <c r="DS220" s="16">
        <f t="shared" si="58"/>
        <v>0.92</v>
      </c>
      <c r="DT220" s="101">
        <f t="shared" si="59"/>
        <v>29.348000000000003</v>
      </c>
      <c r="DV220" s="16">
        <f t="shared" si="60"/>
        <v>0</v>
      </c>
      <c r="DZ220" s="37" t="s">
        <v>2</v>
      </c>
      <c r="EA220" s="37"/>
      <c r="EM220" s="73"/>
      <c r="EN220" s="37"/>
      <c r="EO220" s="37"/>
      <c r="EP220" s="37"/>
      <c r="EQ220" s="37"/>
      <c r="ER220" s="37"/>
      <c r="ES220" s="37"/>
      <c r="ET220" s="37"/>
      <c r="EU220" s="37"/>
      <c r="EV220" s="37"/>
      <c r="EW220" s="37"/>
      <c r="EX220" s="37"/>
      <c r="EY220" s="37"/>
      <c r="EZ220" s="37"/>
      <c r="FA220" s="37"/>
      <c r="FB220" s="37"/>
      <c r="FC220" s="37"/>
      <c r="FD220" s="37"/>
      <c r="FE220" s="37"/>
      <c r="FF220" s="55"/>
      <c r="FG220" s="55"/>
      <c r="FH220" s="55"/>
      <c r="FI220" s="37"/>
      <c r="FJ220" s="55"/>
      <c r="FK220" s="55"/>
      <c r="FL220" s="45"/>
      <c r="FM220" s="37"/>
      <c r="FN220" s="37"/>
      <c r="FO220" s="37"/>
      <c r="FP220" s="55"/>
      <c r="FQ220" s="1" t="s">
        <v>2</v>
      </c>
      <c r="FR220" s="1" t="s">
        <v>113</v>
      </c>
      <c r="FS220" s="1" t="s">
        <v>223</v>
      </c>
      <c r="FT220" s="1" t="s">
        <v>223</v>
      </c>
      <c r="FV220" s="1" t="s">
        <v>2</v>
      </c>
    </row>
    <row r="221" spans="1:178" ht="16.25" customHeight="1" x14ac:dyDescent="0.2">
      <c r="A221" s="18" t="s">
        <v>177</v>
      </c>
      <c r="B221" s="1" t="s">
        <v>82</v>
      </c>
      <c r="C221" s="79" t="s">
        <v>243</v>
      </c>
      <c r="D221" s="1" t="s">
        <v>69</v>
      </c>
      <c r="G221" s="1" t="s">
        <v>72</v>
      </c>
      <c r="H221" s="1" t="s">
        <v>172</v>
      </c>
      <c r="K221" s="1">
        <v>0</v>
      </c>
      <c r="AF221" s="1">
        <v>0.57499999999999996</v>
      </c>
      <c r="AG221" s="1">
        <v>0.56999999999999995</v>
      </c>
      <c r="AH221" s="1">
        <v>0.94</v>
      </c>
      <c r="AN221" s="13">
        <v>0.4</v>
      </c>
      <c r="AO221" s="1">
        <v>0.01</v>
      </c>
      <c r="AP221" s="13">
        <v>3.1</v>
      </c>
      <c r="AQ221" s="1">
        <v>2.23</v>
      </c>
      <c r="BA221" s="1">
        <v>0.38200000000000001</v>
      </c>
      <c r="BB221" s="1">
        <v>0.61</v>
      </c>
      <c r="BC221" s="1">
        <v>1.32</v>
      </c>
      <c r="BI221" s="1">
        <v>0.51</v>
      </c>
      <c r="BJ221" s="1">
        <v>0.02</v>
      </c>
      <c r="BK221" s="1">
        <v>3.66</v>
      </c>
      <c r="BL221" s="1">
        <v>4.49</v>
      </c>
      <c r="BV221" s="1">
        <v>0</v>
      </c>
      <c r="CQ221" s="1">
        <v>0</v>
      </c>
      <c r="DL221" s="18" t="s">
        <v>96</v>
      </c>
      <c r="DM221" s="1" t="s">
        <v>96</v>
      </c>
      <c r="DN221" s="1">
        <f t="shared" si="55"/>
        <v>0.4439080459770115</v>
      </c>
      <c r="DO221" s="1">
        <f t="shared" si="56"/>
        <v>1.3991640543364681E-2</v>
      </c>
      <c r="DP221" s="1" t="s">
        <v>670</v>
      </c>
      <c r="DQ221" s="1" t="s">
        <v>2</v>
      </c>
      <c r="DR221" s="16">
        <f t="shared" si="57"/>
        <v>0.95699999999999996</v>
      </c>
      <c r="DS221" s="100">
        <f t="shared" si="58"/>
        <v>0.4439080459770115</v>
      </c>
      <c r="DT221" s="101">
        <f t="shared" si="59"/>
        <v>4.2481999999999998</v>
      </c>
      <c r="DV221" s="16">
        <f t="shared" si="60"/>
        <v>0</v>
      </c>
      <c r="DZ221" s="37" t="s">
        <v>2</v>
      </c>
      <c r="EA221" s="37"/>
      <c r="EM221" s="73"/>
      <c r="EN221" s="37"/>
      <c r="EO221" s="37"/>
      <c r="EP221" s="37"/>
      <c r="EQ221" s="37"/>
      <c r="ER221" s="37"/>
      <c r="ES221" s="37"/>
      <c r="ET221" s="37"/>
      <c r="EU221" s="37"/>
      <c r="EV221" s="37"/>
      <c r="EW221" s="37"/>
      <c r="EX221" s="37"/>
      <c r="EY221" s="37"/>
      <c r="EZ221" s="37"/>
      <c r="FA221" s="37"/>
      <c r="FB221" s="37"/>
      <c r="FC221" s="37"/>
      <c r="FD221" s="37"/>
      <c r="FE221" s="37"/>
      <c r="FF221" s="55"/>
      <c r="FG221" s="55"/>
      <c r="FH221" s="55"/>
      <c r="FI221" s="37"/>
      <c r="FJ221" s="55"/>
      <c r="FK221" s="55"/>
      <c r="FL221" s="45"/>
      <c r="FM221" s="37"/>
      <c r="FN221" s="37"/>
      <c r="FO221" s="37"/>
      <c r="FP221" s="55"/>
      <c r="FQ221" s="1" t="s">
        <v>2</v>
      </c>
      <c r="FR221" s="1" t="s">
        <v>113</v>
      </c>
      <c r="FS221" s="1" t="s">
        <v>671</v>
      </c>
      <c r="FT221" s="1" t="s">
        <v>672</v>
      </c>
      <c r="FV221" s="1" t="s">
        <v>2</v>
      </c>
    </row>
    <row r="222" spans="1:178" ht="16.25" customHeight="1" x14ac:dyDescent="0.2">
      <c r="A222" s="18" t="s">
        <v>177</v>
      </c>
      <c r="B222" s="1" t="s">
        <v>82</v>
      </c>
      <c r="C222" s="79" t="s">
        <v>231</v>
      </c>
      <c r="D222" s="1" t="s">
        <v>69</v>
      </c>
      <c r="G222" s="1" t="s">
        <v>72</v>
      </c>
      <c r="H222" s="1" t="s">
        <v>172</v>
      </c>
      <c r="K222" s="1">
        <v>0</v>
      </c>
      <c r="AF222" s="1">
        <v>14.082000000000001</v>
      </c>
      <c r="AG222" s="1">
        <v>0.08</v>
      </c>
      <c r="AN222" s="1">
        <v>0.35</v>
      </c>
      <c r="AO222" s="1">
        <v>1.6E-2</v>
      </c>
      <c r="BA222" s="1">
        <v>43.973999999999997</v>
      </c>
      <c r="BB222" s="1">
        <v>0.08</v>
      </c>
      <c r="BI222" s="1">
        <v>0.31</v>
      </c>
      <c r="BJ222" s="1">
        <v>1.4999999999999999E-2</v>
      </c>
      <c r="BV222" s="1">
        <v>0</v>
      </c>
      <c r="CQ222" s="1">
        <v>0</v>
      </c>
      <c r="DL222" s="18" t="s">
        <v>96</v>
      </c>
      <c r="DM222" s="1" t="s">
        <v>96</v>
      </c>
      <c r="DN222" s="1">
        <f t="shared" si="55"/>
        <v>0.31970235634559735</v>
      </c>
      <c r="DO222" s="1">
        <f t="shared" si="56"/>
        <v>1.5242558908639934E-2</v>
      </c>
      <c r="DP222" s="1" t="s">
        <v>729</v>
      </c>
      <c r="DQ222" s="1" t="s">
        <v>2</v>
      </c>
      <c r="DR222" s="100">
        <f t="shared" si="57"/>
        <v>58.055999999999997</v>
      </c>
      <c r="DS222" s="100">
        <f t="shared" si="58"/>
        <v>0.31970235634559735</v>
      </c>
      <c r="DT222" s="101">
        <f t="shared" si="59"/>
        <v>185.60640000000001</v>
      </c>
      <c r="DV222" s="16">
        <f t="shared" si="60"/>
        <v>0</v>
      </c>
      <c r="DZ222" s="37" t="s">
        <v>2</v>
      </c>
      <c r="EA222" s="37"/>
      <c r="EM222" s="73"/>
      <c r="EN222" s="37"/>
      <c r="EO222" s="37"/>
      <c r="EP222" s="37"/>
      <c r="EQ222" s="37"/>
      <c r="ER222" s="37"/>
      <c r="ES222" s="37"/>
      <c r="ET222" s="37"/>
      <c r="EU222" s="37"/>
      <c r="EV222" s="37"/>
      <c r="EW222" s="37"/>
      <c r="EX222" s="37"/>
      <c r="EY222" s="37"/>
      <c r="EZ222" s="37"/>
      <c r="FA222" s="37"/>
      <c r="FB222" s="37"/>
      <c r="FC222" s="37"/>
      <c r="FD222" s="37"/>
      <c r="FE222" s="37"/>
      <c r="FF222" s="55"/>
      <c r="FG222" s="55"/>
      <c r="FH222" s="55"/>
      <c r="FI222" s="37"/>
      <c r="FJ222" s="55"/>
      <c r="FK222" s="55"/>
      <c r="FL222" s="45"/>
      <c r="FM222" s="37"/>
      <c r="FN222" s="37"/>
      <c r="FO222" s="37"/>
      <c r="FP222" s="55"/>
      <c r="FQ222" s="1" t="s">
        <v>2</v>
      </c>
      <c r="FR222" s="1" t="s">
        <v>113</v>
      </c>
      <c r="FS222" s="1" t="s">
        <v>671</v>
      </c>
      <c r="FV222" s="1" t="s">
        <v>2</v>
      </c>
    </row>
    <row r="223" spans="1:178" ht="16.25" customHeight="1" x14ac:dyDescent="0.2">
      <c r="A223" s="18" t="s">
        <v>177</v>
      </c>
      <c r="B223" s="1" t="s">
        <v>82</v>
      </c>
      <c r="C223" s="79" t="s">
        <v>240</v>
      </c>
      <c r="D223" s="1" t="s">
        <v>69</v>
      </c>
      <c r="G223" s="1" t="s">
        <v>72</v>
      </c>
      <c r="H223" s="1" t="s">
        <v>172</v>
      </c>
      <c r="K223" s="1">
        <v>0</v>
      </c>
      <c r="AF223" s="1">
        <v>0</v>
      </c>
      <c r="BA223" s="2">
        <v>9.2609999999999998E-2</v>
      </c>
      <c r="BB223" s="1">
        <v>0.27</v>
      </c>
      <c r="BI223" s="1">
        <v>0.53</v>
      </c>
      <c r="BV223" s="1">
        <v>0</v>
      </c>
      <c r="CQ223" s="1">
        <v>0</v>
      </c>
      <c r="DL223" s="18" t="s">
        <v>163</v>
      </c>
      <c r="DN223" s="1">
        <f t="shared" si="55"/>
        <v>0.53</v>
      </c>
      <c r="DO223" s="1">
        <f t="shared" si="56"/>
        <v>0</v>
      </c>
      <c r="DP223" s="1" t="s">
        <v>743</v>
      </c>
      <c r="DQ223" s="1" t="s">
        <v>2</v>
      </c>
      <c r="DR223" s="103">
        <f t="shared" si="57"/>
        <v>9.2609999999999998E-2</v>
      </c>
      <c r="DS223" s="16">
        <f t="shared" si="58"/>
        <v>0.53</v>
      </c>
      <c r="DT223" s="101">
        <f t="shared" si="59"/>
        <v>0.49083300000000002</v>
      </c>
      <c r="DV223" s="16">
        <f t="shared" si="60"/>
        <v>0</v>
      </c>
      <c r="DZ223" s="37" t="s">
        <v>2</v>
      </c>
      <c r="EA223" s="37"/>
      <c r="EM223" s="73"/>
      <c r="EN223" s="37"/>
      <c r="EO223" s="37"/>
      <c r="EP223" s="37"/>
      <c r="EQ223" s="37"/>
      <c r="ER223" s="37"/>
      <c r="ES223" s="37"/>
      <c r="ET223" s="37"/>
      <c r="EU223" s="37"/>
      <c r="EV223" s="37"/>
      <c r="EW223" s="37"/>
      <c r="EX223" s="37"/>
      <c r="EY223" s="37"/>
      <c r="EZ223" s="37"/>
      <c r="FA223" s="37"/>
      <c r="FB223" s="37"/>
      <c r="FC223" s="37"/>
      <c r="FD223" s="37"/>
      <c r="FE223" s="37"/>
      <c r="FF223" s="55"/>
      <c r="FG223" s="55"/>
      <c r="FH223" s="55"/>
      <c r="FI223" s="37"/>
      <c r="FJ223" s="55"/>
      <c r="FK223" s="55"/>
      <c r="FL223" s="45"/>
      <c r="FM223" s="37"/>
      <c r="FN223" s="37"/>
      <c r="FO223" s="37"/>
      <c r="FP223" s="55"/>
      <c r="FQ223" s="1" t="s">
        <v>2</v>
      </c>
      <c r="FR223" s="1" t="s">
        <v>113</v>
      </c>
      <c r="FS223" s="1" t="s">
        <v>671</v>
      </c>
      <c r="FV223" s="1" t="s">
        <v>2</v>
      </c>
    </row>
    <row r="224" spans="1:178" ht="16.25" customHeight="1" x14ac:dyDescent="0.2">
      <c r="A224" s="18" t="s">
        <v>177</v>
      </c>
      <c r="B224" s="1" t="s">
        <v>82</v>
      </c>
      <c r="C224" s="79" t="s">
        <v>232</v>
      </c>
      <c r="D224" s="1" t="s">
        <v>69</v>
      </c>
      <c r="E224" s="81"/>
      <c r="F224" s="81"/>
      <c r="G224" s="1" t="s">
        <v>72</v>
      </c>
      <c r="H224" s="1" t="s">
        <v>172</v>
      </c>
      <c r="K224" s="1">
        <v>5.68</v>
      </c>
      <c r="L224" s="1">
        <v>1.49</v>
      </c>
      <c r="S224" s="1">
        <v>1.59</v>
      </c>
      <c r="T224" s="1">
        <v>0.04</v>
      </c>
      <c r="U224" s="1">
        <v>0.87</v>
      </c>
      <c r="V224" s="1">
        <v>0.83</v>
      </c>
      <c r="AF224" s="1">
        <v>23.25</v>
      </c>
      <c r="AG224" s="13">
        <v>2.5</v>
      </c>
      <c r="AN224" s="13">
        <v>2.1</v>
      </c>
      <c r="AO224" s="1">
        <v>0.05</v>
      </c>
      <c r="AP224" s="1">
        <v>0.91</v>
      </c>
      <c r="AQ224" s="1">
        <v>1.07</v>
      </c>
      <c r="BA224" s="1">
        <v>25</v>
      </c>
      <c r="BB224" s="1">
        <v>2.6</v>
      </c>
      <c r="BI224" s="1">
        <v>0.9</v>
      </c>
      <c r="BJ224" s="1">
        <v>0.03</v>
      </c>
      <c r="BK224" s="14">
        <v>1</v>
      </c>
      <c r="BL224" s="1">
        <v>1.2</v>
      </c>
      <c r="BV224" s="1">
        <v>5.74</v>
      </c>
      <c r="BW224" s="1">
        <v>1.17</v>
      </c>
      <c r="CD224" s="1">
        <v>1.26</v>
      </c>
      <c r="CE224" s="1">
        <v>0.03</v>
      </c>
      <c r="CF224" s="1">
        <v>0.66</v>
      </c>
      <c r="CG224" s="1">
        <v>0.62</v>
      </c>
      <c r="CQ224" s="1">
        <v>15.03</v>
      </c>
      <c r="CR224" s="1">
        <v>0.98</v>
      </c>
      <c r="CY224" s="1">
        <v>2.06</v>
      </c>
      <c r="CZ224" s="1">
        <v>0.05</v>
      </c>
      <c r="DA224" s="1">
        <v>0.37</v>
      </c>
      <c r="DB224" s="1">
        <v>0.42</v>
      </c>
      <c r="DL224" s="18" t="s">
        <v>96</v>
      </c>
      <c r="DM224" s="1" t="s">
        <v>96</v>
      </c>
      <c r="DN224" s="1">
        <f t="shared" si="55"/>
        <v>1.4900092712775821</v>
      </c>
      <c r="DO224" s="1">
        <f t="shared" si="56"/>
        <v>3.9675505284628231E-2</v>
      </c>
      <c r="DP224" s="1" t="s">
        <v>73</v>
      </c>
      <c r="DQ224" s="1" t="s">
        <v>2</v>
      </c>
      <c r="DR224" s="16">
        <f t="shared" si="57"/>
        <v>53.93</v>
      </c>
      <c r="DS224" s="100">
        <f t="shared" si="58"/>
        <v>1.4900092712775821</v>
      </c>
      <c r="DT224" s="101">
        <f t="shared" si="59"/>
        <v>803.56200000000001</v>
      </c>
      <c r="DV224" s="16">
        <f t="shared" si="60"/>
        <v>20.77</v>
      </c>
      <c r="DW224" s="100">
        <f>(BV224*CD224+CQ224*CY224)/DV224</f>
        <v>1.8389118921521426</v>
      </c>
      <c r="DX224" s="101">
        <f>1000*DV224*DW224/100</f>
        <v>381.94200000000006</v>
      </c>
      <c r="DZ224" s="37" t="s">
        <v>2</v>
      </c>
      <c r="EA224" s="37"/>
      <c r="EM224" s="73"/>
      <c r="EN224" s="37"/>
      <c r="EO224" s="37"/>
      <c r="EP224" s="37"/>
      <c r="EQ224" s="37"/>
      <c r="ER224" s="37"/>
      <c r="ES224" s="37"/>
      <c r="ET224" s="37"/>
      <c r="EU224" s="37"/>
      <c r="EV224" s="37"/>
      <c r="EW224" s="37"/>
      <c r="EX224" s="37"/>
      <c r="EY224" s="37"/>
      <c r="EZ224" s="37"/>
      <c r="FA224" s="37"/>
      <c r="FB224" s="37"/>
      <c r="FC224" s="37"/>
      <c r="FD224" s="37"/>
      <c r="FE224" s="37"/>
      <c r="FF224" s="55"/>
      <c r="FG224" s="55"/>
      <c r="FH224" s="55"/>
      <c r="FI224" s="37"/>
      <c r="FJ224" s="55"/>
      <c r="FK224" s="55"/>
      <c r="FL224" s="45"/>
      <c r="FM224" s="37"/>
      <c r="FN224" s="37"/>
      <c r="FO224" s="37"/>
      <c r="FP224" s="55"/>
      <c r="FQ224" s="1" t="s">
        <v>2</v>
      </c>
      <c r="FR224" s="1" t="s">
        <v>113</v>
      </c>
      <c r="FS224" s="1" t="s">
        <v>671</v>
      </c>
      <c r="FT224" s="1" t="s">
        <v>671</v>
      </c>
      <c r="FV224" s="1" t="s">
        <v>2</v>
      </c>
    </row>
    <row r="225" spans="1:178" ht="16.25" customHeight="1" x14ac:dyDescent="0.2">
      <c r="A225" s="18" t="s">
        <v>177</v>
      </c>
      <c r="B225" s="1" t="s">
        <v>82</v>
      </c>
      <c r="C225" s="79" t="s">
        <v>234</v>
      </c>
      <c r="D225" s="1" t="s">
        <v>69</v>
      </c>
      <c r="E225" s="81"/>
      <c r="F225" s="81"/>
      <c r="G225" s="1" t="s">
        <v>72</v>
      </c>
      <c r="H225" s="1" t="s">
        <v>172</v>
      </c>
      <c r="K225" s="1">
        <v>20.9</v>
      </c>
      <c r="L225" s="1">
        <v>2.4300000000000002</v>
      </c>
      <c r="M225" s="1">
        <v>0.6</v>
      </c>
      <c r="S225" s="1">
        <v>1.65</v>
      </c>
      <c r="T225" s="1">
        <v>0.04</v>
      </c>
      <c r="U225" s="1">
        <v>1.3</v>
      </c>
      <c r="V225" s="1">
        <v>1.5</v>
      </c>
      <c r="AF225" s="1">
        <v>40.799999999999997</v>
      </c>
      <c r="AG225" s="1">
        <v>1.44</v>
      </c>
      <c r="AH225" s="1">
        <v>0.4</v>
      </c>
      <c r="AN225" s="1">
        <v>1.27</v>
      </c>
      <c r="AO225" s="1">
        <v>0.02</v>
      </c>
      <c r="AP225" s="1">
        <v>1.2</v>
      </c>
      <c r="AQ225" s="1">
        <v>1.5</v>
      </c>
      <c r="BA225" s="1">
        <v>0</v>
      </c>
      <c r="BV225" s="1">
        <v>20.9</v>
      </c>
      <c r="BW225" s="1">
        <v>2.4300000000000002</v>
      </c>
      <c r="BX225" s="1">
        <v>0.6</v>
      </c>
      <c r="CD225" s="1">
        <v>1.65</v>
      </c>
      <c r="CE225" s="1">
        <v>0.04</v>
      </c>
      <c r="CF225" s="1">
        <v>1.3</v>
      </c>
      <c r="CG225" s="1">
        <v>1.5</v>
      </c>
      <c r="CQ225" s="1">
        <v>40.799999999999997</v>
      </c>
      <c r="CR225" s="1">
        <v>1.44</v>
      </c>
      <c r="CS225" s="1">
        <v>0.4</v>
      </c>
      <c r="CY225" s="1">
        <v>1.27</v>
      </c>
      <c r="CZ225" s="1">
        <v>0.02</v>
      </c>
      <c r="DA225" s="1">
        <v>1.2</v>
      </c>
      <c r="DB225" s="1">
        <v>1.5</v>
      </c>
      <c r="DL225" s="18" t="s">
        <v>96</v>
      </c>
      <c r="DM225" s="1" t="s">
        <v>96</v>
      </c>
      <c r="DN225" s="1">
        <f t="shared" si="55"/>
        <v>1.3987196110210696</v>
      </c>
      <c r="DO225" s="1">
        <f t="shared" si="56"/>
        <v>2.6774716369529983E-2</v>
      </c>
      <c r="DP225" s="1" t="s">
        <v>606</v>
      </c>
      <c r="DQ225" s="1" t="s">
        <v>2</v>
      </c>
      <c r="DR225" s="16">
        <f t="shared" si="57"/>
        <v>61.699999999999996</v>
      </c>
      <c r="DS225" s="100">
        <f t="shared" si="58"/>
        <v>1.3987196110210696</v>
      </c>
      <c r="DT225" s="101">
        <f t="shared" si="59"/>
        <v>863.00999999999988</v>
      </c>
      <c r="DV225" s="16">
        <f t="shared" si="60"/>
        <v>61.699999999999996</v>
      </c>
      <c r="DW225" s="100">
        <f>(BV225*CD225+CQ225*CY225)/DV225</f>
        <v>1.3987196110210696</v>
      </c>
      <c r="DX225" s="101">
        <f>1000*DV225*DW225/100</f>
        <v>863.00999999999988</v>
      </c>
      <c r="DZ225" s="37" t="s">
        <v>2</v>
      </c>
      <c r="EA225" s="37"/>
      <c r="EM225" s="73"/>
      <c r="EN225" s="37"/>
      <c r="EO225" s="37"/>
      <c r="EP225" s="37"/>
      <c r="EQ225" s="37"/>
      <c r="ER225" s="37"/>
      <c r="ES225" s="37"/>
      <c r="ET225" s="37"/>
      <c r="EU225" s="37"/>
      <c r="EV225" s="37"/>
      <c r="EW225" s="37"/>
      <c r="EX225" s="37"/>
      <c r="EY225" s="37"/>
      <c r="EZ225" s="37"/>
      <c r="FA225" s="37"/>
      <c r="FB225" s="37"/>
      <c r="FC225" s="37"/>
      <c r="FD225" s="37"/>
      <c r="FE225" s="37"/>
      <c r="FF225" s="55"/>
      <c r="FG225" s="55"/>
      <c r="FH225" s="55"/>
      <c r="FI225" s="37"/>
      <c r="FJ225" s="55"/>
      <c r="FK225" s="55"/>
      <c r="FL225" s="45"/>
      <c r="FM225" s="37"/>
      <c r="FN225" s="37"/>
      <c r="FO225" s="37"/>
      <c r="FP225" s="55"/>
      <c r="FQ225" s="1" t="s">
        <v>2</v>
      </c>
      <c r="FR225" s="1" t="s">
        <v>113</v>
      </c>
      <c r="FS225" s="1" t="s">
        <v>671</v>
      </c>
      <c r="FT225" s="1" t="s">
        <v>671</v>
      </c>
      <c r="FV225" s="1" t="s">
        <v>2</v>
      </c>
    </row>
    <row r="226" spans="1:178" ht="16.25" customHeight="1" x14ac:dyDescent="0.2">
      <c r="A226" s="18" t="s">
        <v>177</v>
      </c>
      <c r="B226" s="1" t="s">
        <v>82</v>
      </c>
      <c r="C226" s="79" t="s">
        <v>235</v>
      </c>
      <c r="D226" s="1" t="s">
        <v>69</v>
      </c>
      <c r="E226" s="81"/>
      <c r="F226" s="81"/>
      <c r="G226" s="1" t="s">
        <v>72</v>
      </c>
      <c r="H226" s="1" t="s">
        <v>172</v>
      </c>
      <c r="K226" s="1">
        <v>0</v>
      </c>
      <c r="AF226" s="1">
        <v>0</v>
      </c>
      <c r="BA226" s="1">
        <f>0.786-0.125</f>
        <v>0.66100000000000003</v>
      </c>
      <c r="BB226" s="1">
        <v>0.76</v>
      </c>
      <c r="BI226" s="1">
        <v>0.56999999999999995</v>
      </c>
      <c r="BV226" s="1">
        <v>0</v>
      </c>
      <c r="CQ226" s="1">
        <v>0</v>
      </c>
      <c r="DL226" s="18" t="s">
        <v>163</v>
      </c>
      <c r="DN226" s="1">
        <f t="shared" si="55"/>
        <v>0.56999999999999995</v>
      </c>
      <c r="DO226" s="1">
        <f t="shared" si="56"/>
        <v>0</v>
      </c>
      <c r="DP226" s="1" t="s">
        <v>769</v>
      </c>
      <c r="DQ226" s="1" t="s">
        <v>2</v>
      </c>
      <c r="DR226" s="16">
        <f t="shared" si="57"/>
        <v>0.66100000000000003</v>
      </c>
      <c r="DS226" s="16">
        <f t="shared" si="58"/>
        <v>0.56999999999999995</v>
      </c>
      <c r="DT226" s="101">
        <f t="shared" si="59"/>
        <v>3.7676999999999996</v>
      </c>
      <c r="DV226" s="16">
        <f t="shared" si="60"/>
        <v>0</v>
      </c>
      <c r="DZ226" s="37" t="s">
        <v>2</v>
      </c>
      <c r="EA226" s="37"/>
      <c r="EM226" s="73"/>
      <c r="EN226" s="37"/>
      <c r="EO226" s="37"/>
      <c r="EP226" s="37"/>
      <c r="EQ226" s="37"/>
      <c r="ER226" s="37"/>
      <c r="ES226" s="37"/>
      <c r="ET226" s="37"/>
      <c r="EU226" s="37"/>
      <c r="EV226" s="37"/>
      <c r="EW226" s="37"/>
      <c r="EX226" s="37"/>
      <c r="EY226" s="37"/>
      <c r="EZ226" s="37"/>
      <c r="FA226" s="37"/>
      <c r="FB226" s="37"/>
      <c r="FC226" s="37"/>
      <c r="FD226" s="37"/>
      <c r="FE226" s="37"/>
      <c r="FF226" s="55"/>
      <c r="FG226" s="55"/>
      <c r="FH226" s="55"/>
      <c r="FI226" s="37"/>
      <c r="FJ226" s="55"/>
      <c r="FK226" s="55"/>
      <c r="FL226" s="45"/>
      <c r="FM226" s="37"/>
      <c r="FN226" s="37"/>
      <c r="FO226" s="37"/>
      <c r="FP226" s="55"/>
      <c r="FQ226" s="1" t="s">
        <v>2</v>
      </c>
      <c r="FR226" s="1" t="s">
        <v>113</v>
      </c>
      <c r="FS226" s="1" t="s">
        <v>671</v>
      </c>
      <c r="FT226" s="1" t="s">
        <v>671</v>
      </c>
      <c r="FV226" s="1" t="s">
        <v>2</v>
      </c>
    </row>
    <row r="227" spans="1:178" ht="16.25" customHeight="1" x14ac:dyDescent="0.2">
      <c r="A227" s="18" t="s">
        <v>177</v>
      </c>
      <c r="B227" s="1" t="s">
        <v>82</v>
      </c>
      <c r="C227" s="79" t="s">
        <v>236</v>
      </c>
      <c r="D227" s="1" t="s">
        <v>69</v>
      </c>
      <c r="E227" s="81"/>
      <c r="F227" s="81"/>
      <c r="G227" s="1" t="s">
        <v>72</v>
      </c>
      <c r="H227" s="1" t="s">
        <v>172</v>
      </c>
      <c r="K227" s="1">
        <v>0</v>
      </c>
      <c r="AF227" s="2">
        <f>8.98+1.365965-0.11057-0.245903-0.248532</f>
        <v>9.7409599999999994</v>
      </c>
      <c r="AG227" s="13">
        <f>(0.34*8.98+1.39*1.365965-1.29*0.11057-1.33*0.245903-1.41*0.248532)/AF227</f>
        <v>0.42416506586619801</v>
      </c>
      <c r="AN227" s="13">
        <f>(0.5*8.98+2.21*1.365965-2.06*0.11057-2.37*0.245903-2.45*0.248532)/AF227</f>
        <v>0.62512472487311321</v>
      </c>
      <c r="AO227" s="2">
        <f>(0.012*8.98+0.083*1.365965-0.083*0.11057-0.083*0.245903-0.083*0.248532)/AF227</f>
        <v>1.7546492337510881E-2</v>
      </c>
      <c r="BA227" s="1">
        <v>2.57</v>
      </c>
      <c r="BB227" s="1">
        <v>0.5</v>
      </c>
      <c r="BI227" s="1">
        <v>0.7</v>
      </c>
      <c r="BJ227" s="1">
        <v>0.02</v>
      </c>
      <c r="BV227" s="2">
        <f>1.365965-0.11057-0.245903-0.248532</f>
        <v>0.76096000000000008</v>
      </c>
      <c r="BW227" s="13">
        <f>(1.39*1.365965-1.29*0.11057-1.33*0.245903-1.41*0.248532)/BV227</f>
        <v>1.4173871688393607</v>
      </c>
      <c r="CD227" s="13">
        <f>(2.21*1.365965-2.06*0.11057-2.37*0.245903-2.45*0.248532)/BV227</f>
        <v>2.1017069753994959</v>
      </c>
      <c r="CE227" s="1">
        <v>8.3000000000000004E-2</v>
      </c>
      <c r="CQ227" s="1">
        <v>0</v>
      </c>
      <c r="DL227" s="18" t="s">
        <v>96</v>
      </c>
      <c r="DM227" s="1" t="s">
        <v>96</v>
      </c>
      <c r="DN227" s="1">
        <f t="shared" si="55"/>
        <v>0.64075546829816687</v>
      </c>
      <c r="DO227" s="1">
        <f t="shared" si="56"/>
        <v>1.8058679420613826E-2</v>
      </c>
      <c r="DP227" s="1" t="s">
        <v>771</v>
      </c>
      <c r="DQ227" s="1" t="s">
        <v>2</v>
      </c>
      <c r="DR227" s="100">
        <f t="shared" si="57"/>
        <v>12.31096</v>
      </c>
      <c r="DS227" s="100">
        <f t="shared" si="58"/>
        <v>0.64075546829816687</v>
      </c>
      <c r="DT227" s="101">
        <f t="shared" si="59"/>
        <v>78.883149400000008</v>
      </c>
      <c r="DV227" s="103">
        <f t="shared" si="60"/>
        <v>0.76096000000000008</v>
      </c>
      <c r="DW227" s="100">
        <f>(BV227*CD227+CQ227*CY227)/DV227</f>
        <v>2.1017069753994959</v>
      </c>
      <c r="DX227" s="101">
        <f>1000*DV227*DW227/100</f>
        <v>15.993149400000004</v>
      </c>
      <c r="DZ227" s="37" t="s">
        <v>2</v>
      </c>
      <c r="EA227" s="37"/>
      <c r="EM227" s="73"/>
      <c r="EN227" s="37"/>
      <c r="EO227" s="37"/>
      <c r="EP227" s="37"/>
      <c r="EQ227" s="37"/>
      <c r="ER227" s="37"/>
      <c r="ES227" s="37"/>
      <c r="ET227" s="37"/>
      <c r="EU227" s="37"/>
      <c r="EV227" s="37"/>
      <c r="EW227" s="37"/>
      <c r="EX227" s="37"/>
      <c r="EY227" s="37"/>
      <c r="EZ227" s="37"/>
      <c r="FA227" s="37"/>
      <c r="FB227" s="37"/>
      <c r="FC227" s="37"/>
      <c r="FD227" s="37"/>
      <c r="FE227" s="37"/>
      <c r="FF227" s="55"/>
      <c r="FG227" s="55"/>
      <c r="FH227" s="55"/>
      <c r="FI227" s="37"/>
      <c r="FJ227" s="55"/>
      <c r="FK227" s="55"/>
      <c r="FL227" s="45"/>
      <c r="FM227" s="37"/>
      <c r="FN227" s="37"/>
      <c r="FO227" s="37"/>
      <c r="FP227" s="55"/>
      <c r="FQ227" s="1" t="s">
        <v>2</v>
      </c>
      <c r="FR227" s="1" t="s">
        <v>113</v>
      </c>
      <c r="FS227" s="1" t="s">
        <v>671</v>
      </c>
      <c r="FT227" s="1" t="s">
        <v>671</v>
      </c>
      <c r="FV227" s="1" t="s">
        <v>2</v>
      </c>
    </row>
    <row r="228" spans="1:178" ht="16.25" customHeight="1" x14ac:dyDescent="0.2">
      <c r="A228" s="18" t="s">
        <v>177</v>
      </c>
      <c r="B228" s="1" t="s">
        <v>82</v>
      </c>
      <c r="C228" s="79" t="s">
        <v>239</v>
      </c>
      <c r="D228" s="1" t="s">
        <v>69</v>
      </c>
      <c r="E228" s="81"/>
      <c r="F228" s="81"/>
      <c r="G228" s="1" t="s">
        <v>72</v>
      </c>
      <c r="H228" s="1" t="s">
        <v>172</v>
      </c>
      <c r="K228" s="1">
        <v>0</v>
      </c>
      <c r="AF228" s="1">
        <v>0.26400000000000001</v>
      </c>
      <c r="AG228" s="13">
        <v>0.7</v>
      </c>
      <c r="AH228" s="1">
        <v>0.23</v>
      </c>
      <c r="AN228" s="1">
        <v>0.65</v>
      </c>
      <c r="AO228" s="1">
        <v>0.03</v>
      </c>
      <c r="AP228" s="1">
        <v>0.62</v>
      </c>
      <c r="AQ228" s="13">
        <v>8</v>
      </c>
      <c r="BA228" s="1">
        <v>8.6999999999999994E-2</v>
      </c>
      <c r="BB228" s="1">
        <v>0.7</v>
      </c>
      <c r="BC228" s="1">
        <v>0.6</v>
      </c>
      <c r="BI228" s="1">
        <v>0.4</v>
      </c>
      <c r="BJ228" s="1">
        <v>0.02</v>
      </c>
      <c r="BK228" s="1">
        <v>1.2</v>
      </c>
      <c r="BL228" s="1">
        <v>1.1000000000000001</v>
      </c>
      <c r="BV228" s="1">
        <v>0</v>
      </c>
      <c r="CQ228" s="1">
        <v>0</v>
      </c>
      <c r="DL228" s="18" t="s">
        <v>96</v>
      </c>
      <c r="DM228" s="1" t="s">
        <v>96</v>
      </c>
      <c r="DN228" s="1">
        <f t="shared" si="55"/>
        <v>0.58803418803418805</v>
      </c>
      <c r="DO228" s="1">
        <f t="shared" si="56"/>
        <v>2.7521367521367524E-2</v>
      </c>
      <c r="DP228" s="1" t="s">
        <v>185</v>
      </c>
      <c r="DQ228" s="1" t="s">
        <v>2</v>
      </c>
      <c r="DR228" s="16">
        <f t="shared" si="57"/>
        <v>0.35099999999999998</v>
      </c>
      <c r="DS228" s="100">
        <f t="shared" si="58"/>
        <v>0.58803418803418805</v>
      </c>
      <c r="DT228" s="101">
        <f t="shared" si="59"/>
        <v>2.0640000000000001</v>
      </c>
      <c r="DV228" s="16">
        <f t="shared" si="60"/>
        <v>0</v>
      </c>
      <c r="DZ228" s="37" t="s">
        <v>2</v>
      </c>
      <c r="EA228" s="37"/>
      <c r="EM228" s="73"/>
      <c r="EN228" s="37"/>
      <c r="EO228" s="37"/>
      <c r="EP228" s="37"/>
      <c r="EQ228" s="37"/>
      <c r="ER228" s="37"/>
      <c r="ES228" s="37"/>
      <c r="ET228" s="37"/>
      <c r="EU228" s="37"/>
      <c r="EV228" s="37"/>
      <c r="EW228" s="37"/>
      <c r="EX228" s="37"/>
      <c r="EY228" s="37"/>
      <c r="EZ228" s="37"/>
      <c r="FA228" s="37"/>
      <c r="FB228" s="37"/>
      <c r="FC228" s="37"/>
      <c r="FD228" s="37"/>
      <c r="FE228" s="37"/>
      <c r="FF228" s="55"/>
      <c r="FG228" s="55"/>
      <c r="FH228" s="55"/>
      <c r="FI228" s="37"/>
      <c r="FJ228" s="55"/>
      <c r="FK228" s="55"/>
      <c r="FL228" s="45"/>
      <c r="FM228" s="37"/>
      <c r="FN228" s="37"/>
      <c r="FO228" s="37"/>
      <c r="FP228" s="55"/>
      <c r="FQ228" s="1" t="s">
        <v>2</v>
      </c>
      <c r="FR228" s="1" t="s">
        <v>113</v>
      </c>
      <c r="FS228" s="1" t="s">
        <v>671</v>
      </c>
      <c r="FT228" s="1" t="s">
        <v>671</v>
      </c>
      <c r="FV228" s="1" t="s">
        <v>2</v>
      </c>
    </row>
    <row r="229" spans="1:178" ht="16.25" customHeight="1" x14ac:dyDescent="0.2">
      <c r="A229" s="18" t="s">
        <v>177</v>
      </c>
      <c r="B229" s="1" t="s">
        <v>82</v>
      </c>
      <c r="C229" s="79" t="s">
        <v>238</v>
      </c>
      <c r="D229" s="1" t="s">
        <v>69</v>
      </c>
      <c r="E229" s="81"/>
      <c r="F229" s="81"/>
      <c r="G229" s="1" t="s">
        <v>72</v>
      </c>
      <c r="H229" s="1" t="s">
        <v>172</v>
      </c>
      <c r="K229" s="1">
        <v>0.42</v>
      </c>
      <c r="L229" s="1">
        <v>4.26</v>
      </c>
      <c r="M229" s="1">
        <v>0.69</v>
      </c>
      <c r="S229" s="1">
        <v>0.36</v>
      </c>
      <c r="U229" s="13">
        <f>0.4*3.43</f>
        <v>1.3720000000000001</v>
      </c>
      <c r="V229" s="13">
        <f>0.6*3.43</f>
        <v>2.0579999999999998</v>
      </c>
      <c r="AF229" s="13">
        <f>6.06+0.64</f>
        <v>6.6999999999999993</v>
      </c>
      <c r="AG229" s="13">
        <f>(0.21*6.06+4.51*0.64)/AF229</f>
        <v>0.62074626865671645</v>
      </c>
      <c r="AH229" s="13">
        <f>(0*6.06+0.75*0.64)/AF229</f>
        <v>7.1641791044776124E-2</v>
      </c>
      <c r="AN229" s="13">
        <f>(0.75*6.06+0.39*0.64)/AF229</f>
        <v>0.7156119402985075</v>
      </c>
      <c r="AP229" s="13">
        <f>0.4*((0*6.06+3.44*0.64)/(6.06+0.64))</f>
        <v>0.13143880597014929</v>
      </c>
      <c r="AQ229" s="13">
        <f>0.6*((0*6.06+3.44*0.64)/(6.06+0.64))</f>
        <v>0.1971582089552239</v>
      </c>
      <c r="BA229" s="1">
        <v>0.32</v>
      </c>
      <c r="BB229" s="1">
        <v>3.44</v>
      </c>
      <c r="BC229" s="1">
        <v>0.52</v>
      </c>
      <c r="BI229" s="1">
        <v>0.32</v>
      </c>
      <c r="BK229" s="13">
        <f>0.4*2.78</f>
        <v>1.1119999999999999</v>
      </c>
      <c r="BL229" s="13">
        <f>0.6*2.78</f>
        <v>1.6679999999999999</v>
      </c>
      <c r="BV229" s="1">
        <v>0</v>
      </c>
      <c r="CQ229" s="1">
        <v>0</v>
      </c>
      <c r="DL229" s="18" t="s">
        <v>96</v>
      </c>
      <c r="DN229" s="1">
        <f t="shared" si="55"/>
        <v>0.67852150537634415</v>
      </c>
      <c r="DO229" s="1">
        <f t="shared" si="56"/>
        <v>0</v>
      </c>
      <c r="DP229" s="1" t="s">
        <v>776</v>
      </c>
      <c r="DQ229" s="1" t="s">
        <v>2</v>
      </c>
      <c r="DR229" s="16">
        <f t="shared" si="57"/>
        <v>7.4399999999999995</v>
      </c>
      <c r="DS229" s="100">
        <f t="shared" si="58"/>
        <v>0.67852150537634415</v>
      </c>
      <c r="DT229" s="101">
        <f t="shared" si="59"/>
        <v>50.481999999999999</v>
      </c>
      <c r="DV229" s="16">
        <f t="shared" si="60"/>
        <v>0</v>
      </c>
      <c r="DZ229" s="37" t="s">
        <v>2</v>
      </c>
      <c r="EA229" s="37"/>
      <c r="EM229" s="73"/>
      <c r="EN229" s="37"/>
      <c r="EO229" s="37"/>
      <c r="EP229" s="37"/>
      <c r="EQ229" s="37"/>
      <c r="ER229" s="37"/>
      <c r="ES229" s="37"/>
      <c r="ET229" s="37"/>
      <c r="EU229" s="37"/>
      <c r="EV229" s="37"/>
      <c r="EW229" s="37"/>
      <c r="EX229" s="37"/>
      <c r="EY229" s="37"/>
      <c r="EZ229" s="37"/>
      <c r="FA229" s="37"/>
      <c r="FB229" s="37"/>
      <c r="FC229" s="37"/>
      <c r="FD229" s="37"/>
      <c r="FE229" s="37"/>
      <c r="FF229" s="55"/>
      <c r="FG229" s="55"/>
      <c r="FH229" s="55"/>
      <c r="FI229" s="37"/>
      <c r="FJ229" s="55"/>
      <c r="FK229" s="55"/>
      <c r="FL229" s="45"/>
      <c r="FM229" s="37"/>
      <c r="FN229" s="37"/>
      <c r="FO229" s="37"/>
      <c r="FP229" s="55"/>
      <c r="FQ229" s="1" t="s">
        <v>2</v>
      </c>
      <c r="FR229" s="1" t="s">
        <v>113</v>
      </c>
      <c r="FS229" s="1" t="s">
        <v>671</v>
      </c>
      <c r="FT229" s="1" t="s">
        <v>671</v>
      </c>
      <c r="FV229" s="1" t="s">
        <v>2</v>
      </c>
    </row>
    <row r="230" spans="1:178" ht="16.25" customHeight="1" x14ac:dyDescent="0.2">
      <c r="A230" s="18" t="s">
        <v>177</v>
      </c>
      <c r="B230" s="1" t="s">
        <v>82</v>
      </c>
      <c r="C230" s="79" t="s">
        <v>237</v>
      </c>
      <c r="D230" s="1" t="s">
        <v>69</v>
      </c>
      <c r="E230" s="81"/>
      <c r="F230" s="81"/>
      <c r="G230" s="1" t="s">
        <v>72</v>
      </c>
      <c r="H230" s="1" t="s">
        <v>172</v>
      </c>
      <c r="K230" s="1">
        <v>0</v>
      </c>
      <c r="AF230" s="1">
        <v>0.18</v>
      </c>
      <c r="AG230" s="1">
        <v>0.78</v>
      </c>
      <c r="AN230" s="1">
        <v>2.3199999999999998</v>
      </c>
      <c r="BA230" s="1">
        <v>0.04</v>
      </c>
      <c r="BB230" s="13">
        <v>0.8</v>
      </c>
      <c r="BI230" s="1">
        <v>2.93</v>
      </c>
      <c r="BV230" s="1">
        <v>0</v>
      </c>
      <c r="CQ230" s="1">
        <v>0</v>
      </c>
      <c r="DL230" s="18" t="s">
        <v>96</v>
      </c>
      <c r="DN230" s="1">
        <f t="shared" si="55"/>
        <v>2.4309090909090907</v>
      </c>
      <c r="DO230" s="1">
        <f t="shared" si="56"/>
        <v>0</v>
      </c>
      <c r="DP230" s="1" t="s">
        <v>769</v>
      </c>
      <c r="DQ230" s="1" t="s">
        <v>2</v>
      </c>
      <c r="DR230" s="16">
        <f t="shared" si="57"/>
        <v>0.22</v>
      </c>
      <c r="DS230" s="100">
        <f t="shared" si="58"/>
        <v>2.4309090909090907</v>
      </c>
      <c r="DT230" s="101">
        <f t="shared" si="59"/>
        <v>5.3479999999999999</v>
      </c>
      <c r="DV230" s="16">
        <f t="shared" si="60"/>
        <v>0</v>
      </c>
      <c r="DZ230" s="37" t="s">
        <v>2</v>
      </c>
      <c r="EA230" s="37"/>
      <c r="EM230" s="73"/>
      <c r="EN230" s="37"/>
      <c r="EO230" s="37"/>
      <c r="EP230" s="37"/>
      <c r="EQ230" s="37"/>
      <c r="ER230" s="37"/>
      <c r="ES230" s="37"/>
      <c r="ET230" s="37"/>
      <c r="EU230" s="37"/>
      <c r="EV230" s="37"/>
      <c r="EW230" s="37"/>
      <c r="EX230" s="37"/>
      <c r="EY230" s="37"/>
      <c r="EZ230" s="37"/>
      <c r="FA230" s="37"/>
      <c r="FB230" s="37"/>
      <c r="FC230" s="37"/>
      <c r="FD230" s="37"/>
      <c r="FE230" s="37"/>
      <c r="FF230" s="55"/>
      <c r="FG230" s="55"/>
      <c r="FH230" s="55"/>
      <c r="FI230" s="37"/>
      <c r="FJ230" s="55"/>
      <c r="FK230" s="55"/>
      <c r="FL230" s="45"/>
      <c r="FM230" s="37"/>
      <c r="FN230" s="37"/>
      <c r="FO230" s="37"/>
      <c r="FP230" s="55"/>
      <c r="FQ230" s="1" t="s">
        <v>2</v>
      </c>
      <c r="FR230" s="1" t="s">
        <v>113</v>
      </c>
      <c r="FS230" s="1" t="s">
        <v>671</v>
      </c>
      <c r="FT230" s="1" t="s">
        <v>671</v>
      </c>
      <c r="FV230" s="1" t="s">
        <v>2</v>
      </c>
    </row>
    <row r="231" spans="1:178" ht="16.25" customHeight="1" x14ac:dyDescent="0.2">
      <c r="A231" s="18" t="s">
        <v>177</v>
      </c>
      <c r="B231" s="1" t="s">
        <v>82</v>
      </c>
      <c r="C231" s="79" t="s">
        <v>292</v>
      </c>
      <c r="D231" s="1" t="s">
        <v>69</v>
      </c>
      <c r="E231" s="81"/>
      <c r="F231" s="81"/>
      <c r="G231" s="1" t="s">
        <v>72</v>
      </c>
      <c r="H231" s="1" t="s">
        <v>172</v>
      </c>
      <c r="K231" s="1">
        <v>0</v>
      </c>
      <c r="AF231" s="1">
        <v>1.56</v>
      </c>
      <c r="AG231" s="1">
        <v>0.46</v>
      </c>
      <c r="AN231" s="1">
        <v>0.94</v>
      </c>
      <c r="BA231" s="1">
        <v>0.8</v>
      </c>
      <c r="BB231" s="1">
        <v>0.56999999999999995</v>
      </c>
      <c r="BI231" s="1">
        <v>1.17</v>
      </c>
      <c r="BV231" s="1">
        <v>0</v>
      </c>
      <c r="CQ231" s="1">
        <v>0</v>
      </c>
      <c r="DL231" s="18" t="s">
        <v>96</v>
      </c>
      <c r="DN231" s="1">
        <f t="shared" si="55"/>
        <v>1.0179661016949151</v>
      </c>
      <c r="DO231" s="1">
        <f t="shared" si="56"/>
        <v>0</v>
      </c>
      <c r="DP231" s="1" t="s">
        <v>780</v>
      </c>
      <c r="DQ231" s="1" t="s">
        <v>2</v>
      </c>
      <c r="DR231" s="16">
        <f t="shared" si="57"/>
        <v>2.3600000000000003</v>
      </c>
      <c r="DS231" s="100">
        <f t="shared" si="58"/>
        <v>1.0179661016949151</v>
      </c>
      <c r="DT231" s="101">
        <f t="shared" si="59"/>
        <v>24.024000000000001</v>
      </c>
      <c r="DV231" s="16">
        <f t="shared" si="60"/>
        <v>0</v>
      </c>
      <c r="DZ231" s="37" t="s">
        <v>2</v>
      </c>
      <c r="EA231" s="37"/>
      <c r="EM231" s="73"/>
      <c r="EN231" s="37"/>
      <c r="EO231" s="37"/>
      <c r="EP231" s="37"/>
      <c r="EQ231" s="37"/>
      <c r="ER231" s="37"/>
      <c r="ES231" s="37"/>
      <c r="ET231" s="37"/>
      <c r="EU231" s="37"/>
      <c r="EV231" s="37"/>
      <c r="EW231" s="37"/>
      <c r="EX231" s="37"/>
      <c r="EY231" s="37"/>
      <c r="EZ231" s="37"/>
      <c r="FA231" s="37"/>
      <c r="FB231" s="37"/>
      <c r="FC231" s="37"/>
      <c r="FD231" s="37"/>
      <c r="FE231" s="37"/>
      <c r="FF231" s="55"/>
      <c r="FG231" s="55"/>
      <c r="FH231" s="55"/>
      <c r="FI231" s="37"/>
      <c r="FJ231" s="55"/>
      <c r="FK231" s="55"/>
      <c r="FL231" s="45"/>
      <c r="FM231" s="37"/>
      <c r="FN231" s="37"/>
      <c r="FO231" s="37"/>
      <c r="FP231" s="55"/>
      <c r="FQ231" s="1" t="s">
        <v>2</v>
      </c>
      <c r="FR231" s="1" t="s">
        <v>113</v>
      </c>
      <c r="FS231" s="1" t="s">
        <v>671</v>
      </c>
      <c r="FT231" s="1" t="s">
        <v>671</v>
      </c>
      <c r="FV231" s="1" t="s">
        <v>2</v>
      </c>
    </row>
    <row r="232" spans="1:178" ht="16.25" customHeight="1" x14ac:dyDescent="0.2">
      <c r="A232" s="18" t="s">
        <v>177</v>
      </c>
      <c r="B232" s="1" t="s">
        <v>82</v>
      </c>
      <c r="C232" s="79" t="s">
        <v>291</v>
      </c>
      <c r="D232" s="1" t="s">
        <v>69</v>
      </c>
      <c r="E232" s="81"/>
      <c r="F232" s="81"/>
      <c r="G232" s="1" t="s">
        <v>72</v>
      </c>
      <c r="H232" s="1" t="s">
        <v>172</v>
      </c>
      <c r="K232" s="1">
        <v>0</v>
      </c>
      <c r="AF232" s="1">
        <v>0</v>
      </c>
      <c r="BA232" s="1">
        <v>14.2</v>
      </c>
      <c r="BB232" s="1">
        <v>2.5</v>
      </c>
      <c r="BC232" s="14">
        <f>0.03*31.1/0.9072</f>
        <v>1.0284391534391535</v>
      </c>
      <c r="BD232" s="14">
        <f>0.4*31.1/0.9072</f>
        <v>13.71252204585538</v>
      </c>
      <c r="BI232" s="1">
        <v>2.5</v>
      </c>
      <c r="BJ232" s="1">
        <v>0.05</v>
      </c>
      <c r="BK232" s="14">
        <f>0.08*31.1/0.9072</f>
        <v>2.742504409171076</v>
      </c>
      <c r="BL232" s="14">
        <f>0.12*31.1/0.9072</f>
        <v>4.1137566137566139</v>
      </c>
      <c r="BV232" s="1">
        <v>0</v>
      </c>
      <c r="CQ232" s="1">
        <v>0</v>
      </c>
      <c r="DL232" s="18" t="s">
        <v>96</v>
      </c>
      <c r="DM232" s="1" t="s">
        <v>96</v>
      </c>
      <c r="DN232" s="1">
        <f t="shared" si="55"/>
        <v>2.5</v>
      </c>
      <c r="DO232" s="1">
        <f t="shared" si="56"/>
        <v>0.05</v>
      </c>
      <c r="DP232" s="1" t="s">
        <v>782</v>
      </c>
      <c r="DQ232" s="1" t="s">
        <v>2</v>
      </c>
      <c r="DR232" s="16">
        <f t="shared" si="57"/>
        <v>14.2</v>
      </c>
      <c r="DS232" s="16">
        <f t="shared" si="58"/>
        <v>2.5</v>
      </c>
      <c r="DT232" s="101">
        <f t="shared" si="59"/>
        <v>355</v>
      </c>
      <c r="DV232" s="16">
        <f t="shared" si="60"/>
        <v>0</v>
      </c>
      <c r="DZ232" s="37" t="s">
        <v>2</v>
      </c>
      <c r="EA232" s="37"/>
      <c r="EM232" s="73"/>
      <c r="EN232" s="37"/>
      <c r="EO232" s="37"/>
      <c r="EP232" s="37"/>
      <c r="EQ232" s="37"/>
      <c r="ER232" s="37"/>
      <c r="ES232" s="37"/>
      <c r="ET232" s="37"/>
      <c r="EU232" s="37"/>
      <c r="EV232" s="37"/>
      <c r="EW232" s="37"/>
      <c r="EX232" s="37"/>
      <c r="EY232" s="37"/>
      <c r="EZ232" s="37"/>
      <c r="FA232" s="37"/>
      <c r="FB232" s="37"/>
      <c r="FC232" s="37"/>
      <c r="FD232" s="37"/>
      <c r="FE232" s="37"/>
      <c r="FF232" s="55"/>
      <c r="FG232" s="55"/>
      <c r="FH232" s="55"/>
      <c r="FI232" s="37"/>
      <c r="FJ232" s="55"/>
      <c r="FK232" s="55"/>
      <c r="FL232" s="45"/>
      <c r="FM232" s="37"/>
      <c r="FN232" s="37"/>
      <c r="FO232" s="37"/>
      <c r="FP232" s="55"/>
      <c r="FQ232" s="1" t="s">
        <v>2</v>
      </c>
      <c r="FR232" s="1" t="s">
        <v>113</v>
      </c>
      <c r="FS232" s="1" t="s">
        <v>671</v>
      </c>
      <c r="FT232" s="1" t="s">
        <v>671</v>
      </c>
      <c r="FV232" s="1" t="s">
        <v>2</v>
      </c>
    </row>
    <row r="233" spans="1:178" ht="16.25" customHeight="1" x14ac:dyDescent="0.2">
      <c r="A233" s="18" t="s">
        <v>177</v>
      </c>
      <c r="B233" s="1" t="s">
        <v>82</v>
      </c>
      <c r="C233" s="79" t="s">
        <v>290</v>
      </c>
      <c r="D233" s="1" t="s">
        <v>69</v>
      </c>
      <c r="E233" s="81"/>
      <c r="F233" s="81"/>
      <c r="G233" s="1" t="s">
        <v>72</v>
      </c>
      <c r="H233" s="1" t="s">
        <v>172</v>
      </c>
      <c r="K233" s="1">
        <v>0</v>
      </c>
      <c r="AF233" s="1">
        <v>0.56000000000000005</v>
      </c>
      <c r="AG233" s="1">
        <v>0.49</v>
      </c>
      <c r="AN233" s="1">
        <v>1.17</v>
      </c>
      <c r="BA233" s="1">
        <v>1.59</v>
      </c>
      <c r="BB233" s="1">
        <v>0.97</v>
      </c>
      <c r="BI233" s="1">
        <v>1.27</v>
      </c>
      <c r="BV233" s="1">
        <v>0</v>
      </c>
      <c r="CQ233" s="1">
        <v>0</v>
      </c>
      <c r="DL233" s="18" t="s">
        <v>96</v>
      </c>
      <c r="DN233" s="1">
        <f t="shared" si="55"/>
        <v>1.2439534883720929</v>
      </c>
      <c r="DO233" s="1">
        <f t="shared" si="56"/>
        <v>0</v>
      </c>
      <c r="DP233" s="1" t="s">
        <v>776</v>
      </c>
      <c r="DQ233" s="1" t="s">
        <v>2</v>
      </c>
      <c r="DR233" s="16">
        <f t="shared" si="57"/>
        <v>2.1500000000000004</v>
      </c>
      <c r="DS233" s="100">
        <f t="shared" si="58"/>
        <v>1.2439534883720929</v>
      </c>
      <c r="DT233" s="101">
        <f t="shared" si="59"/>
        <v>26.745000000000001</v>
      </c>
      <c r="DV233" s="16">
        <f t="shared" si="60"/>
        <v>0</v>
      </c>
      <c r="DZ233" s="37" t="s">
        <v>2</v>
      </c>
      <c r="EA233" s="37"/>
      <c r="EM233" s="73"/>
      <c r="EN233" s="37"/>
      <c r="EO233" s="37"/>
      <c r="EP233" s="37"/>
      <c r="EQ233" s="37"/>
      <c r="ER233" s="37"/>
      <c r="ES233" s="37"/>
      <c r="ET233" s="37"/>
      <c r="EU233" s="37"/>
      <c r="EV233" s="37"/>
      <c r="EW233" s="37"/>
      <c r="EX233" s="37"/>
      <c r="EY233" s="37"/>
      <c r="EZ233" s="37"/>
      <c r="FA233" s="37"/>
      <c r="FB233" s="37"/>
      <c r="FC233" s="37"/>
      <c r="FD233" s="37"/>
      <c r="FE233" s="37"/>
      <c r="FF233" s="55"/>
      <c r="FG233" s="55"/>
      <c r="FH233" s="55"/>
      <c r="FI233" s="37"/>
      <c r="FJ233" s="55"/>
      <c r="FK233" s="55"/>
      <c r="FL233" s="45"/>
      <c r="FM233" s="37"/>
      <c r="FN233" s="37"/>
      <c r="FO233" s="37"/>
      <c r="FP233" s="55"/>
      <c r="FQ233" s="1" t="s">
        <v>2</v>
      </c>
      <c r="FR233" s="1" t="s">
        <v>113</v>
      </c>
      <c r="FS233" s="1" t="s">
        <v>671</v>
      </c>
      <c r="FT233" s="1" t="s">
        <v>671</v>
      </c>
      <c r="FV233" s="1" t="s">
        <v>2</v>
      </c>
    </row>
    <row r="234" spans="1:178" ht="16.25" customHeight="1" x14ac:dyDescent="0.2">
      <c r="A234" s="18" t="s">
        <v>177</v>
      </c>
      <c r="B234" s="1" t="s">
        <v>82</v>
      </c>
      <c r="C234" s="15" t="s">
        <v>941</v>
      </c>
      <c r="D234" s="1" t="s">
        <v>69</v>
      </c>
      <c r="E234" s="81"/>
      <c r="F234" s="81"/>
      <c r="H234" s="1" t="s">
        <v>131</v>
      </c>
      <c r="K234" s="1">
        <v>0</v>
      </c>
      <c r="AF234" s="1">
        <v>8.5500000000000007</v>
      </c>
      <c r="AG234" s="1">
        <v>0.31</v>
      </c>
      <c r="AH234" s="1">
        <v>0.03</v>
      </c>
      <c r="AN234" s="1">
        <v>0.45</v>
      </c>
      <c r="AO234" s="1">
        <v>0.01</v>
      </c>
      <c r="AP234" s="1">
        <v>7.0000000000000007E-2</v>
      </c>
      <c r="AQ234" s="1">
        <v>0.02</v>
      </c>
      <c r="BA234" s="14">
        <v>2</v>
      </c>
      <c r="BB234" s="13">
        <v>0.3</v>
      </c>
      <c r="BC234" s="1">
        <v>0.04</v>
      </c>
      <c r="BI234" s="1">
        <v>0.38</v>
      </c>
      <c r="BJ234" s="1">
        <v>0.01</v>
      </c>
      <c r="BK234" s="1">
        <v>0.09</v>
      </c>
      <c r="BL234" s="1">
        <v>0.03</v>
      </c>
      <c r="BV234" s="1">
        <v>0</v>
      </c>
      <c r="CQ234" s="1">
        <v>0</v>
      </c>
      <c r="DL234" s="18" t="s">
        <v>96</v>
      </c>
      <c r="DM234" s="1" t="s">
        <v>96</v>
      </c>
      <c r="DN234" s="1">
        <f t="shared" si="55"/>
        <v>0.43672985781990525</v>
      </c>
      <c r="DO234" s="1">
        <f t="shared" si="56"/>
        <v>0.01</v>
      </c>
      <c r="DP234" s="1" t="s">
        <v>692</v>
      </c>
      <c r="DQ234" s="1" t="s">
        <v>2</v>
      </c>
      <c r="DR234" s="16">
        <f t="shared" si="57"/>
        <v>10.55</v>
      </c>
      <c r="DS234" s="100">
        <f t="shared" si="58"/>
        <v>0.43672985781990525</v>
      </c>
      <c r="DT234" s="101">
        <f t="shared" si="59"/>
        <v>46.075000000000003</v>
      </c>
      <c r="DV234" s="16">
        <f t="shared" si="60"/>
        <v>0</v>
      </c>
      <c r="DZ234" s="37" t="s">
        <v>2</v>
      </c>
      <c r="EA234" s="37"/>
      <c r="EM234" s="73"/>
      <c r="EN234" s="37"/>
      <c r="EO234" s="37"/>
      <c r="EP234" s="37"/>
      <c r="EQ234" s="37"/>
      <c r="ER234" s="37"/>
      <c r="ES234" s="37"/>
      <c r="ET234" s="37"/>
      <c r="EU234" s="37"/>
      <c r="EV234" s="37"/>
      <c r="EW234" s="37"/>
      <c r="EX234" s="37"/>
      <c r="EY234" s="37"/>
      <c r="EZ234" s="37"/>
      <c r="FA234" s="37"/>
      <c r="FB234" s="37"/>
      <c r="FC234" s="37"/>
      <c r="FD234" s="37"/>
      <c r="FE234" s="37"/>
      <c r="FF234" s="55"/>
      <c r="FG234" s="55"/>
      <c r="FH234" s="55"/>
      <c r="FI234" s="37"/>
      <c r="FJ234" s="55"/>
      <c r="FK234" s="55"/>
      <c r="FL234" s="45"/>
      <c r="FM234" s="37"/>
      <c r="FN234" s="37"/>
      <c r="FO234" s="37"/>
      <c r="FP234" s="55"/>
      <c r="FQ234" s="1" t="s">
        <v>2</v>
      </c>
      <c r="FR234" s="1" t="s">
        <v>113</v>
      </c>
      <c r="FS234" s="1" t="s">
        <v>671</v>
      </c>
      <c r="FT234" s="1" t="s">
        <v>671</v>
      </c>
      <c r="FV234" s="1" t="s">
        <v>2</v>
      </c>
    </row>
    <row r="235" spans="1:178" ht="16.25" customHeight="1" x14ac:dyDescent="0.2">
      <c r="A235" s="18" t="s">
        <v>177</v>
      </c>
      <c r="B235" s="1" t="s">
        <v>82</v>
      </c>
      <c r="C235" s="15" t="s">
        <v>838</v>
      </c>
      <c r="D235" s="1" t="s">
        <v>64</v>
      </c>
      <c r="H235" s="1" t="s">
        <v>249</v>
      </c>
      <c r="K235" s="1">
        <v>0</v>
      </c>
      <c r="AF235" s="1">
        <v>0</v>
      </c>
      <c r="BA235" s="1">
        <v>2</v>
      </c>
      <c r="BB235" s="1">
        <v>0.75</v>
      </c>
      <c r="BI235" s="1">
        <v>0.33</v>
      </c>
      <c r="BV235" s="1">
        <v>0</v>
      </c>
      <c r="CQ235" s="1">
        <v>0</v>
      </c>
      <c r="DL235" s="18" t="s">
        <v>163</v>
      </c>
      <c r="DN235" s="1">
        <f t="shared" si="55"/>
        <v>0.33</v>
      </c>
      <c r="DO235" s="1">
        <f t="shared" si="56"/>
        <v>0</v>
      </c>
      <c r="DP235" s="1" t="s">
        <v>658</v>
      </c>
      <c r="DQ235" s="1" t="s">
        <v>2</v>
      </c>
      <c r="DR235" s="16">
        <f t="shared" si="57"/>
        <v>2</v>
      </c>
      <c r="DS235" s="16">
        <f t="shared" si="58"/>
        <v>0.33</v>
      </c>
      <c r="DT235" s="101">
        <f t="shared" si="59"/>
        <v>6.6</v>
      </c>
      <c r="DV235" s="16">
        <f t="shared" si="60"/>
        <v>0</v>
      </c>
      <c r="DZ235" s="37" t="s">
        <v>2</v>
      </c>
      <c r="EA235" s="37"/>
      <c r="EM235" s="73"/>
      <c r="EN235" s="37"/>
      <c r="EO235" s="37"/>
      <c r="EP235" s="37"/>
      <c r="EQ235" s="37"/>
      <c r="ER235" s="37"/>
      <c r="ES235" s="37"/>
      <c r="ET235" s="37"/>
      <c r="EU235" s="37"/>
      <c r="EV235" s="37"/>
      <c r="EW235" s="37"/>
      <c r="EX235" s="37"/>
      <c r="EY235" s="37"/>
      <c r="EZ235" s="37"/>
      <c r="FA235" s="37"/>
      <c r="FB235" s="37"/>
      <c r="FC235" s="37"/>
      <c r="FD235" s="37"/>
      <c r="FE235" s="37"/>
      <c r="FF235" s="55"/>
      <c r="FG235" s="55"/>
      <c r="FH235" s="55"/>
      <c r="FI235" s="37"/>
      <c r="FJ235" s="55"/>
      <c r="FK235" s="55"/>
      <c r="FL235" s="45"/>
      <c r="FM235" s="37"/>
      <c r="FN235" s="37"/>
      <c r="FO235" s="37"/>
      <c r="FP235" s="55"/>
      <c r="FQ235" s="1" t="s">
        <v>2</v>
      </c>
      <c r="FR235" s="1" t="s">
        <v>113</v>
      </c>
      <c r="FS235" s="1" t="s">
        <v>261</v>
      </c>
      <c r="FV235" s="1" t="s">
        <v>2</v>
      </c>
    </row>
    <row r="236" spans="1:178" ht="16.25" customHeight="1" x14ac:dyDescent="0.2">
      <c r="A236" s="18" t="s">
        <v>177</v>
      </c>
      <c r="B236" s="1" t="s">
        <v>82</v>
      </c>
      <c r="C236" s="79" t="s">
        <v>573</v>
      </c>
      <c r="D236" s="1" t="s">
        <v>64</v>
      </c>
      <c r="G236" s="1" t="s">
        <v>72</v>
      </c>
      <c r="H236" s="1" t="s">
        <v>574</v>
      </c>
      <c r="K236" s="1">
        <v>4.4640000000000004</v>
      </c>
      <c r="L236" s="1">
        <v>0.23</v>
      </c>
      <c r="S236" s="1">
        <v>0.42</v>
      </c>
      <c r="T236" s="1">
        <v>0.01</v>
      </c>
      <c r="AF236" s="1">
        <v>2.6749999999999998</v>
      </c>
      <c r="AG236" s="13">
        <v>0.5</v>
      </c>
      <c r="AN236" s="1">
        <v>0.96</v>
      </c>
      <c r="AO236" s="1">
        <v>0.02</v>
      </c>
      <c r="BA236" s="1">
        <v>0.11799999999999999</v>
      </c>
      <c r="BB236" s="1">
        <v>0.88</v>
      </c>
      <c r="BI236" s="1">
        <v>1.38</v>
      </c>
      <c r="BJ236" s="1">
        <v>3.0000000000000001E-3</v>
      </c>
      <c r="BV236" s="1">
        <v>0</v>
      </c>
      <c r="CQ236" s="1">
        <v>0</v>
      </c>
      <c r="DL236" s="18" t="s">
        <v>96</v>
      </c>
      <c r="DM236" s="1" t="s">
        <v>96</v>
      </c>
      <c r="DN236" s="1">
        <f t="shared" si="55"/>
        <v>0.63465894997933026</v>
      </c>
      <c r="DO236" s="1">
        <f t="shared" si="56"/>
        <v>1.3572275044784345E-2</v>
      </c>
      <c r="DP236" s="1" t="s">
        <v>156</v>
      </c>
      <c r="DQ236" s="1" t="s">
        <v>2</v>
      </c>
      <c r="DR236" s="16">
        <f t="shared" si="57"/>
        <v>7.2570000000000006</v>
      </c>
      <c r="DS236" s="100">
        <f t="shared" si="58"/>
        <v>0.63465894997933026</v>
      </c>
      <c r="DT236" s="101">
        <f t="shared" si="59"/>
        <v>46.057200000000002</v>
      </c>
      <c r="DV236" s="16">
        <f t="shared" si="60"/>
        <v>0</v>
      </c>
      <c r="DZ236" s="37" t="s">
        <v>2</v>
      </c>
      <c r="EA236" s="37"/>
      <c r="EM236" s="73"/>
      <c r="EN236" s="37"/>
      <c r="EO236" s="37"/>
      <c r="EP236" s="37"/>
      <c r="EQ236" s="37"/>
      <c r="ER236" s="37"/>
      <c r="ES236" s="37"/>
      <c r="ET236" s="37"/>
      <c r="EU236" s="37"/>
      <c r="EV236" s="37"/>
      <c r="EW236" s="37"/>
      <c r="EX236" s="37"/>
      <c r="EY236" s="37"/>
      <c r="EZ236" s="37"/>
      <c r="FA236" s="37"/>
      <c r="FB236" s="37"/>
      <c r="FC236" s="37"/>
      <c r="FD236" s="37"/>
      <c r="FE236" s="37"/>
      <c r="FF236" s="55"/>
      <c r="FG236" s="55"/>
      <c r="FH236" s="55"/>
      <c r="FI236" s="37"/>
      <c r="FJ236" s="55"/>
      <c r="FK236" s="55"/>
      <c r="FL236" s="45"/>
      <c r="FM236" s="37"/>
      <c r="FN236" s="37"/>
      <c r="FO236" s="37"/>
      <c r="FP236" s="55"/>
      <c r="FQ236" s="1" t="s">
        <v>2</v>
      </c>
      <c r="FR236" s="1" t="s">
        <v>113</v>
      </c>
      <c r="FS236" s="1" t="s">
        <v>261</v>
      </c>
      <c r="FV236" s="1" t="s">
        <v>2</v>
      </c>
    </row>
    <row r="237" spans="1:178" ht="16.25" customHeight="1" x14ac:dyDescent="0.2">
      <c r="A237" s="18" t="s">
        <v>595</v>
      </c>
      <c r="B237" s="1" t="s">
        <v>82</v>
      </c>
      <c r="C237" s="79" t="s">
        <v>218</v>
      </c>
      <c r="D237" s="1" t="s">
        <v>69</v>
      </c>
      <c r="E237" s="23">
        <f>-7-57/60</f>
        <v>-7.95</v>
      </c>
      <c r="F237" s="23">
        <f>147+15/60</f>
        <v>147.25</v>
      </c>
      <c r="G237" s="1" t="s">
        <v>72</v>
      </c>
      <c r="H237" s="1" t="s">
        <v>131</v>
      </c>
      <c r="K237" s="13">
        <f>9.568+9.581+3.174</f>
        <v>22.323</v>
      </c>
      <c r="L237" s="13">
        <f>(0.08*9.568+0.06*9.581+0.05*3.174)/K237</f>
        <v>6.715047260672849E-2</v>
      </c>
      <c r="M237" s="13">
        <f>(0.219*9.568+0.172*9.581+0.07*3.174)/K237</f>
        <v>0.17764207319804681</v>
      </c>
      <c r="S237" s="13">
        <f>(0.09*9.568+0.06*9.581+0.05*3.174)/K237</f>
        <v>7.143663486090579E-2</v>
      </c>
      <c r="T237" s="1">
        <v>6.0000000000000001E-3</v>
      </c>
      <c r="U237" s="13">
        <f>(0.252*9.568+0.214*9.581+0.134*3.174)/K237</f>
        <v>0.21891260135286478</v>
      </c>
      <c r="V237" s="13">
        <f>(2.9*9.568+2.2*9.581+1.38*3.174)/K237</f>
        <v>2.3834395018590691</v>
      </c>
      <c r="AF237" s="1">
        <f>18.759+26.589+1.91+3.399</f>
        <v>50.656999999999996</v>
      </c>
      <c r="AG237" s="13">
        <f>(0.08*18.759+0.05*26.589+0.06*1.91+0.03*3.399)/AF237</f>
        <v>6.0144501253528632E-2</v>
      </c>
      <c r="AH237" s="13">
        <f>(0.233*18.759+0.109*26.589+0.098*1.91+0.08*3.399)/AF237</f>
        <v>0.15255834336814261</v>
      </c>
      <c r="AN237" s="13">
        <f>(0.1*18.759+0.05*26.589+0.07*1.91+0.06*3.399)/AF237</f>
        <v>6.994077817478335E-2</v>
      </c>
      <c r="AO237" s="1">
        <v>6.0000000000000001E-3</v>
      </c>
      <c r="AP237" s="13">
        <f>(2.97*18.759+1.56*26.589+1.32*1.91+0.97*3.399)/AF237</f>
        <v>2.033505734646742</v>
      </c>
      <c r="AQ237" s="13">
        <f>(0.256*18.759+0.193*26.589+0.155*1.91+0.12*3.399)/AF237</f>
        <v>0.20999883530410407</v>
      </c>
      <c r="BA237" s="1">
        <v>8.2349999999999994</v>
      </c>
      <c r="BB237" s="1">
        <v>6.6000000000000003E-2</v>
      </c>
      <c r="BC237" s="1">
        <v>0.14599999999999999</v>
      </c>
      <c r="BI237" s="1">
        <v>7.0000000000000007E-2</v>
      </c>
      <c r="BJ237" s="1">
        <v>6.0000000000000001E-3</v>
      </c>
      <c r="BK237" s="1">
        <v>0.216</v>
      </c>
      <c r="BL237" s="1">
        <v>2.2200000000000002</v>
      </c>
      <c r="BV237" s="1">
        <v>4.9790000000000001</v>
      </c>
      <c r="BW237" s="1">
        <v>0.05</v>
      </c>
      <c r="BX237" s="1">
        <v>0.14499999999999999</v>
      </c>
      <c r="CD237" s="1">
        <v>0.06</v>
      </c>
      <c r="CE237" s="1">
        <v>6.0000000000000001E-3</v>
      </c>
      <c r="CF237" s="1">
        <v>0.20799999999999999</v>
      </c>
      <c r="CG237" s="1">
        <v>2.0299999999999998</v>
      </c>
      <c r="CQ237" s="1">
        <v>33.899000000000001</v>
      </c>
      <c r="CR237" s="1">
        <v>0.06</v>
      </c>
      <c r="CS237" s="2">
        <v>0.18</v>
      </c>
      <c r="CY237" s="1">
        <v>7.0000000000000007E-2</v>
      </c>
      <c r="CZ237" s="1">
        <v>6.0000000000000001E-3</v>
      </c>
      <c r="DA237" s="1">
        <v>0.20799999999999999</v>
      </c>
      <c r="DB237" s="1">
        <v>2.35</v>
      </c>
      <c r="DL237" s="18" t="s">
        <v>96</v>
      </c>
      <c r="DM237" s="1" t="s">
        <v>96</v>
      </c>
      <c r="DN237" s="1">
        <f t="shared" si="55"/>
        <v>7.0357938804408063E-2</v>
      </c>
      <c r="DO237" s="1">
        <f t="shared" si="56"/>
        <v>6.000000000000001E-3</v>
      </c>
      <c r="DP237" s="1" t="s">
        <v>185</v>
      </c>
      <c r="DQ237" s="1" t="s">
        <v>2</v>
      </c>
      <c r="DR237" s="100">
        <f t="shared" si="57"/>
        <v>81.214999999999989</v>
      </c>
      <c r="DS237" s="103">
        <f t="shared" si="58"/>
        <v>7.0357938804408063E-2</v>
      </c>
      <c r="DT237" s="101">
        <f t="shared" si="59"/>
        <v>57.141199999999998</v>
      </c>
      <c r="DV237" s="100">
        <f t="shared" si="60"/>
        <v>38.878</v>
      </c>
      <c r="DW237" s="100">
        <f>(BV237*CD237+CQ237*CY237)/DV237</f>
        <v>6.8719327125880969E-2</v>
      </c>
      <c r="DX237" s="101">
        <f>1000*DV237*DW237/100</f>
        <v>26.716700000000007</v>
      </c>
      <c r="DZ237" s="37" t="s">
        <v>2</v>
      </c>
      <c r="EA237" s="37"/>
      <c r="EM237" s="73"/>
      <c r="EN237" s="37"/>
      <c r="EO237" s="37"/>
      <c r="EP237" s="37"/>
      <c r="EQ237" s="37"/>
      <c r="ER237" s="37"/>
      <c r="ES237" s="37"/>
      <c r="ET237" s="37"/>
      <c r="EU237" s="37"/>
      <c r="EV237" s="37"/>
      <c r="EW237" s="37"/>
      <c r="EX237" s="37"/>
      <c r="EY237" s="37"/>
      <c r="EZ237" s="37"/>
      <c r="FA237" s="37"/>
      <c r="FB237" s="37"/>
      <c r="FC237" s="37"/>
      <c r="FD237" s="37"/>
      <c r="FE237" s="37"/>
      <c r="FF237" s="55"/>
      <c r="FG237" s="55"/>
      <c r="FH237" s="55"/>
      <c r="FI237" s="37"/>
      <c r="FJ237" s="55"/>
      <c r="FK237" s="55"/>
      <c r="FL237" s="45"/>
      <c r="FM237" s="37"/>
      <c r="FN237" s="37"/>
      <c r="FO237" s="37"/>
      <c r="FP237" s="55"/>
      <c r="FQ237" s="1" t="s">
        <v>2</v>
      </c>
      <c r="FR237" s="1" t="s">
        <v>113</v>
      </c>
      <c r="FS237" s="1" t="s">
        <v>261</v>
      </c>
      <c r="FT237" s="1" t="s">
        <v>698</v>
      </c>
      <c r="FV237" s="1" t="s">
        <v>2</v>
      </c>
    </row>
    <row r="238" spans="1:178" ht="16.25" customHeight="1" x14ac:dyDescent="0.2">
      <c r="A238" s="18" t="s">
        <v>177</v>
      </c>
      <c r="B238" s="1" t="s">
        <v>82</v>
      </c>
      <c r="C238" s="15" t="s">
        <v>1223</v>
      </c>
      <c r="H238" s="1" t="s">
        <v>1224</v>
      </c>
      <c r="K238" s="2">
        <v>0.28591800000000001</v>
      </c>
      <c r="L238" s="1">
        <v>0.77</v>
      </c>
      <c r="S238" s="1">
        <v>1.23</v>
      </c>
      <c r="T238" s="2">
        <v>2.8899999999999999E-2</v>
      </c>
      <c r="AF238" s="2">
        <v>0.51318299999999994</v>
      </c>
      <c r="AG238" s="1">
        <v>0.62</v>
      </c>
      <c r="AN238" s="1">
        <v>1.05</v>
      </c>
      <c r="AO238" s="2">
        <v>2.8899999999999999E-2</v>
      </c>
      <c r="BA238" s="2">
        <v>0.43927899999999998</v>
      </c>
      <c r="BB238" s="1">
        <v>0.41</v>
      </c>
      <c r="BI238" s="1">
        <v>0.65</v>
      </c>
      <c r="BJ238" s="2">
        <v>2.8899999999999999E-2</v>
      </c>
      <c r="BV238" s="1">
        <v>0</v>
      </c>
      <c r="CQ238" s="1">
        <v>0</v>
      </c>
      <c r="DL238" s="18" t="s">
        <v>96</v>
      </c>
      <c r="DM238" s="1" t="s">
        <v>96</v>
      </c>
      <c r="DN238" s="1">
        <f t="shared" si="55"/>
        <v>0.94967024661250998</v>
      </c>
      <c r="DO238" s="1">
        <f t="shared" si="56"/>
        <v>2.8900000000000002E-2</v>
      </c>
      <c r="DP238" s="1" t="s">
        <v>707</v>
      </c>
      <c r="DQ238" s="1" t="s">
        <v>2</v>
      </c>
      <c r="DR238" s="103">
        <f t="shared" si="57"/>
        <v>1.2383799999999998</v>
      </c>
      <c r="DS238" s="100">
        <f t="shared" si="58"/>
        <v>0.94967024661250998</v>
      </c>
      <c r="DT238" s="101">
        <f t="shared" si="59"/>
        <v>11.760526400000002</v>
      </c>
      <c r="DV238" s="16">
        <f t="shared" si="60"/>
        <v>0</v>
      </c>
      <c r="DZ238" s="37" t="s">
        <v>2</v>
      </c>
      <c r="EA238" s="37"/>
      <c r="EM238" s="73"/>
      <c r="EN238" s="37"/>
      <c r="EO238" s="37"/>
      <c r="EP238" s="37"/>
      <c r="EQ238" s="37"/>
      <c r="ER238" s="37"/>
      <c r="ES238" s="37"/>
      <c r="ET238" s="37"/>
      <c r="EU238" s="37"/>
      <c r="EV238" s="37"/>
      <c r="EW238" s="37"/>
      <c r="EX238" s="37"/>
      <c r="EY238" s="37"/>
      <c r="EZ238" s="37"/>
      <c r="FA238" s="37"/>
      <c r="FB238" s="37"/>
      <c r="FC238" s="37"/>
      <c r="FD238" s="37"/>
      <c r="FE238" s="37"/>
      <c r="FF238" s="55"/>
      <c r="FG238" s="55"/>
      <c r="FH238" s="55"/>
      <c r="FI238" s="37"/>
      <c r="FJ238" s="55"/>
      <c r="FK238" s="55"/>
      <c r="FL238" s="45"/>
      <c r="FM238" s="37"/>
      <c r="FN238" s="37"/>
      <c r="FO238" s="37"/>
      <c r="FP238" s="55"/>
      <c r="FQ238" s="1" t="s">
        <v>2</v>
      </c>
      <c r="FR238" s="1" t="s">
        <v>113</v>
      </c>
      <c r="FS238" s="1" t="s">
        <v>261</v>
      </c>
      <c r="FT238" s="1" t="s">
        <v>708</v>
      </c>
      <c r="FV238" s="1" t="s">
        <v>2</v>
      </c>
    </row>
    <row r="239" spans="1:178" ht="16.25" customHeight="1" x14ac:dyDescent="0.2">
      <c r="A239" s="18" t="s">
        <v>177</v>
      </c>
      <c r="B239" s="1" t="s">
        <v>82</v>
      </c>
      <c r="C239" s="15" t="s">
        <v>1225</v>
      </c>
      <c r="H239" s="1" t="s">
        <v>1226</v>
      </c>
      <c r="K239" s="1">
        <v>0</v>
      </c>
      <c r="AF239" s="1">
        <v>0</v>
      </c>
      <c r="BA239" s="1">
        <v>1.01</v>
      </c>
      <c r="BB239" s="1">
        <v>0.5</v>
      </c>
      <c r="BI239" s="1">
        <v>1.2</v>
      </c>
      <c r="BV239" s="1">
        <v>0</v>
      </c>
      <c r="CQ239" s="1">
        <v>0</v>
      </c>
      <c r="DL239" s="18" t="s">
        <v>163</v>
      </c>
      <c r="DN239" s="1">
        <f t="shared" si="55"/>
        <v>1.2</v>
      </c>
      <c r="DO239" s="1">
        <f t="shared" si="56"/>
        <v>0</v>
      </c>
      <c r="DP239" s="1" t="s">
        <v>735</v>
      </c>
      <c r="DQ239" s="1" t="s">
        <v>2</v>
      </c>
      <c r="DR239" s="16">
        <f t="shared" si="57"/>
        <v>1.01</v>
      </c>
      <c r="DS239" s="16">
        <f t="shared" si="58"/>
        <v>1.2</v>
      </c>
      <c r="DT239" s="101">
        <f t="shared" si="59"/>
        <v>12.12</v>
      </c>
      <c r="DV239" s="16">
        <f t="shared" si="60"/>
        <v>0</v>
      </c>
      <c r="DZ239" s="37" t="s">
        <v>2</v>
      </c>
      <c r="EA239" s="37"/>
      <c r="EM239" s="73"/>
      <c r="EN239" s="37"/>
      <c r="EO239" s="37"/>
      <c r="EP239" s="37"/>
      <c r="EQ239" s="37"/>
      <c r="ER239" s="37"/>
      <c r="ES239" s="37"/>
      <c r="ET239" s="37"/>
      <c r="EU239" s="37"/>
      <c r="EV239" s="37"/>
      <c r="EW239" s="37"/>
      <c r="EX239" s="37"/>
      <c r="EY239" s="37"/>
      <c r="EZ239" s="37"/>
      <c r="FA239" s="37"/>
      <c r="FB239" s="37"/>
      <c r="FC239" s="37"/>
      <c r="FD239" s="37"/>
      <c r="FE239" s="37"/>
      <c r="FF239" s="55"/>
      <c r="FG239" s="55"/>
      <c r="FH239" s="55"/>
      <c r="FI239" s="37"/>
      <c r="FJ239" s="55"/>
      <c r="FK239" s="55"/>
      <c r="FL239" s="45"/>
      <c r="FM239" s="37"/>
      <c r="FN239" s="37"/>
      <c r="FO239" s="37"/>
      <c r="FP239" s="55"/>
      <c r="FQ239" s="1" t="s">
        <v>2</v>
      </c>
      <c r="FR239" s="1" t="s">
        <v>113</v>
      </c>
      <c r="FS239" s="1" t="s">
        <v>261</v>
      </c>
      <c r="FV239" s="1" t="s">
        <v>2</v>
      </c>
    </row>
    <row r="240" spans="1:178" ht="16.25" customHeight="1" x14ac:dyDescent="0.2">
      <c r="A240" s="18" t="s">
        <v>177</v>
      </c>
      <c r="B240" s="1" t="s">
        <v>82</v>
      </c>
      <c r="C240" s="16" t="s">
        <v>942</v>
      </c>
      <c r="D240" s="1" t="s">
        <v>69</v>
      </c>
      <c r="H240" s="1" t="s">
        <v>940</v>
      </c>
      <c r="K240" s="1">
        <v>0</v>
      </c>
      <c r="AF240" s="1">
        <v>0</v>
      </c>
      <c r="BA240" s="2">
        <v>0.17239599999999999</v>
      </c>
      <c r="BB240" s="1">
        <v>0.26</v>
      </c>
      <c r="BI240" s="1">
        <v>0.62</v>
      </c>
      <c r="BJ240" s="1">
        <v>0.02</v>
      </c>
      <c r="BK240" s="13">
        <f>0.009*31.1</f>
        <v>0.27989999999999998</v>
      </c>
      <c r="BL240" s="13">
        <f>0.03*31.1</f>
        <v>0.93300000000000005</v>
      </c>
      <c r="BV240" s="1">
        <v>0</v>
      </c>
      <c r="CQ240" s="1">
        <v>0</v>
      </c>
      <c r="DL240" s="18" t="s">
        <v>163</v>
      </c>
      <c r="DM240" s="1" t="s">
        <v>163</v>
      </c>
      <c r="DN240" s="1">
        <f t="shared" si="55"/>
        <v>0.62</v>
      </c>
      <c r="DO240" s="1">
        <f t="shared" si="56"/>
        <v>0.02</v>
      </c>
      <c r="DP240" s="1" t="s">
        <v>803</v>
      </c>
      <c r="DQ240" s="1" t="s">
        <v>2</v>
      </c>
      <c r="DR240" s="103">
        <f t="shared" si="57"/>
        <v>0.17239599999999999</v>
      </c>
      <c r="DS240" s="16">
        <f t="shared" si="58"/>
        <v>0.62</v>
      </c>
      <c r="DT240" s="101">
        <f t="shared" si="59"/>
        <v>1.0688551999999998</v>
      </c>
      <c r="DV240" s="16">
        <f t="shared" si="60"/>
        <v>0</v>
      </c>
      <c r="DZ240" s="37" t="s">
        <v>2</v>
      </c>
      <c r="EA240" s="37"/>
      <c r="EM240" s="73"/>
      <c r="EN240" s="37"/>
      <c r="EO240" s="37"/>
      <c r="EP240" s="37"/>
      <c r="EQ240" s="37"/>
      <c r="ER240" s="37"/>
      <c r="ES240" s="37"/>
      <c r="ET240" s="37"/>
      <c r="EU240" s="37"/>
      <c r="EV240" s="37"/>
      <c r="EW240" s="37"/>
      <c r="EX240" s="37"/>
      <c r="EY240" s="37"/>
      <c r="EZ240" s="37"/>
      <c r="FA240" s="37"/>
      <c r="FB240" s="37"/>
      <c r="FC240" s="37"/>
      <c r="FD240" s="37"/>
      <c r="FE240" s="37"/>
      <c r="FF240" s="55"/>
      <c r="FG240" s="55"/>
      <c r="FH240" s="55"/>
      <c r="FI240" s="37"/>
      <c r="FJ240" s="55"/>
      <c r="FK240" s="55"/>
      <c r="FL240" s="45"/>
      <c r="FM240" s="37"/>
      <c r="FN240" s="37"/>
      <c r="FO240" s="37"/>
      <c r="FP240" s="55"/>
      <c r="FQ240" s="1" t="s">
        <v>2</v>
      </c>
      <c r="FR240" s="1" t="s">
        <v>113</v>
      </c>
      <c r="FS240" s="1" t="s">
        <v>261</v>
      </c>
      <c r="FV240" s="1" t="s">
        <v>2</v>
      </c>
    </row>
    <row r="241" spans="1:178" ht="16.25" customHeight="1" x14ac:dyDescent="0.2">
      <c r="A241" s="18" t="s">
        <v>177</v>
      </c>
      <c r="B241" s="1" t="s">
        <v>82</v>
      </c>
      <c r="C241" s="16" t="s">
        <v>944</v>
      </c>
      <c r="D241" s="1" t="s">
        <v>69</v>
      </c>
      <c r="H241" s="1" t="s">
        <v>940</v>
      </c>
      <c r="K241" s="1">
        <v>0</v>
      </c>
      <c r="AF241" s="1">
        <v>4.2789999999999999</v>
      </c>
      <c r="AN241" s="1">
        <v>0.875</v>
      </c>
      <c r="BA241" s="1">
        <v>1.01</v>
      </c>
      <c r="BI241" s="1">
        <v>0.83899999999999997</v>
      </c>
      <c r="BV241" s="1">
        <v>0</v>
      </c>
      <c r="CQ241" s="1">
        <v>0</v>
      </c>
      <c r="DL241" s="18" t="s">
        <v>96</v>
      </c>
      <c r="DN241" s="1">
        <f t="shared" si="55"/>
        <v>0.86812535450935913</v>
      </c>
      <c r="DO241" s="1">
        <f t="shared" si="56"/>
        <v>0</v>
      </c>
      <c r="DP241" s="1" t="s">
        <v>724</v>
      </c>
      <c r="DQ241" s="1" t="s">
        <v>2</v>
      </c>
      <c r="DR241" s="16">
        <f t="shared" si="57"/>
        <v>5.2889999999999997</v>
      </c>
      <c r="DS241" s="100">
        <f t="shared" si="58"/>
        <v>0.86812535450935913</v>
      </c>
      <c r="DT241" s="101">
        <f t="shared" si="59"/>
        <v>45.915150000000004</v>
      </c>
      <c r="DV241" s="16">
        <f t="shared" si="60"/>
        <v>0</v>
      </c>
      <c r="DZ241" s="37" t="s">
        <v>2</v>
      </c>
      <c r="EA241" s="37"/>
      <c r="EM241" s="73"/>
      <c r="EN241" s="37"/>
      <c r="EO241" s="37"/>
      <c r="EP241" s="37"/>
      <c r="EQ241" s="37"/>
      <c r="ER241" s="37"/>
      <c r="ES241" s="37"/>
      <c r="ET241" s="37"/>
      <c r="EU241" s="37"/>
      <c r="EV241" s="37"/>
      <c r="EW241" s="37"/>
      <c r="EX241" s="37"/>
      <c r="EY241" s="37"/>
      <c r="EZ241" s="37"/>
      <c r="FA241" s="37"/>
      <c r="FB241" s="37"/>
      <c r="FC241" s="37"/>
      <c r="FD241" s="37"/>
      <c r="FE241" s="37"/>
      <c r="FF241" s="55"/>
      <c r="FG241" s="55"/>
      <c r="FH241" s="55"/>
      <c r="FI241" s="37"/>
      <c r="FJ241" s="55"/>
      <c r="FK241" s="55"/>
      <c r="FL241" s="45"/>
      <c r="FM241" s="37"/>
      <c r="FN241" s="37"/>
      <c r="FO241" s="37"/>
      <c r="FP241" s="55"/>
      <c r="FQ241" s="1" t="s">
        <v>2</v>
      </c>
      <c r="FR241" s="1" t="s">
        <v>113</v>
      </c>
      <c r="FS241" s="1" t="s">
        <v>375</v>
      </c>
      <c r="FV241" s="1" t="s">
        <v>2</v>
      </c>
    </row>
    <row r="242" spans="1:178" ht="16.25" customHeight="1" x14ac:dyDescent="0.2">
      <c r="A242" s="18" t="s">
        <v>177</v>
      </c>
      <c r="B242" s="1" t="s">
        <v>82</v>
      </c>
      <c r="C242" s="16" t="s">
        <v>945</v>
      </c>
      <c r="D242" s="1" t="s">
        <v>69</v>
      </c>
      <c r="H242" s="1" t="s">
        <v>131</v>
      </c>
      <c r="K242" s="1">
        <v>9.0530000000000008</v>
      </c>
      <c r="S242" s="13">
        <f>0.47*(58.69/(58.69+32.07))</f>
        <v>0.30392573821066549</v>
      </c>
      <c r="AF242" s="1">
        <v>35.332999999999998</v>
      </c>
      <c r="AN242" s="13">
        <f>0.47*(58.69/(58.69+32.07))</f>
        <v>0.30392573821066549</v>
      </c>
      <c r="BA242" s="1">
        <v>11.811999999999999</v>
      </c>
      <c r="BI242" s="13">
        <f>0.47*(58.69/(58.69+32.07))</f>
        <v>0.30392573821066549</v>
      </c>
      <c r="BV242" s="1">
        <v>0</v>
      </c>
      <c r="CQ242" s="1">
        <v>0</v>
      </c>
      <c r="DL242" s="18" t="s">
        <v>96</v>
      </c>
      <c r="DN242" s="1">
        <f t="shared" si="55"/>
        <v>0.30392573821066554</v>
      </c>
      <c r="DO242" s="1">
        <f t="shared" si="56"/>
        <v>0</v>
      </c>
      <c r="DP242" s="1" t="s">
        <v>726</v>
      </c>
      <c r="DQ242" s="1" t="s">
        <v>2</v>
      </c>
      <c r="DR242" s="100">
        <f t="shared" si="57"/>
        <v>56.197999999999993</v>
      </c>
      <c r="DS242" s="100">
        <f t="shared" si="58"/>
        <v>0.30392573821066554</v>
      </c>
      <c r="DT242" s="101">
        <f t="shared" si="59"/>
        <v>170.80018635962981</v>
      </c>
      <c r="DV242" s="16">
        <f t="shared" si="60"/>
        <v>0</v>
      </c>
      <c r="DZ242" s="37" t="s">
        <v>2</v>
      </c>
      <c r="EA242" s="37"/>
      <c r="EM242" s="73"/>
      <c r="EN242" s="37"/>
      <c r="EO242" s="37"/>
      <c r="EP242" s="37"/>
      <c r="EQ242" s="37"/>
      <c r="ER242" s="37"/>
      <c r="ES242" s="37"/>
      <c r="ET242" s="37"/>
      <c r="EU242" s="37"/>
      <c r="EV242" s="37"/>
      <c r="EW242" s="37"/>
      <c r="EX242" s="37"/>
      <c r="EY242" s="37"/>
      <c r="EZ242" s="37"/>
      <c r="FA242" s="37"/>
      <c r="FB242" s="37"/>
      <c r="FC242" s="37"/>
      <c r="FD242" s="37"/>
      <c r="FE242" s="37"/>
      <c r="FF242" s="55"/>
      <c r="FG242" s="55"/>
      <c r="FH242" s="55"/>
      <c r="FI242" s="37"/>
      <c r="FJ242" s="55"/>
      <c r="FK242" s="55"/>
      <c r="FL242" s="45"/>
      <c r="FM242" s="37"/>
      <c r="FN242" s="37"/>
      <c r="FO242" s="37"/>
      <c r="FP242" s="55"/>
      <c r="FQ242" s="1" t="s">
        <v>2</v>
      </c>
      <c r="FR242" s="1" t="s">
        <v>113</v>
      </c>
      <c r="FS242" s="1" t="s">
        <v>375</v>
      </c>
      <c r="FV242" s="1" t="s">
        <v>2</v>
      </c>
    </row>
    <row r="243" spans="1:178" ht="16.25" customHeight="1" x14ac:dyDescent="0.2">
      <c r="A243" s="18" t="s">
        <v>177</v>
      </c>
      <c r="B243" s="1" t="s">
        <v>82</v>
      </c>
      <c r="C243" s="16" t="s">
        <v>946</v>
      </c>
      <c r="D243" s="1" t="s">
        <v>69</v>
      </c>
      <c r="H243" s="1" t="s">
        <v>940</v>
      </c>
      <c r="K243" s="1">
        <f>6.1-1.643-1.557-1.034</f>
        <v>1.8659999999999999</v>
      </c>
      <c r="L243" s="1">
        <v>0.1</v>
      </c>
      <c r="M243" s="1">
        <v>0.12</v>
      </c>
      <c r="N243" s="1">
        <v>4</v>
      </c>
      <c r="S243" s="13">
        <f>(1.86*6.1-1.78*1.643-1.81*1.557-2.05*1.034)/K243</f>
        <v>1.8668756698821005</v>
      </c>
      <c r="T243" s="1">
        <v>3.6999999999999998E-2</v>
      </c>
      <c r="AF243" s="1">
        <v>14.1</v>
      </c>
      <c r="AG243" s="1">
        <v>0.1</v>
      </c>
      <c r="AH243" s="1">
        <v>0.12</v>
      </c>
      <c r="AI243" s="1">
        <v>4</v>
      </c>
      <c r="AN243" s="1">
        <v>1.64</v>
      </c>
      <c r="AO243" s="1">
        <v>3.6999999999999998E-2</v>
      </c>
      <c r="BA243" s="1">
        <v>0</v>
      </c>
      <c r="BV243" s="1">
        <f>6.1-1.643-1.557-1.034</f>
        <v>1.8659999999999999</v>
      </c>
      <c r="BW243" s="1">
        <v>0.1</v>
      </c>
      <c r="BX243" s="1">
        <v>0.12</v>
      </c>
      <c r="BY243" s="1">
        <v>4</v>
      </c>
      <c r="CD243" s="13">
        <f>(1.86*6.1-1.78*1.643-1.81*1.557-2.05*1.034)/BV243</f>
        <v>1.8668756698821005</v>
      </c>
      <c r="CE243" s="1">
        <v>3.6999999999999998E-2</v>
      </c>
      <c r="CQ243" s="1">
        <v>14.1</v>
      </c>
      <c r="CR243" s="1">
        <v>0.1</v>
      </c>
      <c r="CS243" s="1">
        <v>0.12</v>
      </c>
      <c r="CT243" s="1">
        <v>4</v>
      </c>
      <c r="CY243" s="1">
        <v>1.64</v>
      </c>
      <c r="CZ243" s="1">
        <v>3.6999999999999998E-2</v>
      </c>
      <c r="DL243" s="18" t="s">
        <v>96</v>
      </c>
      <c r="DM243" s="1" t="s">
        <v>96</v>
      </c>
      <c r="DN243" s="1">
        <f t="shared" si="55"/>
        <v>1.6665157209069272</v>
      </c>
      <c r="DO243" s="1">
        <f t="shared" si="56"/>
        <v>3.6999999999999991E-2</v>
      </c>
      <c r="DP243" s="1" t="s">
        <v>789</v>
      </c>
      <c r="DQ243" s="1" t="s">
        <v>2</v>
      </c>
      <c r="DR243" s="100">
        <f t="shared" si="57"/>
        <v>15.965999999999999</v>
      </c>
      <c r="DS243" s="100">
        <f t="shared" si="58"/>
        <v>1.6665157209069272</v>
      </c>
      <c r="DT243" s="101">
        <f t="shared" si="59"/>
        <v>266.07589999999999</v>
      </c>
      <c r="DV243" s="100">
        <f t="shared" si="60"/>
        <v>15.965999999999999</v>
      </c>
      <c r="DW243" s="100">
        <f>(BV243*CD243+CQ243*CY243)/DV243</f>
        <v>1.6665157209069272</v>
      </c>
      <c r="DX243" s="101">
        <f>1000*DV243*DW243/100</f>
        <v>266.07589999999999</v>
      </c>
      <c r="DZ243" s="37" t="s">
        <v>2</v>
      </c>
      <c r="EA243" s="37"/>
      <c r="EM243" s="73"/>
      <c r="EN243" s="37"/>
      <c r="EO243" s="37"/>
      <c r="EP243" s="37"/>
      <c r="EQ243" s="37"/>
      <c r="ER243" s="37"/>
      <c r="ES243" s="37"/>
      <c r="ET243" s="37"/>
      <c r="EU243" s="37"/>
      <c r="EV243" s="37"/>
      <c r="EW243" s="37"/>
      <c r="EX243" s="37"/>
      <c r="EY243" s="37"/>
      <c r="EZ243" s="37"/>
      <c r="FA243" s="37"/>
      <c r="FB243" s="37"/>
      <c r="FC243" s="37"/>
      <c r="FD243" s="37"/>
      <c r="FE243" s="37"/>
      <c r="FF243" s="55"/>
      <c r="FG243" s="55"/>
      <c r="FH243" s="55"/>
      <c r="FI243" s="37"/>
      <c r="FJ243" s="55"/>
      <c r="FK243" s="55"/>
      <c r="FL243" s="45"/>
      <c r="FM243" s="37"/>
      <c r="FN243" s="37"/>
      <c r="FO243" s="37"/>
      <c r="FP243" s="55"/>
      <c r="FQ243" s="1" t="s">
        <v>2</v>
      </c>
      <c r="FR243" s="1" t="s">
        <v>113</v>
      </c>
      <c r="FS243" s="1" t="s">
        <v>375</v>
      </c>
      <c r="FT243" s="1" t="s">
        <v>375</v>
      </c>
      <c r="FV243" s="1" t="s">
        <v>2</v>
      </c>
    </row>
    <row r="244" spans="1:178" ht="16.25" customHeight="1" x14ac:dyDescent="0.2">
      <c r="A244" s="18" t="s">
        <v>177</v>
      </c>
      <c r="B244" s="1" t="s">
        <v>82</v>
      </c>
      <c r="C244" s="16" t="s">
        <v>947</v>
      </c>
      <c r="D244" s="1" t="s">
        <v>69</v>
      </c>
      <c r="H244" s="1" t="s">
        <v>940</v>
      </c>
      <c r="K244" s="1">
        <f>0.751+0.616</f>
        <v>1.367</v>
      </c>
      <c r="L244" s="1">
        <v>0.11</v>
      </c>
      <c r="M244" s="1">
        <v>2.5000000000000001E-2</v>
      </c>
      <c r="S244" s="13">
        <f>(1.37*0.751+1.43*0.616)/K244</f>
        <v>1.3970373079736651</v>
      </c>
      <c r="T244" s="1">
        <v>2.3E-2</v>
      </c>
      <c r="U244" s="1">
        <v>0.153</v>
      </c>
      <c r="V244" s="1">
        <v>0.36299999999999999</v>
      </c>
      <c r="AF244" s="1">
        <f>2.845+1.994</f>
        <v>4.8390000000000004</v>
      </c>
      <c r="AG244" s="1">
        <v>0.11</v>
      </c>
      <c r="AH244" s="1">
        <v>2.5000000000000001E-2</v>
      </c>
      <c r="AN244" s="13">
        <f>(1.37*2.845+1.44*1.994)/AF244</f>
        <v>1.3988448026451745</v>
      </c>
      <c r="AO244" s="1">
        <v>2.3E-2</v>
      </c>
      <c r="AP244" s="1">
        <v>0.153</v>
      </c>
      <c r="AQ244" s="1">
        <v>0.36299999999999999</v>
      </c>
      <c r="BA244" s="1">
        <v>5.0430000000000001</v>
      </c>
      <c r="BB244" s="1">
        <v>0.11</v>
      </c>
      <c r="BC244" s="1">
        <v>2.5000000000000001E-2</v>
      </c>
      <c r="BI244" s="1">
        <v>1.41</v>
      </c>
      <c r="BJ244" s="1">
        <v>2.3E-2</v>
      </c>
      <c r="BK244" s="1">
        <v>0.153</v>
      </c>
      <c r="BL244" s="1">
        <v>0.36299999999999999</v>
      </c>
      <c r="BV244" s="1">
        <v>0.61599999999999999</v>
      </c>
      <c r="BW244" s="1">
        <v>0.11</v>
      </c>
      <c r="BX244" s="1">
        <v>2.5000000000000001E-2</v>
      </c>
      <c r="CD244" s="1">
        <v>1.43</v>
      </c>
      <c r="CE244" s="1">
        <v>2.3E-2</v>
      </c>
      <c r="CF244" s="1">
        <v>0.153</v>
      </c>
      <c r="CG244" s="1">
        <v>0.36299999999999999</v>
      </c>
      <c r="CQ244" s="1">
        <v>1.994</v>
      </c>
      <c r="CR244" s="1">
        <v>0.11</v>
      </c>
      <c r="CS244" s="1">
        <v>2.5000000000000001E-2</v>
      </c>
      <c r="CY244" s="1">
        <v>1.44</v>
      </c>
      <c r="CZ244" s="1">
        <v>2.3E-2</v>
      </c>
      <c r="DA244" s="1">
        <v>0.153</v>
      </c>
      <c r="DB244" s="1">
        <v>0.36299999999999999</v>
      </c>
      <c r="DL244" s="18" t="s">
        <v>96</v>
      </c>
      <c r="DM244" s="1" t="s">
        <v>96</v>
      </c>
      <c r="DN244" s="1">
        <f t="shared" si="55"/>
        <v>1.4036261000977865</v>
      </c>
      <c r="DO244" s="1">
        <f t="shared" si="56"/>
        <v>2.2999999999999996E-2</v>
      </c>
      <c r="DP244" s="1" t="s">
        <v>645</v>
      </c>
      <c r="DQ244" s="1" t="s">
        <v>2</v>
      </c>
      <c r="DR244" s="100">
        <f t="shared" si="57"/>
        <v>11.249000000000001</v>
      </c>
      <c r="DS244" s="100">
        <f t="shared" si="58"/>
        <v>1.4036261000977865</v>
      </c>
      <c r="DT244" s="101">
        <f t="shared" si="59"/>
        <v>157.8939</v>
      </c>
      <c r="DV244" s="16">
        <f t="shared" si="60"/>
        <v>2.61</v>
      </c>
      <c r="DW244" s="100">
        <f>(BV244*CD244+CQ244*CY244)/DV244</f>
        <v>1.4376398467432949</v>
      </c>
      <c r="DX244" s="101">
        <f>1000*DV244*DW244/100</f>
        <v>37.522399999999998</v>
      </c>
      <c r="DZ244" s="37" t="s">
        <v>2</v>
      </c>
      <c r="EA244" s="37"/>
      <c r="EM244" s="73"/>
      <c r="EN244" s="37"/>
      <c r="EO244" s="37"/>
      <c r="EP244" s="37"/>
      <c r="EQ244" s="37"/>
      <c r="ER244" s="37"/>
      <c r="ES244" s="37"/>
      <c r="ET244" s="37"/>
      <c r="EU244" s="37"/>
      <c r="EV244" s="37"/>
      <c r="EW244" s="37"/>
      <c r="EX244" s="37"/>
      <c r="EY244" s="37"/>
      <c r="EZ244" s="37"/>
      <c r="FA244" s="37"/>
      <c r="FB244" s="37"/>
      <c r="FC244" s="37"/>
      <c r="FD244" s="37"/>
      <c r="FE244" s="37"/>
      <c r="FF244" s="55"/>
      <c r="FG244" s="55"/>
      <c r="FH244" s="55"/>
      <c r="FI244" s="37"/>
      <c r="FJ244" s="55"/>
      <c r="FK244" s="55"/>
      <c r="FL244" s="45"/>
      <c r="FM244" s="37"/>
      <c r="FN244" s="37"/>
      <c r="FO244" s="37"/>
      <c r="FP244" s="55"/>
      <c r="FQ244" s="1" t="s">
        <v>2</v>
      </c>
      <c r="FR244" s="1" t="s">
        <v>113</v>
      </c>
      <c r="FS244" s="1" t="s">
        <v>646</v>
      </c>
      <c r="FT244" s="1" t="s">
        <v>647</v>
      </c>
      <c r="FV244" s="1" t="s">
        <v>2</v>
      </c>
    </row>
    <row r="245" spans="1:178" ht="16.25" customHeight="1" x14ac:dyDescent="0.2">
      <c r="A245" s="18" t="s">
        <v>177</v>
      </c>
      <c r="B245" s="1" t="s">
        <v>82</v>
      </c>
      <c r="C245" s="16" t="s">
        <v>948</v>
      </c>
      <c r="D245" s="1" t="s">
        <v>69</v>
      </c>
      <c r="H245" s="1" t="s">
        <v>940</v>
      </c>
      <c r="K245" s="1">
        <v>6.5</v>
      </c>
      <c r="L245" s="1">
        <v>0.92</v>
      </c>
      <c r="S245" s="1">
        <v>3.75</v>
      </c>
      <c r="T245" s="1">
        <v>0.08</v>
      </c>
      <c r="U245" s="13">
        <v>1</v>
      </c>
      <c r="V245" s="1">
        <v>2.41</v>
      </c>
      <c r="AF245" s="1">
        <v>14.2</v>
      </c>
      <c r="AG245" s="1">
        <v>0.96</v>
      </c>
      <c r="AN245" s="1">
        <v>3.15</v>
      </c>
      <c r="AO245" s="1">
        <v>7.0000000000000007E-2</v>
      </c>
      <c r="AP245" s="1">
        <v>0.94</v>
      </c>
      <c r="AQ245" s="1">
        <v>2.35</v>
      </c>
      <c r="BA245" s="1">
        <v>14</v>
      </c>
      <c r="BB245" s="1">
        <v>0.9</v>
      </c>
      <c r="BI245" s="14">
        <v>3</v>
      </c>
      <c r="BJ245" s="1">
        <v>7.0000000000000007E-2</v>
      </c>
      <c r="BK245" s="1">
        <v>0.9</v>
      </c>
      <c r="BL245" s="1">
        <v>2.2000000000000002</v>
      </c>
      <c r="BV245" s="1">
        <v>4.57</v>
      </c>
      <c r="BW245" s="13">
        <v>0.7</v>
      </c>
      <c r="CD245" s="1">
        <v>2.83</v>
      </c>
      <c r="CE245" s="1">
        <v>0.06</v>
      </c>
      <c r="CF245" s="1">
        <v>0.75</v>
      </c>
      <c r="CG245" s="1">
        <v>1.83</v>
      </c>
      <c r="CQ245" s="13">
        <v>6.7</v>
      </c>
      <c r="CR245" s="13">
        <v>0.8</v>
      </c>
      <c r="CY245" s="1">
        <v>2.76</v>
      </c>
      <c r="CZ245" s="1">
        <v>0.06</v>
      </c>
      <c r="DA245" s="1">
        <v>0.87</v>
      </c>
      <c r="DB245" s="1">
        <v>2.14</v>
      </c>
      <c r="DL245" s="18" t="s">
        <v>96</v>
      </c>
      <c r="DM245" s="1" t="s">
        <v>96</v>
      </c>
      <c r="DN245" s="1">
        <f t="shared" si="55"/>
        <v>3.2018731988472617</v>
      </c>
      <c r="DO245" s="1">
        <f t="shared" si="56"/>
        <v>7.1873198847262246E-2</v>
      </c>
      <c r="DP245" s="1" t="s">
        <v>73</v>
      </c>
      <c r="DQ245" s="1" t="s">
        <v>2</v>
      </c>
      <c r="DR245" s="16">
        <f t="shared" si="57"/>
        <v>34.700000000000003</v>
      </c>
      <c r="DS245" s="100">
        <f t="shared" si="58"/>
        <v>3.2018731988472617</v>
      </c>
      <c r="DT245" s="102">
        <f t="shared" si="59"/>
        <v>1111.05</v>
      </c>
      <c r="DV245" s="16">
        <f t="shared" si="60"/>
        <v>11.27</v>
      </c>
      <c r="DW245" s="100">
        <f>(BV245*CD245+CQ245*CY245)/DV245</f>
        <v>2.7883850931677019</v>
      </c>
      <c r="DX245" s="101">
        <f>1000*DV245*DW245/100</f>
        <v>314.25099999999998</v>
      </c>
      <c r="DZ245" s="37" t="s">
        <v>2</v>
      </c>
      <c r="EA245" s="37"/>
      <c r="EM245" s="73"/>
      <c r="EN245" s="37"/>
      <c r="EO245" s="37"/>
      <c r="EP245" s="37"/>
      <c r="EQ245" s="37"/>
      <c r="ER245" s="37"/>
      <c r="ES245" s="37"/>
      <c r="ET245" s="37"/>
      <c r="EU245" s="37"/>
      <c r="EV245" s="37"/>
      <c r="EW245" s="37"/>
      <c r="EX245" s="37"/>
      <c r="EY245" s="37"/>
      <c r="EZ245" s="37"/>
      <c r="FA245" s="37"/>
      <c r="FB245" s="37"/>
      <c r="FC245" s="37"/>
      <c r="FD245" s="37"/>
      <c r="FE245" s="37"/>
      <c r="FF245" s="55"/>
      <c r="FG245" s="55"/>
      <c r="FH245" s="55"/>
      <c r="FI245" s="37"/>
      <c r="FJ245" s="55"/>
      <c r="FK245" s="55"/>
      <c r="FL245" s="45"/>
      <c r="FM245" s="37"/>
      <c r="FN245" s="37"/>
      <c r="FO245" s="37"/>
      <c r="FP245" s="55"/>
      <c r="FQ245" s="1" t="s">
        <v>2</v>
      </c>
      <c r="FR245" s="1" t="s">
        <v>113</v>
      </c>
      <c r="FS245" s="1" t="s">
        <v>646</v>
      </c>
      <c r="FV245" s="1" t="s">
        <v>2</v>
      </c>
    </row>
    <row r="246" spans="1:178" ht="16.25" customHeight="1" x14ac:dyDescent="0.2">
      <c r="A246" s="18" t="s">
        <v>177</v>
      </c>
      <c r="B246" s="1" t="s">
        <v>82</v>
      </c>
      <c r="C246" s="79" t="s">
        <v>892</v>
      </c>
      <c r="D246" s="1" t="s">
        <v>69</v>
      </c>
      <c r="H246" s="1" t="s">
        <v>131</v>
      </c>
      <c r="K246" s="2">
        <v>0.55985499999999999</v>
      </c>
      <c r="L246" s="13">
        <v>1.1000000000000001</v>
      </c>
      <c r="M246" s="13">
        <v>0.1</v>
      </c>
      <c r="S246" s="1">
        <v>0.93</v>
      </c>
      <c r="T246" s="1">
        <v>0.04</v>
      </c>
      <c r="U246" s="13">
        <v>0.6</v>
      </c>
      <c r="V246" s="1">
        <v>2.66</v>
      </c>
      <c r="AF246" s="13">
        <f>8.562+2.217804+5.374+1.128+3.760518</f>
        <v>21.042321999999999</v>
      </c>
      <c r="AG246" s="13">
        <f>(0.76*8.562+2.57*2.217804+1.07*5.374+1.55*1.128+1.11*3.760518)/AF246</f>
        <v>1.1348382208009173</v>
      </c>
      <c r="AH246" s="13">
        <f>(0.08*8.562+0.2*2.217804+0.23*5.374+0.15*1.128+0.1*3.760518)/AF246</f>
        <v>0.13828286631104686</v>
      </c>
      <c r="AN246" s="13">
        <f>(0.76*8.562+1.891*2.217804+0.74*5.374+1.22*1.128+0.9*3.760518)/AF246</f>
        <v>0.92377512158591613</v>
      </c>
      <c r="AO246" s="2">
        <f>(0.04*8.562+0.077*2.217804+0.04*5.374+0.05*1.128+0.04*3.760518)/AF246</f>
        <v>4.4435762745195145E-2</v>
      </c>
      <c r="AP246" s="13">
        <f>(0.32*8.562+0.967*2.217804+0.7*5.374+0.64*1.128+0.5*3.760518)/AF246</f>
        <v>0.53456246264076746</v>
      </c>
      <c r="AQ246" s="13">
        <f>(1.36*8.562+3.632*2.217804+2.65*5.374+3.14*1.128+2.18*3.760518)/AF246</f>
        <v>2.1708789252440868</v>
      </c>
      <c r="BA246" s="2">
        <f>0.478+0.031137+3.085+0.041+1.591493</f>
        <v>5.2266300000000001</v>
      </c>
      <c r="BB246" s="13">
        <f>(0.83*0.478+1.782*0.031137+1.12*3.085+1.3*0.041+0.53*1.591493)/BA246</f>
        <v>0.91918070037481148</v>
      </c>
      <c r="BC246" s="13">
        <f>(0.07*0.478+0.152*0.031137+0.18*3.085+0.1*0.041+0.06*1.591493)/BA246</f>
        <v>0.13260598205727209</v>
      </c>
      <c r="BI246" s="13">
        <f>(0.81*0.478+1.605*0.031137+0.82*3.085+1.24*0.041+0.47*1.591493)/BA246</f>
        <v>0.72048271926652541</v>
      </c>
      <c r="BJ246" s="2">
        <f>(0.04*0.478+0.074*0.031137+0.04*3.085+0.05*0.041+0.02*1.591493)/BA246</f>
        <v>3.4191055804600662E-2</v>
      </c>
      <c r="BK246" s="13">
        <f>(0.32*0.478+0.603*0.031137+0.65*3.085+0.69*0.041+0.28*1.591493)/BA246</f>
        <v>0.50718984335987061</v>
      </c>
      <c r="BL246" s="13">
        <f>(1.33*0.478+3.57*0.031137+2.57*3.085+2.9*0.041+1.15*1.591493)/BA246</f>
        <v>2.032756487449848</v>
      </c>
      <c r="BV246" s="1">
        <v>0</v>
      </c>
      <c r="CQ246" s="1">
        <v>0</v>
      </c>
      <c r="DL246" s="18" t="s">
        <v>96</v>
      </c>
      <c r="DM246" s="1" t="s">
        <v>96</v>
      </c>
      <c r="DN246" s="1">
        <f t="shared" si="55"/>
        <v>0.88430079313627319</v>
      </c>
      <c r="DO246" s="1">
        <f t="shared" si="56"/>
        <v>4.2347385256452152E-2</v>
      </c>
      <c r="DP246" s="1" t="s">
        <v>747</v>
      </c>
      <c r="DQ246" s="1" t="s">
        <v>2</v>
      </c>
      <c r="DR246" s="100">
        <f t="shared" si="57"/>
        <v>26.828806999999998</v>
      </c>
      <c r="DS246" s="100">
        <f t="shared" si="58"/>
        <v>0.88430079313627319</v>
      </c>
      <c r="DT246" s="101">
        <f t="shared" si="59"/>
        <v>237.24735308999996</v>
      </c>
      <c r="DV246" s="16">
        <f t="shared" si="60"/>
        <v>0</v>
      </c>
      <c r="DZ246" s="37" t="s">
        <v>2</v>
      </c>
      <c r="EA246" s="37"/>
      <c r="EM246" s="73"/>
      <c r="EN246" s="37"/>
      <c r="EO246" s="37"/>
      <c r="EP246" s="37"/>
      <c r="EQ246" s="37"/>
      <c r="ER246" s="37"/>
      <c r="ES246" s="37"/>
      <c r="ET246" s="37"/>
      <c r="EU246" s="37"/>
      <c r="EV246" s="37"/>
      <c r="EW246" s="37"/>
      <c r="EX246" s="37"/>
      <c r="EY246" s="37"/>
      <c r="EZ246" s="37"/>
      <c r="FA246" s="37"/>
      <c r="FB246" s="37"/>
      <c r="FC246" s="37"/>
      <c r="FD246" s="37"/>
      <c r="FE246" s="37"/>
      <c r="FF246" s="55"/>
      <c r="FG246" s="55"/>
      <c r="FH246" s="55"/>
      <c r="FI246" s="37"/>
      <c r="FJ246" s="55"/>
      <c r="FK246" s="55"/>
      <c r="FL246" s="45"/>
      <c r="FM246" s="37"/>
      <c r="FN246" s="37"/>
      <c r="FO246" s="37"/>
      <c r="FP246" s="55"/>
      <c r="FQ246" s="1" t="s">
        <v>2</v>
      </c>
      <c r="FR246" s="1" t="s">
        <v>113</v>
      </c>
      <c r="FS246" s="1" t="s">
        <v>646</v>
      </c>
      <c r="FV246" s="1" t="s">
        <v>2</v>
      </c>
    </row>
    <row r="247" spans="1:178" ht="16.25" customHeight="1" x14ac:dyDescent="0.2">
      <c r="A247" s="18" t="s">
        <v>177</v>
      </c>
      <c r="B247" s="1" t="s">
        <v>82</v>
      </c>
      <c r="C247" s="15" t="s">
        <v>840</v>
      </c>
      <c r="D247" s="1" t="s">
        <v>69</v>
      </c>
      <c r="H247" s="1" t="s">
        <v>131</v>
      </c>
      <c r="K247" s="1">
        <v>0</v>
      </c>
      <c r="AF247" s="1">
        <v>5.641</v>
      </c>
      <c r="AG247" s="1">
        <v>0.66</v>
      </c>
      <c r="AH247" s="1">
        <v>7.0000000000000007E-2</v>
      </c>
      <c r="AN247" s="13">
        <v>0.6</v>
      </c>
      <c r="AO247" s="1">
        <v>0.03</v>
      </c>
      <c r="AP247" s="1">
        <v>0.32</v>
      </c>
      <c r="AQ247" s="1">
        <v>1.31</v>
      </c>
      <c r="BA247" s="1">
        <v>1.7769999999999999</v>
      </c>
      <c r="BB247" s="1">
        <v>0.55000000000000004</v>
      </c>
      <c r="BC247" s="1">
        <v>0.06</v>
      </c>
      <c r="BI247" s="1">
        <v>0.56000000000000005</v>
      </c>
      <c r="BJ247" s="1">
        <v>0.03</v>
      </c>
      <c r="BK247" s="1">
        <v>0.28999999999999998</v>
      </c>
      <c r="BL247" s="1">
        <v>1.27</v>
      </c>
      <c r="BV247" s="1">
        <v>0</v>
      </c>
      <c r="CQ247" s="1">
        <v>0</v>
      </c>
      <c r="DL247" s="18" t="s">
        <v>96</v>
      </c>
      <c r="DM247" s="1" t="s">
        <v>96</v>
      </c>
      <c r="DN247" s="1">
        <f t="shared" si="55"/>
        <v>0.59041790239956859</v>
      </c>
      <c r="DO247" s="1">
        <f t="shared" si="56"/>
        <v>0.03</v>
      </c>
      <c r="DP247" s="1" t="s">
        <v>749</v>
      </c>
      <c r="DQ247" s="1" t="s">
        <v>2</v>
      </c>
      <c r="DR247" s="16">
        <f t="shared" si="57"/>
        <v>7.4180000000000001</v>
      </c>
      <c r="DS247" s="100">
        <f t="shared" si="58"/>
        <v>0.59041790239956859</v>
      </c>
      <c r="DT247" s="101">
        <f t="shared" si="59"/>
        <v>43.797200000000004</v>
      </c>
      <c r="DV247" s="16">
        <f t="shared" si="60"/>
        <v>0</v>
      </c>
      <c r="DZ247" s="37" t="s">
        <v>2</v>
      </c>
      <c r="EA247" s="37"/>
      <c r="EM247" s="73"/>
      <c r="EN247" s="37"/>
      <c r="EO247" s="37"/>
      <c r="EP247" s="37"/>
      <c r="EQ247" s="37"/>
      <c r="ER247" s="37"/>
      <c r="ES247" s="37"/>
      <c r="ET247" s="37"/>
      <c r="EU247" s="37"/>
      <c r="EV247" s="37"/>
      <c r="EW247" s="37"/>
      <c r="EX247" s="37"/>
      <c r="EY247" s="37"/>
      <c r="EZ247" s="37"/>
      <c r="FA247" s="37"/>
      <c r="FB247" s="37"/>
      <c r="FC247" s="37"/>
      <c r="FD247" s="37"/>
      <c r="FE247" s="37"/>
      <c r="FF247" s="55"/>
      <c r="FG247" s="55"/>
      <c r="FH247" s="55"/>
      <c r="FI247" s="37"/>
      <c r="FJ247" s="55"/>
      <c r="FK247" s="55"/>
      <c r="FL247" s="45"/>
      <c r="FM247" s="37"/>
      <c r="FN247" s="37"/>
      <c r="FO247" s="37"/>
      <c r="FP247" s="55"/>
      <c r="FQ247" s="1" t="s">
        <v>2</v>
      </c>
      <c r="FR247" s="1" t="s">
        <v>113</v>
      </c>
      <c r="FS247" s="1" t="s">
        <v>646</v>
      </c>
      <c r="FV247" s="1" t="s">
        <v>2</v>
      </c>
    </row>
    <row r="248" spans="1:178" ht="16.25" customHeight="1" x14ac:dyDescent="0.2">
      <c r="A248" s="18" t="s">
        <v>177</v>
      </c>
      <c r="B248" s="1" t="s">
        <v>82</v>
      </c>
      <c r="C248" s="32" t="s">
        <v>841</v>
      </c>
      <c r="D248" s="1" t="s">
        <v>69</v>
      </c>
      <c r="H248" s="1" t="s">
        <v>842</v>
      </c>
      <c r="K248" s="1">
        <v>0</v>
      </c>
      <c r="AF248" s="1">
        <v>0</v>
      </c>
      <c r="BA248" s="2">
        <v>4.3749169999999999</v>
      </c>
      <c r="BB248" s="1">
        <v>0.87</v>
      </c>
      <c r="BI248" s="1">
        <v>0.52</v>
      </c>
      <c r="BV248" s="1">
        <v>0</v>
      </c>
      <c r="CQ248" s="1">
        <v>0</v>
      </c>
      <c r="DL248" s="18" t="s">
        <v>96</v>
      </c>
      <c r="DN248" s="1">
        <f t="shared" si="55"/>
        <v>0.52</v>
      </c>
      <c r="DO248" s="1">
        <f t="shared" si="56"/>
        <v>0</v>
      </c>
      <c r="DP248" s="1" t="s">
        <v>643</v>
      </c>
      <c r="DQ248" s="1" t="s">
        <v>2</v>
      </c>
      <c r="DR248" s="103">
        <f t="shared" si="57"/>
        <v>4.3749169999999999</v>
      </c>
      <c r="DS248" s="16">
        <f t="shared" si="58"/>
        <v>0.52</v>
      </c>
      <c r="DT248" s="101">
        <f t="shared" si="59"/>
        <v>22.749568400000001</v>
      </c>
      <c r="DV248" s="16">
        <f t="shared" si="60"/>
        <v>0</v>
      </c>
      <c r="DZ248" s="37" t="s">
        <v>2</v>
      </c>
      <c r="EA248" s="37"/>
      <c r="EM248" s="73"/>
      <c r="EN248" s="37"/>
      <c r="EO248" s="37"/>
      <c r="EP248" s="37"/>
      <c r="EQ248" s="37"/>
      <c r="ER248" s="37"/>
      <c r="ES248" s="37"/>
      <c r="ET248" s="37"/>
      <c r="EU248" s="37"/>
      <c r="EV248" s="37"/>
      <c r="EW248" s="37"/>
      <c r="EX248" s="37"/>
      <c r="EY248" s="37"/>
      <c r="EZ248" s="37"/>
      <c r="FA248" s="37"/>
      <c r="FB248" s="37"/>
      <c r="FC248" s="37"/>
      <c r="FD248" s="37"/>
      <c r="FE248" s="37"/>
      <c r="FF248" s="55"/>
      <c r="FG248" s="55"/>
      <c r="FH248" s="55"/>
      <c r="FI248" s="37"/>
      <c r="FJ248" s="55"/>
      <c r="FK248" s="55"/>
      <c r="FL248" s="45"/>
      <c r="FM248" s="37"/>
      <c r="FN248" s="37"/>
      <c r="FO248" s="37"/>
      <c r="FP248" s="55"/>
      <c r="FQ248" s="1" t="s">
        <v>2</v>
      </c>
      <c r="FR248" s="1" t="s">
        <v>113</v>
      </c>
      <c r="FS248" s="1" t="s">
        <v>129</v>
      </c>
      <c r="FV248" s="1" t="s">
        <v>2</v>
      </c>
    </row>
    <row r="249" spans="1:178" ht="16.25" customHeight="1" x14ac:dyDescent="0.2">
      <c r="A249" s="18" t="s">
        <v>177</v>
      </c>
      <c r="B249" s="1" t="s">
        <v>82</v>
      </c>
      <c r="C249" s="79" t="s">
        <v>347</v>
      </c>
      <c r="D249" s="1" t="s">
        <v>69</v>
      </c>
      <c r="G249" s="1" t="s">
        <v>72</v>
      </c>
      <c r="H249" s="1" t="s">
        <v>81</v>
      </c>
      <c r="K249" s="1">
        <v>0</v>
      </c>
      <c r="AF249" s="1">
        <v>0</v>
      </c>
      <c r="BA249" s="2">
        <v>0.390235</v>
      </c>
      <c r="BI249" s="1">
        <v>1.35</v>
      </c>
      <c r="BV249" s="1">
        <v>0</v>
      </c>
      <c r="CQ249" s="1">
        <v>0</v>
      </c>
      <c r="DL249" s="18" t="s">
        <v>163</v>
      </c>
      <c r="DN249" s="1">
        <f t="shared" si="55"/>
        <v>1.35</v>
      </c>
      <c r="DO249" s="1">
        <f t="shared" si="56"/>
        <v>0</v>
      </c>
      <c r="DP249" s="1" t="s">
        <v>656</v>
      </c>
      <c r="DQ249" s="1" t="s">
        <v>2</v>
      </c>
      <c r="DR249" s="103">
        <f t="shared" si="57"/>
        <v>0.390235</v>
      </c>
      <c r="DS249" s="16">
        <f t="shared" si="58"/>
        <v>1.35</v>
      </c>
      <c r="DT249" s="101">
        <f t="shared" si="59"/>
        <v>5.2681725000000004</v>
      </c>
      <c r="DV249" s="16">
        <f t="shared" si="60"/>
        <v>0</v>
      </c>
      <c r="DZ249" s="37" t="s">
        <v>2</v>
      </c>
      <c r="EA249" s="37"/>
      <c r="EM249" s="73"/>
      <c r="EN249" s="37"/>
      <c r="EO249" s="37"/>
      <c r="EP249" s="37"/>
      <c r="EQ249" s="37"/>
      <c r="ER249" s="37"/>
      <c r="ES249" s="37"/>
      <c r="ET249" s="37"/>
      <c r="EU249" s="37"/>
      <c r="EV249" s="37"/>
      <c r="EW249" s="37"/>
      <c r="EX249" s="37"/>
      <c r="EY249" s="37"/>
      <c r="EZ249" s="37"/>
      <c r="FA249" s="37"/>
      <c r="FB249" s="37"/>
      <c r="FC249" s="37"/>
      <c r="FD249" s="37"/>
      <c r="FE249" s="37"/>
      <c r="FF249" s="55"/>
      <c r="FG249" s="55"/>
      <c r="FH249" s="55"/>
      <c r="FI249" s="37"/>
      <c r="FJ249" s="55"/>
      <c r="FK249" s="55"/>
      <c r="FL249" s="45"/>
      <c r="FM249" s="37"/>
      <c r="FN249" s="37"/>
      <c r="FO249" s="37"/>
      <c r="FP249" s="55"/>
      <c r="FQ249" s="1" t="s">
        <v>2</v>
      </c>
      <c r="FR249" s="1" t="s">
        <v>113</v>
      </c>
      <c r="FS249" s="1" t="s">
        <v>129</v>
      </c>
      <c r="FV249" s="1" t="s">
        <v>2</v>
      </c>
    </row>
    <row r="250" spans="1:178" ht="16.25" customHeight="1" x14ac:dyDescent="0.2">
      <c r="A250" s="18" t="s">
        <v>177</v>
      </c>
      <c r="B250" s="1" t="s">
        <v>82</v>
      </c>
      <c r="C250" s="79" t="s">
        <v>323</v>
      </c>
      <c r="D250" s="1" t="s">
        <v>69</v>
      </c>
      <c r="G250" s="1" t="s">
        <v>72</v>
      </c>
      <c r="H250" s="1" t="s">
        <v>324</v>
      </c>
      <c r="K250" s="1">
        <v>5.3460000000000001</v>
      </c>
      <c r="L250" s="1">
        <v>1.07</v>
      </c>
      <c r="S250" s="1">
        <v>2.08</v>
      </c>
      <c r="U250" s="1">
        <v>1.04</v>
      </c>
      <c r="V250" s="1">
        <v>3.55</v>
      </c>
      <c r="AF250" s="1">
        <v>5.6429999999999998</v>
      </c>
      <c r="AG250" s="1">
        <v>0.89</v>
      </c>
      <c r="AN250" s="13">
        <v>1.5</v>
      </c>
      <c r="AP250" s="1">
        <v>0.94</v>
      </c>
      <c r="AQ250" s="1">
        <v>3.27</v>
      </c>
      <c r="BA250" s="1">
        <v>8.9659999999999993</v>
      </c>
      <c r="BB250" s="1">
        <v>1.1399999999999999</v>
      </c>
      <c r="BI250" s="13">
        <v>1.1000000000000001</v>
      </c>
      <c r="BK250" s="1">
        <v>1.1599999999999999</v>
      </c>
      <c r="BL250" s="1">
        <v>3.49</v>
      </c>
      <c r="BV250" s="1">
        <v>5.2640000000000002</v>
      </c>
      <c r="BW250" s="1">
        <v>1.04</v>
      </c>
      <c r="CD250" s="1">
        <v>2.02</v>
      </c>
      <c r="CF250" s="1">
        <v>1.1000000000000001</v>
      </c>
      <c r="CG250" s="1">
        <v>3.45</v>
      </c>
      <c r="CQ250" s="1">
        <v>5.867</v>
      </c>
      <c r="CR250" s="1">
        <v>0.72</v>
      </c>
      <c r="CY250" s="1">
        <v>1.38</v>
      </c>
      <c r="DA250" s="1">
        <v>0.78</v>
      </c>
      <c r="DB250" s="1">
        <v>2.76</v>
      </c>
      <c r="DL250" s="18" t="s">
        <v>96</v>
      </c>
      <c r="DN250" s="1">
        <f t="shared" si="55"/>
        <v>1.4756592332748686</v>
      </c>
      <c r="DO250" s="1">
        <f t="shared" si="56"/>
        <v>0</v>
      </c>
      <c r="DP250" s="1" t="s">
        <v>185</v>
      </c>
      <c r="DQ250" s="1" t="s">
        <v>2</v>
      </c>
      <c r="DR250" s="100">
        <f t="shared" si="57"/>
        <v>19.954999999999998</v>
      </c>
      <c r="DS250" s="100">
        <f t="shared" si="58"/>
        <v>1.4756592332748686</v>
      </c>
      <c r="DT250" s="101">
        <f t="shared" si="59"/>
        <v>294.46780000000001</v>
      </c>
      <c r="DV250" s="100">
        <f t="shared" si="60"/>
        <v>11.131</v>
      </c>
      <c r="DW250" s="100">
        <f>(BV250*CD250+CQ250*CY250)/DV250</f>
        <v>1.6826646303117418</v>
      </c>
      <c r="DX250" s="101">
        <f>1000*DV250*DW250/100</f>
        <v>187.29739999999998</v>
      </c>
      <c r="DZ250" s="37" t="s">
        <v>2</v>
      </c>
      <c r="EA250" s="37"/>
      <c r="EM250" s="73"/>
      <c r="EN250" s="37"/>
      <c r="EO250" s="37"/>
      <c r="EP250" s="37"/>
      <c r="EQ250" s="37"/>
      <c r="ER250" s="37"/>
      <c r="ES250" s="37"/>
      <c r="ET250" s="37"/>
      <c r="EU250" s="37"/>
      <c r="EV250" s="37"/>
      <c r="EW250" s="37"/>
      <c r="EX250" s="37"/>
      <c r="EY250" s="37"/>
      <c r="EZ250" s="37"/>
      <c r="FA250" s="37"/>
      <c r="FB250" s="37"/>
      <c r="FC250" s="37"/>
      <c r="FD250" s="37"/>
      <c r="FE250" s="37"/>
      <c r="FF250" s="55"/>
      <c r="FG250" s="55"/>
      <c r="FH250" s="55"/>
      <c r="FI250" s="37"/>
      <c r="FJ250" s="55"/>
      <c r="FK250" s="55"/>
      <c r="FL250" s="45"/>
      <c r="FM250" s="37"/>
      <c r="FN250" s="37"/>
      <c r="FO250" s="37"/>
      <c r="FP250" s="55"/>
      <c r="FQ250" s="1" t="s">
        <v>2</v>
      </c>
      <c r="FR250" s="1" t="s">
        <v>113</v>
      </c>
      <c r="FS250" s="1" t="s">
        <v>129</v>
      </c>
      <c r="FV250" s="1" t="s">
        <v>2</v>
      </c>
    </row>
    <row r="251" spans="1:178" ht="16.25" customHeight="1" x14ac:dyDescent="0.2">
      <c r="A251" s="18" t="s">
        <v>177</v>
      </c>
      <c r="B251" s="1" t="s">
        <v>82</v>
      </c>
      <c r="C251" s="15" t="s">
        <v>950</v>
      </c>
      <c r="D251" s="1" t="s">
        <v>69</v>
      </c>
      <c r="H251" s="1" t="s">
        <v>131</v>
      </c>
      <c r="K251" s="1">
        <v>0</v>
      </c>
      <c r="AF251" s="1">
        <v>15.8</v>
      </c>
      <c r="AG251" s="1">
        <v>0.99</v>
      </c>
      <c r="AN251" s="1">
        <v>0.65</v>
      </c>
      <c r="AO251" s="1">
        <v>7.0000000000000007E-2</v>
      </c>
      <c r="AP251" s="1">
        <v>0.25</v>
      </c>
      <c r="AQ251" s="1">
        <v>1.55</v>
      </c>
      <c r="BA251" s="1">
        <v>30.2</v>
      </c>
      <c r="BB251" s="13">
        <v>1</v>
      </c>
      <c r="BI251" s="1">
        <v>0.67</v>
      </c>
      <c r="BJ251" s="1">
        <v>0.05</v>
      </c>
      <c r="BK251" s="1">
        <v>0.19</v>
      </c>
      <c r="BL251" s="1">
        <v>1.18</v>
      </c>
      <c r="BV251" s="1">
        <v>0</v>
      </c>
      <c r="CQ251" s="1">
        <v>0</v>
      </c>
      <c r="DL251" s="18" t="s">
        <v>96</v>
      </c>
      <c r="DM251" s="1" t="s">
        <v>96</v>
      </c>
      <c r="DN251" s="1">
        <f t="shared" si="55"/>
        <v>0.6631304347826088</v>
      </c>
      <c r="DO251" s="1">
        <f t="shared" si="56"/>
        <v>5.6869565217391303E-2</v>
      </c>
      <c r="DP251" s="1" t="s">
        <v>683</v>
      </c>
      <c r="DQ251" s="1" t="s">
        <v>2</v>
      </c>
      <c r="DR251" s="16">
        <f t="shared" si="57"/>
        <v>46</v>
      </c>
      <c r="DS251" s="100">
        <f t="shared" si="58"/>
        <v>0.6631304347826088</v>
      </c>
      <c r="DT251" s="101">
        <f t="shared" si="59"/>
        <v>305.04000000000002</v>
      </c>
      <c r="DV251" s="16">
        <f t="shared" si="60"/>
        <v>0</v>
      </c>
      <c r="DZ251" s="37" t="s">
        <v>2</v>
      </c>
      <c r="EA251" s="37"/>
      <c r="EM251" s="73"/>
      <c r="EN251" s="37"/>
      <c r="EO251" s="37"/>
      <c r="EP251" s="37"/>
      <c r="EQ251" s="37"/>
      <c r="ER251" s="37"/>
      <c r="ES251" s="37"/>
      <c r="ET251" s="37"/>
      <c r="EU251" s="37"/>
      <c r="EV251" s="37"/>
      <c r="EW251" s="37"/>
      <c r="EX251" s="37"/>
      <c r="EY251" s="37"/>
      <c r="EZ251" s="37"/>
      <c r="FA251" s="37"/>
      <c r="FB251" s="37"/>
      <c r="FC251" s="37"/>
      <c r="FD251" s="37"/>
      <c r="FE251" s="37"/>
      <c r="FF251" s="55"/>
      <c r="FG251" s="55"/>
      <c r="FH251" s="55"/>
      <c r="FI251" s="37"/>
      <c r="FJ251" s="55"/>
      <c r="FK251" s="55"/>
      <c r="FL251" s="45"/>
      <c r="FM251" s="37"/>
      <c r="FN251" s="37"/>
      <c r="FO251" s="37"/>
      <c r="FP251" s="55"/>
      <c r="FQ251" s="1" t="s">
        <v>2</v>
      </c>
      <c r="FR251" s="1" t="s">
        <v>113</v>
      </c>
      <c r="FS251" s="1" t="s">
        <v>129</v>
      </c>
      <c r="FV251" s="1" t="s">
        <v>2</v>
      </c>
    </row>
    <row r="252" spans="1:178" ht="16.25" customHeight="1" x14ac:dyDescent="0.2">
      <c r="A252" s="22" t="s">
        <v>115</v>
      </c>
      <c r="B252" s="1" t="s">
        <v>82</v>
      </c>
      <c r="C252" s="16" t="s">
        <v>952</v>
      </c>
      <c r="D252" s="1" t="s">
        <v>64</v>
      </c>
      <c r="H252" s="1" t="s">
        <v>940</v>
      </c>
      <c r="K252" s="1">
        <v>13.97</v>
      </c>
      <c r="L252" s="1">
        <v>0.20799999999999999</v>
      </c>
      <c r="M252" s="1">
        <v>3.7999999999999999E-2</v>
      </c>
      <c r="N252" s="1">
        <v>1.847</v>
      </c>
      <c r="S252" s="1">
        <v>8.9999999999999993E-3</v>
      </c>
      <c r="T252" s="1">
        <v>7.0000000000000001E-3</v>
      </c>
      <c r="U252" s="1">
        <v>2.5999999999999999E-2</v>
      </c>
      <c r="V252" s="1">
        <v>0.34100000000000003</v>
      </c>
      <c r="AF252" s="1">
        <v>37.54</v>
      </c>
      <c r="AG252" s="1">
        <v>0.216</v>
      </c>
      <c r="AH252" s="1">
        <v>3.9E-2</v>
      </c>
      <c r="AI252" s="1">
        <v>1.8879999999999999</v>
      </c>
      <c r="AN252" s="1">
        <v>0.01</v>
      </c>
      <c r="AO252" s="1">
        <v>7.0000000000000001E-3</v>
      </c>
      <c r="AP252" s="1">
        <v>2.5999999999999999E-2</v>
      </c>
      <c r="AQ252" s="1">
        <v>0.36199999999999999</v>
      </c>
      <c r="BA252" s="1">
        <v>17.920000000000002</v>
      </c>
      <c r="BB252" s="1">
        <v>0.20300000000000001</v>
      </c>
      <c r="BC252" s="1">
        <v>3.6999999999999998E-2</v>
      </c>
      <c r="BD252" s="1">
        <v>1.62</v>
      </c>
      <c r="BI252" s="1">
        <v>8.9999999999999993E-3</v>
      </c>
      <c r="BJ252" s="1">
        <v>6.0000000000000001E-3</v>
      </c>
      <c r="BK252" s="1">
        <v>2.5000000000000001E-2</v>
      </c>
      <c r="BL252" s="1">
        <v>0.34899999999999998</v>
      </c>
      <c r="BV252" s="1">
        <v>0</v>
      </c>
      <c r="CQ252" s="1">
        <v>0</v>
      </c>
      <c r="DL252" s="18" t="s">
        <v>96</v>
      </c>
      <c r="DM252" s="1" t="s">
        <v>96</v>
      </c>
      <c r="DN252" s="1">
        <f t="shared" si="55"/>
        <v>9.5406884632003447E-3</v>
      </c>
      <c r="DO252" s="1">
        <f t="shared" si="56"/>
        <v>6.7418983148494881E-3</v>
      </c>
      <c r="DP252" s="1" t="s">
        <v>686</v>
      </c>
      <c r="DQ252" s="1" t="s">
        <v>2</v>
      </c>
      <c r="DR252" s="16">
        <f t="shared" si="57"/>
        <v>69.430000000000007</v>
      </c>
      <c r="DS252" s="16">
        <f t="shared" si="58"/>
        <v>9.5406884632003447E-3</v>
      </c>
      <c r="DT252" s="101">
        <f t="shared" si="59"/>
        <v>6.6240999999999994</v>
      </c>
      <c r="DV252" s="16">
        <f t="shared" si="60"/>
        <v>0</v>
      </c>
      <c r="DZ252" s="37" t="s">
        <v>2</v>
      </c>
      <c r="EA252" s="37"/>
      <c r="EM252" s="73"/>
      <c r="EN252" s="37"/>
      <c r="EO252" s="37"/>
      <c r="EP252" s="37"/>
      <c r="EQ252" s="37"/>
      <c r="ER252" s="37"/>
      <c r="ES252" s="37"/>
      <c r="ET252" s="37"/>
      <c r="EU252" s="37"/>
      <c r="EV252" s="37"/>
      <c r="EW252" s="37"/>
      <c r="EX252" s="37"/>
      <c r="EY252" s="37"/>
      <c r="EZ252" s="37"/>
      <c r="FA252" s="37"/>
      <c r="FB252" s="37"/>
      <c r="FC252" s="37"/>
      <c r="FD252" s="37"/>
      <c r="FE252" s="37"/>
      <c r="FF252" s="55"/>
      <c r="FG252" s="55"/>
      <c r="FH252" s="55"/>
      <c r="FI252" s="37"/>
      <c r="FJ252" s="55"/>
      <c r="FK252" s="55"/>
      <c r="FL252" s="45"/>
      <c r="FM252" s="37"/>
      <c r="FN252" s="37"/>
      <c r="FO252" s="37"/>
      <c r="FP252" s="55"/>
      <c r="FQ252" s="1" t="s">
        <v>2</v>
      </c>
      <c r="FR252" s="1" t="s">
        <v>113</v>
      </c>
      <c r="FS252" s="1" t="s">
        <v>129</v>
      </c>
      <c r="FV252" s="1" t="s">
        <v>2</v>
      </c>
    </row>
    <row r="253" spans="1:178" ht="16.25" customHeight="1" x14ac:dyDescent="0.2">
      <c r="A253" s="18" t="s">
        <v>177</v>
      </c>
      <c r="B253" s="1" t="s">
        <v>82</v>
      </c>
      <c r="C253" s="15" t="s">
        <v>696</v>
      </c>
      <c r="D253" s="1" t="s">
        <v>64</v>
      </c>
      <c r="H253" s="1" t="s">
        <v>697</v>
      </c>
      <c r="K253" s="1">
        <v>0</v>
      </c>
      <c r="AF253" s="1">
        <v>0</v>
      </c>
      <c r="BA253" s="1">
        <v>1.4</v>
      </c>
      <c r="BB253" s="1">
        <v>0.7</v>
      </c>
      <c r="BI253" s="1">
        <v>0.7</v>
      </c>
      <c r="BK253" s="1">
        <v>1</v>
      </c>
      <c r="BL253" s="1">
        <v>3</v>
      </c>
      <c r="BV253" s="1">
        <v>0</v>
      </c>
      <c r="CQ253" s="1">
        <v>0</v>
      </c>
      <c r="DL253" s="18" t="s">
        <v>163</v>
      </c>
      <c r="DN253" s="1">
        <f t="shared" si="55"/>
        <v>0.7</v>
      </c>
      <c r="DO253" s="1">
        <f t="shared" si="56"/>
        <v>0</v>
      </c>
      <c r="DP253" s="1" t="s">
        <v>701</v>
      </c>
      <c r="DQ253" s="1" t="s">
        <v>2</v>
      </c>
      <c r="DR253" s="16">
        <f t="shared" si="57"/>
        <v>1.4</v>
      </c>
      <c r="DS253" s="16">
        <f t="shared" si="58"/>
        <v>0.7</v>
      </c>
      <c r="DT253" s="101">
        <f t="shared" si="59"/>
        <v>9.7999999999999989</v>
      </c>
      <c r="DV253" s="16">
        <f t="shared" si="60"/>
        <v>0</v>
      </c>
      <c r="DZ253" s="37" t="s">
        <v>2</v>
      </c>
      <c r="EA253" s="37"/>
      <c r="EM253" s="73"/>
      <c r="EN253" s="37"/>
      <c r="EO253" s="37"/>
      <c r="EP253" s="37"/>
      <c r="EQ253" s="37"/>
      <c r="ER253" s="37"/>
      <c r="ES253" s="37"/>
      <c r="ET253" s="37"/>
      <c r="EU253" s="37"/>
      <c r="EV253" s="37"/>
      <c r="EW253" s="37"/>
      <c r="EX253" s="37"/>
      <c r="EY253" s="37"/>
      <c r="EZ253" s="37"/>
      <c r="FA253" s="37"/>
      <c r="FB253" s="37"/>
      <c r="FC253" s="37"/>
      <c r="FD253" s="37"/>
      <c r="FE253" s="37"/>
      <c r="FF253" s="55"/>
      <c r="FG253" s="55"/>
      <c r="FH253" s="55"/>
      <c r="FI253" s="37"/>
      <c r="FJ253" s="55"/>
      <c r="FK253" s="55"/>
      <c r="FL253" s="45"/>
      <c r="FM253" s="37"/>
      <c r="FN253" s="37"/>
      <c r="FO253" s="37"/>
      <c r="FP253" s="55"/>
      <c r="FQ253" s="1" t="s">
        <v>2</v>
      </c>
      <c r="FR253" s="1" t="s">
        <v>113</v>
      </c>
      <c r="FS253" s="1" t="s">
        <v>129</v>
      </c>
      <c r="FV253" s="1" t="s">
        <v>2</v>
      </c>
    </row>
    <row r="254" spans="1:178" ht="16.25" customHeight="1" x14ac:dyDescent="0.2">
      <c r="A254" s="18" t="s">
        <v>177</v>
      </c>
      <c r="B254" s="1" t="s">
        <v>82</v>
      </c>
      <c r="C254" s="15" t="s">
        <v>699</v>
      </c>
      <c r="D254" s="1" t="s">
        <v>69</v>
      </c>
      <c r="H254" s="1" t="s">
        <v>700</v>
      </c>
      <c r="K254" s="1">
        <v>1.2549999999999999</v>
      </c>
      <c r="L254" s="1">
        <v>0.56000000000000005</v>
      </c>
      <c r="S254" s="1">
        <v>1.0900000000000001</v>
      </c>
      <c r="T254" s="1">
        <v>7.0000000000000007E-2</v>
      </c>
      <c r="U254" s="13">
        <v>0.2</v>
      </c>
      <c r="V254" s="1">
        <v>1.1100000000000001</v>
      </c>
      <c r="AF254" s="1">
        <v>0.78300000000000003</v>
      </c>
      <c r="AG254" s="1">
        <v>0.53</v>
      </c>
      <c r="AN254" s="13">
        <v>1</v>
      </c>
      <c r="AO254" s="1">
        <v>0.06</v>
      </c>
      <c r="AP254" s="1">
        <v>0.28999999999999998</v>
      </c>
      <c r="AQ254" s="1">
        <v>0.91</v>
      </c>
      <c r="BA254" s="1">
        <v>1.0529999999999999</v>
      </c>
      <c r="BB254" s="1">
        <v>0.32</v>
      </c>
      <c r="BI254" s="1">
        <v>0.81</v>
      </c>
      <c r="BJ254" s="1">
        <v>0.06</v>
      </c>
      <c r="BK254" s="13">
        <v>0.5</v>
      </c>
      <c r="BL254" s="1">
        <v>1.06</v>
      </c>
      <c r="BV254" s="1">
        <v>0</v>
      </c>
      <c r="CQ254" s="1">
        <v>0</v>
      </c>
      <c r="DL254" s="18" t="s">
        <v>96</v>
      </c>
      <c r="DM254" s="1" t="s">
        <v>96</v>
      </c>
      <c r="DN254" s="1">
        <f t="shared" si="55"/>
        <v>0.97181494661921708</v>
      </c>
      <c r="DO254" s="1">
        <f t="shared" si="56"/>
        <v>6.4060174700744113E-2</v>
      </c>
      <c r="DP254" s="1" t="s">
        <v>704</v>
      </c>
      <c r="DQ254" s="1" t="s">
        <v>2</v>
      </c>
      <c r="DR254" s="16">
        <f t="shared" si="57"/>
        <v>3.0909999999999997</v>
      </c>
      <c r="DS254" s="100">
        <f t="shared" si="58"/>
        <v>0.97181494661921708</v>
      </c>
      <c r="DT254" s="101">
        <f t="shared" si="59"/>
        <v>30.038799999999995</v>
      </c>
      <c r="DV254" s="16">
        <f t="shared" si="60"/>
        <v>0</v>
      </c>
      <c r="DZ254" s="37" t="s">
        <v>2</v>
      </c>
      <c r="EA254" s="37"/>
      <c r="EM254" s="73"/>
      <c r="EN254" s="37"/>
      <c r="EO254" s="37"/>
      <c r="EP254" s="37"/>
      <c r="EQ254" s="37"/>
      <c r="ER254" s="37"/>
      <c r="ES254" s="37"/>
      <c r="ET254" s="37"/>
      <c r="EU254" s="37"/>
      <c r="EV254" s="37"/>
      <c r="EW254" s="37"/>
      <c r="EX254" s="37"/>
      <c r="EY254" s="37"/>
      <c r="EZ254" s="37"/>
      <c r="FA254" s="37"/>
      <c r="FB254" s="37"/>
      <c r="FC254" s="37"/>
      <c r="FD254" s="37"/>
      <c r="FE254" s="37"/>
      <c r="FF254" s="55"/>
      <c r="FG254" s="55"/>
      <c r="FH254" s="55"/>
      <c r="FI254" s="37"/>
      <c r="FJ254" s="55"/>
      <c r="FK254" s="55"/>
      <c r="FL254" s="45"/>
      <c r="FM254" s="37"/>
      <c r="FN254" s="37"/>
      <c r="FO254" s="37"/>
      <c r="FP254" s="55"/>
      <c r="FQ254" s="1" t="s">
        <v>2</v>
      </c>
      <c r="FR254" s="1" t="s">
        <v>113</v>
      </c>
      <c r="FS254" s="1" t="s">
        <v>129</v>
      </c>
      <c r="FV254" s="1" t="s">
        <v>2</v>
      </c>
    </row>
    <row r="255" spans="1:178" ht="16.25" customHeight="1" x14ac:dyDescent="0.2">
      <c r="A255" s="18" t="s">
        <v>177</v>
      </c>
      <c r="B255" s="1" t="s">
        <v>82</v>
      </c>
      <c r="C255" s="15" t="s">
        <v>702</v>
      </c>
      <c r="D255" s="1" t="s">
        <v>69</v>
      </c>
      <c r="H255" s="1" t="s">
        <v>703</v>
      </c>
      <c r="K255" s="1">
        <v>0</v>
      </c>
      <c r="AF255" s="1">
        <v>1.899</v>
      </c>
      <c r="AG255" s="1">
        <v>0.33</v>
      </c>
      <c r="AN255" s="1">
        <v>0.7</v>
      </c>
      <c r="AO255" s="1">
        <v>3.4000000000000002E-2</v>
      </c>
      <c r="BA255" s="1">
        <v>2.403</v>
      </c>
      <c r="BB255" s="1">
        <v>0.35</v>
      </c>
      <c r="BI255" s="1">
        <v>0.86</v>
      </c>
      <c r="BJ255" s="1">
        <v>3.4000000000000002E-2</v>
      </c>
      <c r="BV255" s="1">
        <v>0</v>
      </c>
      <c r="CQ255" s="1">
        <v>0</v>
      </c>
      <c r="DL255" s="18" t="s">
        <v>96</v>
      </c>
      <c r="DM255" s="1" t="s">
        <v>96</v>
      </c>
      <c r="DN255" s="1">
        <f t="shared" si="55"/>
        <v>0.7893723849372386</v>
      </c>
      <c r="DO255" s="1">
        <f t="shared" si="56"/>
        <v>3.4000000000000002E-2</v>
      </c>
      <c r="DP255" s="1" t="s">
        <v>711</v>
      </c>
      <c r="DQ255" s="1" t="s">
        <v>2</v>
      </c>
      <c r="DR255" s="16">
        <f t="shared" si="57"/>
        <v>4.3019999999999996</v>
      </c>
      <c r="DS255" s="100">
        <f t="shared" si="58"/>
        <v>0.7893723849372386</v>
      </c>
      <c r="DT255" s="101">
        <f t="shared" si="59"/>
        <v>33.958800000000004</v>
      </c>
      <c r="DV255" s="16">
        <f t="shared" si="60"/>
        <v>0</v>
      </c>
      <c r="DZ255" s="37" t="s">
        <v>2</v>
      </c>
      <c r="EA255" s="37"/>
      <c r="EM255" s="73"/>
      <c r="EN255" s="37"/>
      <c r="EO255" s="37"/>
      <c r="EP255" s="37"/>
      <c r="EQ255" s="37"/>
      <c r="ER255" s="37"/>
      <c r="ES255" s="37"/>
      <c r="ET255" s="37"/>
      <c r="EU255" s="37"/>
      <c r="EV255" s="37"/>
      <c r="EW255" s="37"/>
      <c r="EX255" s="37"/>
      <c r="EY255" s="37"/>
      <c r="EZ255" s="37"/>
      <c r="FA255" s="37"/>
      <c r="FB255" s="37"/>
      <c r="FC255" s="37"/>
      <c r="FD255" s="37"/>
      <c r="FE255" s="37"/>
      <c r="FF255" s="55"/>
      <c r="FG255" s="55"/>
      <c r="FH255" s="55"/>
      <c r="FI255" s="37"/>
      <c r="FJ255" s="55"/>
      <c r="FK255" s="55"/>
      <c r="FL255" s="45"/>
      <c r="FM255" s="37"/>
      <c r="FN255" s="37"/>
      <c r="FO255" s="37"/>
      <c r="FP255" s="55"/>
      <c r="FQ255" s="1" t="s">
        <v>2</v>
      </c>
      <c r="FR255" s="1" t="s">
        <v>113</v>
      </c>
      <c r="FS255" s="1" t="s">
        <v>129</v>
      </c>
      <c r="FV255" s="1" t="s">
        <v>2</v>
      </c>
    </row>
    <row r="256" spans="1:178" ht="16.25" customHeight="1" x14ac:dyDescent="0.2">
      <c r="A256" s="18" t="s">
        <v>177</v>
      </c>
      <c r="B256" s="1" t="s">
        <v>82</v>
      </c>
      <c r="C256" s="15" t="s">
        <v>705</v>
      </c>
      <c r="D256" s="1" t="s">
        <v>69</v>
      </c>
      <c r="H256" s="1" t="s">
        <v>706</v>
      </c>
      <c r="K256" s="1">
        <v>0</v>
      </c>
      <c r="AF256" s="1">
        <v>7.2</v>
      </c>
      <c r="AG256" s="13">
        <v>0.13</v>
      </c>
      <c r="AH256" s="13"/>
      <c r="AN256" s="13">
        <v>0.61</v>
      </c>
      <c r="AO256" s="1">
        <v>0.01</v>
      </c>
      <c r="AP256" s="13">
        <v>0.1</v>
      </c>
      <c r="AQ256" s="13">
        <v>0.36</v>
      </c>
      <c r="BA256" s="1">
        <v>0.67300000000000004</v>
      </c>
      <c r="BB256" s="13">
        <v>0.08</v>
      </c>
      <c r="BC256" s="13"/>
      <c r="BI256" s="13">
        <v>0.27</v>
      </c>
      <c r="BJ256" s="1">
        <v>0.02</v>
      </c>
      <c r="BK256" s="13">
        <v>0.05</v>
      </c>
      <c r="BL256" s="13">
        <v>0.14000000000000001</v>
      </c>
      <c r="BV256" s="1">
        <v>0</v>
      </c>
      <c r="CQ256" s="1">
        <v>0</v>
      </c>
      <c r="DL256" s="18" t="s">
        <v>96</v>
      </c>
      <c r="DM256" s="1" t="s">
        <v>96</v>
      </c>
      <c r="DN256" s="1">
        <f t="shared" si="55"/>
        <v>0.58093611075828777</v>
      </c>
      <c r="DO256" s="1">
        <f t="shared" si="56"/>
        <v>1.0854820271815065E-2</v>
      </c>
      <c r="DP256" s="1" t="s">
        <v>714</v>
      </c>
      <c r="DQ256" s="1" t="s">
        <v>2</v>
      </c>
      <c r="DR256" s="16">
        <f t="shared" si="57"/>
        <v>7.8730000000000002</v>
      </c>
      <c r="DS256" s="100">
        <f t="shared" si="58"/>
        <v>0.58093611075828777</v>
      </c>
      <c r="DT256" s="101">
        <f t="shared" si="59"/>
        <v>45.737099999999998</v>
      </c>
      <c r="DV256" s="16">
        <f t="shared" si="60"/>
        <v>0</v>
      </c>
      <c r="DZ256" s="37" t="s">
        <v>2</v>
      </c>
      <c r="EA256" s="37"/>
      <c r="EM256" s="73"/>
      <c r="EN256" s="37"/>
      <c r="EO256" s="37"/>
      <c r="EP256" s="37"/>
      <c r="EQ256" s="37"/>
      <c r="ER256" s="37"/>
      <c r="ES256" s="37"/>
      <c r="ET256" s="37"/>
      <c r="EU256" s="37"/>
      <c r="EV256" s="37"/>
      <c r="EW256" s="37"/>
      <c r="EX256" s="37"/>
      <c r="EY256" s="37"/>
      <c r="EZ256" s="37"/>
      <c r="FA256" s="37"/>
      <c r="FB256" s="37"/>
      <c r="FC256" s="37"/>
      <c r="FD256" s="37"/>
      <c r="FE256" s="37"/>
      <c r="FF256" s="55"/>
      <c r="FG256" s="55"/>
      <c r="FH256" s="55"/>
      <c r="FI256" s="37"/>
      <c r="FJ256" s="55"/>
      <c r="FK256" s="55"/>
      <c r="FL256" s="45"/>
      <c r="FM256" s="37"/>
      <c r="FN256" s="37"/>
      <c r="FO256" s="37"/>
      <c r="FP256" s="55"/>
      <c r="FQ256" s="1" t="s">
        <v>2</v>
      </c>
      <c r="FR256" s="1" t="s">
        <v>113</v>
      </c>
      <c r="FS256" s="1" t="s">
        <v>129</v>
      </c>
      <c r="FV256" s="1" t="s">
        <v>2</v>
      </c>
    </row>
    <row r="257" spans="1:178" ht="16.25" customHeight="1" x14ac:dyDescent="0.2">
      <c r="A257" s="18" t="s">
        <v>177</v>
      </c>
      <c r="B257" s="1" t="s">
        <v>82</v>
      </c>
      <c r="C257" s="79" t="s">
        <v>454</v>
      </c>
      <c r="D257" s="1" t="s">
        <v>69</v>
      </c>
      <c r="G257" s="1" t="s">
        <v>72</v>
      </c>
      <c r="H257" s="1" t="s">
        <v>455</v>
      </c>
      <c r="K257" s="1">
        <v>0</v>
      </c>
      <c r="AF257" s="1">
        <v>27.9</v>
      </c>
      <c r="AG257" s="1">
        <v>0.43</v>
      </c>
      <c r="AH257" s="1">
        <v>0.05</v>
      </c>
      <c r="AN257" s="1">
        <v>0.18</v>
      </c>
      <c r="AP257" s="1">
        <v>0.05</v>
      </c>
      <c r="AQ257" s="1">
        <v>0.14000000000000001</v>
      </c>
      <c r="BA257" s="1">
        <v>5.3</v>
      </c>
      <c r="BB257" s="1">
        <v>0.48</v>
      </c>
      <c r="BC257" s="1">
        <v>0.04</v>
      </c>
      <c r="BI257" s="1">
        <v>0.18</v>
      </c>
      <c r="BK257" s="1">
        <v>0.06</v>
      </c>
      <c r="BL257" s="1">
        <v>0.15</v>
      </c>
      <c r="BV257" s="1">
        <v>0</v>
      </c>
      <c r="CQ257" s="1">
        <v>0</v>
      </c>
      <c r="DL257" s="18" t="s">
        <v>96</v>
      </c>
      <c r="DN257" s="1">
        <f t="shared" si="55"/>
        <v>0.18</v>
      </c>
      <c r="DO257" s="1">
        <f t="shared" si="56"/>
        <v>0</v>
      </c>
      <c r="DP257" s="1" t="s">
        <v>714</v>
      </c>
      <c r="DQ257" s="1" t="s">
        <v>2</v>
      </c>
      <c r="DR257" s="16">
        <f t="shared" si="57"/>
        <v>33.199999999999996</v>
      </c>
      <c r="DS257" s="16">
        <f t="shared" si="58"/>
        <v>0.18</v>
      </c>
      <c r="DT257" s="101">
        <f t="shared" si="59"/>
        <v>59.759999999999984</v>
      </c>
      <c r="DV257" s="16">
        <f t="shared" si="60"/>
        <v>0</v>
      </c>
      <c r="DZ257" s="37" t="s">
        <v>2</v>
      </c>
      <c r="EA257" s="37"/>
      <c r="EM257" s="73"/>
      <c r="EN257" s="37"/>
      <c r="EO257" s="37"/>
      <c r="EP257" s="37"/>
      <c r="EQ257" s="37"/>
      <c r="ER257" s="37"/>
      <c r="ES257" s="37"/>
      <c r="ET257" s="37"/>
      <c r="EU257" s="37"/>
      <c r="EV257" s="37"/>
      <c r="EW257" s="37"/>
      <c r="EX257" s="37"/>
      <c r="EY257" s="37"/>
      <c r="EZ257" s="37"/>
      <c r="FA257" s="37"/>
      <c r="FB257" s="37"/>
      <c r="FC257" s="37"/>
      <c r="FD257" s="37"/>
      <c r="FE257" s="37"/>
      <c r="FF257" s="55"/>
      <c r="FG257" s="55"/>
      <c r="FH257" s="55"/>
      <c r="FI257" s="37"/>
      <c r="FJ257" s="55"/>
      <c r="FK257" s="55"/>
      <c r="FL257" s="45"/>
      <c r="FM257" s="37"/>
      <c r="FN257" s="37"/>
      <c r="FO257" s="37"/>
      <c r="FP257" s="55"/>
      <c r="FQ257" s="1" t="s">
        <v>2</v>
      </c>
      <c r="FR257" s="1" t="s">
        <v>113</v>
      </c>
      <c r="FS257" s="1" t="s">
        <v>129</v>
      </c>
      <c r="FV257" s="1" t="s">
        <v>2</v>
      </c>
    </row>
    <row r="258" spans="1:178" ht="16.25" customHeight="1" x14ac:dyDescent="0.2">
      <c r="A258" s="18" t="s">
        <v>177</v>
      </c>
      <c r="B258" s="1" t="s">
        <v>82</v>
      </c>
      <c r="C258" s="79" t="s">
        <v>539</v>
      </c>
      <c r="D258" s="1" t="s">
        <v>69</v>
      </c>
      <c r="G258" s="1" t="s">
        <v>72</v>
      </c>
      <c r="H258" s="1" t="s">
        <v>131</v>
      </c>
      <c r="K258" s="1">
        <v>0</v>
      </c>
      <c r="AF258" s="1">
        <v>0</v>
      </c>
      <c r="BA258" s="1">
        <v>1.8</v>
      </c>
      <c r="BB258" s="1">
        <v>0.25</v>
      </c>
      <c r="BI258" s="1">
        <v>0.47</v>
      </c>
      <c r="BV258" s="1">
        <v>0</v>
      </c>
      <c r="CQ258" s="1">
        <v>0</v>
      </c>
      <c r="DL258" s="18" t="s">
        <v>163</v>
      </c>
      <c r="DN258" s="1">
        <f t="shared" si="55"/>
        <v>0.47</v>
      </c>
      <c r="DO258" s="1">
        <f t="shared" si="56"/>
        <v>0</v>
      </c>
      <c r="DP258" s="1" t="s">
        <v>732</v>
      </c>
      <c r="DQ258" s="1" t="s">
        <v>2</v>
      </c>
      <c r="DR258" s="16">
        <f t="shared" si="57"/>
        <v>1.8</v>
      </c>
      <c r="DS258" s="16">
        <f t="shared" si="58"/>
        <v>0.47</v>
      </c>
      <c r="DT258" s="101">
        <f t="shared" si="59"/>
        <v>8.4600000000000009</v>
      </c>
      <c r="DV258" s="16">
        <f t="shared" si="60"/>
        <v>0</v>
      </c>
      <c r="DZ258" s="37" t="s">
        <v>2</v>
      </c>
      <c r="EA258" s="37"/>
      <c r="EM258" s="73"/>
      <c r="EN258" s="37"/>
      <c r="EO258" s="37"/>
      <c r="EP258" s="37"/>
      <c r="EQ258" s="37"/>
      <c r="ER258" s="37"/>
      <c r="ES258" s="37"/>
      <c r="ET258" s="37"/>
      <c r="EU258" s="37"/>
      <c r="EV258" s="37"/>
      <c r="EW258" s="37"/>
      <c r="EX258" s="37"/>
      <c r="EY258" s="37"/>
      <c r="EZ258" s="37"/>
      <c r="FA258" s="37"/>
      <c r="FB258" s="37"/>
      <c r="FC258" s="37"/>
      <c r="FD258" s="37"/>
      <c r="FE258" s="37"/>
      <c r="FF258" s="55"/>
      <c r="FG258" s="55"/>
      <c r="FH258" s="55"/>
      <c r="FI258" s="37"/>
      <c r="FJ258" s="55"/>
      <c r="FK258" s="55"/>
      <c r="FL258" s="45"/>
      <c r="FM258" s="37"/>
      <c r="FN258" s="37"/>
      <c r="FO258" s="37"/>
      <c r="FP258" s="55"/>
      <c r="FQ258" s="1" t="s">
        <v>2</v>
      </c>
      <c r="FR258" s="1" t="s">
        <v>113</v>
      </c>
      <c r="FS258" s="1" t="s">
        <v>129</v>
      </c>
      <c r="FV258" s="1" t="s">
        <v>2</v>
      </c>
    </row>
    <row r="259" spans="1:178" ht="16.25" customHeight="1" x14ac:dyDescent="0.2">
      <c r="A259" s="18" t="s">
        <v>177</v>
      </c>
      <c r="B259" s="1" t="s">
        <v>82</v>
      </c>
      <c r="C259" s="15" t="s">
        <v>1163</v>
      </c>
      <c r="D259" s="1" t="s">
        <v>69</v>
      </c>
      <c r="H259" s="1" t="s">
        <v>131</v>
      </c>
      <c r="K259" s="2">
        <v>1.7697210000000001</v>
      </c>
      <c r="L259" s="1">
        <v>0.61</v>
      </c>
      <c r="S259" s="1">
        <v>0.67</v>
      </c>
      <c r="T259" s="1">
        <v>0.03</v>
      </c>
      <c r="V259" s="1">
        <v>0.46</v>
      </c>
      <c r="AF259" s="2">
        <v>0.48893300000000001</v>
      </c>
      <c r="AG259" s="1">
        <v>0.61</v>
      </c>
      <c r="AN259" s="1">
        <v>0.67</v>
      </c>
      <c r="AO259" s="1">
        <v>0.03</v>
      </c>
      <c r="AQ259" s="1">
        <v>0.47</v>
      </c>
      <c r="BA259" s="2">
        <v>0.198571</v>
      </c>
      <c r="BB259" s="1">
        <v>0.59</v>
      </c>
      <c r="BI259" s="1">
        <v>0.66</v>
      </c>
      <c r="BJ259" s="1">
        <v>0.03</v>
      </c>
      <c r="BL259" s="1">
        <v>0.47</v>
      </c>
      <c r="BV259" s="1">
        <v>0</v>
      </c>
      <c r="CQ259" s="1">
        <v>0</v>
      </c>
      <c r="DL259" s="18" t="s">
        <v>96</v>
      </c>
      <c r="DM259" s="1" t="s">
        <v>96</v>
      </c>
      <c r="DN259" s="1">
        <f t="shared" si="55"/>
        <v>0.66919188922463357</v>
      </c>
      <c r="DO259" s="1">
        <f t="shared" si="56"/>
        <v>3.0000000000000002E-2</v>
      </c>
      <c r="DP259" s="1" t="s">
        <v>738</v>
      </c>
      <c r="DQ259" s="1" t="s">
        <v>2</v>
      </c>
      <c r="DR259" s="103">
        <f t="shared" si="57"/>
        <v>2.4572249999999998</v>
      </c>
      <c r="DS259" s="100">
        <f t="shared" si="58"/>
        <v>0.66919188922463357</v>
      </c>
      <c r="DT259" s="101">
        <f t="shared" si="59"/>
        <v>16.443550400000003</v>
      </c>
      <c r="DV259" s="16">
        <f t="shared" si="60"/>
        <v>0</v>
      </c>
      <c r="DZ259" s="37" t="s">
        <v>2</v>
      </c>
      <c r="EA259" s="37"/>
      <c r="EM259" s="73"/>
      <c r="EN259" s="37"/>
      <c r="EO259" s="37"/>
      <c r="EP259" s="37"/>
      <c r="EQ259" s="37"/>
      <c r="ER259" s="37"/>
      <c r="ES259" s="37"/>
      <c r="ET259" s="37"/>
      <c r="EU259" s="37"/>
      <c r="EV259" s="37"/>
      <c r="EW259" s="37"/>
      <c r="EX259" s="37"/>
      <c r="EY259" s="37"/>
      <c r="EZ259" s="37"/>
      <c r="FA259" s="37"/>
      <c r="FB259" s="37"/>
      <c r="FC259" s="37"/>
      <c r="FD259" s="37"/>
      <c r="FE259" s="37"/>
      <c r="FF259" s="55"/>
      <c r="FG259" s="55"/>
      <c r="FH259" s="55"/>
      <c r="FI259" s="37"/>
      <c r="FJ259" s="55"/>
      <c r="FK259" s="55"/>
      <c r="FL259" s="45"/>
      <c r="FM259" s="37"/>
      <c r="FN259" s="37"/>
      <c r="FO259" s="37"/>
      <c r="FP259" s="55"/>
      <c r="FQ259" s="1" t="s">
        <v>2</v>
      </c>
      <c r="FR259" s="1" t="s">
        <v>113</v>
      </c>
      <c r="FS259" s="1" t="s">
        <v>129</v>
      </c>
      <c r="FV259" s="1" t="s">
        <v>2</v>
      </c>
    </row>
    <row r="260" spans="1:178" ht="16.25" customHeight="1" x14ac:dyDescent="0.2">
      <c r="A260" s="18" t="s">
        <v>595</v>
      </c>
      <c r="B260" s="1" t="s">
        <v>82</v>
      </c>
      <c r="C260" s="79" t="s">
        <v>339</v>
      </c>
      <c r="D260" s="1" t="s">
        <v>69</v>
      </c>
      <c r="G260" s="1" t="s">
        <v>72</v>
      </c>
      <c r="H260" s="1" t="s">
        <v>131</v>
      </c>
      <c r="K260" s="13">
        <v>56.096699999999998</v>
      </c>
      <c r="L260" s="1">
        <v>0.06</v>
      </c>
      <c r="M260" s="1">
        <v>0.03</v>
      </c>
      <c r="S260" s="1">
        <v>0.02</v>
      </c>
      <c r="T260" s="1">
        <v>6.0000000000000001E-3</v>
      </c>
      <c r="U260" s="13">
        <v>0.2</v>
      </c>
      <c r="V260" s="1">
        <v>0.54</v>
      </c>
      <c r="W260" s="1">
        <v>1.2999999999999999E-2</v>
      </c>
      <c r="AF260" s="13">
        <v>43.158499999999997</v>
      </c>
      <c r="AG260" s="1">
        <v>0.05</v>
      </c>
      <c r="AH260" s="1">
        <v>0.03</v>
      </c>
      <c r="AN260" s="1">
        <v>0.02</v>
      </c>
      <c r="AO260" s="1">
        <v>6.0000000000000001E-3</v>
      </c>
      <c r="AP260" s="1">
        <v>0.19</v>
      </c>
      <c r="AQ260" s="1">
        <v>0.49</v>
      </c>
      <c r="AR260" s="1">
        <v>3.0000000000000001E-3</v>
      </c>
      <c r="BA260" s="13">
        <v>52.305999999999997</v>
      </c>
      <c r="BB260" s="1">
        <v>0.04</v>
      </c>
      <c r="BC260" s="1">
        <v>0.04</v>
      </c>
      <c r="BI260" s="1">
        <v>0.02</v>
      </c>
      <c r="BJ260" s="1">
        <v>1E-3</v>
      </c>
      <c r="BK260" s="1">
        <v>0.15</v>
      </c>
      <c r="BL260" s="1">
        <v>0.31</v>
      </c>
      <c r="BM260" s="1">
        <v>1.2E-2</v>
      </c>
      <c r="BV260" s="1">
        <v>0</v>
      </c>
      <c r="CQ260" s="1">
        <v>0</v>
      </c>
      <c r="DL260" s="18" t="s">
        <v>96</v>
      </c>
      <c r="DM260" s="1" t="s">
        <v>96</v>
      </c>
      <c r="DN260" s="1">
        <f t="shared" ref="DN260:DN323" si="61">(S260*K260+AN260*AF260+BI260*BA260)/(K260+AF260+BA260)</f>
        <v>0.02</v>
      </c>
      <c r="DO260" s="1">
        <f t="shared" ref="DO260:DO323" si="62">(T260*K260+AO260*AF260+BJ260*BA260)/(K260+AF260+BA260)</f>
        <v>4.2744264363174739E-3</v>
      </c>
      <c r="DP260" s="1" t="s">
        <v>198</v>
      </c>
      <c r="DQ260" s="1" t="s">
        <v>2</v>
      </c>
      <c r="DR260" s="100">
        <f t="shared" ref="DR260:DR323" si="63">K260+AF260+BA260</f>
        <v>151.56119999999999</v>
      </c>
      <c r="DS260" s="16">
        <f t="shared" ref="DS260:DS323" si="64">(K260*S260+AF260*AN260+BA260*BI260)/DR260</f>
        <v>0.02</v>
      </c>
      <c r="DT260" s="101">
        <f t="shared" ref="DT260:DT323" si="65">1000*DR260*DS260/100</f>
        <v>30.312239999999996</v>
      </c>
      <c r="DV260" s="16">
        <f t="shared" ref="DV260:DV323" si="66">BV260+CQ260</f>
        <v>0</v>
      </c>
      <c r="DZ260" s="37" t="s">
        <v>2</v>
      </c>
      <c r="EA260" s="37"/>
      <c r="EM260" s="73"/>
      <c r="EN260" s="37"/>
      <c r="EO260" s="37"/>
      <c r="EP260" s="37"/>
      <c r="EQ260" s="37"/>
      <c r="ER260" s="37"/>
      <c r="ES260" s="37"/>
      <c r="ET260" s="37"/>
      <c r="EU260" s="37"/>
      <c r="EV260" s="37"/>
      <c r="EW260" s="37"/>
      <c r="EX260" s="37"/>
      <c r="EY260" s="37"/>
      <c r="EZ260" s="37"/>
      <c r="FA260" s="37"/>
      <c r="FB260" s="37"/>
      <c r="FC260" s="37"/>
      <c r="FD260" s="37"/>
      <c r="FE260" s="37"/>
      <c r="FF260" s="55"/>
      <c r="FG260" s="55"/>
      <c r="FH260" s="55"/>
      <c r="FI260" s="37"/>
      <c r="FJ260" s="55"/>
      <c r="FK260" s="55"/>
      <c r="FL260" s="45"/>
      <c r="FM260" s="37"/>
      <c r="FN260" s="37"/>
      <c r="FO260" s="37"/>
      <c r="FP260" s="55"/>
      <c r="FQ260" s="1" t="s">
        <v>2</v>
      </c>
      <c r="FR260" s="1" t="s">
        <v>113</v>
      </c>
      <c r="FS260" s="1" t="s">
        <v>129</v>
      </c>
      <c r="FV260" s="1" t="s">
        <v>2</v>
      </c>
    </row>
    <row r="261" spans="1:178" ht="16.25" customHeight="1" x14ac:dyDescent="0.2">
      <c r="A261" s="18" t="s">
        <v>177</v>
      </c>
      <c r="B261" s="1" t="s">
        <v>82</v>
      </c>
      <c r="C261" s="15" t="s">
        <v>383</v>
      </c>
      <c r="D261" s="1" t="s">
        <v>71</v>
      </c>
      <c r="G261" s="1" t="s">
        <v>65</v>
      </c>
      <c r="H261" s="1" t="s">
        <v>379</v>
      </c>
      <c r="K261" s="1">
        <v>0</v>
      </c>
      <c r="AF261" s="1">
        <f>12.43+1.832</f>
        <v>14.262</v>
      </c>
      <c r="AG261" s="13">
        <f>(0.37*12.43+0.41*1.832)/AF261</f>
        <v>0.37513812929462909</v>
      </c>
      <c r="AH261" s="13">
        <f>(0.199*12.43+0.218*1.832)/AF261</f>
        <v>0.20144061141494882</v>
      </c>
      <c r="AN261" s="13">
        <f>(0.35*12.43+0.37*1.832)/AF261</f>
        <v>0.35256906464731447</v>
      </c>
      <c r="AO261" s="13">
        <f>(0.02*12.43+0.03*1.832)/AF261</f>
        <v>2.1284532323657269E-2</v>
      </c>
      <c r="AP261" s="13">
        <f>(0.351*12.43+0.361*1.832)/AF261</f>
        <v>0.3522845323236572</v>
      </c>
      <c r="AQ261" s="13">
        <f>(0.386*12.43+0.387*1.832)/AF261</f>
        <v>0.38612845323236572</v>
      </c>
      <c r="BA261" s="1">
        <f>0.25+0.736</f>
        <v>0.98599999999999999</v>
      </c>
      <c r="BB261" s="13">
        <f>(0.26*0.25+0.39*0.736)/BA261</f>
        <v>0.35703853955375259</v>
      </c>
      <c r="BC261" s="13">
        <f>(0.132*0.25+0.18*0.736)/BA261</f>
        <v>0.16782961460446247</v>
      </c>
      <c r="BI261" s="13">
        <f>(0.32*0.25+0.37*0.736)/BA261</f>
        <v>0.35732251521298175</v>
      </c>
      <c r="BJ261" s="13">
        <f>(0.02*0.25+0.03*0.736)/BA261</f>
        <v>2.7464503042596348E-2</v>
      </c>
      <c r="BK261" s="13">
        <f>(0.234*0.25+0.316*0.736)/BA261</f>
        <v>0.29520892494929007</v>
      </c>
      <c r="BL261" s="13">
        <f>(0.222*0.25+0.333*0.736)/BA261</f>
        <v>0.30485598377281947</v>
      </c>
      <c r="BV261" s="1">
        <v>0</v>
      </c>
      <c r="CQ261" s="1">
        <v>11.827999999999999</v>
      </c>
      <c r="CR261" s="1">
        <v>0.35</v>
      </c>
      <c r="CS261" s="1">
        <v>0.18</v>
      </c>
      <c r="CY261" s="1">
        <v>0.33</v>
      </c>
      <c r="CZ261" s="1">
        <v>0.02</v>
      </c>
      <c r="DA261" s="1">
        <v>0.33</v>
      </c>
      <c r="DB261" s="1">
        <v>0.36</v>
      </c>
      <c r="DL261" s="18" t="s">
        <v>96</v>
      </c>
      <c r="DM261" s="1" t="s">
        <v>96</v>
      </c>
      <c r="DN261" s="1">
        <f t="shared" si="61"/>
        <v>0.35287644281217201</v>
      </c>
      <c r="DO261" s="1">
        <f t="shared" si="62"/>
        <v>2.168415529905561E-2</v>
      </c>
      <c r="DP261" s="1" t="s">
        <v>164</v>
      </c>
      <c r="DQ261" s="1" t="s">
        <v>2</v>
      </c>
      <c r="DR261" s="100">
        <f t="shared" si="63"/>
        <v>15.248000000000001</v>
      </c>
      <c r="DS261" s="100">
        <f t="shared" si="64"/>
        <v>0.35287644281217201</v>
      </c>
      <c r="DT261" s="101">
        <f t="shared" si="65"/>
        <v>53.806599999999996</v>
      </c>
      <c r="DV261" s="100">
        <f t="shared" si="66"/>
        <v>11.827999999999999</v>
      </c>
      <c r="DW261" s="100">
        <f>(BV261*CD261+CQ261*CY261)/DV261</f>
        <v>0.33</v>
      </c>
      <c r="DX261" s="101">
        <f>1000*DV261*DW261/100</f>
        <v>39.032400000000003</v>
      </c>
      <c r="DZ261" s="37" t="s">
        <v>2</v>
      </c>
      <c r="EA261" s="37"/>
      <c r="EM261" s="73"/>
      <c r="EN261" s="37"/>
      <c r="EO261" s="37"/>
      <c r="EP261" s="37"/>
      <c r="EQ261" s="37"/>
      <c r="ER261" s="37"/>
      <c r="ES261" s="37"/>
      <c r="ET261" s="37"/>
      <c r="EU261" s="37"/>
      <c r="EV261" s="37"/>
      <c r="EW261" s="37"/>
      <c r="EX261" s="37"/>
      <c r="EY261" s="37"/>
      <c r="EZ261" s="37"/>
      <c r="FA261" s="37"/>
      <c r="FB261" s="37"/>
      <c r="FC261" s="37"/>
      <c r="FD261" s="37"/>
      <c r="FE261" s="37"/>
      <c r="FF261" s="55"/>
      <c r="FG261" s="55"/>
      <c r="FH261" s="55"/>
      <c r="FI261" s="37"/>
      <c r="FJ261" s="55"/>
      <c r="FK261" s="55"/>
      <c r="FL261" s="45"/>
      <c r="FM261" s="37"/>
      <c r="FN261" s="37"/>
      <c r="FO261" s="37"/>
      <c r="FP261" s="55"/>
      <c r="FQ261" s="1" t="s">
        <v>2</v>
      </c>
      <c r="FR261" s="1" t="s">
        <v>113</v>
      </c>
      <c r="FS261" s="1" t="s">
        <v>129</v>
      </c>
      <c r="FT261" s="1" t="s">
        <v>129</v>
      </c>
      <c r="FV261" s="1" t="s">
        <v>2</v>
      </c>
    </row>
    <row r="262" spans="1:178" ht="16.25" customHeight="1" x14ac:dyDescent="0.2">
      <c r="A262" s="18" t="s">
        <v>177</v>
      </c>
      <c r="B262" s="1" t="s">
        <v>82</v>
      </c>
      <c r="C262" s="79" t="s">
        <v>212</v>
      </c>
      <c r="D262" s="1" t="s">
        <v>69</v>
      </c>
      <c r="E262" s="23">
        <f>-7-30/60</f>
        <v>-7.5</v>
      </c>
      <c r="F262" s="23">
        <f>146+45/60</f>
        <v>146.75</v>
      </c>
      <c r="G262" s="1" t="s">
        <v>72</v>
      </c>
      <c r="H262" s="1" t="s">
        <v>213</v>
      </c>
      <c r="K262" s="1">
        <v>0.73599999999999999</v>
      </c>
      <c r="L262" s="1">
        <v>0.66</v>
      </c>
      <c r="M262" s="1">
        <v>0.22</v>
      </c>
      <c r="S262" s="1">
        <v>0.89</v>
      </c>
      <c r="U262" s="1">
        <v>0.37</v>
      </c>
      <c r="V262" s="1">
        <v>1.19</v>
      </c>
      <c r="AF262" s="1">
        <v>1.847</v>
      </c>
      <c r="AG262" s="13">
        <v>0.6</v>
      </c>
      <c r="AH262" s="1">
        <v>0.23</v>
      </c>
      <c r="AN262" s="1">
        <v>0.92</v>
      </c>
      <c r="AP262" s="1">
        <v>0.33</v>
      </c>
      <c r="AQ262" s="1">
        <v>1.05</v>
      </c>
      <c r="BA262" s="1">
        <v>0.34200000000000003</v>
      </c>
      <c r="BB262" s="1">
        <v>0.61</v>
      </c>
      <c r="BC262" s="1">
        <v>0.18</v>
      </c>
      <c r="BI262" s="1">
        <v>1.1100000000000001</v>
      </c>
      <c r="BK262" s="1">
        <v>0.27</v>
      </c>
      <c r="BL262" s="1">
        <v>0.97</v>
      </c>
      <c r="BV262" s="1">
        <v>0</v>
      </c>
      <c r="CQ262" s="1">
        <v>0</v>
      </c>
      <c r="DL262" s="18" t="s">
        <v>96</v>
      </c>
      <c r="DN262" s="1">
        <f t="shared" si="61"/>
        <v>0.93466666666666665</v>
      </c>
      <c r="DO262" s="1">
        <f t="shared" si="62"/>
        <v>0</v>
      </c>
      <c r="DP262" s="1" t="s">
        <v>759</v>
      </c>
      <c r="DQ262" s="1" t="s">
        <v>2</v>
      </c>
      <c r="DR262" s="16">
        <f t="shared" si="63"/>
        <v>2.9250000000000003</v>
      </c>
      <c r="DS262" s="100">
        <f t="shared" si="64"/>
        <v>0.93466666666666665</v>
      </c>
      <c r="DT262" s="101">
        <f t="shared" si="65"/>
        <v>27.339000000000006</v>
      </c>
      <c r="DV262" s="16">
        <f t="shared" si="66"/>
        <v>0</v>
      </c>
      <c r="DZ262" s="37" t="s">
        <v>2</v>
      </c>
      <c r="EA262" s="37"/>
      <c r="EM262" s="73"/>
      <c r="EN262" s="37"/>
      <c r="EO262" s="37"/>
      <c r="EP262" s="37"/>
      <c r="EQ262" s="37"/>
      <c r="ER262" s="37"/>
      <c r="ES262" s="37"/>
      <c r="ET262" s="37"/>
      <c r="EU262" s="37"/>
      <c r="EV262" s="37"/>
      <c r="EW262" s="37"/>
      <c r="EX262" s="37"/>
      <c r="EY262" s="37"/>
      <c r="EZ262" s="37"/>
      <c r="FA262" s="37"/>
      <c r="FB262" s="37"/>
      <c r="FC262" s="37"/>
      <c r="FD262" s="37"/>
      <c r="FE262" s="37"/>
      <c r="FF262" s="55"/>
      <c r="FG262" s="55"/>
      <c r="FH262" s="55"/>
      <c r="FI262" s="37"/>
      <c r="FJ262" s="55"/>
      <c r="FK262" s="55"/>
      <c r="FL262" s="45"/>
      <c r="FM262" s="37"/>
      <c r="FN262" s="37"/>
      <c r="FO262" s="37"/>
      <c r="FP262" s="55"/>
      <c r="FQ262" s="1" t="s">
        <v>2</v>
      </c>
      <c r="FR262" s="1" t="s">
        <v>113</v>
      </c>
      <c r="FS262" s="1" t="s">
        <v>129</v>
      </c>
      <c r="FT262" s="1" t="s">
        <v>129</v>
      </c>
      <c r="FV262" s="1" t="s">
        <v>2</v>
      </c>
    </row>
    <row r="263" spans="1:178" ht="16.25" customHeight="1" x14ac:dyDescent="0.2">
      <c r="A263" s="18" t="s">
        <v>177</v>
      </c>
      <c r="B263" s="1" t="s">
        <v>82</v>
      </c>
      <c r="C263" s="79" t="s">
        <v>246</v>
      </c>
      <c r="D263" s="1" t="s">
        <v>69</v>
      </c>
      <c r="G263" s="1" t="s">
        <v>72</v>
      </c>
      <c r="H263" s="1" t="s">
        <v>247</v>
      </c>
      <c r="K263" s="1">
        <v>0</v>
      </c>
      <c r="AF263" s="1">
        <v>1.02</v>
      </c>
      <c r="AG263" s="1">
        <v>0.36</v>
      </c>
      <c r="AN263" s="1">
        <v>0.71</v>
      </c>
      <c r="AO263" s="1">
        <v>0.02</v>
      </c>
      <c r="BA263" s="1">
        <v>1.49</v>
      </c>
      <c r="BB263" s="1">
        <v>0.36</v>
      </c>
      <c r="BI263" s="1">
        <v>0.67</v>
      </c>
      <c r="BJ263" s="1">
        <v>0.03</v>
      </c>
      <c r="BV263" s="1">
        <v>0</v>
      </c>
      <c r="CQ263" s="1">
        <v>0</v>
      </c>
      <c r="DL263" s="18" t="s">
        <v>96</v>
      </c>
      <c r="DM263" s="1" t="s">
        <v>96</v>
      </c>
      <c r="DN263" s="1">
        <f t="shared" si="61"/>
        <v>0.68625498007968144</v>
      </c>
      <c r="DO263" s="1">
        <f t="shared" si="62"/>
        <v>2.5936254980079679E-2</v>
      </c>
      <c r="DP263" s="1" t="s">
        <v>761</v>
      </c>
      <c r="DQ263" s="1" t="s">
        <v>2</v>
      </c>
      <c r="DR263" s="16">
        <f t="shared" si="63"/>
        <v>2.5099999999999998</v>
      </c>
      <c r="DS263" s="100">
        <f t="shared" si="64"/>
        <v>0.68625498007968144</v>
      </c>
      <c r="DT263" s="101">
        <f t="shared" si="65"/>
        <v>17.225000000000005</v>
      </c>
      <c r="DV263" s="16">
        <f t="shared" si="66"/>
        <v>0</v>
      </c>
      <c r="DZ263" s="37" t="s">
        <v>2</v>
      </c>
      <c r="EA263" s="37"/>
      <c r="EM263" s="73"/>
      <c r="EN263" s="37"/>
      <c r="EO263" s="37"/>
      <c r="EP263" s="37"/>
      <c r="EQ263" s="37"/>
      <c r="ER263" s="37"/>
      <c r="ES263" s="37"/>
      <c r="ET263" s="37"/>
      <c r="EU263" s="37"/>
      <c r="EV263" s="37"/>
      <c r="EW263" s="37"/>
      <c r="EX263" s="37"/>
      <c r="EY263" s="37"/>
      <c r="EZ263" s="37"/>
      <c r="FA263" s="37"/>
      <c r="FB263" s="37"/>
      <c r="FC263" s="37"/>
      <c r="FD263" s="37"/>
      <c r="FE263" s="37"/>
      <c r="FF263" s="55"/>
      <c r="FG263" s="55"/>
      <c r="FH263" s="55"/>
      <c r="FI263" s="37"/>
      <c r="FJ263" s="55"/>
      <c r="FK263" s="55"/>
      <c r="FL263" s="45"/>
      <c r="FM263" s="37"/>
      <c r="FN263" s="37"/>
      <c r="FO263" s="37"/>
      <c r="FP263" s="55"/>
      <c r="FQ263" s="1" t="s">
        <v>2</v>
      </c>
      <c r="FR263" s="1" t="s">
        <v>113</v>
      </c>
      <c r="FS263" s="1" t="s">
        <v>129</v>
      </c>
      <c r="FT263" s="1" t="s">
        <v>129</v>
      </c>
      <c r="FV263" s="1" t="s">
        <v>2</v>
      </c>
    </row>
    <row r="264" spans="1:178" ht="16.25" customHeight="1" x14ac:dyDescent="0.2">
      <c r="A264" s="18" t="s">
        <v>595</v>
      </c>
      <c r="B264" s="1" t="s">
        <v>82</v>
      </c>
      <c r="C264" s="29" t="s">
        <v>843</v>
      </c>
      <c r="D264" s="1" t="s">
        <v>69</v>
      </c>
      <c r="H264" s="1" t="s">
        <v>131</v>
      </c>
      <c r="K264" s="1">
        <v>0</v>
      </c>
      <c r="AF264" s="1">
        <f>8.46+1.369</f>
        <v>9.8290000000000006</v>
      </c>
      <c r="AG264" s="13">
        <f>(0.25*8.46+0.43*1.369)/AF264</f>
        <v>0.27507070912605558</v>
      </c>
      <c r="AH264" s="13">
        <f>(0.07*8.46+0.11*1.369)/AF264</f>
        <v>7.557126869467902E-2</v>
      </c>
      <c r="AI264" s="13">
        <f>(1.04*8.46+1.65*1.369)/AF264</f>
        <v>1.1249618475938548</v>
      </c>
      <c r="AN264" s="13">
        <f>(0.18*8.46+0.24*1.369)/AF264</f>
        <v>0.18835690304201852</v>
      </c>
      <c r="AO264" s="2">
        <f>(0.014*8.46+0.016*1.369)/AF264</f>
        <v>1.4278563434733951E-2</v>
      </c>
      <c r="AP264" s="13">
        <f>(0.98*8.46+1.54*1.369)/AF264</f>
        <v>1.0579977617255061</v>
      </c>
      <c r="AQ264" s="13">
        <f>(0.04*8.46+0.08*1.369)/AF264</f>
        <v>4.5571268694679014E-2</v>
      </c>
      <c r="BA264" s="1">
        <f>0.053+0.472</f>
        <v>0.52500000000000002</v>
      </c>
      <c r="BB264" s="13">
        <f>(0.22*0.053+0.36*0.472)/BA264</f>
        <v>0.34586666666666666</v>
      </c>
      <c r="BC264" s="13">
        <f>(0.07*0.053+0.09*0.472)/BA264</f>
        <v>8.7980952380952368E-2</v>
      </c>
      <c r="BD264" s="13">
        <f>(0.96*0.053+1.32*0.472)/BA264</f>
        <v>1.2836571428571431</v>
      </c>
      <c r="BI264" s="13">
        <f>(0.18*0.053+0.19*0.472)/BA264</f>
        <v>0.18899047619047618</v>
      </c>
      <c r="BJ264" s="2">
        <f>(0.014*0.053+0.011*0.472)/BA264</f>
        <v>1.1302857142857142E-2</v>
      </c>
      <c r="BK264" s="13">
        <f>(0.89*0.053+1.25*0.472)/BA264</f>
        <v>1.2136571428571428</v>
      </c>
      <c r="BL264" s="13">
        <f>(0.04*0.053+0.06*0.472)/BA264</f>
        <v>5.7980952380952376E-2</v>
      </c>
      <c r="BV264" s="1">
        <v>0</v>
      </c>
      <c r="CQ264" s="1">
        <v>0</v>
      </c>
      <c r="DL264" s="18" t="s">
        <v>96</v>
      </c>
      <c r="DM264" s="1" t="s">
        <v>96</v>
      </c>
      <c r="DN264" s="1">
        <f t="shared" si="61"/>
        <v>0.18838902839482327</v>
      </c>
      <c r="DO264" s="1">
        <f t="shared" si="62"/>
        <v>1.4127680123623721E-2</v>
      </c>
      <c r="DP264" s="1" t="s">
        <v>67</v>
      </c>
      <c r="DQ264" s="1" t="s">
        <v>2</v>
      </c>
      <c r="DR264" s="100">
        <f t="shared" si="63"/>
        <v>10.354000000000001</v>
      </c>
      <c r="DS264" s="100">
        <f t="shared" si="64"/>
        <v>0.18838902839482327</v>
      </c>
      <c r="DT264" s="101">
        <f t="shared" si="65"/>
        <v>19.505800000000004</v>
      </c>
      <c r="DV264" s="16">
        <f t="shared" si="66"/>
        <v>0</v>
      </c>
      <c r="DZ264" s="37" t="s">
        <v>2</v>
      </c>
      <c r="EA264" s="37"/>
      <c r="EM264" s="73"/>
      <c r="EN264" s="37"/>
      <c r="EO264" s="37"/>
      <c r="EP264" s="37"/>
      <c r="EQ264" s="37"/>
      <c r="ER264" s="37"/>
      <c r="ES264" s="37"/>
      <c r="ET264" s="37"/>
      <c r="EU264" s="37"/>
      <c r="EV264" s="37"/>
      <c r="EW264" s="37"/>
      <c r="EX264" s="37"/>
      <c r="EY264" s="37"/>
      <c r="EZ264" s="37"/>
      <c r="FA264" s="37"/>
      <c r="FB264" s="37"/>
      <c r="FC264" s="37"/>
      <c r="FD264" s="37"/>
      <c r="FE264" s="37"/>
      <c r="FF264" s="55"/>
      <c r="FG264" s="55"/>
      <c r="FH264" s="55"/>
      <c r="FI264" s="37"/>
      <c r="FJ264" s="55"/>
      <c r="FK264" s="55"/>
      <c r="FL264" s="45"/>
      <c r="FM264" s="37"/>
      <c r="FN264" s="37"/>
      <c r="FO264" s="37"/>
      <c r="FP264" s="55"/>
      <c r="FQ264" s="1" t="s">
        <v>2</v>
      </c>
      <c r="FR264" s="1" t="s">
        <v>113</v>
      </c>
      <c r="FS264" s="1" t="s">
        <v>129</v>
      </c>
      <c r="FT264" s="1" t="s">
        <v>129</v>
      </c>
      <c r="FV264" s="1" t="s">
        <v>2</v>
      </c>
    </row>
    <row r="265" spans="1:178" ht="16.25" customHeight="1" x14ac:dyDescent="0.2">
      <c r="A265" s="18" t="s">
        <v>177</v>
      </c>
      <c r="B265" s="1" t="s">
        <v>82</v>
      </c>
      <c r="C265" s="15" t="s">
        <v>1164</v>
      </c>
      <c r="D265" s="1" t="s">
        <v>69</v>
      </c>
      <c r="H265" s="1" t="s">
        <v>131</v>
      </c>
      <c r="K265" s="1">
        <v>15.5</v>
      </c>
      <c r="L265" s="13">
        <v>1</v>
      </c>
      <c r="S265" s="1">
        <v>2.2400000000000002</v>
      </c>
      <c r="T265" s="1">
        <v>0.13</v>
      </c>
      <c r="AF265" s="1">
        <v>15.5</v>
      </c>
      <c r="AG265" s="1">
        <v>0.88</v>
      </c>
      <c r="AN265" s="13">
        <v>2</v>
      </c>
      <c r="AO265" s="1">
        <v>0.12</v>
      </c>
      <c r="BA265" s="1">
        <v>0</v>
      </c>
      <c r="BV265" s="1">
        <v>15.5</v>
      </c>
      <c r="BW265" s="13">
        <v>1</v>
      </c>
      <c r="CD265" s="1">
        <v>2.2400000000000002</v>
      </c>
      <c r="CE265" s="1">
        <v>0.13</v>
      </c>
      <c r="CQ265" s="1">
        <v>15.5</v>
      </c>
      <c r="CR265" s="1">
        <v>0.88</v>
      </c>
      <c r="CY265" s="13">
        <v>2</v>
      </c>
      <c r="CZ265" s="1">
        <v>0.12</v>
      </c>
      <c r="DL265" s="18" t="s">
        <v>96</v>
      </c>
      <c r="DM265" s="1" t="s">
        <v>96</v>
      </c>
      <c r="DN265" s="1">
        <f t="shared" si="61"/>
        <v>2.12</v>
      </c>
      <c r="DO265" s="1">
        <f t="shared" si="62"/>
        <v>0.125</v>
      </c>
      <c r="DP265" s="1" t="s">
        <v>606</v>
      </c>
      <c r="DQ265" s="1" t="s">
        <v>2</v>
      </c>
      <c r="DR265" s="16">
        <f t="shared" si="63"/>
        <v>31</v>
      </c>
      <c r="DS265" s="16">
        <f t="shared" si="64"/>
        <v>2.12</v>
      </c>
      <c r="DT265" s="101">
        <f t="shared" si="65"/>
        <v>657.2</v>
      </c>
      <c r="DV265" s="16">
        <f t="shared" si="66"/>
        <v>31</v>
      </c>
      <c r="DW265" s="100">
        <f>(BV265*CD265+CQ265*CY265)/DV265</f>
        <v>2.12</v>
      </c>
      <c r="DX265" s="101">
        <f>1000*DV265*DW265/100</f>
        <v>657.2</v>
      </c>
      <c r="DZ265" s="37" t="s">
        <v>2</v>
      </c>
      <c r="EA265" s="37"/>
      <c r="EM265" s="73"/>
      <c r="EN265" s="37"/>
      <c r="EO265" s="37"/>
      <c r="EP265" s="37"/>
      <c r="EQ265" s="37"/>
      <c r="ER265" s="37"/>
      <c r="ES265" s="37"/>
      <c r="ET265" s="37"/>
      <c r="EU265" s="37"/>
      <c r="EV265" s="37"/>
      <c r="EW265" s="37"/>
      <c r="EX265" s="37"/>
      <c r="EY265" s="37"/>
      <c r="EZ265" s="37"/>
      <c r="FA265" s="37"/>
      <c r="FB265" s="37"/>
      <c r="FC265" s="37"/>
      <c r="FD265" s="37"/>
      <c r="FE265" s="37"/>
      <c r="FF265" s="55"/>
      <c r="FG265" s="55"/>
      <c r="FH265" s="55"/>
      <c r="FI265" s="37"/>
      <c r="FJ265" s="55"/>
      <c r="FK265" s="55"/>
      <c r="FL265" s="45"/>
      <c r="FM265" s="37"/>
      <c r="FN265" s="37"/>
      <c r="FO265" s="37"/>
      <c r="FP265" s="55"/>
      <c r="FQ265" s="1" t="s">
        <v>2</v>
      </c>
      <c r="FR265" s="1" t="s">
        <v>113</v>
      </c>
      <c r="FS265" s="1" t="s">
        <v>129</v>
      </c>
      <c r="FT265" s="1" t="s">
        <v>129</v>
      </c>
      <c r="FV265" s="1" t="s">
        <v>2</v>
      </c>
    </row>
    <row r="266" spans="1:178" ht="16.25" customHeight="1" x14ac:dyDescent="0.2">
      <c r="A266" s="18" t="s">
        <v>177</v>
      </c>
      <c r="B266" s="1" t="s">
        <v>82</v>
      </c>
      <c r="C266" s="79" t="s">
        <v>330</v>
      </c>
      <c r="D266" s="1" t="s">
        <v>69</v>
      </c>
      <c r="G266" s="1" t="s">
        <v>72</v>
      </c>
      <c r="H266" s="1" t="s">
        <v>331</v>
      </c>
      <c r="K266" s="1">
        <v>93.3</v>
      </c>
      <c r="L266" s="1">
        <v>0.17</v>
      </c>
      <c r="M266" s="1">
        <v>5.3999999999999999E-2</v>
      </c>
      <c r="S266" s="1">
        <v>0.25</v>
      </c>
      <c r="T266" s="1">
        <v>1.4999999999999999E-2</v>
      </c>
      <c r="U266" s="1">
        <v>0.26200000000000001</v>
      </c>
      <c r="V266" s="1">
        <v>0.24399999999999999</v>
      </c>
      <c r="AF266" s="1">
        <v>230.1</v>
      </c>
      <c r="AG266" s="1">
        <v>0.15</v>
      </c>
      <c r="AH266" s="1">
        <v>4.2999999999999997E-2</v>
      </c>
      <c r="AN266" s="1">
        <v>0.27</v>
      </c>
      <c r="AO266" s="1">
        <v>1.4999999999999999E-2</v>
      </c>
      <c r="AP266" s="1">
        <v>0.249</v>
      </c>
      <c r="AQ266" s="1">
        <v>0.25900000000000001</v>
      </c>
      <c r="BA266" s="1">
        <v>108.1</v>
      </c>
      <c r="BB266" s="1">
        <v>0.15</v>
      </c>
      <c r="BC266" s="2">
        <v>0.04</v>
      </c>
      <c r="BI266" s="1">
        <v>0.28999999999999998</v>
      </c>
      <c r="BJ266" s="1">
        <v>1.6E-2</v>
      </c>
      <c r="BK266" s="1">
        <v>0.25600000000000001</v>
      </c>
      <c r="BL266" s="1">
        <v>0.27900000000000003</v>
      </c>
      <c r="BV266" s="1">
        <v>0</v>
      </c>
      <c r="CQ266" s="1">
        <v>0</v>
      </c>
      <c r="DL266" s="18" t="s">
        <v>96</v>
      </c>
      <c r="DM266" s="1" t="s">
        <v>96</v>
      </c>
      <c r="DN266" s="1">
        <f t="shared" si="61"/>
        <v>0.27068597914252607</v>
      </c>
      <c r="DO266" s="1">
        <f t="shared" si="62"/>
        <v>1.5250521436848205E-2</v>
      </c>
      <c r="DP266" s="1" t="s">
        <v>583</v>
      </c>
      <c r="DQ266" s="1" t="s">
        <v>2</v>
      </c>
      <c r="DR266" s="16">
        <f t="shared" si="63"/>
        <v>431.5</v>
      </c>
      <c r="DS266" s="100">
        <f t="shared" si="64"/>
        <v>0.27068597914252607</v>
      </c>
      <c r="DT266" s="102">
        <f t="shared" si="65"/>
        <v>1168.01</v>
      </c>
      <c r="DV266" s="16">
        <f t="shared" si="66"/>
        <v>0</v>
      </c>
      <c r="DZ266" s="37" t="s">
        <v>2</v>
      </c>
      <c r="EA266" s="37"/>
      <c r="EM266" s="73"/>
      <c r="EN266" s="37"/>
      <c r="EO266" s="37"/>
      <c r="EP266" s="37"/>
      <c r="EQ266" s="37"/>
      <c r="ER266" s="37"/>
      <c r="ES266" s="37"/>
      <c r="ET266" s="37"/>
      <c r="EU266" s="37"/>
      <c r="EV266" s="37"/>
      <c r="EW266" s="37"/>
      <c r="EX266" s="37"/>
      <c r="EY266" s="37"/>
      <c r="EZ266" s="37"/>
      <c r="FA266" s="37"/>
      <c r="FB266" s="37"/>
      <c r="FC266" s="37"/>
      <c r="FD266" s="37"/>
      <c r="FE266" s="37"/>
      <c r="FF266" s="55"/>
      <c r="FG266" s="55"/>
      <c r="FH266" s="55"/>
      <c r="FI266" s="37"/>
      <c r="FJ266" s="55"/>
      <c r="FK266" s="55"/>
      <c r="FL266" s="45"/>
      <c r="FM266" s="37"/>
      <c r="FN266" s="37"/>
      <c r="FO266" s="37"/>
      <c r="FP266" s="55"/>
      <c r="FQ266" s="1" t="s">
        <v>2</v>
      </c>
      <c r="FR266" s="1" t="s">
        <v>113</v>
      </c>
      <c r="FS266" s="1" t="s">
        <v>129</v>
      </c>
      <c r="FV266" s="1" t="s">
        <v>2</v>
      </c>
    </row>
    <row r="267" spans="1:178" ht="16.25" customHeight="1" x14ac:dyDescent="0.2">
      <c r="A267" s="18" t="s">
        <v>177</v>
      </c>
      <c r="B267" s="1" t="s">
        <v>82</v>
      </c>
      <c r="C267" s="15" t="s">
        <v>578</v>
      </c>
      <c r="D267" s="1" t="s">
        <v>69</v>
      </c>
      <c r="H267" s="1" t="s">
        <v>579</v>
      </c>
      <c r="K267" s="1">
        <v>0</v>
      </c>
      <c r="AF267" s="1">
        <v>0</v>
      </c>
      <c r="BA267" s="1">
        <v>1.69</v>
      </c>
      <c r="BB267" s="1">
        <v>0.48</v>
      </c>
      <c r="BI267" s="1">
        <v>0.55000000000000004</v>
      </c>
      <c r="BV267" s="1">
        <v>0</v>
      </c>
      <c r="CQ267" s="1">
        <v>0</v>
      </c>
      <c r="DL267" s="18" t="s">
        <v>163</v>
      </c>
      <c r="DN267" s="1">
        <f t="shared" si="61"/>
        <v>0.55000000000000004</v>
      </c>
      <c r="DO267" s="1">
        <f t="shared" si="62"/>
        <v>0</v>
      </c>
      <c r="DP267" s="1" t="s">
        <v>805</v>
      </c>
      <c r="DQ267" s="1" t="s">
        <v>2</v>
      </c>
      <c r="DR267" s="16">
        <f t="shared" si="63"/>
        <v>1.69</v>
      </c>
      <c r="DS267" s="16">
        <f t="shared" si="64"/>
        <v>0.55000000000000004</v>
      </c>
      <c r="DT267" s="101">
        <f t="shared" si="65"/>
        <v>9.2950000000000017</v>
      </c>
      <c r="DV267" s="16">
        <f t="shared" si="66"/>
        <v>0</v>
      </c>
      <c r="DZ267" s="37" t="s">
        <v>2</v>
      </c>
      <c r="EA267" s="37"/>
      <c r="EM267" s="73"/>
      <c r="EN267" s="37"/>
      <c r="EO267" s="37"/>
      <c r="EP267" s="37"/>
      <c r="EQ267" s="37"/>
      <c r="ER267" s="37"/>
      <c r="ES267" s="37"/>
      <c r="ET267" s="37"/>
      <c r="EU267" s="37"/>
      <c r="EV267" s="37"/>
      <c r="EW267" s="37"/>
      <c r="EX267" s="37"/>
      <c r="EY267" s="37"/>
      <c r="EZ267" s="37"/>
      <c r="FA267" s="37"/>
      <c r="FB267" s="37"/>
      <c r="FC267" s="37"/>
      <c r="FD267" s="37"/>
      <c r="FE267" s="37"/>
      <c r="FF267" s="55"/>
      <c r="FG267" s="55"/>
      <c r="FH267" s="55"/>
      <c r="FI267" s="37"/>
      <c r="FJ267" s="55"/>
      <c r="FK267" s="55"/>
      <c r="FL267" s="45"/>
      <c r="FM267" s="37"/>
      <c r="FN267" s="37"/>
      <c r="FO267" s="37"/>
      <c r="FP267" s="55"/>
      <c r="FQ267" s="1" t="s">
        <v>2</v>
      </c>
      <c r="FR267" s="1" t="s">
        <v>113</v>
      </c>
      <c r="FS267" s="1" t="s">
        <v>129</v>
      </c>
      <c r="FV267" s="1" t="s">
        <v>2</v>
      </c>
    </row>
    <row r="268" spans="1:178" ht="16.25" customHeight="1" x14ac:dyDescent="0.2">
      <c r="A268" s="18" t="s">
        <v>177</v>
      </c>
      <c r="B268" s="1" t="s">
        <v>82</v>
      </c>
      <c r="C268" s="79" t="s">
        <v>883</v>
      </c>
      <c r="D268" s="81" t="s">
        <v>69</v>
      </c>
      <c r="H268" s="1" t="s">
        <v>131</v>
      </c>
      <c r="K268" s="1">
        <v>0</v>
      </c>
      <c r="AF268" s="1">
        <v>0</v>
      </c>
      <c r="BA268" s="2">
        <v>0.453592</v>
      </c>
      <c r="BB268" s="1">
        <v>0.5</v>
      </c>
      <c r="BI268" s="1">
        <v>0.5</v>
      </c>
      <c r="BV268" s="1">
        <v>0</v>
      </c>
      <c r="CQ268" s="1">
        <v>0</v>
      </c>
      <c r="DL268" s="18" t="s">
        <v>163</v>
      </c>
      <c r="DN268" s="1">
        <f t="shared" si="61"/>
        <v>0.5</v>
      </c>
      <c r="DO268" s="1">
        <f t="shared" si="62"/>
        <v>0</v>
      </c>
      <c r="DP268" s="1" t="s">
        <v>764</v>
      </c>
      <c r="DQ268" s="1" t="s">
        <v>2</v>
      </c>
      <c r="DR268" s="103">
        <f t="shared" si="63"/>
        <v>0.453592</v>
      </c>
      <c r="DS268" s="16">
        <f t="shared" si="64"/>
        <v>0.5</v>
      </c>
      <c r="DT268" s="101">
        <f t="shared" si="65"/>
        <v>2.26796</v>
      </c>
      <c r="DV268" s="16">
        <f t="shared" si="66"/>
        <v>0</v>
      </c>
      <c r="DZ268" s="37" t="s">
        <v>2</v>
      </c>
      <c r="EA268" s="37"/>
      <c r="EM268" s="73"/>
      <c r="EN268" s="37"/>
      <c r="EO268" s="37"/>
      <c r="EP268" s="37"/>
      <c r="EQ268" s="37"/>
      <c r="ER268" s="37"/>
      <c r="ES268" s="37"/>
      <c r="ET268" s="37"/>
      <c r="EU268" s="37"/>
      <c r="EV268" s="37"/>
      <c r="EW268" s="37"/>
      <c r="EX268" s="37"/>
      <c r="EY268" s="37"/>
      <c r="EZ268" s="37"/>
      <c r="FA268" s="37"/>
      <c r="FB268" s="37"/>
      <c r="FC268" s="37"/>
      <c r="FD268" s="37"/>
      <c r="FE268" s="37"/>
      <c r="FF268" s="55"/>
      <c r="FG268" s="55"/>
      <c r="FH268" s="55"/>
      <c r="FI268" s="37"/>
      <c r="FJ268" s="55"/>
      <c r="FK268" s="55"/>
      <c r="FL268" s="45"/>
      <c r="FM268" s="37"/>
      <c r="FN268" s="37"/>
      <c r="FO268" s="37"/>
      <c r="FP268" s="55"/>
      <c r="FQ268" s="1" t="s">
        <v>2</v>
      </c>
      <c r="FR268" s="1" t="s">
        <v>160</v>
      </c>
      <c r="FS268" s="1" t="s">
        <v>765</v>
      </c>
      <c r="FT268" s="1" t="s">
        <v>765</v>
      </c>
      <c r="FV268" s="1" t="s">
        <v>2</v>
      </c>
    </row>
    <row r="269" spans="1:178" ht="16.25" customHeight="1" x14ac:dyDescent="0.2">
      <c r="A269" s="18" t="s">
        <v>177</v>
      </c>
      <c r="B269" s="1" t="s">
        <v>82</v>
      </c>
      <c r="C269" s="80" t="s">
        <v>844</v>
      </c>
      <c r="D269" s="81" t="s">
        <v>69</v>
      </c>
      <c r="H269" s="1" t="s">
        <v>131</v>
      </c>
      <c r="K269" s="1">
        <v>0</v>
      </c>
      <c r="AF269" s="1">
        <v>0</v>
      </c>
      <c r="BA269" s="13">
        <f>0.91*0.9072</f>
        <v>0.82555200000000006</v>
      </c>
      <c r="BB269" s="1">
        <v>0.27300000000000002</v>
      </c>
      <c r="BD269" s="1">
        <v>154</v>
      </c>
      <c r="BE269" s="2">
        <f>0.079/1.179</f>
        <v>6.7005937234944871E-2</v>
      </c>
      <c r="BI269" s="2">
        <v>0.05</v>
      </c>
      <c r="BJ269" s="1">
        <v>7.2999999999999995E-2</v>
      </c>
      <c r="BV269" s="1">
        <v>0</v>
      </c>
      <c r="CQ269" s="1">
        <v>0</v>
      </c>
      <c r="DL269" s="18" t="s">
        <v>163</v>
      </c>
      <c r="DM269" s="1" t="s">
        <v>96</v>
      </c>
      <c r="DN269" s="1">
        <f t="shared" si="61"/>
        <v>0.05</v>
      </c>
      <c r="DO269" s="1">
        <f t="shared" si="62"/>
        <v>7.2999999999999995E-2</v>
      </c>
      <c r="DP269" s="1" t="s">
        <v>681</v>
      </c>
      <c r="DQ269" s="1" t="s">
        <v>2</v>
      </c>
      <c r="DR269" s="103">
        <f t="shared" si="63"/>
        <v>0.82555200000000006</v>
      </c>
      <c r="DS269" s="16">
        <f t="shared" si="64"/>
        <v>0.05</v>
      </c>
      <c r="DT269" s="101">
        <f t="shared" si="65"/>
        <v>0.41277600000000009</v>
      </c>
      <c r="DV269" s="16">
        <f t="shared" si="66"/>
        <v>0</v>
      </c>
      <c r="DZ269" s="37" t="s">
        <v>2</v>
      </c>
      <c r="EA269" s="37"/>
      <c r="EM269" s="73"/>
      <c r="EN269" s="37"/>
      <c r="EO269" s="37"/>
      <c r="EP269" s="37"/>
      <c r="EQ269" s="37"/>
      <c r="ER269" s="37"/>
      <c r="ES269" s="37"/>
      <c r="ET269" s="37"/>
      <c r="EU269" s="37"/>
      <c r="EV269" s="37"/>
      <c r="EW269" s="37"/>
      <c r="EX269" s="37"/>
      <c r="EY269" s="37"/>
      <c r="EZ269" s="37"/>
      <c r="FA269" s="37"/>
      <c r="FB269" s="37"/>
      <c r="FC269" s="37"/>
      <c r="FD269" s="37"/>
      <c r="FE269" s="37"/>
      <c r="FF269" s="55"/>
      <c r="FG269" s="55"/>
      <c r="FH269" s="55"/>
      <c r="FI269" s="37"/>
      <c r="FJ269" s="55"/>
      <c r="FK269" s="55"/>
      <c r="FL269" s="45"/>
      <c r="FM269" s="37"/>
      <c r="FN269" s="37"/>
      <c r="FO269" s="37"/>
      <c r="FP269" s="55"/>
      <c r="FQ269" s="1" t="s">
        <v>2</v>
      </c>
      <c r="FR269" s="1" t="s">
        <v>160</v>
      </c>
      <c r="FS269" s="1" t="s">
        <v>119</v>
      </c>
      <c r="FV269" s="1" t="s">
        <v>2</v>
      </c>
    </row>
    <row r="270" spans="1:178" ht="16.25" customHeight="1" x14ac:dyDescent="0.2">
      <c r="A270" s="18" t="s">
        <v>177</v>
      </c>
      <c r="B270" s="6" t="s">
        <v>105</v>
      </c>
      <c r="C270" s="79" t="s">
        <v>457</v>
      </c>
      <c r="D270" s="1" t="s">
        <v>69</v>
      </c>
      <c r="G270" s="1" t="s">
        <v>72</v>
      </c>
      <c r="H270" s="1" t="s">
        <v>429</v>
      </c>
      <c r="K270" s="70">
        <v>0</v>
      </c>
      <c r="AF270" s="70">
        <v>0</v>
      </c>
      <c r="BA270" s="14">
        <v>361.91356846301909</v>
      </c>
      <c r="BB270" s="1">
        <v>0.66</v>
      </c>
      <c r="BC270" s="1">
        <v>0.35</v>
      </c>
      <c r="BI270" s="13">
        <v>1.18</v>
      </c>
      <c r="BJ270" s="1">
        <v>3.1E-2</v>
      </c>
      <c r="BK270" s="1">
        <v>0.23</v>
      </c>
      <c r="BL270" s="1">
        <v>0.11</v>
      </c>
      <c r="BM270" s="1">
        <v>5.0000000000000001E-3</v>
      </c>
      <c r="DL270" s="18" t="s">
        <v>163</v>
      </c>
      <c r="DM270" s="1" t="s">
        <v>163</v>
      </c>
      <c r="DN270" s="1">
        <f t="shared" si="61"/>
        <v>1.18</v>
      </c>
      <c r="DO270" s="1">
        <f t="shared" si="62"/>
        <v>3.1000000000000003E-2</v>
      </c>
      <c r="DP270" s="1" t="s">
        <v>987</v>
      </c>
      <c r="DQ270" s="1" t="s">
        <v>2</v>
      </c>
      <c r="DR270" s="101">
        <f t="shared" si="63"/>
        <v>361.91356846301909</v>
      </c>
      <c r="DS270" s="16">
        <f t="shared" si="64"/>
        <v>1.18</v>
      </c>
      <c r="DT270" s="102">
        <f t="shared" si="65"/>
        <v>4270.580107863625</v>
      </c>
      <c r="DV270" s="16">
        <f t="shared" si="66"/>
        <v>0</v>
      </c>
      <c r="DZ270" s="37" t="s">
        <v>2</v>
      </c>
      <c r="EA270" s="37" t="s">
        <v>105</v>
      </c>
      <c r="EM270" s="73" t="s">
        <v>105</v>
      </c>
      <c r="EN270" s="37"/>
      <c r="EO270" s="37"/>
      <c r="EP270" s="37"/>
      <c r="EQ270" s="37"/>
      <c r="ER270" s="37"/>
      <c r="ES270" s="37"/>
      <c r="ET270" s="37"/>
      <c r="EU270" s="37"/>
      <c r="EV270" s="37"/>
      <c r="EW270" s="37"/>
      <c r="EX270" s="37"/>
      <c r="EY270" s="37"/>
      <c r="EZ270" s="37"/>
      <c r="FA270" s="37"/>
      <c r="FB270" s="37"/>
      <c r="FC270" s="37"/>
      <c r="FD270" s="37"/>
      <c r="FE270" s="37"/>
      <c r="FF270" s="55"/>
      <c r="FG270" s="55"/>
      <c r="FH270" s="55"/>
      <c r="FI270" s="37"/>
      <c r="FJ270" s="55"/>
      <c r="FK270" s="55"/>
      <c r="FL270" s="45"/>
      <c r="FM270" s="37"/>
      <c r="FN270" s="37"/>
      <c r="FO270" s="37"/>
      <c r="FP270" s="55" t="s">
        <v>105</v>
      </c>
      <c r="FQ270" s="1" t="s">
        <v>2</v>
      </c>
      <c r="FR270" s="1" t="s">
        <v>113</v>
      </c>
      <c r="FS270" s="1" t="s">
        <v>129</v>
      </c>
      <c r="FV270" s="1" t="s">
        <v>2</v>
      </c>
    </row>
    <row r="271" spans="1:178" ht="16.25" customHeight="1" x14ac:dyDescent="0.2">
      <c r="A271" s="18" t="s">
        <v>177</v>
      </c>
      <c r="B271" s="6" t="s">
        <v>105</v>
      </c>
      <c r="C271" s="15" t="s">
        <v>845</v>
      </c>
      <c r="D271" s="1" t="s">
        <v>69</v>
      </c>
      <c r="H271" s="1" t="s">
        <v>131</v>
      </c>
      <c r="K271" s="1">
        <v>0</v>
      </c>
      <c r="AF271" s="1">
        <v>0</v>
      </c>
      <c r="BA271" s="13">
        <v>79.165654000000004</v>
      </c>
      <c r="BB271" s="1">
        <v>0.27</v>
      </c>
      <c r="BI271" s="1">
        <v>0.45</v>
      </c>
      <c r="BV271" s="1">
        <v>0</v>
      </c>
      <c r="CQ271" s="13">
        <v>29.758687999999999</v>
      </c>
      <c r="CR271" s="1">
        <v>0.31</v>
      </c>
      <c r="CY271" s="1">
        <v>0.49</v>
      </c>
      <c r="DL271" s="18" t="s">
        <v>96</v>
      </c>
      <c r="DN271" s="1">
        <f t="shared" si="61"/>
        <v>0.45</v>
      </c>
      <c r="DO271" s="1">
        <f t="shared" si="62"/>
        <v>0</v>
      </c>
      <c r="DP271" s="1" t="s">
        <v>67</v>
      </c>
      <c r="DQ271" s="1" t="s">
        <v>2</v>
      </c>
      <c r="DR271" s="100">
        <f t="shared" si="63"/>
        <v>79.165654000000004</v>
      </c>
      <c r="DS271" s="16">
        <f t="shared" si="64"/>
        <v>0.45</v>
      </c>
      <c r="DT271" s="101">
        <f t="shared" si="65"/>
        <v>356.24544300000008</v>
      </c>
      <c r="DV271" s="100">
        <f t="shared" si="66"/>
        <v>29.758687999999999</v>
      </c>
      <c r="DW271" s="100">
        <f>(BV271*CD271+CQ271*CY271)/DV271</f>
        <v>0.49</v>
      </c>
      <c r="DX271" s="101">
        <f>1000*DV271*DW271/100</f>
        <v>145.81757119999997</v>
      </c>
      <c r="DZ271" s="37" t="s">
        <v>2</v>
      </c>
      <c r="EA271" s="37"/>
      <c r="EM271" s="73"/>
      <c r="EN271" s="37"/>
      <c r="EO271" s="37"/>
      <c r="EP271" s="37"/>
      <c r="EQ271" s="37"/>
      <c r="ER271" s="37"/>
      <c r="ES271" s="37"/>
      <c r="ET271" s="37"/>
      <c r="EU271" s="37"/>
      <c r="EV271" s="37"/>
      <c r="EW271" s="37"/>
      <c r="EX271" s="37"/>
      <c r="EY271" s="37"/>
      <c r="EZ271" s="37"/>
      <c r="FA271" s="37"/>
      <c r="FB271" s="37"/>
      <c r="FC271" s="37"/>
      <c r="FD271" s="37"/>
      <c r="FE271" s="37"/>
      <c r="FF271" s="55"/>
      <c r="FG271" s="55"/>
      <c r="FH271" s="55"/>
      <c r="FI271" s="37"/>
      <c r="FJ271" s="55"/>
      <c r="FK271" s="55"/>
      <c r="FL271" s="45"/>
      <c r="FM271" s="37"/>
      <c r="FN271" s="37"/>
      <c r="FO271" s="37"/>
      <c r="FP271" s="55"/>
      <c r="FQ271" s="1" t="s">
        <v>2</v>
      </c>
      <c r="FR271" s="1" t="s">
        <v>113</v>
      </c>
      <c r="FS271" s="1" t="s">
        <v>129</v>
      </c>
      <c r="FV271" s="1" t="s">
        <v>2</v>
      </c>
    </row>
    <row r="272" spans="1:178" ht="16.25" customHeight="1" x14ac:dyDescent="0.2">
      <c r="A272" s="18" t="s">
        <v>177</v>
      </c>
      <c r="B272" s="6" t="s">
        <v>105</v>
      </c>
      <c r="C272" s="15" t="s">
        <v>221</v>
      </c>
      <c r="D272" s="1" t="s">
        <v>64</v>
      </c>
      <c r="G272" s="1" t="s">
        <v>222</v>
      </c>
      <c r="H272" s="1" t="s">
        <v>66</v>
      </c>
      <c r="K272" s="1">
        <v>0</v>
      </c>
      <c r="AF272" s="1">
        <v>0</v>
      </c>
      <c r="BA272" s="13">
        <v>29.825994000000001</v>
      </c>
      <c r="BB272" s="1">
        <v>0.97</v>
      </c>
      <c r="BI272" s="1">
        <v>0.56000000000000005</v>
      </c>
      <c r="BV272" s="1">
        <v>0</v>
      </c>
      <c r="CQ272" s="13">
        <v>19.473970000000001</v>
      </c>
      <c r="CR272" s="13">
        <v>1</v>
      </c>
      <c r="CY272" s="1">
        <v>0.62</v>
      </c>
      <c r="DL272" s="18" t="s">
        <v>96</v>
      </c>
      <c r="DN272" s="1">
        <f t="shared" si="61"/>
        <v>0.56000000000000005</v>
      </c>
      <c r="DO272" s="1">
        <f t="shared" si="62"/>
        <v>0</v>
      </c>
      <c r="DP272" s="1" t="s">
        <v>67</v>
      </c>
      <c r="DQ272" s="1" t="s">
        <v>2</v>
      </c>
      <c r="DR272" s="100">
        <f t="shared" si="63"/>
        <v>29.825994000000001</v>
      </c>
      <c r="DS272" s="16">
        <f t="shared" si="64"/>
        <v>0.56000000000000005</v>
      </c>
      <c r="DT272" s="101">
        <f t="shared" si="65"/>
        <v>167.02556640000003</v>
      </c>
      <c r="DV272" s="100">
        <f t="shared" si="66"/>
        <v>19.473970000000001</v>
      </c>
      <c r="DW272" s="100">
        <f>(BV272*CD272+CQ272*CY272)/DV272</f>
        <v>0.62</v>
      </c>
      <c r="DX272" s="101">
        <f>1000*DV272*DW272/100</f>
        <v>120.738614</v>
      </c>
      <c r="DZ272" s="37" t="s">
        <v>2</v>
      </c>
      <c r="EA272" s="37"/>
      <c r="EM272" s="73"/>
      <c r="EN272" s="37"/>
      <c r="EO272" s="37"/>
      <c r="EP272" s="37"/>
      <c r="EQ272" s="37"/>
      <c r="ER272" s="37"/>
      <c r="ES272" s="37"/>
      <c r="ET272" s="37"/>
      <c r="EU272" s="37"/>
      <c r="EV272" s="37"/>
      <c r="EW272" s="37"/>
      <c r="EX272" s="37"/>
      <c r="EY272" s="37"/>
      <c r="EZ272" s="37"/>
      <c r="FA272" s="37"/>
      <c r="FB272" s="37"/>
      <c r="FC272" s="37"/>
      <c r="FD272" s="37"/>
      <c r="FE272" s="37"/>
      <c r="FF272" s="55"/>
      <c r="FG272" s="55"/>
      <c r="FH272" s="55"/>
      <c r="FI272" s="37"/>
      <c r="FJ272" s="55"/>
      <c r="FK272" s="55"/>
      <c r="FL272" s="45"/>
      <c r="FM272" s="37"/>
      <c r="FN272" s="37"/>
      <c r="FO272" s="37"/>
      <c r="FP272" s="55"/>
      <c r="FQ272" s="1" t="s">
        <v>2</v>
      </c>
      <c r="FR272" s="1" t="s">
        <v>113</v>
      </c>
      <c r="FS272" s="1" t="s">
        <v>129</v>
      </c>
      <c r="FV272" s="1" t="s">
        <v>2</v>
      </c>
    </row>
    <row r="273" spans="1:178" ht="16.25" customHeight="1" x14ac:dyDescent="0.2">
      <c r="A273" s="18" t="s">
        <v>177</v>
      </c>
      <c r="B273" s="6" t="s">
        <v>105</v>
      </c>
      <c r="C273" s="40" t="s">
        <v>464</v>
      </c>
      <c r="D273" s="1" t="s">
        <v>69</v>
      </c>
      <c r="G273" s="1" t="s">
        <v>160</v>
      </c>
      <c r="H273" s="1" t="s">
        <v>462</v>
      </c>
      <c r="K273" s="1">
        <v>0</v>
      </c>
      <c r="AF273" s="1">
        <v>0</v>
      </c>
      <c r="BA273" s="1">
        <v>157</v>
      </c>
      <c r="BB273" s="1">
        <v>0.14000000000000001</v>
      </c>
      <c r="BI273" s="1">
        <v>0.64</v>
      </c>
      <c r="DL273" s="18" t="s">
        <v>163</v>
      </c>
      <c r="DN273" s="1">
        <f t="shared" si="61"/>
        <v>0.64</v>
      </c>
      <c r="DO273" s="1">
        <f t="shared" si="62"/>
        <v>0</v>
      </c>
      <c r="DP273" s="1" t="s">
        <v>993</v>
      </c>
      <c r="DQ273" s="1" t="s">
        <v>2</v>
      </c>
      <c r="DR273" s="16">
        <f t="shared" si="63"/>
        <v>157</v>
      </c>
      <c r="DS273" s="16">
        <f t="shared" si="64"/>
        <v>0.64</v>
      </c>
      <c r="DT273" s="102">
        <f t="shared" si="65"/>
        <v>1004.8</v>
      </c>
      <c r="DV273" s="16">
        <f t="shared" si="66"/>
        <v>0</v>
      </c>
      <c r="DZ273" s="37" t="s">
        <v>2</v>
      </c>
      <c r="EA273" s="37"/>
      <c r="EM273" s="73"/>
      <c r="EN273" s="37"/>
      <c r="EO273" s="37"/>
      <c r="EP273" s="37"/>
      <c r="EQ273" s="37"/>
      <c r="ER273" s="37"/>
      <c r="ES273" s="37"/>
      <c r="ET273" s="37"/>
      <c r="EU273" s="37"/>
      <c r="EV273" s="37"/>
      <c r="EW273" s="37"/>
      <c r="EX273" s="37"/>
      <c r="EY273" s="37"/>
      <c r="EZ273" s="37"/>
      <c r="FA273" s="37"/>
      <c r="FB273" s="37"/>
      <c r="FC273" s="37"/>
      <c r="FD273" s="37"/>
      <c r="FE273" s="37"/>
      <c r="FF273" s="55"/>
      <c r="FG273" s="55"/>
      <c r="FH273" s="55"/>
      <c r="FI273" s="37"/>
      <c r="FJ273" s="55"/>
      <c r="FK273" s="55"/>
      <c r="FL273" s="45"/>
      <c r="FM273" s="37"/>
      <c r="FN273" s="37"/>
      <c r="FO273" s="37"/>
      <c r="FP273" s="55"/>
      <c r="FQ273" s="1" t="s">
        <v>2</v>
      </c>
      <c r="FR273" s="1" t="s">
        <v>113</v>
      </c>
      <c r="FS273" s="1" t="s">
        <v>129</v>
      </c>
      <c r="FV273" s="1" t="s">
        <v>2</v>
      </c>
    </row>
    <row r="274" spans="1:178" ht="16.25" customHeight="1" x14ac:dyDescent="0.2">
      <c r="A274" s="18" t="s">
        <v>177</v>
      </c>
      <c r="B274" s="6" t="s">
        <v>105</v>
      </c>
      <c r="C274" s="15" t="s">
        <v>846</v>
      </c>
      <c r="D274" s="1" t="s">
        <v>69</v>
      </c>
      <c r="H274" s="1" t="s">
        <v>131</v>
      </c>
      <c r="K274" s="1">
        <v>0</v>
      </c>
      <c r="AF274" s="1">
        <v>0</v>
      </c>
      <c r="BA274" s="1">
        <v>3.8</v>
      </c>
      <c r="BB274" s="1">
        <v>0.81</v>
      </c>
      <c r="BI274" s="1">
        <v>1.03</v>
      </c>
      <c r="DL274" s="18" t="s">
        <v>163</v>
      </c>
      <c r="DN274" s="1">
        <f t="shared" si="61"/>
        <v>1.03</v>
      </c>
      <c r="DO274" s="1">
        <f t="shared" si="62"/>
        <v>0</v>
      </c>
      <c r="DP274" s="1" t="s">
        <v>993</v>
      </c>
      <c r="DQ274" s="1" t="s">
        <v>2</v>
      </c>
      <c r="DR274" s="16">
        <f t="shared" si="63"/>
        <v>3.8</v>
      </c>
      <c r="DS274" s="16">
        <f t="shared" si="64"/>
        <v>1.03</v>
      </c>
      <c r="DT274" s="101">
        <f t="shared" si="65"/>
        <v>39.14</v>
      </c>
      <c r="DV274" s="16">
        <f t="shared" si="66"/>
        <v>0</v>
      </c>
      <c r="DZ274" s="37" t="s">
        <v>2</v>
      </c>
      <c r="EA274" s="37"/>
      <c r="EM274" s="73"/>
      <c r="EN274" s="37"/>
      <c r="EO274" s="37"/>
      <c r="EP274" s="37"/>
      <c r="EQ274" s="37"/>
      <c r="ER274" s="37"/>
      <c r="ES274" s="37"/>
      <c r="ET274" s="37"/>
      <c r="EU274" s="37"/>
      <c r="EV274" s="37"/>
      <c r="EW274" s="37"/>
      <c r="EX274" s="37"/>
      <c r="EY274" s="37"/>
      <c r="EZ274" s="37"/>
      <c r="FA274" s="37"/>
      <c r="FB274" s="37"/>
      <c r="FC274" s="37"/>
      <c r="FD274" s="37"/>
      <c r="FE274" s="37"/>
      <c r="FF274" s="55"/>
      <c r="FG274" s="55"/>
      <c r="FH274" s="55"/>
      <c r="FI274" s="37"/>
      <c r="FJ274" s="55"/>
      <c r="FK274" s="55"/>
      <c r="FL274" s="45"/>
      <c r="FM274" s="37"/>
      <c r="FN274" s="37"/>
      <c r="FO274" s="37"/>
      <c r="FP274" s="55"/>
      <c r="FQ274" s="1" t="s">
        <v>2</v>
      </c>
      <c r="FR274" s="1" t="s">
        <v>113</v>
      </c>
      <c r="FS274" s="1" t="s">
        <v>129</v>
      </c>
      <c r="FT274" s="1" t="s">
        <v>995</v>
      </c>
      <c r="FV274" s="1" t="s">
        <v>2</v>
      </c>
    </row>
    <row r="275" spans="1:178" ht="16.25" customHeight="1" x14ac:dyDescent="0.2">
      <c r="A275" s="18" t="s">
        <v>177</v>
      </c>
      <c r="B275" s="6" t="s">
        <v>105</v>
      </c>
      <c r="C275" s="15" t="s">
        <v>1227</v>
      </c>
      <c r="H275" s="1" t="s">
        <v>1228</v>
      </c>
      <c r="K275" s="1">
        <v>0</v>
      </c>
      <c r="AF275" s="1">
        <v>0</v>
      </c>
      <c r="BA275" s="1">
        <v>96</v>
      </c>
      <c r="BB275" s="1">
        <v>0.14000000000000001</v>
      </c>
      <c r="BI275" s="1">
        <v>0.35</v>
      </c>
      <c r="DL275" s="18" t="s">
        <v>163</v>
      </c>
      <c r="DN275" s="1">
        <f t="shared" si="61"/>
        <v>0.34999999999999992</v>
      </c>
      <c r="DO275" s="1">
        <f t="shared" si="62"/>
        <v>0</v>
      </c>
      <c r="DP275" s="1" t="s">
        <v>993</v>
      </c>
      <c r="DQ275" s="1" t="s">
        <v>2</v>
      </c>
      <c r="DR275" s="16">
        <f t="shared" si="63"/>
        <v>96</v>
      </c>
      <c r="DS275" s="16">
        <f t="shared" si="64"/>
        <v>0.34999999999999992</v>
      </c>
      <c r="DT275" s="101">
        <f t="shared" si="65"/>
        <v>335.99999999999994</v>
      </c>
      <c r="DV275" s="16">
        <f t="shared" si="66"/>
        <v>0</v>
      </c>
      <c r="DZ275" s="37" t="s">
        <v>2</v>
      </c>
      <c r="EA275" s="37"/>
      <c r="EM275" s="73"/>
      <c r="EN275" s="37"/>
      <c r="EO275" s="37"/>
      <c r="EP275" s="37"/>
      <c r="EQ275" s="37"/>
      <c r="ER275" s="37"/>
      <c r="ES275" s="37"/>
      <c r="ET275" s="37"/>
      <c r="EU275" s="37"/>
      <c r="EV275" s="37"/>
      <c r="EW275" s="37"/>
      <c r="EX275" s="37"/>
      <c r="EY275" s="37"/>
      <c r="EZ275" s="37"/>
      <c r="FA275" s="37"/>
      <c r="FB275" s="37"/>
      <c r="FC275" s="37"/>
      <c r="FD275" s="37"/>
      <c r="FE275" s="37"/>
      <c r="FF275" s="55"/>
      <c r="FG275" s="55"/>
      <c r="FH275" s="55"/>
      <c r="FI275" s="37"/>
      <c r="FJ275" s="55"/>
      <c r="FK275" s="55"/>
      <c r="FL275" s="45"/>
      <c r="FM275" s="37"/>
      <c r="FN275" s="37"/>
      <c r="FO275" s="37"/>
      <c r="FP275" s="55"/>
      <c r="FQ275" s="1" t="s">
        <v>2</v>
      </c>
      <c r="FR275" s="1" t="s">
        <v>113</v>
      </c>
      <c r="FS275" s="1" t="s">
        <v>129</v>
      </c>
      <c r="FV275" s="1" t="s">
        <v>2</v>
      </c>
    </row>
    <row r="276" spans="1:178" ht="16.25" customHeight="1" x14ac:dyDescent="0.2">
      <c r="A276" s="18" t="s">
        <v>177</v>
      </c>
      <c r="B276" s="6" t="s">
        <v>105</v>
      </c>
      <c r="C276" s="79" t="s">
        <v>895</v>
      </c>
      <c r="D276" s="1" t="s">
        <v>64</v>
      </c>
      <c r="H276" s="1" t="s">
        <v>131</v>
      </c>
      <c r="K276" s="1">
        <v>0</v>
      </c>
      <c r="AF276" s="1">
        <v>0</v>
      </c>
      <c r="BA276" s="1">
        <v>35</v>
      </c>
      <c r="BB276" s="1">
        <v>0.3</v>
      </c>
      <c r="BI276" s="1">
        <v>0.6</v>
      </c>
      <c r="DL276" s="18" t="s">
        <v>163</v>
      </c>
      <c r="DN276" s="1">
        <f t="shared" si="61"/>
        <v>0.6</v>
      </c>
      <c r="DO276" s="1">
        <f t="shared" si="62"/>
        <v>0</v>
      </c>
      <c r="DP276" s="1" t="s">
        <v>993</v>
      </c>
      <c r="DQ276" s="1" t="s">
        <v>2</v>
      </c>
      <c r="DR276" s="16">
        <f t="shared" si="63"/>
        <v>35</v>
      </c>
      <c r="DS276" s="16">
        <f t="shared" si="64"/>
        <v>0.6</v>
      </c>
      <c r="DT276" s="101">
        <f t="shared" si="65"/>
        <v>210</v>
      </c>
      <c r="DV276" s="16">
        <f t="shared" si="66"/>
        <v>0</v>
      </c>
      <c r="DZ276" s="37" t="s">
        <v>2</v>
      </c>
      <c r="EA276" s="37"/>
      <c r="EM276" s="73"/>
      <c r="EN276" s="37"/>
      <c r="EO276" s="37"/>
      <c r="EP276" s="37"/>
      <c r="EQ276" s="37"/>
      <c r="ER276" s="37"/>
      <c r="ES276" s="37"/>
      <c r="ET276" s="37"/>
      <c r="EU276" s="37"/>
      <c r="EV276" s="37"/>
      <c r="EW276" s="37"/>
      <c r="EX276" s="37"/>
      <c r="EY276" s="37"/>
      <c r="EZ276" s="37"/>
      <c r="FA276" s="37"/>
      <c r="FB276" s="37"/>
      <c r="FC276" s="37"/>
      <c r="FD276" s="37"/>
      <c r="FE276" s="37"/>
      <c r="FF276" s="55"/>
      <c r="FG276" s="55"/>
      <c r="FH276" s="55"/>
      <c r="FI276" s="37"/>
      <c r="FJ276" s="55"/>
      <c r="FK276" s="55"/>
      <c r="FL276" s="45"/>
      <c r="FM276" s="37"/>
      <c r="FN276" s="37"/>
      <c r="FO276" s="37"/>
      <c r="FP276" s="55"/>
      <c r="FQ276" s="1" t="s">
        <v>2</v>
      </c>
      <c r="FR276" s="1" t="s">
        <v>113</v>
      </c>
      <c r="FS276" s="1" t="s">
        <v>129</v>
      </c>
      <c r="FV276" s="1" t="s">
        <v>2</v>
      </c>
    </row>
    <row r="277" spans="1:178" ht="16.25" customHeight="1" x14ac:dyDescent="0.2">
      <c r="A277" s="18" t="s">
        <v>177</v>
      </c>
      <c r="B277" s="6" t="s">
        <v>105</v>
      </c>
      <c r="C277" s="15" t="s">
        <v>1229</v>
      </c>
      <c r="H277" s="1" t="s">
        <v>1193</v>
      </c>
      <c r="K277" s="1">
        <v>0</v>
      </c>
      <c r="AF277" s="1">
        <v>0</v>
      </c>
      <c r="BA277" s="1">
        <v>8.3000000000000007</v>
      </c>
      <c r="BB277" s="1">
        <v>0.24</v>
      </c>
      <c r="BI277" s="1">
        <v>0.6</v>
      </c>
      <c r="DL277" s="18" t="s">
        <v>163</v>
      </c>
      <c r="DN277" s="1">
        <f t="shared" si="61"/>
        <v>0.6</v>
      </c>
      <c r="DO277" s="1">
        <f t="shared" si="62"/>
        <v>0</v>
      </c>
      <c r="DP277" s="1" t="s">
        <v>993</v>
      </c>
      <c r="DQ277" s="1" t="s">
        <v>2</v>
      </c>
      <c r="DR277" s="16">
        <f t="shared" si="63"/>
        <v>8.3000000000000007</v>
      </c>
      <c r="DS277" s="16">
        <f t="shared" si="64"/>
        <v>0.6</v>
      </c>
      <c r="DT277" s="101">
        <f t="shared" si="65"/>
        <v>49.8</v>
      </c>
      <c r="DV277" s="16">
        <f t="shared" si="66"/>
        <v>0</v>
      </c>
      <c r="DZ277" s="37" t="s">
        <v>2</v>
      </c>
      <c r="EA277" s="37"/>
      <c r="EM277" s="73"/>
      <c r="EN277" s="37"/>
      <c r="EO277" s="37"/>
      <c r="EP277" s="37"/>
      <c r="EQ277" s="37"/>
      <c r="ER277" s="37"/>
      <c r="ES277" s="37"/>
      <c r="ET277" s="37"/>
      <c r="EU277" s="37"/>
      <c r="EV277" s="37"/>
      <c r="EW277" s="37"/>
      <c r="EX277" s="37"/>
      <c r="EY277" s="37"/>
      <c r="EZ277" s="37"/>
      <c r="FA277" s="37"/>
      <c r="FB277" s="37"/>
      <c r="FC277" s="37"/>
      <c r="FD277" s="37"/>
      <c r="FE277" s="37"/>
      <c r="FF277" s="55"/>
      <c r="FG277" s="55"/>
      <c r="FH277" s="55"/>
      <c r="FI277" s="37"/>
      <c r="FJ277" s="55"/>
      <c r="FK277" s="55"/>
      <c r="FL277" s="45"/>
      <c r="FM277" s="37"/>
      <c r="FN277" s="37"/>
      <c r="FO277" s="37"/>
      <c r="FP277" s="55"/>
      <c r="FQ277" s="1" t="s">
        <v>2</v>
      </c>
      <c r="FR277" s="1" t="s">
        <v>113</v>
      </c>
      <c r="FS277" s="1" t="s">
        <v>129</v>
      </c>
      <c r="FV277" s="1" t="s">
        <v>2</v>
      </c>
    </row>
    <row r="278" spans="1:178" ht="16.25" customHeight="1" x14ac:dyDescent="0.2">
      <c r="A278" s="18" t="s">
        <v>177</v>
      </c>
      <c r="B278" s="6" t="s">
        <v>105</v>
      </c>
      <c r="C278" s="15" t="s">
        <v>1005</v>
      </c>
      <c r="H278" s="1" t="s">
        <v>131</v>
      </c>
      <c r="K278" s="1">
        <v>0</v>
      </c>
      <c r="AF278" s="1">
        <v>0</v>
      </c>
      <c r="BA278" s="1">
        <v>90</v>
      </c>
      <c r="BB278" s="1">
        <v>0.16</v>
      </c>
      <c r="BI278" s="1">
        <v>0.45</v>
      </c>
      <c r="DL278" s="18" t="s">
        <v>163</v>
      </c>
      <c r="DN278" s="1">
        <f t="shared" si="61"/>
        <v>0.45</v>
      </c>
      <c r="DO278" s="1">
        <f t="shared" si="62"/>
        <v>0</v>
      </c>
      <c r="DP278" s="1" t="s">
        <v>993</v>
      </c>
      <c r="DQ278" s="1" t="s">
        <v>2</v>
      </c>
      <c r="DR278" s="16">
        <f t="shared" si="63"/>
        <v>90</v>
      </c>
      <c r="DS278" s="16">
        <f t="shared" si="64"/>
        <v>0.45</v>
      </c>
      <c r="DT278" s="101">
        <f t="shared" si="65"/>
        <v>405</v>
      </c>
      <c r="DV278" s="16">
        <f t="shared" si="66"/>
        <v>0</v>
      </c>
      <c r="DZ278" s="37" t="s">
        <v>2</v>
      </c>
      <c r="EA278" s="37"/>
      <c r="EM278" s="73"/>
      <c r="EN278" s="37"/>
      <c r="EO278" s="37"/>
      <c r="EP278" s="37"/>
      <c r="EQ278" s="37"/>
      <c r="ER278" s="37"/>
      <c r="ES278" s="37"/>
      <c r="ET278" s="37"/>
      <c r="EU278" s="37"/>
      <c r="EV278" s="37"/>
      <c r="EW278" s="37"/>
      <c r="EX278" s="37"/>
      <c r="EY278" s="37"/>
      <c r="EZ278" s="37"/>
      <c r="FA278" s="37"/>
      <c r="FB278" s="37"/>
      <c r="FC278" s="37"/>
      <c r="FD278" s="37"/>
      <c r="FE278" s="37"/>
      <c r="FF278" s="55"/>
      <c r="FG278" s="55"/>
      <c r="FH278" s="55"/>
      <c r="FI278" s="37"/>
      <c r="FJ278" s="55"/>
      <c r="FK278" s="55"/>
      <c r="FL278" s="45"/>
      <c r="FM278" s="37"/>
      <c r="FN278" s="37"/>
      <c r="FO278" s="37"/>
      <c r="FP278" s="55"/>
      <c r="FQ278" s="1" t="s">
        <v>2</v>
      </c>
      <c r="FR278" s="1" t="s">
        <v>113</v>
      </c>
      <c r="FS278" s="1" t="s">
        <v>129</v>
      </c>
      <c r="FT278" s="1" t="s">
        <v>995</v>
      </c>
      <c r="FV278" s="1" t="s">
        <v>2</v>
      </c>
    </row>
    <row r="279" spans="1:178" ht="16.25" customHeight="1" x14ac:dyDescent="0.2">
      <c r="A279" s="18" t="s">
        <v>177</v>
      </c>
      <c r="B279" s="6" t="s">
        <v>105</v>
      </c>
      <c r="C279" s="79" t="s">
        <v>284</v>
      </c>
      <c r="D279" s="1" t="s">
        <v>69</v>
      </c>
      <c r="G279" s="1" t="s">
        <v>72</v>
      </c>
      <c r="H279" s="1" t="s">
        <v>151</v>
      </c>
      <c r="K279" s="1">
        <v>0</v>
      </c>
      <c r="AF279" s="1">
        <v>0</v>
      </c>
      <c r="BA279" s="1">
        <v>6.7</v>
      </c>
      <c r="BB279" s="1">
        <v>0.22</v>
      </c>
      <c r="BI279" s="1">
        <v>0.23</v>
      </c>
      <c r="DL279" s="18" t="s">
        <v>163</v>
      </c>
      <c r="DN279" s="1">
        <f t="shared" si="61"/>
        <v>0.23</v>
      </c>
      <c r="DO279" s="1">
        <f t="shared" si="62"/>
        <v>0</v>
      </c>
      <c r="DP279" s="1" t="s">
        <v>993</v>
      </c>
      <c r="DQ279" s="1" t="s">
        <v>2</v>
      </c>
      <c r="DR279" s="16">
        <f t="shared" si="63"/>
        <v>6.7</v>
      </c>
      <c r="DS279" s="16">
        <f t="shared" si="64"/>
        <v>0.23</v>
      </c>
      <c r="DT279" s="101">
        <f t="shared" si="65"/>
        <v>15.41</v>
      </c>
      <c r="DV279" s="16">
        <f t="shared" si="66"/>
        <v>0</v>
      </c>
      <c r="DZ279" s="37" t="s">
        <v>2</v>
      </c>
      <c r="EA279" s="37"/>
      <c r="EM279" s="73"/>
      <c r="EN279" s="37"/>
      <c r="EO279" s="37"/>
      <c r="EP279" s="37"/>
      <c r="EQ279" s="37"/>
      <c r="ER279" s="37"/>
      <c r="ES279" s="37"/>
      <c r="ET279" s="37"/>
      <c r="EU279" s="37"/>
      <c r="EV279" s="37"/>
      <c r="EW279" s="37"/>
      <c r="EX279" s="37"/>
      <c r="EY279" s="37"/>
      <c r="EZ279" s="37"/>
      <c r="FA279" s="37"/>
      <c r="FB279" s="37"/>
      <c r="FC279" s="37"/>
      <c r="FD279" s="37"/>
      <c r="FE279" s="37"/>
      <c r="FF279" s="55"/>
      <c r="FG279" s="55"/>
      <c r="FH279" s="55"/>
      <c r="FI279" s="37"/>
      <c r="FJ279" s="55"/>
      <c r="FK279" s="55"/>
      <c r="FL279" s="45"/>
      <c r="FM279" s="37"/>
      <c r="FN279" s="37"/>
      <c r="FO279" s="37"/>
      <c r="FP279" s="55"/>
      <c r="FQ279" s="1" t="s">
        <v>2</v>
      </c>
      <c r="FR279" s="1" t="s">
        <v>113</v>
      </c>
      <c r="FS279" s="1" t="s">
        <v>129</v>
      </c>
      <c r="FT279" s="1" t="s">
        <v>995</v>
      </c>
      <c r="FV279" s="1" t="s">
        <v>2</v>
      </c>
    </row>
    <row r="280" spans="1:178" ht="16.25" customHeight="1" x14ac:dyDescent="0.2">
      <c r="A280" s="18" t="s">
        <v>177</v>
      </c>
      <c r="B280" s="6" t="s">
        <v>105</v>
      </c>
      <c r="C280" s="15" t="s">
        <v>599</v>
      </c>
      <c r="D280" s="1" t="s">
        <v>69</v>
      </c>
      <c r="H280" s="1" t="s">
        <v>600</v>
      </c>
      <c r="K280" s="1">
        <v>0</v>
      </c>
      <c r="AF280" s="1">
        <v>0</v>
      </c>
      <c r="BA280" s="1">
        <v>34</v>
      </c>
      <c r="BB280" s="1">
        <v>0.14000000000000001</v>
      </c>
      <c r="BI280" s="1">
        <v>0.17</v>
      </c>
      <c r="DL280" s="18" t="s">
        <v>163</v>
      </c>
      <c r="DN280" s="1">
        <f t="shared" si="61"/>
        <v>0.17</v>
      </c>
      <c r="DO280" s="1">
        <f t="shared" si="62"/>
        <v>0</v>
      </c>
      <c r="DP280" s="1" t="s">
        <v>993</v>
      </c>
      <c r="DQ280" s="1" t="s">
        <v>2</v>
      </c>
      <c r="DR280" s="16">
        <f t="shared" si="63"/>
        <v>34</v>
      </c>
      <c r="DS280" s="16">
        <f t="shared" si="64"/>
        <v>0.17</v>
      </c>
      <c r="DT280" s="101">
        <f t="shared" si="65"/>
        <v>57.8</v>
      </c>
      <c r="DV280" s="16">
        <f t="shared" si="66"/>
        <v>0</v>
      </c>
      <c r="DZ280" s="37" t="s">
        <v>2</v>
      </c>
      <c r="EA280" s="37"/>
      <c r="EM280" s="73"/>
      <c r="EN280" s="37"/>
      <c r="EO280" s="37"/>
      <c r="EP280" s="37"/>
      <c r="EQ280" s="37"/>
      <c r="ER280" s="37"/>
      <c r="ES280" s="37"/>
      <c r="ET280" s="37"/>
      <c r="EU280" s="37"/>
      <c r="EV280" s="37"/>
      <c r="EW280" s="37"/>
      <c r="EX280" s="37"/>
      <c r="EY280" s="37"/>
      <c r="EZ280" s="37"/>
      <c r="FA280" s="37"/>
      <c r="FB280" s="37"/>
      <c r="FC280" s="37"/>
      <c r="FD280" s="37"/>
      <c r="FE280" s="37"/>
      <c r="FF280" s="55"/>
      <c r="FG280" s="55"/>
      <c r="FH280" s="55"/>
      <c r="FI280" s="37"/>
      <c r="FJ280" s="55"/>
      <c r="FK280" s="55"/>
      <c r="FL280" s="45"/>
      <c r="FM280" s="37"/>
      <c r="FN280" s="37"/>
      <c r="FO280" s="37"/>
      <c r="FP280" s="55"/>
      <c r="FQ280" s="1" t="s">
        <v>2</v>
      </c>
      <c r="FR280" s="1" t="s">
        <v>113</v>
      </c>
      <c r="FS280" s="1" t="s">
        <v>129</v>
      </c>
      <c r="FT280" s="1" t="s">
        <v>995</v>
      </c>
      <c r="FV280" s="1" t="s">
        <v>2</v>
      </c>
    </row>
    <row r="281" spans="1:178" ht="16.25" customHeight="1" x14ac:dyDescent="0.2">
      <c r="A281" s="18" t="s">
        <v>177</v>
      </c>
      <c r="B281" s="6" t="s">
        <v>105</v>
      </c>
      <c r="C281" s="15" t="s">
        <v>1230</v>
      </c>
      <c r="H281" s="1" t="s">
        <v>1231</v>
      </c>
      <c r="K281" s="1">
        <v>0</v>
      </c>
      <c r="AF281" s="1">
        <v>0</v>
      </c>
      <c r="BA281" s="1">
        <v>8.9</v>
      </c>
      <c r="BB281" s="1">
        <v>0.63</v>
      </c>
      <c r="BI281" s="1">
        <v>2.2999999999999998</v>
      </c>
      <c r="DL281" s="18" t="s">
        <v>163</v>
      </c>
      <c r="DN281" s="1">
        <f t="shared" si="61"/>
        <v>2.2999999999999998</v>
      </c>
      <c r="DO281" s="1">
        <f t="shared" si="62"/>
        <v>0</v>
      </c>
      <c r="DP281" s="1" t="s">
        <v>993</v>
      </c>
      <c r="DQ281" s="1" t="s">
        <v>2</v>
      </c>
      <c r="DR281" s="16">
        <f t="shared" si="63"/>
        <v>8.9</v>
      </c>
      <c r="DS281" s="16">
        <f t="shared" si="64"/>
        <v>2.2999999999999998</v>
      </c>
      <c r="DT281" s="101">
        <f t="shared" si="65"/>
        <v>204.7</v>
      </c>
      <c r="DV281" s="16">
        <f t="shared" si="66"/>
        <v>0</v>
      </c>
      <c r="DZ281" s="37" t="s">
        <v>2</v>
      </c>
      <c r="EA281" s="37"/>
      <c r="EM281" s="73"/>
      <c r="EN281" s="37"/>
      <c r="EO281" s="37"/>
      <c r="EP281" s="37"/>
      <c r="EQ281" s="37"/>
      <c r="ER281" s="37"/>
      <c r="ES281" s="37"/>
      <c r="ET281" s="37"/>
      <c r="EU281" s="37"/>
      <c r="EV281" s="37"/>
      <c r="EW281" s="37"/>
      <c r="EX281" s="37"/>
      <c r="EY281" s="37"/>
      <c r="EZ281" s="37"/>
      <c r="FA281" s="37"/>
      <c r="FB281" s="37"/>
      <c r="FC281" s="37"/>
      <c r="FD281" s="37"/>
      <c r="FE281" s="37"/>
      <c r="FF281" s="55"/>
      <c r="FG281" s="55"/>
      <c r="FH281" s="55"/>
      <c r="FI281" s="37"/>
      <c r="FJ281" s="55"/>
      <c r="FK281" s="55"/>
      <c r="FL281" s="45"/>
      <c r="FM281" s="37"/>
      <c r="FN281" s="37"/>
      <c r="FO281" s="37"/>
      <c r="FP281" s="55"/>
      <c r="FQ281" s="1" t="s">
        <v>2</v>
      </c>
      <c r="FR281" s="1" t="s">
        <v>113</v>
      </c>
      <c r="FS281" s="1" t="s">
        <v>129</v>
      </c>
      <c r="FV281" s="1" t="s">
        <v>2</v>
      </c>
    </row>
    <row r="282" spans="1:178" ht="16.25" customHeight="1" x14ac:dyDescent="0.2">
      <c r="A282" s="18" t="s">
        <v>177</v>
      </c>
      <c r="B282" s="6" t="s">
        <v>105</v>
      </c>
      <c r="C282" s="15" t="s">
        <v>953</v>
      </c>
      <c r="D282" s="1" t="s">
        <v>69</v>
      </c>
      <c r="H282" s="1" t="s">
        <v>131</v>
      </c>
      <c r="K282" s="1">
        <v>0</v>
      </c>
      <c r="AF282" s="1">
        <v>0</v>
      </c>
      <c r="BA282" s="1">
        <v>1.2</v>
      </c>
      <c r="BB282" s="1">
        <v>0.22</v>
      </c>
      <c r="BI282" s="1">
        <v>0.83</v>
      </c>
      <c r="DL282" s="18" t="s">
        <v>163</v>
      </c>
      <c r="DN282" s="1">
        <f t="shared" si="61"/>
        <v>0.83</v>
      </c>
      <c r="DO282" s="1">
        <f t="shared" si="62"/>
        <v>0</v>
      </c>
      <c r="DP282" s="1" t="s">
        <v>993</v>
      </c>
      <c r="DQ282" s="1" t="s">
        <v>2</v>
      </c>
      <c r="DR282" s="16">
        <f t="shared" si="63"/>
        <v>1.2</v>
      </c>
      <c r="DS282" s="16">
        <f t="shared" si="64"/>
        <v>0.83</v>
      </c>
      <c r="DT282" s="101">
        <f t="shared" si="65"/>
        <v>9.9600000000000009</v>
      </c>
      <c r="DV282" s="16">
        <f t="shared" si="66"/>
        <v>0</v>
      </c>
      <c r="DZ282" s="37" t="s">
        <v>2</v>
      </c>
      <c r="EA282" s="37"/>
      <c r="EM282" s="73"/>
      <c r="EN282" s="37"/>
      <c r="EO282" s="37"/>
      <c r="EP282" s="37"/>
      <c r="EQ282" s="37"/>
      <c r="ER282" s="37"/>
      <c r="ES282" s="37"/>
      <c r="ET282" s="37"/>
      <c r="EU282" s="37"/>
      <c r="EV282" s="37"/>
      <c r="EW282" s="37"/>
      <c r="EX282" s="37"/>
      <c r="EY282" s="37"/>
      <c r="EZ282" s="37"/>
      <c r="FA282" s="37"/>
      <c r="FB282" s="37"/>
      <c r="FC282" s="37"/>
      <c r="FD282" s="37"/>
      <c r="FE282" s="37"/>
      <c r="FF282" s="55"/>
      <c r="FG282" s="55"/>
      <c r="FH282" s="55"/>
      <c r="FI282" s="37"/>
      <c r="FJ282" s="55"/>
      <c r="FK282" s="55"/>
      <c r="FL282" s="45"/>
      <c r="FM282" s="37"/>
      <c r="FN282" s="37"/>
      <c r="FO282" s="37"/>
      <c r="FP282" s="55"/>
      <c r="FQ282" s="1" t="s">
        <v>2</v>
      </c>
      <c r="FR282" s="1" t="s">
        <v>113</v>
      </c>
      <c r="FS282" s="1" t="s">
        <v>129</v>
      </c>
      <c r="FV282" s="1" t="s">
        <v>2</v>
      </c>
    </row>
    <row r="283" spans="1:178" ht="16.25" customHeight="1" x14ac:dyDescent="0.2">
      <c r="A283" s="18" t="s">
        <v>177</v>
      </c>
      <c r="B283" s="6" t="s">
        <v>105</v>
      </c>
      <c r="C283" s="15" t="s">
        <v>1074</v>
      </c>
      <c r="D283" s="1" t="s">
        <v>69</v>
      </c>
      <c r="H283" s="1" t="s">
        <v>189</v>
      </c>
      <c r="K283" s="1">
        <v>0</v>
      </c>
      <c r="AF283" s="1">
        <v>0</v>
      </c>
      <c r="BA283" s="1">
        <v>80</v>
      </c>
      <c r="BB283" s="1">
        <v>0.3</v>
      </c>
      <c r="BI283" s="1">
        <v>0.54</v>
      </c>
      <c r="DL283" s="18" t="s">
        <v>163</v>
      </c>
      <c r="DN283" s="1">
        <f t="shared" si="61"/>
        <v>0.54</v>
      </c>
      <c r="DO283" s="1">
        <f t="shared" si="62"/>
        <v>0</v>
      </c>
      <c r="DP283" s="1" t="s">
        <v>993</v>
      </c>
      <c r="DQ283" s="1" t="s">
        <v>2</v>
      </c>
      <c r="DR283" s="16">
        <f t="shared" si="63"/>
        <v>80</v>
      </c>
      <c r="DS283" s="16">
        <f t="shared" si="64"/>
        <v>0.54</v>
      </c>
      <c r="DT283" s="101">
        <f t="shared" si="65"/>
        <v>432</v>
      </c>
      <c r="DV283" s="16">
        <f t="shared" si="66"/>
        <v>0</v>
      </c>
      <c r="DZ283" s="37" t="s">
        <v>2</v>
      </c>
      <c r="EA283" s="37"/>
      <c r="EM283" s="73"/>
      <c r="EN283" s="37"/>
      <c r="EO283" s="37"/>
      <c r="EP283" s="37"/>
      <c r="EQ283" s="37"/>
      <c r="ER283" s="37"/>
      <c r="ES283" s="37"/>
      <c r="ET283" s="37"/>
      <c r="EU283" s="37"/>
      <c r="EV283" s="37"/>
      <c r="EW283" s="37"/>
      <c r="EX283" s="37"/>
      <c r="EY283" s="37"/>
      <c r="EZ283" s="37"/>
      <c r="FA283" s="37"/>
      <c r="FB283" s="37"/>
      <c r="FC283" s="37"/>
      <c r="FD283" s="37"/>
      <c r="FE283" s="37"/>
      <c r="FF283" s="55"/>
      <c r="FG283" s="55"/>
      <c r="FH283" s="55"/>
      <c r="FI283" s="37"/>
      <c r="FJ283" s="55"/>
      <c r="FK283" s="55"/>
      <c r="FL283" s="45"/>
      <c r="FM283" s="37"/>
      <c r="FN283" s="37"/>
      <c r="FO283" s="37"/>
      <c r="FP283" s="55"/>
      <c r="FQ283" s="1" t="s">
        <v>2</v>
      </c>
      <c r="FR283" s="1" t="s">
        <v>113</v>
      </c>
      <c r="FS283" s="1" t="s">
        <v>129</v>
      </c>
      <c r="FV283" s="1" t="s">
        <v>2</v>
      </c>
    </row>
    <row r="284" spans="1:178" ht="16.25" customHeight="1" x14ac:dyDescent="0.2">
      <c r="A284" s="18" t="s">
        <v>177</v>
      </c>
      <c r="B284" s="6" t="s">
        <v>105</v>
      </c>
      <c r="C284" s="79" t="s">
        <v>1109</v>
      </c>
      <c r="D284" s="28" t="s">
        <v>876</v>
      </c>
      <c r="H284" s="1" t="s">
        <v>1110</v>
      </c>
      <c r="K284" s="1">
        <v>0</v>
      </c>
      <c r="AF284" s="1">
        <v>0</v>
      </c>
      <c r="BA284" s="1">
        <v>3</v>
      </c>
      <c r="BB284" s="1">
        <v>0.6</v>
      </c>
      <c r="BI284" s="1">
        <v>1</v>
      </c>
      <c r="DL284" s="18" t="s">
        <v>163</v>
      </c>
      <c r="DN284" s="1">
        <f t="shared" si="61"/>
        <v>1</v>
      </c>
      <c r="DO284" s="1">
        <f t="shared" si="62"/>
        <v>0</v>
      </c>
      <c r="DP284" s="1" t="s">
        <v>993</v>
      </c>
      <c r="DQ284" s="1" t="s">
        <v>2</v>
      </c>
      <c r="DR284" s="16">
        <f t="shared" si="63"/>
        <v>3</v>
      </c>
      <c r="DS284" s="16">
        <f t="shared" si="64"/>
        <v>1</v>
      </c>
      <c r="DT284" s="101">
        <f t="shared" si="65"/>
        <v>30</v>
      </c>
      <c r="DV284" s="16">
        <f t="shared" si="66"/>
        <v>0</v>
      </c>
      <c r="DZ284" s="37" t="s">
        <v>2</v>
      </c>
      <c r="EA284" s="37"/>
      <c r="EM284" s="73"/>
      <c r="EN284" s="37"/>
      <c r="EO284" s="37"/>
      <c r="EP284" s="37"/>
      <c r="EQ284" s="37"/>
      <c r="ER284" s="37"/>
      <c r="ES284" s="37"/>
      <c r="ET284" s="37"/>
      <c r="EU284" s="37"/>
      <c r="EV284" s="37"/>
      <c r="EW284" s="37"/>
      <c r="EX284" s="37"/>
      <c r="EY284" s="37"/>
      <c r="EZ284" s="37"/>
      <c r="FA284" s="37"/>
      <c r="FB284" s="37"/>
      <c r="FC284" s="37"/>
      <c r="FD284" s="37"/>
      <c r="FE284" s="37"/>
      <c r="FF284" s="55"/>
      <c r="FG284" s="55"/>
      <c r="FH284" s="55"/>
      <c r="FI284" s="37"/>
      <c r="FJ284" s="55"/>
      <c r="FK284" s="55"/>
      <c r="FL284" s="45"/>
      <c r="FM284" s="37"/>
      <c r="FN284" s="37"/>
      <c r="FO284" s="37"/>
      <c r="FP284" s="55"/>
      <c r="FQ284" s="1" t="s">
        <v>2</v>
      </c>
      <c r="FR284" s="1" t="s">
        <v>113</v>
      </c>
      <c r="FS284" s="1" t="s">
        <v>129</v>
      </c>
      <c r="FT284" s="1" t="s">
        <v>995</v>
      </c>
      <c r="FV284" s="1" t="s">
        <v>2</v>
      </c>
    </row>
    <row r="285" spans="1:178" ht="16.25" customHeight="1" x14ac:dyDescent="0.2">
      <c r="A285" s="25" t="s">
        <v>190</v>
      </c>
      <c r="B285" s="1" t="s">
        <v>135</v>
      </c>
      <c r="C285" s="21" t="s">
        <v>528</v>
      </c>
      <c r="D285" s="1" t="s">
        <v>69</v>
      </c>
      <c r="G285" s="1" t="s">
        <v>72</v>
      </c>
      <c r="H285" s="1" t="s">
        <v>131</v>
      </c>
      <c r="J285" s="1" t="s">
        <v>467</v>
      </c>
      <c r="K285" s="1">
        <f>39+10+17</f>
        <v>66</v>
      </c>
      <c r="S285" s="14">
        <f>(1.2*39+1.1*10+0.2*17)/K285</f>
        <v>0.92727272727272725</v>
      </c>
      <c r="AF285" s="1">
        <f>146+37</f>
        <v>183</v>
      </c>
      <c r="AN285" s="1">
        <f>(0.9*146+0.9*37)/AF285</f>
        <v>0.90000000000000013</v>
      </c>
      <c r="BA285" s="1">
        <v>17</v>
      </c>
      <c r="BI285" s="1">
        <v>0.2</v>
      </c>
      <c r="BV285" s="1">
        <f>14+8.3</f>
        <v>22.3</v>
      </c>
      <c r="CD285" s="14">
        <f>(1.3*14+1.2*8.3)/BV285</f>
        <v>1.2627802690582959</v>
      </c>
      <c r="CQ285" s="1">
        <f>3.9+11</f>
        <v>14.9</v>
      </c>
      <c r="CY285" s="1">
        <f>(1.2*3.9+1.2*11)/CQ285</f>
        <v>1.2</v>
      </c>
      <c r="DL285" s="18" t="s">
        <v>96</v>
      </c>
      <c r="DN285" s="1">
        <f t="shared" si="61"/>
        <v>0.86203007518796992</v>
      </c>
      <c r="DO285" s="1">
        <f t="shared" si="62"/>
        <v>0</v>
      </c>
      <c r="DP285" s="1" t="s">
        <v>67</v>
      </c>
      <c r="DQ285" s="1" t="s">
        <v>2</v>
      </c>
      <c r="DR285" s="16">
        <f t="shared" si="63"/>
        <v>266</v>
      </c>
      <c r="DS285" s="100">
        <f t="shared" si="64"/>
        <v>0.86203007518796992</v>
      </c>
      <c r="DT285" s="102">
        <f t="shared" si="65"/>
        <v>2293</v>
      </c>
      <c r="DV285" s="16">
        <f t="shared" si="66"/>
        <v>37.200000000000003</v>
      </c>
      <c r="DW285" s="100">
        <f>(BV285*CD285+CQ285*CY285)/DV285</f>
        <v>1.2376344086021505</v>
      </c>
      <c r="DX285" s="101">
        <f>1000*DV285*DW285/100</f>
        <v>460.4</v>
      </c>
      <c r="DZ285" s="37" t="s">
        <v>2</v>
      </c>
      <c r="EA285" s="37" t="s">
        <v>135</v>
      </c>
      <c r="EM285" s="73" t="s">
        <v>135</v>
      </c>
      <c r="EN285" s="37"/>
      <c r="EO285" s="37"/>
      <c r="EP285" s="37"/>
      <c r="EQ285" s="37"/>
      <c r="ER285" s="37"/>
      <c r="ES285" s="37"/>
      <c r="ET285" s="37"/>
      <c r="EU285" s="37"/>
      <c r="EV285" s="37"/>
      <c r="EW285" s="37"/>
      <c r="EX285" s="37"/>
      <c r="EY285" s="37"/>
      <c r="EZ285" s="37"/>
      <c r="FA285" s="37"/>
      <c r="FB285" s="37"/>
      <c r="FC285" s="37"/>
      <c r="FD285" s="37"/>
      <c r="FE285" s="37"/>
      <c r="FF285" s="55"/>
      <c r="FG285" s="55"/>
      <c r="FH285" s="55"/>
      <c r="FI285" s="37"/>
      <c r="FJ285" s="55"/>
      <c r="FK285" s="55"/>
      <c r="FL285" s="45"/>
      <c r="FM285" s="37"/>
      <c r="FN285" s="37"/>
      <c r="FO285" s="37"/>
      <c r="FP285" s="55" t="s">
        <v>135</v>
      </c>
      <c r="FQ285" s="1" t="s">
        <v>2</v>
      </c>
      <c r="FR285" s="1" t="s">
        <v>31</v>
      </c>
      <c r="FS285" s="1" t="s">
        <v>1108</v>
      </c>
      <c r="FT285" s="1" t="s">
        <v>1108</v>
      </c>
      <c r="FV285" s="1" t="s">
        <v>2</v>
      </c>
    </row>
    <row r="286" spans="1:178" ht="16.25" customHeight="1" x14ac:dyDescent="0.2">
      <c r="A286" s="25" t="s">
        <v>190</v>
      </c>
      <c r="B286" s="1" t="s">
        <v>84</v>
      </c>
      <c r="C286" s="80" t="s">
        <v>1293</v>
      </c>
      <c r="D286" s="1" t="s">
        <v>69</v>
      </c>
      <c r="H286" s="1" t="s">
        <v>1294</v>
      </c>
      <c r="K286" s="1">
        <v>0</v>
      </c>
      <c r="AF286" s="1">
        <v>0</v>
      </c>
      <c r="BA286" s="1">
        <v>293</v>
      </c>
      <c r="BI286" s="1">
        <v>1.46</v>
      </c>
      <c r="BJ286" s="1">
        <v>0.11</v>
      </c>
      <c r="BV286" s="1">
        <v>0</v>
      </c>
      <c r="CQ286" s="1">
        <v>0</v>
      </c>
      <c r="DL286" s="18" t="s">
        <v>163</v>
      </c>
      <c r="DM286" s="1" t="s">
        <v>163</v>
      </c>
      <c r="DN286" s="1">
        <f t="shared" si="61"/>
        <v>1.46</v>
      </c>
      <c r="DO286" s="1">
        <f t="shared" si="62"/>
        <v>0.10999999999999999</v>
      </c>
      <c r="DP286" s="1" t="s">
        <v>471</v>
      </c>
      <c r="DQ286" s="1" t="s">
        <v>2</v>
      </c>
      <c r="DR286" s="16">
        <f t="shared" si="63"/>
        <v>293</v>
      </c>
      <c r="DS286" s="16">
        <f t="shared" si="64"/>
        <v>1.46</v>
      </c>
      <c r="DT286" s="102">
        <f t="shared" si="65"/>
        <v>4277.8</v>
      </c>
      <c r="DV286" s="16">
        <f t="shared" si="66"/>
        <v>0</v>
      </c>
      <c r="DZ286" s="37" t="s">
        <v>2</v>
      </c>
      <c r="EA286" s="37" t="s">
        <v>84</v>
      </c>
      <c r="EM286" s="73" t="s">
        <v>84</v>
      </c>
      <c r="EN286" s="37"/>
      <c r="EO286" s="37"/>
      <c r="EP286" s="37"/>
      <c r="EQ286" s="37"/>
      <c r="ER286" s="37"/>
      <c r="ES286" s="37"/>
      <c r="ET286" s="37"/>
      <c r="EU286" s="37"/>
      <c r="EV286" s="37"/>
      <c r="EW286" s="37"/>
      <c r="EX286" s="37"/>
      <c r="EY286" s="37"/>
      <c r="EZ286" s="37"/>
      <c r="FA286" s="37"/>
      <c r="FB286" s="37"/>
      <c r="FC286" s="37"/>
      <c r="FD286" s="37"/>
      <c r="FE286" s="37"/>
      <c r="FF286" s="55"/>
      <c r="FG286" s="55"/>
      <c r="FH286" s="55"/>
      <c r="FI286" s="37"/>
      <c r="FJ286" s="55"/>
      <c r="FK286" s="55"/>
      <c r="FL286" s="45"/>
      <c r="FM286" s="37"/>
      <c r="FN286" s="37"/>
      <c r="FO286" s="37"/>
      <c r="FP286" s="55" t="s">
        <v>84</v>
      </c>
      <c r="FQ286" s="1" t="s">
        <v>2</v>
      </c>
      <c r="FR286" s="1" t="s">
        <v>31</v>
      </c>
      <c r="FS286" s="1" t="s">
        <v>614</v>
      </c>
      <c r="FV286" s="1" t="s">
        <v>2</v>
      </c>
    </row>
    <row r="287" spans="1:178" ht="16.25" customHeight="1" x14ac:dyDescent="0.2">
      <c r="A287" s="18" t="s">
        <v>177</v>
      </c>
      <c r="B287" s="1" t="s">
        <v>84</v>
      </c>
      <c r="C287" s="16" t="s">
        <v>954</v>
      </c>
      <c r="D287" s="1" t="s">
        <v>69</v>
      </c>
      <c r="H287" s="1" t="s">
        <v>131</v>
      </c>
      <c r="K287" s="1">
        <v>0</v>
      </c>
      <c r="AF287" s="1">
        <v>14.159000000000001</v>
      </c>
      <c r="AG287" s="13">
        <v>0.2</v>
      </c>
      <c r="AH287" s="1">
        <v>0.03</v>
      </c>
      <c r="AN287" s="1">
        <v>0.24</v>
      </c>
      <c r="AO287" s="1">
        <v>0.02</v>
      </c>
      <c r="AP287" s="1">
        <v>0.11</v>
      </c>
      <c r="AQ287" s="1">
        <v>0.28999999999999998</v>
      </c>
      <c r="AR287" s="1">
        <v>0.01</v>
      </c>
      <c r="BA287" s="1">
        <v>26.48</v>
      </c>
      <c r="BB287" s="1">
        <v>0.18</v>
      </c>
      <c r="BC287" s="1">
        <v>0.03</v>
      </c>
      <c r="BI287" s="1">
        <v>0.24</v>
      </c>
      <c r="BJ287" s="1">
        <v>0.01</v>
      </c>
      <c r="BK287" s="1">
        <v>0.09</v>
      </c>
      <c r="BL287" s="1">
        <v>0.31</v>
      </c>
      <c r="BM287" s="1">
        <v>0.01</v>
      </c>
      <c r="BV287" s="1">
        <v>0</v>
      </c>
      <c r="CQ287" s="1">
        <v>0</v>
      </c>
      <c r="DL287" s="18" t="s">
        <v>96</v>
      </c>
      <c r="DM287" s="1" t="s">
        <v>96</v>
      </c>
      <c r="DN287" s="1">
        <f t="shared" si="61"/>
        <v>0.24</v>
      </c>
      <c r="DO287" s="1">
        <f t="shared" si="62"/>
        <v>1.3484091636113096E-2</v>
      </c>
      <c r="DP287" s="1" t="s">
        <v>808</v>
      </c>
      <c r="DQ287" s="1" t="s">
        <v>2</v>
      </c>
      <c r="DR287" s="100">
        <f t="shared" si="63"/>
        <v>40.639000000000003</v>
      </c>
      <c r="DS287" s="16">
        <f t="shared" si="64"/>
        <v>0.24</v>
      </c>
      <c r="DT287" s="101">
        <f t="shared" si="65"/>
        <v>97.533599999999993</v>
      </c>
      <c r="DV287" s="16">
        <f t="shared" si="66"/>
        <v>0</v>
      </c>
      <c r="DZ287" s="37" t="s">
        <v>2</v>
      </c>
      <c r="EA287" s="37"/>
      <c r="EM287" s="73"/>
      <c r="EN287" s="37"/>
      <c r="EO287" s="37"/>
      <c r="EP287" s="37"/>
      <c r="EQ287" s="37"/>
      <c r="ER287" s="37"/>
      <c r="ES287" s="37"/>
      <c r="ET287" s="37"/>
      <c r="EU287" s="37"/>
      <c r="EV287" s="37"/>
      <c r="EW287" s="37"/>
      <c r="EX287" s="37"/>
      <c r="EY287" s="37"/>
      <c r="EZ287" s="37"/>
      <c r="FA287" s="37"/>
      <c r="FB287" s="37"/>
      <c r="FC287" s="37"/>
      <c r="FD287" s="37"/>
      <c r="FE287" s="37"/>
      <c r="FF287" s="55"/>
      <c r="FG287" s="55"/>
      <c r="FH287" s="55"/>
      <c r="FI287" s="37"/>
      <c r="FJ287" s="55"/>
      <c r="FK287" s="55"/>
      <c r="FL287" s="45"/>
      <c r="FM287" s="37"/>
      <c r="FN287" s="37"/>
      <c r="FO287" s="37"/>
      <c r="FP287" s="55"/>
      <c r="FQ287" s="1" t="s">
        <v>2</v>
      </c>
      <c r="FR287" s="1" t="s">
        <v>113</v>
      </c>
      <c r="FS287" s="1" t="s">
        <v>261</v>
      </c>
      <c r="FV287" s="1" t="s">
        <v>2</v>
      </c>
    </row>
    <row r="288" spans="1:178" ht="16.25" customHeight="1" x14ac:dyDescent="0.2">
      <c r="A288" s="25" t="s">
        <v>190</v>
      </c>
      <c r="B288" s="1" t="s">
        <v>142</v>
      </c>
      <c r="C288" s="80" t="s">
        <v>847</v>
      </c>
      <c r="D288" s="1" t="s">
        <v>69</v>
      </c>
      <c r="H288" s="1" t="s">
        <v>131</v>
      </c>
      <c r="K288" s="1">
        <v>0</v>
      </c>
      <c r="AF288" s="1">
        <v>0</v>
      </c>
      <c r="BA288" s="1">
        <v>400</v>
      </c>
      <c r="BI288" s="1">
        <v>1.1000000000000001</v>
      </c>
      <c r="BJ288" s="1">
        <v>0.14000000000000001</v>
      </c>
      <c r="BV288" s="1">
        <v>0</v>
      </c>
      <c r="CQ288" s="1">
        <v>0</v>
      </c>
      <c r="DL288" s="18" t="s">
        <v>163</v>
      </c>
      <c r="DM288" s="1" t="s">
        <v>163</v>
      </c>
      <c r="DN288" s="1">
        <f t="shared" si="61"/>
        <v>1.1000000000000001</v>
      </c>
      <c r="DO288" s="1">
        <f t="shared" si="62"/>
        <v>0.14000000000000001</v>
      </c>
      <c r="DP288" s="1" t="s">
        <v>471</v>
      </c>
      <c r="DQ288" s="1" t="s">
        <v>2</v>
      </c>
      <c r="DR288" s="16">
        <f t="shared" si="63"/>
        <v>400</v>
      </c>
      <c r="DS288" s="16">
        <f t="shared" si="64"/>
        <v>1.1000000000000001</v>
      </c>
      <c r="DT288" s="102">
        <f t="shared" si="65"/>
        <v>4400.0000000000009</v>
      </c>
      <c r="DV288" s="16">
        <f t="shared" si="66"/>
        <v>0</v>
      </c>
      <c r="DZ288" s="37" t="s">
        <v>2</v>
      </c>
      <c r="EA288" s="37" t="s">
        <v>142</v>
      </c>
      <c r="EM288" s="73" t="s">
        <v>142</v>
      </c>
      <c r="EN288" s="37"/>
      <c r="EO288" s="37"/>
      <c r="EP288" s="37"/>
      <c r="EQ288" s="37"/>
      <c r="ER288" s="37"/>
      <c r="ES288" s="37"/>
      <c r="ET288" s="37"/>
      <c r="EU288" s="37"/>
      <c r="EV288" s="37"/>
      <c r="EW288" s="37"/>
      <c r="EX288" s="37"/>
      <c r="EY288" s="37"/>
      <c r="EZ288" s="37"/>
      <c r="FA288" s="37"/>
      <c r="FB288" s="37"/>
      <c r="FC288" s="37"/>
      <c r="FD288" s="37"/>
      <c r="FE288" s="37"/>
      <c r="FF288" s="55"/>
      <c r="FG288" s="55"/>
      <c r="FH288" s="55"/>
      <c r="FI288" s="37"/>
      <c r="FJ288" s="55"/>
      <c r="FK288" s="55"/>
      <c r="FL288" s="45"/>
      <c r="FM288" s="37"/>
      <c r="FN288" s="37"/>
      <c r="FO288" s="37"/>
      <c r="FP288" s="55" t="s">
        <v>142</v>
      </c>
      <c r="FQ288" s="1" t="s">
        <v>2</v>
      </c>
      <c r="FR288" s="1" t="s">
        <v>31</v>
      </c>
      <c r="FS288" s="1" t="s">
        <v>193</v>
      </c>
      <c r="FT288" s="1" t="s">
        <v>193</v>
      </c>
      <c r="FV288" s="1" t="s">
        <v>2</v>
      </c>
    </row>
    <row r="289" spans="1:178" ht="16.25" customHeight="1" x14ac:dyDescent="0.2">
      <c r="A289" s="25" t="s">
        <v>190</v>
      </c>
      <c r="B289" s="1" t="s">
        <v>142</v>
      </c>
      <c r="C289" s="16" t="s">
        <v>955</v>
      </c>
      <c r="D289" s="1" t="s">
        <v>69</v>
      </c>
      <c r="H289" s="1" t="s">
        <v>131</v>
      </c>
      <c r="K289" s="1">
        <v>0</v>
      </c>
      <c r="AF289" s="1">
        <v>0</v>
      </c>
      <c r="BA289" s="1">
        <v>234</v>
      </c>
      <c r="BI289" s="1">
        <v>1.3</v>
      </c>
      <c r="BV289" s="1">
        <v>0</v>
      </c>
      <c r="CQ289" s="1">
        <v>0</v>
      </c>
      <c r="DL289" s="18" t="s">
        <v>163</v>
      </c>
      <c r="DN289" s="1">
        <f t="shared" si="61"/>
        <v>1.3</v>
      </c>
      <c r="DO289" s="1">
        <f t="shared" si="62"/>
        <v>0</v>
      </c>
      <c r="DP289" s="1" t="s">
        <v>471</v>
      </c>
      <c r="DQ289" s="1" t="s">
        <v>2</v>
      </c>
      <c r="DR289" s="16">
        <f t="shared" si="63"/>
        <v>234</v>
      </c>
      <c r="DS289" s="16">
        <f t="shared" si="64"/>
        <v>1.3</v>
      </c>
      <c r="DT289" s="102">
        <f t="shared" si="65"/>
        <v>3042</v>
      </c>
      <c r="DV289" s="16">
        <f t="shared" si="66"/>
        <v>0</v>
      </c>
      <c r="DZ289" s="37" t="s">
        <v>2</v>
      </c>
      <c r="EA289" s="37"/>
      <c r="EM289" s="73"/>
      <c r="EN289" s="37"/>
      <c r="EO289" s="37"/>
      <c r="EP289" s="37"/>
      <c r="EQ289" s="37"/>
      <c r="ER289" s="37"/>
      <c r="ES289" s="37"/>
      <c r="ET289" s="37"/>
      <c r="EU289" s="37"/>
      <c r="EV289" s="37"/>
      <c r="EW289" s="37"/>
      <c r="EX289" s="37"/>
      <c r="EY289" s="37"/>
      <c r="EZ289" s="37"/>
      <c r="FA289" s="37"/>
      <c r="FB289" s="37"/>
      <c r="FC289" s="37"/>
      <c r="FD289" s="37"/>
      <c r="FE289" s="37"/>
      <c r="FF289" s="55"/>
      <c r="FG289" s="55"/>
      <c r="FH289" s="55"/>
      <c r="FI289" s="37"/>
      <c r="FJ289" s="55"/>
      <c r="FK289" s="55"/>
      <c r="FL289" s="45"/>
      <c r="FM289" s="37"/>
      <c r="FN289" s="37"/>
      <c r="FO289" s="37"/>
      <c r="FP289" s="55"/>
      <c r="FQ289" s="1" t="s">
        <v>2</v>
      </c>
      <c r="FR289" s="1" t="s">
        <v>31</v>
      </c>
      <c r="FS289" s="1" t="s">
        <v>193</v>
      </c>
      <c r="FT289" s="1" t="s">
        <v>193</v>
      </c>
      <c r="FV289" s="1" t="s">
        <v>2</v>
      </c>
    </row>
    <row r="290" spans="1:178" ht="16.25" customHeight="1" x14ac:dyDescent="0.2">
      <c r="A290" s="25" t="s">
        <v>190</v>
      </c>
      <c r="B290" s="1" t="s">
        <v>142</v>
      </c>
      <c r="C290" s="80" t="s">
        <v>848</v>
      </c>
      <c r="D290" s="1" t="s">
        <v>69</v>
      </c>
      <c r="H290" s="1" t="s">
        <v>131</v>
      </c>
      <c r="K290" s="1">
        <v>0</v>
      </c>
      <c r="AF290" s="1">
        <v>0</v>
      </c>
      <c r="BA290" s="1">
        <v>22.6</v>
      </c>
      <c r="BI290" s="1">
        <v>1.27</v>
      </c>
      <c r="BV290" s="1">
        <v>0</v>
      </c>
      <c r="CQ290" s="1">
        <v>0</v>
      </c>
      <c r="DL290" s="18" t="s">
        <v>163</v>
      </c>
      <c r="DN290" s="1">
        <f t="shared" si="61"/>
        <v>1.27</v>
      </c>
      <c r="DO290" s="1">
        <f t="shared" si="62"/>
        <v>0</v>
      </c>
      <c r="DP290" s="1" t="s">
        <v>471</v>
      </c>
      <c r="DQ290" s="1" t="s">
        <v>2</v>
      </c>
      <c r="DR290" s="16">
        <f t="shared" si="63"/>
        <v>22.6</v>
      </c>
      <c r="DS290" s="16">
        <f t="shared" si="64"/>
        <v>1.27</v>
      </c>
      <c r="DT290" s="101">
        <f t="shared" si="65"/>
        <v>287.02</v>
      </c>
      <c r="DV290" s="16">
        <f t="shared" si="66"/>
        <v>0</v>
      </c>
      <c r="DZ290" s="37" t="s">
        <v>2</v>
      </c>
      <c r="EA290" s="37"/>
      <c r="EM290" s="73"/>
      <c r="EN290" s="37"/>
      <c r="EO290" s="37"/>
      <c r="EP290" s="37"/>
      <c r="EQ290" s="37"/>
      <c r="ER290" s="37"/>
      <c r="ES290" s="37"/>
      <c r="ET290" s="37"/>
      <c r="EU290" s="37"/>
      <c r="EV290" s="37"/>
      <c r="EW290" s="37"/>
      <c r="EX290" s="37"/>
      <c r="EY290" s="37"/>
      <c r="EZ290" s="37"/>
      <c r="FA290" s="37"/>
      <c r="FB290" s="37"/>
      <c r="FC290" s="37"/>
      <c r="FD290" s="37"/>
      <c r="FE290" s="37"/>
      <c r="FF290" s="55"/>
      <c r="FG290" s="55"/>
      <c r="FH290" s="55"/>
      <c r="FI290" s="37"/>
      <c r="FJ290" s="55"/>
      <c r="FK290" s="55"/>
      <c r="FL290" s="45"/>
      <c r="FM290" s="37"/>
      <c r="FN290" s="37"/>
      <c r="FO290" s="37"/>
      <c r="FP290" s="55"/>
      <c r="FQ290" s="1" t="s">
        <v>2</v>
      </c>
      <c r="FR290" s="1" t="s">
        <v>31</v>
      </c>
      <c r="FS290" s="1" t="s">
        <v>304</v>
      </c>
      <c r="FT290" s="1" t="s">
        <v>193</v>
      </c>
      <c r="FV290" s="1" t="s">
        <v>2</v>
      </c>
    </row>
    <row r="291" spans="1:178" ht="16.25" customHeight="1" x14ac:dyDescent="0.2">
      <c r="A291" s="25" t="s">
        <v>190</v>
      </c>
      <c r="B291" s="1" t="s">
        <v>142</v>
      </c>
      <c r="C291" s="80" t="s">
        <v>709</v>
      </c>
      <c r="D291" s="1" t="s">
        <v>69</v>
      </c>
      <c r="H291" s="1" t="s">
        <v>710</v>
      </c>
      <c r="K291" s="1">
        <v>0</v>
      </c>
      <c r="AF291" s="1">
        <v>0</v>
      </c>
      <c r="BA291" s="1">
        <v>200</v>
      </c>
      <c r="BI291" s="14">
        <v>1</v>
      </c>
      <c r="BJ291" s="1">
        <v>0.1</v>
      </c>
      <c r="BV291" s="1">
        <v>0</v>
      </c>
      <c r="CQ291" s="1">
        <v>0</v>
      </c>
      <c r="DL291" s="18" t="s">
        <v>163</v>
      </c>
      <c r="DM291" s="1" t="s">
        <v>163</v>
      </c>
      <c r="DN291" s="1">
        <f t="shared" si="61"/>
        <v>1</v>
      </c>
      <c r="DO291" s="1">
        <f t="shared" si="62"/>
        <v>0.1</v>
      </c>
      <c r="DP291" s="1" t="s">
        <v>471</v>
      </c>
      <c r="DQ291" s="1" t="s">
        <v>2</v>
      </c>
      <c r="DR291" s="16">
        <f t="shared" si="63"/>
        <v>200</v>
      </c>
      <c r="DS291" s="16">
        <f t="shared" si="64"/>
        <v>1</v>
      </c>
      <c r="DT291" s="102">
        <f t="shared" si="65"/>
        <v>2000</v>
      </c>
      <c r="DV291" s="16">
        <f t="shared" si="66"/>
        <v>0</v>
      </c>
      <c r="DZ291" s="37" t="s">
        <v>2</v>
      </c>
      <c r="EA291" s="37"/>
      <c r="EM291" s="73"/>
      <c r="EN291" s="37"/>
      <c r="EO291" s="37"/>
      <c r="EP291" s="37"/>
      <c r="EQ291" s="37"/>
      <c r="ER291" s="37"/>
      <c r="ES291" s="37"/>
      <c r="ET291" s="37"/>
      <c r="EU291" s="37"/>
      <c r="EV291" s="37"/>
      <c r="EW291" s="37"/>
      <c r="EX291" s="37"/>
      <c r="EY291" s="37"/>
      <c r="EZ291" s="37"/>
      <c r="FA291" s="37"/>
      <c r="FB291" s="37"/>
      <c r="FC291" s="37"/>
      <c r="FD291" s="37"/>
      <c r="FE291" s="37"/>
      <c r="FF291" s="55"/>
      <c r="FG291" s="55"/>
      <c r="FH291" s="55"/>
      <c r="FI291" s="37"/>
      <c r="FJ291" s="55"/>
      <c r="FK291" s="55"/>
      <c r="FL291" s="45"/>
      <c r="FM291" s="37"/>
      <c r="FN291" s="37"/>
      <c r="FO291" s="37"/>
      <c r="FP291" s="55"/>
      <c r="FQ291" s="1" t="s">
        <v>2</v>
      </c>
      <c r="FR291" s="1" t="s">
        <v>31</v>
      </c>
      <c r="FS291" s="1" t="s">
        <v>233</v>
      </c>
      <c r="FT291" s="1" t="s">
        <v>233</v>
      </c>
      <c r="FV291" s="1" t="s">
        <v>2</v>
      </c>
    </row>
    <row r="292" spans="1:178" ht="16.25" customHeight="1" x14ac:dyDescent="0.2">
      <c r="A292" s="25" t="s">
        <v>190</v>
      </c>
      <c r="B292" s="1" t="s">
        <v>142</v>
      </c>
      <c r="C292" s="80" t="s">
        <v>1233</v>
      </c>
      <c r="H292" s="1" t="s">
        <v>1234</v>
      </c>
      <c r="J292" s="1" t="s">
        <v>204</v>
      </c>
      <c r="K292" s="1">
        <f>3.96+11.98+9.09+4.47+1.9+1.54+0.58+0.09+0.58</f>
        <v>34.19</v>
      </c>
      <c r="S292" s="13">
        <f>(1.13*3.96+0.88*11.98+1.15*9.09+0.88*4.47+1.06*1.9+1.17*1.54+1.33*0.58+1.26*0.09+1.33*0.58)/K292</f>
        <v>1.0200731207955542</v>
      </c>
      <c r="T292" s="13">
        <f>(0.15*3.96+0.14*11.98+0.11*9.09+0.11*4.47+0.11*1.9+0.11*1.54+0.13*0.58+0.14*0.09+0.13*0.58)/K292</f>
        <v>0.12590231061713955</v>
      </c>
      <c r="AA292" s="14">
        <f>(46.79*3.96+47.44*11.98+45.43*9.09+44.09*4.47+43.27*1.9+41.86*1.54+41.7*0.58+47.2*0.09+41.7*0.58)/K292</f>
        <v>45.713892951155309</v>
      </c>
      <c r="AF292" s="1">
        <f>0+2.5+2.51+6.02+0.43+0.19</f>
        <v>11.649999999999999</v>
      </c>
      <c r="AN292" s="13">
        <f>(0+0.84*2.5+1.18*2.51+0.81*6.02+0.93*0.43+1.19*0.19)/AF292</f>
        <v>0.90678111587982846</v>
      </c>
      <c r="AO292" s="13">
        <f>(0+0.14*2.5+0.11*2.51+0.1*6.02+0.11*0.43+0.11*0.19)/AF292</f>
        <v>0.11127038626609441</v>
      </c>
      <c r="AV292" s="14">
        <f>(0+47.01*2.5+45.01*2.51+43.22*6.02+43.68*0.43+41.58*0.19)/AF292</f>
        <v>44.409193133047211</v>
      </c>
      <c r="BA292" s="1">
        <f>3.76+0.57+1.71+2.41+0.34+0</f>
        <v>8.7899999999999991</v>
      </c>
      <c r="BI292" s="13">
        <f>(1.16*3.76+0.9*0.57+0.98*1.71+0.74*2.41+0.96*0.34+0)/BA292</f>
        <v>0.98523321956769039</v>
      </c>
      <c r="BJ292" s="13">
        <f>(0.15*3.76+0.16*0.57+0.12*1.71+0.1*2.41+0.12*0.34+0)/BA292</f>
        <v>0.12994311717861207</v>
      </c>
      <c r="BQ292" s="14">
        <f>(46.33*3.76+47.09*0.57+45.02*1.71+43.13*2.41+43.93*0.34+0)/BA292</f>
        <v>45.154243458475541</v>
      </c>
      <c r="BV292" s="1">
        <f>3.5+2.2+0.8+1.1+0.8</f>
        <v>8.4</v>
      </c>
      <c r="CD292" s="13">
        <f>(1.08*3.5+1.05*2.2+1.04*0.8+1.17*1.1+1.32*0.8)/BV292</f>
        <v>1.1029761904761906</v>
      </c>
      <c r="CE292" s="13">
        <f>(0.14*3.5+0.14*2.2+0.12*0.8+0.11*1.1+0.12*0.8)/BV292</f>
        <v>0.13226190476190477</v>
      </c>
      <c r="CL292" s="14">
        <f>(44.56*3.5+45*2.2+41.36*0.8+40.69*1.1+39.43*0.8)/BV292</f>
        <v>43.375119047619052</v>
      </c>
      <c r="CQ292" s="1">
        <f>0+0.4+0.5+0.2+0.1</f>
        <v>1.2000000000000002</v>
      </c>
      <c r="CY292" s="13">
        <f>(0+1.12*0.4+1.03*0.5+1.1*0.2+1.4*0.1)/CQ292</f>
        <v>1.1024999999999998</v>
      </c>
      <c r="CZ292" s="13">
        <f>(0+0.13*0.4+0.12*0.5+0.13*0.2+0.13*0.1)/CQ292</f>
        <v>0.12583333333333332</v>
      </c>
      <c r="DG292" s="14">
        <f>(0+44.14*0.4+40.16*0.5+41.17*0.2+39.52*0.1)/CQ292</f>
        <v>41.601666666666667</v>
      </c>
      <c r="DL292" s="18" t="s">
        <v>96</v>
      </c>
      <c r="DM292" s="1" t="s">
        <v>96</v>
      </c>
      <c r="DN292" s="1">
        <f t="shared" si="61"/>
        <v>0.99030752333882477</v>
      </c>
      <c r="DO292" s="1">
        <f t="shared" si="62"/>
        <v>0.12343218012081275</v>
      </c>
      <c r="DP292" s="1" t="s">
        <v>1134</v>
      </c>
      <c r="DQ292" s="1" t="s">
        <v>2</v>
      </c>
      <c r="DR292" s="16">
        <f t="shared" si="63"/>
        <v>54.629999999999995</v>
      </c>
      <c r="DS292" s="100">
        <f t="shared" si="64"/>
        <v>0.99030752333882477</v>
      </c>
      <c r="DT292" s="101">
        <f t="shared" si="65"/>
        <v>541.00499999999988</v>
      </c>
      <c r="DV292" s="16">
        <f t="shared" si="66"/>
        <v>9.6000000000000014</v>
      </c>
      <c r="DW292" s="100">
        <f>(BV292*CD292+CQ292*CY292)/DV292</f>
        <v>1.1029166666666665</v>
      </c>
      <c r="DX292" s="101">
        <f>1000*DV292*DW292/100</f>
        <v>105.88</v>
      </c>
      <c r="DZ292" s="37" t="s">
        <v>2</v>
      </c>
      <c r="EA292" s="37"/>
      <c r="EM292" s="73"/>
      <c r="EN292" s="37"/>
      <c r="EO292" s="37"/>
      <c r="EP292" s="37"/>
      <c r="EQ292" s="37"/>
      <c r="ER292" s="37"/>
      <c r="ES292" s="37"/>
      <c r="ET292" s="37"/>
      <c r="EU292" s="37"/>
      <c r="EV292" s="37"/>
      <c r="EW292" s="37"/>
      <c r="EX292" s="37"/>
      <c r="EY292" s="37"/>
      <c r="EZ292" s="37"/>
      <c r="FA292" s="37"/>
      <c r="FB292" s="37"/>
      <c r="FC292" s="37"/>
      <c r="FD292" s="37"/>
      <c r="FE292" s="37"/>
      <c r="FF292" s="55"/>
      <c r="FG292" s="55"/>
      <c r="FH292" s="55"/>
      <c r="FI292" s="37"/>
      <c r="FJ292" s="55"/>
      <c r="FK292" s="55"/>
      <c r="FL292" s="45"/>
      <c r="FM292" s="37"/>
      <c r="FN292" s="37"/>
      <c r="FO292" s="37"/>
      <c r="FP292" s="55"/>
      <c r="FQ292" s="1" t="s">
        <v>2</v>
      </c>
      <c r="FR292" s="1" t="s">
        <v>31</v>
      </c>
      <c r="FS292" s="1" t="s">
        <v>205</v>
      </c>
      <c r="FT292" s="1" t="s">
        <v>205</v>
      </c>
      <c r="FV292" s="1" t="s">
        <v>2</v>
      </c>
    </row>
    <row r="293" spans="1:178" ht="16.25" customHeight="1" x14ac:dyDescent="0.2">
      <c r="A293" s="25" t="s">
        <v>190</v>
      </c>
      <c r="B293" s="1" t="s">
        <v>142</v>
      </c>
      <c r="C293" s="80" t="s">
        <v>712</v>
      </c>
      <c r="D293" s="1" t="s">
        <v>69</v>
      </c>
      <c r="H293" s="1" t="s">
        <v>713</v>
      </c>
      <c r="J293" s="1" t="s">
        <v>204</v>
      </c>
      <c r="K293" s="1">
        <f>31.06+21.37</f>
        <v>52.43</v>
      </c>
      <c r="S293" s="13">
        <f>(1.01*31.06+1.15*21.37)/K293</f>
        <v>1.0670627503337784</v>
      </c>
      <c r="T293" s="13">
        <f>(0.13*31.06+0.12*21.37)/K293</f>
        <v>0.12592408926187298</v>
      </c>
      <c r="AA293" s="14">
        <f>(44.44*31.06+43.13*21.37)/K293</f>
        <v>43.906055693305355</v>
      </c>
      <c r="AF293" s="1">
        <f>8.82+13.35</f>
        <v>22.17</v>
      </c>
      <c r="AN293" s="13">
        <f>(0.95*8.82+0.99*13.35)/AF293</f>
        <v>0.97408660351826792</v>
      </c>
      <c r="AO293" s="13">
        <f>(0.12*8.82+0.11*13.35)/AF293</f>
        <v>0.113978349120433</v>
      </c>
      <c r="AV293" s="14">
        <f>(43.35*8.82+41.6*13.35)/AF293</f>
        <v>42.29621109607578</v>
      </c>
      <c r="BA293" s="1">
        <f>11.58+3.85</f>
        <v>15.43</v>
      </c>
      <c r="BI293" s="13">
        <f>(0.88*11.58+1.05*3.85)/BA293</f>
        <v>0.92241736876215175</v>
      </c>
      <c r="BJ293" s="13">
        <f>(0.13*11.58+0.11*3.85)/BA293</f>
        <v>0.12500972132209981</v>
      </c>
      <c r="BQ293" s="14">
        <f>(43.53*11.58+40.88*3.85)/BA293</f>
        <v>42.86878807517823</v>
      </c>
      <c r="BV293" s="1">
        <f>12.9+13.2</f>
        <v>26.1</v>
      </c>
      <c r="CD293" s="13">
        <f>(1.17*12.9+1.21*13.2)/BV293</f>
        <v>1.1902298850574711</v>
      </c>
      <c r="CE293" s="13">
        <f>(0.13*12.9+0.12*13.2)/BV293</f>
        <v>0.12494252873563218</v>
      </c>
      <c r="CL293" s="14">
        <f>(41.91*12.9+41.16*13.2)/BV293</f>
        <v>41.530689655172409</v>
      </c>
      <c r="CQ293" s="1">
        <f>2.9+5</f>
        <v>7.9</v>
      </c>
      <c r="CY293" s="13">
        <f>(1.13*2.9+1.14*5)/CQ293</f>
        <v>1.1363291139240503</v>
      </c>
      <c r="CZ293" s="13">
        <f>(0.12*2.9+0.12*5)/CQ293</f>
        <v>0.12</v>
      </c>
      <c r="DG293" s="14">
        <f>(40.62*12.9+39.72*5)/CQ293</f>
        <v>91.468101265822781</v>
      </c>
      <c r="DL293" s="18" t="s">
        <v>96</v>
      </c>
      <c r="DM293" s="1" t="s">
        <v>96</v>
      </c>
      <c r="DN293" s="1">
        <f t="shared" si="61"/>
        <v>1.0193768743752083</v>
      </c>
      <c r="DO293" s="1">
        <f t="shared" si="62"/>
        <v>0.12282572475841388</v>
      </c>
      <c r="DP293" s="1" t="s">
        <v>1134</v>
      </c>
      <c r="DQ293" s="1" t="s">
        <v>2</v>
      </c>
      <c r="DR293" s="16">
        <f t="shared" si="63"/>
        <v>90.03</v>
      </c>
      <c r="DS293" s="100">
        <f t="shared" si="64"/>
        <v>1.0193768743752083</v>
      </c>
      <c r="DT293" s="101">
        <f t="shared" si="65"/>
        <v>917.745</v>
      </c>
      <c r="DV293" s="16">
        <f t="shared" si="66"/>
        <v>34</v>
      </c>
      <c r="DW293" s="100">
        <f>(BV293*CD293+CQ293*CY293)/DV293</f>
        <v>1.1777058823529409</v>
      </c>
      <c r="DX293" s="101">
        <f>1000*DV293*DW293/100</f>
        <v>400.4199999999999</v>
      </c>
      <c r="DZ293" s="37" t="s">
        <v>2</v>
      </c>
      <c r="EA293" s="37"/>
      <c r="EM293" s="73"/>
      <c r="EN293" s="37"/>
      <c r="EO293" s="37"/>
      <c r="EP293" s="37"/>
      <c r="EQ293" s="37"/>
      <c r="ER293" s="37"/>
      <c r="ES293" s="37"/>
      <c r="ET293" s="37"/>
      <c r="EU293" s="37"/>
      <c r="EV293" s="37"/>
      <c r="EW293" s="37"/>
      <c r="EX293" s="37"/>
      <c r="EY293" s="37"/>
      <c r="EZ293" s="37"/>
      <c r="FA293" s="37"/>
      <c r="FB293" s="37"/>
      <c r="FC293" s="37"/>
      <c r="FD293" s="37"/>
      <c r="FE293" s="37"/>
      <c r="FF293" s="55"/>
      <c r="FG293" s="55"/>
      <c r="FH293" s="55"/>
      <c r="FI293" s="37"/>
      <c r="FJ293" s="55"/>
      <c r="FK293" s="55"/>
      <c r="FL293" s="45"/>
      <c r="FM293" s="37"/>
      <c r="FN293" s="37"/>
      <c r="FO293" s="37"/>
      <c r="FP293" s="55"/>
      <c r="FQ293" s="1" t="s">
        <v>2</v>
      </c>
      <c r="FR293" s="1" t="s">
        <v>31</v>
      </c>
      <c r="FS293" s="1" t="s">
        <v>205</v>
      </c>
      <c r="FT293" s="1" t="s">
        <v>205</v>
      </c>
      <c r="FV293" s="1" t="s">
        <v>2</v>
      </c>
    </row>
    <row r="294" spans="1:178" ht="16.25" customHeight="1" x14ac:dyDescent="0.2">
      <c r="A294" s="25" t="s">
        <v>190</v>
      </c>
      <c r="B294" s="1" t="s">
        <v>142</v>
      </c>
      <c r="C294" s="80" t="s">
        <v>849</v>
      </c>
      <c r="D294" s="1" t="s">
        <v>69</v>
      </c>
      <c r="H294" s="1" t="s">
        <v>850</v>
      </c>
      <c r="J294" s="1" t="s">
        <v>204</v>
      </c>
      <c r="K294" s="1">
        <f>0+10.54+16.01</f>
        <v>26.55</v>
      </c>
      <c r="S294" s="13">
        <f>(0+1.03*10.54+0.94*16.01)/K294</f>
        <v>0.97572881355932195</v>
      </c>
      <c r="T294" s="13">
        <f>(0+0.13*10.54+0.15*16.01)/K294</f>
        <v>0.14206026365348398</v>
      </c>
      <c r="AA294" s="14">
        <f>(0+44.31*10.54+46.9*16.01)/K294</f>
        <v>45.871804143126177</v>
      </c>
      <c r="AF294" s="1">
        <f>7.49+3.03+1.7</f>
        <v>12.219999999999999</v>
      </c>
      <c r="AN294" s="13">
        <f>(1*7.49+0.81*3.03+0.83*1.7)/AF294</f>
        <v>0.92923895253682498</v>
      </c>
      <c r="AO294" s="13">
        <f>(0.13*7.49+0.13*3.03+0.15*1.7)/AF294</f>
        <v>0.13278232405891979</v>
      </c>
      <c r="AV294" s="14">
        <f>(45.67*7.49+43.75*3.03+46.65*1.7)/AF294</f>
        <v>45.33026186579378</v>
      </c>
      <c r="BA294" s="1">
        <f>7.42+0.86+0.09</f>
        <v>8.3699999999999992</v>
      </c>
      <c r="BI294" s="13">
        <f>(0.75*7.42+0.67*0.86+0.75*0.09)/BA294</f>
        <v>0.74178016726403828</v>
      </c>
      <c r="BJ294" s="13">
        <f>(0.14*7.42+0.14*0.86+0.14*0.09)/BA294</f>
        <v>0.14000000000000004</v>
      </c>
      <c r="BQ294" s="14">
        <f>(45.42*7.42+41.05*0.86+43.59*0.09)/BA294</f>
        <v>44.951314217443255</v>
      </c>
      <c r="BV294" s="1">
        <f>4.6+4.5</f>
        <v>9.1</v>
      </c>
      <c r="CD294" s="13">
        <f>(1.2*4.6+1.15*4.5)/BV294</f>
        <v>1.1752747252747253</v>
      </c>
      <c r="CE294" s="13">
        <f>(0.14*4.6+0.16*4.5)/BV294</f>
        <v>0.1498901098901099</v>
      </c>
      <c r="CL294" s="14">
        <f>(42.68*4.6+44.29*4.5)/BV294</f>
        <v>43.476153846153849</v>
      </c>
      <c r="CQ294" s="1">
        <f>0.5+0.3</f>
        <v>0.8</v>
      </c>
      <c r="CY294" s="13">
        <f>(1.16*0.5+1.14*0.3)/CQ294</f>
        <v>1.1524999999999999</v>
      </c>
      <c r="CZ294" s="13">
        <f>(0.13*0.5+0.13*0.3)/CQ294</f>
        <v>0.13</v>
      </c>
      <c r="DG294" s="14">
        <f>(42.29*0.5+44.22*0.3)/CQ294</f>
        <v>43.013750000000002</v>
      </c>
      <c r="DL294" s="18" t="s">
        <v>96</v>
      </c>
      <c r="DM294" s="1" t="s">
        <v>96</v>
      </c>
      <c r="DN294" s="1">
        <f t="shared" si="61"/>
        <v>0.92213831141281299</v>
      </c>
      <c r="DO294" s="1">
        <f t="shared" si="62"/>
        <v>0.1392893508697497</v>
      </c>
      <c r="DP294" s="1" t="s">
        <v>1134</v>
      </c>
      <c r="DQ294" s="1" t="s">
        <v>2</v>
      </c>
      <c r="DR294" s="16">
        <f t="shared" si="63"/>
        <v>47.139999999999993</v>
      </c>
      <c r="DS294" s="100">
        <f t="shared" si="64"/>
        <v>0.92213831141281299</v>
      </c>
      <c r="DT294" s="101">
        <f t="shared" si="65"/>
        <v>434.69599999999997</v>
      </c>
      <c r="DV294" s="16">
        <f t="shared" si="66"/>
        <v>9.9</v>
      </c>
      <c r="DW294" s="100">
        <f>(BV294*CD294+CQ294*CY294)/DV294</f>
        <v>1.1734343434343435</v>
      </c>
      <c r="DX294" s="101">
        <f>1000*DV294*DW294/100</f>
        <v>116.17</v>
      </c>
      <c r="DZ294" s="37" t="s">
        <v>2</v>
      </c>
      <c r="EA294" s="37"/>
      <c r="EM294" s="73"/>
      <c r="EN294" s="37"/>
      <c r="EO294" s="37"/>
      <c r="EP294" s="37"/>
      <c r="EQ294" s="37"/>
      <c r="ER294" s="37"/>
      <c r="ES294" s="37"/>
      <c r="ET294" s="37"/>
      <c r="EU294" s="37"/>
      <c r="EV294" s="37"/>
      <c r="EW294" s="37"/>
      <c r="EX294" s="37"/>
      <c r="EY294" s="37"/>
      <c r="EZ294" s="37"/>
      <c r="FA294" s="37"/>
      <c r="FB294" s="37"/>
      <c r="FC294" s="37"/>
      <c r="FD294" s="37"/>
      <c r="FE294" s="37"/>
      <c r="FF294" s="55"/>
      <c r="FG294" s="55"/>
      <c r="FH294" s="55"/>
      <c r="FI294" s="37"/>
      <c r="FJ294" s="55"/>
      <c r="FK294" s="55"/>
      <c r="FL294" s="45"/>
      <c r="FM294" s="37"/>
      <c r="FN294" s="37"/>
      <c r="FO294" s="37"/>
      <c r="FP294" s="55"/>
      <c r="FQ294" s="1" t="s">
        <v>2</v>
      </c>
      <c r="FR294" s="1" t="s">
        <v>31</v>
      </c>
      <c r="FS294" s="1" t="s">
        <v>205</v>
      </c>
      <c r="FT294" s="1" t="s">
        <v>205</v>
      </c>
      <c r="FV294" s="1" t="s">
        <v>2</v>
      </c>
    </row>
    <row r="295" spans="1:178" ht="16.25" customHeight="1" x14ac:dyDescent="0.2">
      <c r="A295" s="25" t="s">
        <v>190</v>
      </c>
      <c r="B295" s="1" t="s">
        <v>142</v>
      </c>
      <c r="C295" s="21" t="s">
        <v>206</v>
      </c>
      <c r="D295" s="1" t="s">
        <v>69</v>
      </c>
      <c r="E295" s="23">
        <f>-8-46.444/60</f>
        <v>-8.7740666666666662</v>
      </c>
      <c r="F295" s="23">
        <f>147+44.454/60</f>
        <v>147.74090000000001</v>
      </c>
      <c r="G295" s="1" t="s">
        <v>72</v>
      </c>
      <c r="H295" s="1" t="s">
        <v>207</v>
      </c>
      <c r="K295" s="1">
        <v>0</v>
      </c>
      <c r="AF295" s="1">
        <v>0</v>
      </c>
      <c r="BA295" s="1">
        <v>310</v>
      </c>
      <c r="BI295" s="1">
        <v>1.3</v>
      </c>
      <c r="BJ295" s="1">
        <v>0.11</v>
      </c>
      <c r="BV295" s="1">
        <v>0</v>
      </c>
      <c r="CQ295" s="1">
        <v>0</v>
      </c>
      <c r="DL295" s="18" t="s">
        <v>163</v>
      </c>
      <c r="DM295" s="1" t="s">
        <v>163</v>
      </c>
      <c r="DN295" s="1">
        <f t="shared" si="61"/>
        <v>1.3</v>
      </c>
      <c r="DO295" s="1">
        <f t="shared" si="62"/>
        <v>0.11</v>
      </c>
      <c r="DP295" s="1" t="s">
        <v>471</v>
      </c>
      <c r="DQ295" s="1" t="s">
        <v>2</v>
      </c>
      <c r="DR295" s="16">
        <f t="shared" si="63"/>
        <v>310</v>
      </c>
      <c r="DS295" s="16">
        <f t="shared" si="64"/>
        <v>1.3</v>
      </c>
      <c r="DT295" s="102">
        <f t="shared" si="65"/>
        <v>4030</v>
      </c>
      <c r="DV295" s="16">
        <f t="shared" si="66"/>
        <v>0</v>
      </c>
      <c r="DZ295" s="37" t="s">
        <v>2</v>
      </c>
      <c r="EA295" s="37"/>
      <c r="EM295" s="73"/>
      <c r="EN295" s="37"/>
      <c r="EO295" s="37"/>
      <c r="EP295" s="37"/>
      <c r="EQ295" s="37"/>
      <c r="ER295" s="37"/>
      <c r="ES295" s="37"/>
      <c r="ET295" s="37"/>
      <c r="EU295" s="37"/>
      <c r="EV295" s="37"/>
      <c r="EW295" s="37"/>
      <c r="EX295" s="37"/>
      <c r="EY295" s="37"/>
      <c r="EZ295" s="37"/>
      <c r="FA295" s="37"/>
      <c r="FB295" s="37"/>
      <c r="FC295" s="37"/>
      <c r="FD295" s="37"/>
      <c r="FE295" s="37"/>
      <c r="FF295" s="55"/>
      <c r="FG295" s="55"/>
      <c r="FH295" s="55"/>
      <c r="FI295" s="37"/>
      <c r="FJ295" s="55"/>
      <c r="FK295" s="55"/>
      <c r="FL295" s="45"/>
      <c r="FM295" s="37"/>
      <c r="FN295" s="37"/>
      <c r="FO295" s="37"/>
      <c r="FP295" s="55"/>
      <c r="FQ295" s="1" t="s">
        <v>2</v>
      </c>
      <c r="FR295" s="1" t="s">
        <v>31</v>
      </c>
      <c r="FS295" s="1" t="s">
        <v>205</v>
      </c>
      <c r="FT295" s="1" t="s">
        <v>205</v>
      </c>
      <c r="FV295" s="1" t="s">
        <v>2</v>
      </c>
    </row>
    <row r="296" spans="1:178" ht="16.25" customHeight="1" x14ac:dyDescent="0.2">
      <c r="A296" s="25" t="s">
        <v>190</v>
      </c>
      <c r="B296" s="1" t="s">
        <v>142</v>
      </c>
      <c r="C296" s="21" t="s">
        <v>517</v>
      </c>
      <c r="D296" s="1" t="s">
        <v>518</v>
      </c>
      <c r="G296" s="1" t="s">
        <v>72</v>
      </c>
      <c r="H296" s="1" t="s">
        <v>511</v>
      </c>
      <c r="K296" s="1">
        <v>0</v>
      </c>
      <c r="AF296" s="1">
        <v>0</v>
      </c>
      <c r="BA296" s="1">
        <v>44.8</v>
      </c>
      <c r="BI296" s="1">
        <v>1.1100000000000001</v>
      </c>
      <c r="BV296" s="1">
        <v>0</v>
      </c>
      <c r="CQ296" s="1">
        <v>0</v>
      </c>
      <c r="DL296" s="18" t="s">
        <v>163</v>
      </c>
      <c r="DN296" s="1">
        <f t="shared" si="61"/>
        <v>1.1100000000000001</v>
      </c>
      <c r="DO296" s="1">
        <f t="shared" si="62"/>
        <v>0</v>
      </c>
      <c r="DP296" s="1" t="s">
        <v>471</v>
      </c>
      <c r="DQ296" s="1" t="s">
        <v>2</v>
      </c>
      <c r="DR296" s="16">
        <f t="shared" si="63"/>
        <v>44.8</v>
      </c>
      <c r="DS296" s="16">
        <f t="shared" si="64"/>
        <v>1.1100000000000001</v>
      </c>
      <c r="DT296" s="101">
        <f t="shared" si="65"/>
        <v>497.28000000000009</v>
      </c>
      <c r="DV296" s="16">
        <f t="shared" si="66"/>
        <v>0</v>
      </c>
      <c r="DZ296" s="37" t="s">
        <v>2</v>
      </c>
      <c r="EA296" s="37"/>
      <c r="EM296" s="73"/>
      <c r="EN296" s="37"/>
      <c r="EO296" s="37"/>
      <c r="EP296" s="37"/>
      <c r="EQ296" s="37"/>
      <c r="ER296" s="37"/>
      <c r="ES296" s="37"/>
      <c r="ET296" s="37"/>
      <c r="EU296" s="37"/>
      <c r="EV296" s="37"/>
      <c r="EW296" s="37"/>
      <c r="EX296" s="37"/>
      <c r="EY296" s="37"/>
      <c r="EZ296" s="37"/>
      <c r="FA296" s="37"/>
      <c r="FB296" s="37"/>
      <c r="FC296" s="37"/>
      <c r="FD296" s="37"/>
      <c r="FE296" s="37"/>
      <c r="FF296" s="55"/>
      <c r="FG296" s="55"/>
      <c r="FH296" s="55"/>
      <c r="FI296" s="37"/>
      <c r="FJ296" s="55"/>
      <c r="FK296" s="55"/>
      <c r="FL296" s="45"/>
      <c r="FM296" s="37"/>
      <c r="FN296" s="37"/>
      <c r="FO296" s="37"/>
      <c r="FP296" s="55"/>
      <c r="FQ296" s="1" t="s">
        <v>2</v>
      </c>
      <c r="FR296" s="1" t="s">
        <v>31</v>
      </c>
      <c r="FS296" s="1" t="s">
        <v>205</v>
      </c>
      <c r="FT296" s="1" t="s">
        <v>205</v>
      </c>
      <c r="FV296" s="1" t="s">
        <v>2</v>
      </c>
    </row>
    <row r="297" spans="1:178" ht="16.25" customHeight="1" x14ac:dyDescent="0.2">
      <c r="A297" s="25" t="s">
        <v>190</v>
      </c>
      <c r="B297" s="1" t="s">
        <v>139</v>
      </c>
      <c r="C297" s="21" t="s">
        <v>889</v>
      </c>
      <c r="D297" s="1" t="s">
        <v>64</v>
      </c>
      <c r="H297" s="1" t="s">
        <v>890</v>
      </c>
      <c r="K297" s="1">
        <v>0</v>
      </c>
      <c r="AF297" s="14">
        <v>3</v>
      </c>
      <c r="AN297" s="1">
        <v>1.49</v>
      </c>
      <c r="BA297" s="1">
        <v>3.2</v>
      </c>
      <c r="BI297" s="1">
        <v>1.5</v>
      </c>
      <c r="BV297" s="1">
        <v>0</v>
      </c>
      <c r="CQ297" s="1">
        <v>0</v>
      </c>
      <c r="DL297" s="18" t="s">
        <v>96</v>
      </c>
      <c r="DN297" s="1">
        <f t="shared" si="61"/>
        <v>1.4951612903225806</v>
      </c>
      <c r="DO297" s="1">
        <f t="shared" si="62"/>
        <v>0</v>
      </c>
      <c r="DP297" s="1" t="s">
        <v>67</v>
      </c>
      <c r="DQ297" s="1" t="s">
        <v>2</v>
      </c>
      <c r="DR297" s="16">
        <f t="shared" si="63"/>
        <v>6.2</v>
      </c>
      <c r="DS297" s="100">
        <f t="shared" si="64"/>
        <v>1.4951612903225806</v>
      </c>
      <c r="DT297" s="101">
        <f t="shared" si="65"/>
        <v>92.7</v>
      </c>
      <c r="DV297" s="16">
        <f t="shared" si="66"/>
        <v>0</v>
      </c>
      <c r="DZ297" s="37" t="s">
        <v>2</v>
      </c>
      <c r="EA297" s="37" t="s">
        <v>139</v>
      </c>
      <c r="EM297" s="73" t="s">
        <v>139</v>
      </c>
      <c r="EN297" s="37"/>
      <c r="EO297" s="37"/>
      <c r="EP297" s="37"/>
      <c r="EQ297" s="37"/>
      <c r="ER297" s="37"/>
      <c r="ES297" s="37"/>
      <c r="ET297" s="37"/>
      <c r="EU297" s="37"/>
      <c r="EV297" s="37"/>
      <c r="EW297" s="37"/>
      <c r="EX297" s="37"/>
      <c r="EY297" s="37"/>
      <c r="EZ297" s="37"/>
      <c r="FA297" s="37"/>
      <c r="FB297" s="37"/>
      <c r="FC297" s="37"/>
      <c r="FD297" s="37"/>
      <c r="FE297" s="37"/>
      <c r="FF297" s="55"/>
      <c r="FG297" s="55"/>
      <c r="FH297" s="55"/>
      <c r="FI297" s="37"/>
      <c r="FJ297" s="55"/>
      <c r="FK297" s="55"/>
      <c r="FL297" s="45"/>
      <c r="FM297" s="37"/>
      <c r="FN297" s="37"/>
      <c r="FO297" s="37"/>
      <c r="FP297" s="55" t="s">
        <v>139</v>
      </c>
      <c r="FQ297" s="1" t="s">
        <v>2</v>
      </c>
      <c r="FR297" s="1" t="s">
        <v>31</v>
      </c>
      <c r="FS297" s="1" t="s">
        <v>614</v>
      </c>
      <c r="FT297" s="1" t="s">
        <v>614</v>
      </c>
      <c r="FV297" s="1" t="s">
        <v>2</v>
      </c>
    </row>
    <row r="298" spans="1:178" ht="16.25" customHeight="1" x14ac:dyDescent="0.2">
      <c r="A298" s="25" t="s">
        <v>190</v>
      </c>
      <c r="B298" s="1" t="s">
        <v>139</v>
      </c>
      <c r="C298" s="21" t="s">
        <v>888</v>
      </c>
      <c r="D298" s="1" t="s">
        <v>69</v>
      </c>
      <c r="H298" s="1" t="s">
        <v>131</v>
      </c>
      <c r="K298" s="1">
        <v>40.5</v>
      </c>
      <c r="S298" s="1">
        <v>1.42</v>
      </c>
      <c r="AF298" s="1">
        <v>31.1</v>
      </c>
      <c r="AN298" s="1">
        <v>1.53</v>
      </c>
      <c r="BA298" s="1">
        <v>4.9000000000000004</v>
      </c>
      <c r="BI298" s="13">
        <v>1.4</v>
      </c>
      <c r="BV298" s="1">
        <v>44.9</v>
      </c>
      <c r="CD298" s="1">
        <v>1.28</v>
      </c>
      <c r="CQ298" s="1">
        <v>26.3</v>
      </c>
      <c r="CY298" s="1">
        <v>1.36</v>
      </c>
      <c r="DL298" s="18" t="s">
        <v>96</v>
      </c>
      <c r="DN298" s="1">
        <f t="shared" si="61"/>
        <v>1.4634379084967322</v>
      </c>
      <c r="DO298" s="1">
        <f t="shared" si="62"/>
        <v>0</v>
      </c>
      <c r="DP298" s="1" t="s">
        <v>73</v>
      </c>
      <c r="DQ298" s="1" t="s">
        <v>2</v>
      </c>
      <c r="DR298" s="16">
        <f t="shared" si="63"/>
        <v>76.5</v>
      </c>
      <c r="DS298" s="100">
        <f t="shared" si="64"/>
        <v>1.4634379084967322</v>
      </c>
      <c r="DT298" s="102">
        <f t="shared" si="65"/>
        <v>1119.5300000000002</v>
      </c>
      <c r="DV298" s="16">
        <f t="shared" si="66"/>
        <v>71.2</v>
      </c>
      <c r="DW298" s="100">
        <f>(BV298*CD298+CQ298*CY298)/DV298</f>
        <v>1.309550561797753</v>
      </c>
      <c r="DX298" s="101">
        <f>1000*DV298*DW298/100</f>
        <v>932.40000000000009</v>
      </c>
      <c r="DZ298" s="37" t="s">
        <v>2</v>
      </c>
      <c r="EA298" s="37"/>
      <c r="EM298" s="73"/>
      <c r="EN298" s="37"/>
      <c r="EO298" s="37"/>
      <c r="EP298" s="37"/>
      <c r="EQ298" s="37"/>
      <c r="ER298" s="37"/>
      <c r="ES298" s="37"/>
      <c r="ET298" s="37"/>
      <c r="EU298" s="37"/>
      <c r="EV298" s="37"/>
      <c r="EW298" s="37"/>
      <c r="EX298" s="37"/>
      <c r="EY298" s="37"/>
      <c r="EZ298" s="37"/>
      <c r="FA298" s="37"/>
      <c r="FB298" s="37"/>
      <c r="FC298" s="37"/>
      <c r="FD298" s="37"/>
      <c r="FE298" s="37"/>
      <c r="FF298" s="55"/>
      <c r="FG298" s="55"/>
      <c r="FH298" s="55"/>
      <c r="FI298" s="37"/>
      <c r="FJ298" s="55"/>
      <c r="FK298" s="55"/>
      <c r="FL298" s="45"/>
      <c r="FM298" s="37"/>
      <c r="FN298" s="37"/>
      <c r="FO298" s="37"/>
      <c r="FP298" s="55"/>
      <c r="FQ298" s="1" t="s">
        <v>2</v>
      </c>
      <c r="FR298" s="1" t="s">
        <v>31</v>
      </c>
      <c r="FS298" s="1" t="s">
        <v>469</v>
      </c>
      <c r="FT298" s="1" t="s">
        <v>469</v>
      </c>
      <c r="FV298" s="1" t="s">
        <v>2</v>
      </c>
    </row>
    <row r="299" spans="1:178" ht="16.25" customHeight="1" x14ac:dyDescent="0.2">
      <c r="A299" s="25" t="s">
        <v>190</v>
      </c>
      <c r="B299" s="1" t="s">
        <v>146</v>
      </c>
      <c r="C299" s="21" t="s">
        <v>564</v>
      </c>
      <c r="D299" s="1" t="s">
        <v>69</v>
      </c>
      <c r="G299" s="1" t="s">
        <v>72</v>
      </c>
      <c r="H299" s="1" t="s">
        <v>554</v>
      </c>
      <c r="K299" s="1">
        <v>0</v>
      </c>
      <c r="AF299" s="1">
        <v>0</v>
      </c>
      <c r="BA299" s="1">
        <v>17</v>
      </c>
      <c r="BI299" s="1">
        <v>1.3</v>
      </c>
      <c r="BV299" s="1">
        <v>0</v>
      </c>
      <c r="CQ299" s="1">
        <v>0</v>
      </c>
      <c r="DL299" s="18" t="s">
        <v>163</v>
      </c>
      <c r="DN299" s="1">
        <f t="shared" si="61"/>
        <v>1.3</v>
      </c>
      <c r="DO299" s="1">
        <f t="shared" si="62"/>
        <v>0</v>
      </c>
      <c r="DP299" s="1" t="s">
        <v>1161</v>
      </c>
      <c r="DQ299" s="1" t="s">
        <v>2</v>
      </c>
      <c r="DR299" s="16">
        <f t="shared" si="63"/>
        <v>17</v>
      </c>
      <c r="DS299" s="16">
        <f t="shared" si="64"/>
        <v>1.3</v>
      </c>
      <c r="DT299" s="101">
        <f t="shared" si="65"/>
        <v>221</v>
      </c>
      <c r="DV299" s="16">
        <f t="shared" si="66"/>
        <v>0</v>
      </c>
      <c r="DZ299" s="37" t="s">
        <v>2</v>
      </c>
      <c r="EA299" s="37" t="s">
        <v>146</v>
      </c>
      <c r="EM299" s="73" t="s">
        <v>146</v>
      </c>
      <c r="EN299" s="37"/>
      <c r="EO299" s="37"/>
      <c r="EP299" s="37"/>
      <c r="EQ299" s="37"/>
      <c r="ER299" s="37"/>
      <c r="ES299" s="37"/>
      <c r="ET299" s="37"/>
      <c r="EU299" s="37"/>
      <c r="EV299" s="37"/>
      <c r="EW299" s="37"/>
      <c r="EX299" s="37"/>
      <c r="EY299" s="37"/>
      <c r="EZ299" s="37"/>
      <c r="FA299" s="37"/>
      <c r="FB299" s="37"/>
      <c r="FC299" s="37"/>
      <c r="FD299" s="37"/>
      <c r="FE299" s="37"/>
      <c r="FF299" s="55"/>
      <c r="FG299" s="55"/>
      <c r="FH299" s="55"/>
      <c r="FI299" s="37"/>
      <c r="FJ299" s="55"/>
      <c r="FK299" s="55"/>
      <c r="FL299" s="45"/>
      <c r="FM299" s="37"/>
      <c r="FN299" s="37"/>
      <c r="FO299" s="37"/>
      <c r="FP299" s="55" t="s">
        <v>146</v>
      </c>
      <c r="FQ299" s="1" t="s">
        <v>2</v>
      </c>
      <c r="FR299" s="1" t="s">
        <v>31</v>
      </c>
      <c r="FS299" s="1" t="s">
        <v>614</v>
      </c>
      <c r="FT299" s="1" t="s">
        <v>614</v>
      </c>
      <c r="FV299" s="1" t="s">
        <v>2</v>
      </c>
    </row>
    <row r="300" spans="1:178" ht="16.25" customHeight="1" x14ac:dyDescent="0.2">
      <c r="A300" s="18" t="s">
        <v>177</v>
      </c>
      <c r="B300" s="1" t="s">
        <v>103</v>
      </c>
      <c r="C300" s="80" t="s">
        <v>715</v>
      </c>
      <c r="D300" s="1" t="s">
        <v>69</v>
      </c>
      <c r="H300" s="1" t="s">
        <v>676</v>
      </c>
      <c r="K300" s="1">
        <v>0</v>
      </c>
      <c r="AF300" s="1">
        <v>0</v>
      </c>
      <c r="BA300" s="1">
        <v>16.5</v>
      </c>
      <c r="BB300" s="1">
        <v>0.03</v>
      </c>
      <c r="BH300" s="1">
        <v>0.06</v>
      </c>
      <c r="BI300" s="1">
        <v>0.05</v>
      </c>
      <c r="BQ300" s="1">
        <v>27</v>
      </c>
      <c r="BV300" s="1">
        <v>0</v>
      </c>
      <c r="CQ300" s="1">
        <v>0</v>
      </c>
      <c r="DL300" s="18" t="s">
        <v>96</v>
      </c>
      <c r="DN300" s="1">
        <f t="shared" si="61"/>
        <v>0.05</v>
      </c>
      <c r="DO300" s="1">
        <f t="shared" si="62"/>
        <v>0</v>
      </c>
      <c r="DP300" s="1" t="s">
        <v>919</v>
      </c>
      <c r="DQ300" s="1" t="s">
        <v>2</v>
      </c>
      <c r="DR300" s="16">
        <f t="shared" si="63"/>
        <v>16.5</v>
      </c>
      <c r="DS300" s="16">
        <f t="shared" si="64"/>
        <v>0.05</v>
      </c>
      <c r="DT300" s="101">
        <f t="shared" si="65"/>
        <v>8.25</v>
      </c>
      <c r="DV300" s="16">
        <f t="shared" si="66"/>
        <v>0</v>
      </c>
      <c r="DZ300" s="37" t="s">
        <v>2</v>
      </c>
      <c r="EA300" s="37" t="s">
        <v>103</v>
      </c>
      <c r="EM300" s="73" t="s">
        <v>103</v>
      </c>
      <c r="EN300" s="37"/>
      <c r="EO300" s="37"/>
      <c r="EP300" s="37"/>
      <c r="EQ300" s="37"/>
      <c r="ER300" s="37"/>
      <c r="ES300" s="37"/>
      <c r="ET300" s="37"/>
      <c r="EU300" s="37"/>
      <c r="EV300" s="37"/>
      <c r="EW300" s="37"/>
      <c r="EX300" s="37"/>
      <c r="EY300" s="37"/>
      <c r="EZ300" s="37"/>
      <c r="FA300" s="37"/>
      <c r="FB300" s="37"/>
      <c r="FC300" s="37"/>
      <c r="FD300" s="37"/>
      <c r="FE300" s="37"/>
      <c r="FF300" s="55"/>
      <c r="FG300" s="55"/>
      <c r="FH300" s="55"/>
      <c r="FI300" s="37"/>
      <c r="FJ300" s="55"/>
      <c r="FK300" s="55"/>
      <c r="FL300" s="45"/>
      <c r="FM300" s="37"/>
      <c r="FN300" s="37"/>
      <c r="FO300" s="37"/>
      <c r="FP300" s="55" t="s">
        <v>103</v>
      </c>
      <c r="FQ300" s="1" t="s">
        <v>2</v>
      </c>
      <c r="FR300" s="1" t="s">
        <v>118</v>
      </c>
      <c r="FS300" s="1" t="s">
        <v>68</v>
      </c>
      <c r="FV300" s="1" t="s">
        <v>2</v>
      </c>
    </row>
    <row r="301" spans="1:178" ht="16.25" customHeight="1" x14ac:dyDescent="0.2">
      <c r="A301" s="18" t="s">
        <v>177</v>
      </c>
      <c r="B301" s="1" t="s">
        <v>103</v>
      </c>
      <c r="C301" s="79" t="s">
        <v>562</v>
      </c>
      <c r="D301" s="1" t="s">
        <v>64</v>
      </c>
      <c r="G301" s="1" t="s">
        <v>72</v>
      </c>
      <c r="H301" s="1" t="s">
        <v>560</v>
      </c>
      <c r="K301" s="1">
        <v>0</v>
      </c>
      <c r="AF301" s="1">
        <v>0</v>
      </c>
      <c r="BA301" s="1">
        <v>1.5</v>
      </c>
      <c r="BI301" s="1">
        <v>0.46</v>
      </c>
      <c r="BV301" s="1">
        <v>0</v>
      </c>
      <c r="CQ301" s="1">
        <v>0</v>
      </c>
      <c r="DL301" s="18" t="s">
        <v>96</v>
      </c>
      <c r="DN301" s="1">
        <f t="shared" si="61"/>
        <v>0.46</v>
      </c>
      <c r="DO301" s="1">
        <f t="shared" si="62"/>
        <v>0</v>
      </c>
      <c r="DP301" s="1" t="s">
        <v>943</v>
      </c>
      <c r="DQ301" s="1" t="s">
        <v>2</v>
      </c>
      <c r="DR301" s="16">
        <f t="shared" si="63"/>
        <v>1.5</v>
      </c>
      <c r="DS301" s="16">
        <f t="shared" si="64"/>
        <v>0.46</v>
      </c>
      <c r="DT301" s="101">
        <f t="shared" si="65"/>
        <v>6.9</v>
      </c>
      <c r="DV301" s="16">
        <f t="shared" si="66"/>
        <v>0</v>
      </c>
      <c r="DZ301" s="37" t="s">
        <v>2</v>
      </c>
      <c r="EA301" s="37"/>
      <c r="EM301" s="73"/>
      <c r="EN301" s="37"/>
      <c r="EO301" s="37"/>
      <c r="EP301" s="37"/>
      <c r="EQ301" s="37"/>
      <c r="ER301" s="37"/>
      <c r="ES301" s="37"/>
      <c r="ET301" s="37"/>
      <c r="EU301" s="37"/>
      <c r="EV301" s="37"/>
      <c r="EW301" s="37"/>
      <c r="EX301" s="37"/>
      <c r="EY301" s="37"/>
      <c r="EZ301" s="37"/>
      <c r="FA301" s="37"/>
      <c r="FB301" s="37"/>
      <c r="FC301" s="37"/>
      <c r="FD301" s="37"/>
      <c r="FE301" s="37"/>
      <c r="FF301" s="55"/>
      <c r="FG301" s="55"/>
      <c r="FH301" s="55"/>
      <c r="FI301" s="37"/>
      <c r="FJ301" s="55"/>
      <c r="FK301" s="55"/>
      <c r="FL301" s="45"/>
      <c r="FM301" s="37"/>
      <c r="FN301" s="37"/>
      <c r="FO301" s="37"/>
      <c r="FP301" s="55"/>
      <c r="FQ301" s="1" t="s">
        <v>2</v>
      </c>
      <c r="FR301" s="1" t="s">
        <v>118</v>
      </c>
      <c r="FS301" s="1" t="s">
        <v>68</v>
      </c>
      <c r="FV301" s="1" t="s">
        <v>2</v>
      </c>
    </row>
    <row r="302" spans="1:178" ht="16.25" customHeight="1" x14ac:dyDescent="0.2">
      <c r="A302" s="18" t="s">
        <v>177</v>
      </c>
      <c r="B302" s="1" t="s">
        <v>103</v>
      </c>
      <c r="C302" s="80" t="s">
        <v>1235</v>
      </c>
      <c r="H302" s="1" t="s">
        <v>1236</v>
      </c>
      <c r="K302" s="1">
        <v>0</v>
      </c>
      <c r="AF302" s="1">
        <v>0.85</v>
      </c>
      <c r="AG302" s="1">
        <v>0.44</v>
      </c>
      <c r="AN302" s="1">
        <v>0.85</v>
      </c>
      <c r="AO302" s="1">
        <v>0.06</v>
      </c>
      <c r="AP302" s="1">
        <v>0.53</v>
      </c>
      <c r="AQ302" s="1">
        <v>1.25</v>
      </c>
      <c r="BA302" s="1">
        <v>0.24</v>
      </c>
      <c r="BB302" s="1">
        <v>0.27</v>
      </c>
      <c r="BI302" s="1">
        <v>0.59</v>
      </c>
      <c r="BJ302" s="1">
        <v>0.04</v>
      </c>
      <c r="BK302" s="1">
        <v>0.34</v>
      </c>
      <c r="BL302" s="1">
        <v>0.89</v>
      </c>
      <c r="BV302" s="1">
        <v>0</v>
      </c>
      <c r="CQ302" s="1">
        <v>0</v>
      </c>
      <c r="DL302" s="18" t="s">
        <v>96</v>
      </c>
      <c r="DM302" s="1" t="s">
        <v>96</v>
      </c>
      <c r="DN302" s="1">
        <f t="shared" si="61"/>
        <v>0.7927522935779816</v>
      </c>
      <c r="DO302" s="1">
        <f t="shared" si="62"/>
        <v>5.5596330275229359E-2</v>
      </c>
      <c r="DP302" s="1" t="s">
        <v>943</v>
      </c>
      <c r="DQ302" s="1" t="s">
        <v>2</v>
      </c>
      <c r="DR302" s="16">
        <f t="shared" si="63"/>
        <v>1.0899999999999999</v>
      </c>
      <c r="DS302" s="100">
        <f t="shared" si="64"/>
        <v>0.7927522935779816</v>
      </c>
      <c r="DT302" s="101">
        <f t="shared" si="65"/>
        <v>8.6409999999999982</v>
      </c>
      <c r="DV302" s="16">
        <f t="shared" si="66"/>
        <v>0</v>
      </c>
      <c r="DZ302" s="37" t="s">
        <v>2</v>
      </c>
      <c r="EA302" s="37"/>
      <c r="EM302" s="73"/>
      <c r="EN302" s="37"/>
      <c r="EO302" s="37"/>
      <c r="EP302" s="37"/>
      <c r="EQ302" s="37"/>
      <c r="ER302" s="37"/>
      <c r="ES302" s="37"/>
      <c r="ET302" s="37"/>
      <c r="EU302" s="37"/>
      <c r="EV302" s="37"/>
      <c r="EW302" s="37"/>
      <c r="EX302" s="37"/>
      <c r="EY302" s="37"/>
      <c r="EZ302" s="37"/>
      <c r="FA302" s="37"/>
      <c r="FB302" s="37"/>
      <c r="FC302" s="37"/>
      <c r="FD302" s="37"/>
      <c r="FE302" s="37"/>
      <c r="FF302" s="55"/>
      <c r="FG302" s="55"/>
      <c r="FH302" s="55"/>
      <c r="FI302" s="37"/>
      <c r="FJ302" s="55"/>
      <c r="FK302" s="55"/>
      <c r="FL302" s="45"/>
      <c r="FM302" s="37"/>
      <c r="FN302" s="37"/>
      <c r="FO302" s="37"/>
      <c r="FP302" s="55"/>
      <c r="FQ302" s="1" t="s">
        <v>2</v>
      </c>
      <c r="FR302" s="1" t="s">
        <v>118</v>
      </c>
      <c r="FS302" s="1" t="s">
        <v>68</v>
      </c>
      <c r="FV302" s="1" t="s">
        <v>2</v>
      </c>
    </row>
    <row r="303" spans="1:178" ht="16.25" customHeight="1" x14ac:dyDescent="0.2">
      <c r="A303" s="18" t="s">
        <v>177</v>
      </c>
      <c r="B303" s="1" t="s">
        <v>103</v>
      </c>
      <c r="C303" s="79" t="s">
        <v>887</v>
      </c>
      <c r="D303" s="1" t="s">
        <v>69</v>
      </c>
      <c r="H303" s="1" t="s">
        <v>131</v>
      </c>
      <c r="K303" s="1">
        <v>0</v>
      </c>
      <c r="AF303" s="1">
        <v>0</v>
      </c>
      <c r="BA303" s="1">
        <v>0.5</v>
      </c>
      <c r="BI303" s="1">
        <v>0.45</v>
      </c>
      <c r="BV303" s="1">
        <v>0</v>
      </c>
      <c r="CQ303" s="1">
        <v>0</v>
      </c>
      <c r="DL303" s="18" t="s">
        <v>163</v>
      </c>
      <c r="DN303" s="1">
        <f t="shared" si="61"/>
        <v>0.45</v>
      </c>
      <c r="DO303" s="1">
        <f t="shared" si="62"/>
        <v>0</v>
      </c>
      <c r="DP303" s="1" t="s">
        <v>919</v>
      </c>
      <c r="DQ303" s="1" t="s">
        <v>2</v>
      </c>
      <c r="DR303" s="16">
        <f t="shared" si="63"/>
        <v>0.5</v>
      </c>
      <c r="DS303" s="16">
        <f t="shared" si="64"/>
        <v>0.45</v>
      </c>
      <c r="DT303" s="101">
        <f t="shared" si="65"/>
        <v>2.25</v>
      </c>
      <c r="DV303" s="16">
        <f t="shared" si="66"/>
        <v>0</v>
      </c>
      <c r="DZ303" s="37" t="s">
        <v>2</v>
      </c>
      <c r="EA303" s="37"/>
      <c r="EM303" s="73"/>
      <c r="EN303" s="37"/>
      <c r="EO303" s="37"/>
      <c r="EP303" s="37"/>
      <c r="EQ303" s="37"/>
      <c r="ER303" s="37"/>
      <c r="ES303" s="37"/>
      <c r="ET303" s="37"/>
      <c r="EU303" s="37"/>
      <c r="EV303" s="37"/>
      <c r="EW303" s="37"/>
      <c r="EX303" s="37"/>
      <c r="EY303" s="37"/>
      <c r="EZ303" s="37"/>
      <c r="FA303" s="37"/>
      <c r="FB303" s="37"/>
      <c r="FC303" s="37"/>
      <c r="FD303" s="37"/>
      <c r="FE303" s="37"/>
      <c r="FF303" s="55"/>
      <c r="FG303" s="55"/>
      <c r="FH303" s="55"/>
      <c r="FI303" s="37"/>
      <c r="FJ303" s="55"/>
      <c r="FK303" s="55"/>
      <c r="FL303" s="45"/>
      <c r="FM303" s="37"/>
      <c r="FN303" s="37"/>
      <c r="FO303" s="37"/>
      <c r="FP303" s="55"/>
      <c r="FQ303" s="1" t="s">
        <v>2</v>
      </c>
      <c r="FR303" s="1" t="s">
        <v>118</v>
      </c>
      <c r="FS303" s="1" t="s">
        <v>68</v>
      </c>
      <c r="FV303" s="1" t="s">
        <v>2</v>
      </c>
    </row>
    <row r="304" spans="1:178" ht="16.25" customHeight="1" x14ac:dyDescent="0.2">
      <c r="A304" s="18" t="s">
        <v>177</v>
      </c>
      <c r="B304" s="1" t="s">
        <v>103</v>
      </c>
      <c r="C304" s="80" t="s">
        <v>1237</v>
      </c>
      <c r="H304" s="1" t="s">
        <v>669</v>
      </c>
      <c r="K304" s="1">
        <v>0</v>
      </c>
      <c r="AF304" s="1">
        <v>0.4</v>
      </c>
      <c r="AG304" s="1">
        <v>0.28999999999999998</v>
      </c>
      <c r="AN304" s="1">
        <v>0.63</v>
      </c>
      <c r="AO304" s="1">
        <v>0.04</v>
      </c>
      <c r="AP304" s="1">
        <v>0.28000000000000003</v>
      </c>
      <c r="AQ304" s="1">
        <v>0.62</v>
      </c>
      <c r="BA304" s="1">
        <v>0.09</v>
      </c>
      <c r="BB304" s="1">
        <v>0.23</v>
      </c>
      <c r="BI304" s="1">
        <v>0.48</v>
      </c>
      <c r="BJ304" s="1">
        <v>0.03</v>
      </c>
      <c r="BK304" s="1">
        <v>0.21</v>
      </c>
      <c r="BL304" s="1">
        <v>0.42</v>
      </c>
      <c r="BV304" s="1">
        <v>0</v>
      </c>
      <c r="CQ304" s="1">
        <v>0</v>
      </c>
      <c r="DL304" s="18" t="s">
        <v>96</v>
      </c>
      <c r="DM304" s="1" t="s">
        <v>96</v>
      </c>
      <c r="DN304" s="1">
        <f t="shared" si="61"/>
        <v>0.60244897959183674</v>
      </c>
      <c r="DO304" s="1">
        <f t="shared" si="62"/>
        <v>3.8163265306122456E-2</v>
      </c>
      <c r="DP304" s="1" t="s">
        <v>943</v>
      </c>
      <c r="DQ304" s="1" t="s">
        <v>2</v>
      </c>
      <c r="DR304" s="16">
        <f t="shared" si="63"/>
        <v>0.49</v>
      </c>
      <c r="DS304" s="100">
        <f t="shared" si="64"/>
        <v>0.60244897959183674</v>
      </c>
      <c r="DT304" s="101">
        <f t="shared" si="65"/>
        <v>2.952</v>
      </c>
      <c r="DV304" s="16">
        <f t="shared" si="66"/>
        <v>0</v>
      </c>
      <c r="DZ304" s="37" t="s">
        <v>2</v>
      </c>
      <c r="EA304" s="37"/>
      <c r="EM304" s="73"/>
      <c r="EN304" s="37"/>
      <c r="EO304" s="37"/>
      <c r="EP304" s="37"/>
      <c r="EQ304" s="37"/>
      <c r="ER304" s="37"/>
      <c r="ES304" s="37"/>
      <c r="ET304" s="37"/>
      <c r="EU304" s="37"/>
      <c r="EV304" s="37"/>
      <c r="EW304" s="37"/>
      <c r="EX304" s="37"/>
      <c r="EY304" s="37"/>
      <c r="EZ304" s="37"/>
      <c r="FA304" s="37"/>
      <c r="FB304" s="37"/>
      <c r="FC304" s="37"/>
      <c r="FD304" s="37"/>
      <c r="FE304" s="37"/>
      <c r="FF304" s="55"/>
      <c r="FG304" s="55"/>
      <c r="FH304" s="55"/>
      <c r="FI304" s="37"/>
      <c r="FJ304" s="55"/>
      <c r="FK304" s="55"/>
      <c r="FL304" s="45"/>
      <c r="FM304" s="37"/>
      <c r="FN304" s="37"/>
      <c r="FO304" s="37"/>
      <c r="FP304" s="55"/>
      <c r="FQ304" s="1" t="s">
        <v>2</v>
      </c>
      <c r="FR304" s="1" t="s">
        <v>118</v>
      </c>
      <c r="FS304" s="1" t="s">
        <v>68</v>
      </c>
      <c r="FV304" s="1" t="s">
        <v>2</v>
      </c>
    </row>
    <row r="305" spans="1:178" ht="16.25" customHeight="1" x14ac:dyDescent="0.2">
      <c r="A305" s="18" t="s">
        <v>177</v>
      </c>
      <c r="B305" s="1" t="s">
        <v>103</v>
      </c>
      <c r="C305" s="80" t="s">
        <v>1238</v>
      </c>
      <c r="H305" s="1" t="s">
        <v>1224</v>
      </c>
      <c r="K305" s="1">
        <v>0</v>
      </c>
      <c r="AF305" s="1">
        <v>0</v>
      </c>
      <c r="BA305" s="1">
        <v>0.17</v>
      </c>
      <c r="BB305" s="1">
        <v>0.01</v>
      </c>
      <c r="BI305" s="1">
        <v>0.66</v>
      </c>
      <c r="BV305" s="1">
        <v>0</v>
      </c>
      <c r="CQ305" s="1">
        <v>0</v>
      </c>
      <c r="DL305" s="18" t="s">
        <v>96</v>
      </c>
      <c r="DN305" s="1">
        <f t="shared" si="61"/>
        <v>0.66</v>
      </c>
      <c r="DO305" s="1">
        <f t="shared" si="62"/>
        <v>0</v>
      </c>
      <c r="DP305" s="1" t="s">
        <v>943</v>
      </c>
      <c r="DQ305" s="1" t="s">
        <v>2</v>
      </c>
      <c r="DR305" s="16">
        <f t="shared" si="63"/>
        <v>0.17</v>
      </c>
      <c r="DS305" s="16">
        <f t="shared" si="64"/>
        <v>0.66</v>
      </c>
      <c r="DT305" s="101">
        <f t="shared" si="65"/>
        <v>1.1220000000000001</v>
      </c>
      <c r="DV305" s="16">
        <f t="shared" si="66"/>
        <v>0</v>
      </c>
      <c r="DZ305" s="37" t="s">
        <v>2</v>
      </c>
      <c r="EA305" s="37"/>
      <c r="EM305" s="73"/>
      <c r="EN305" s="37"/>
      <c r="EO305" s="37"/>
      <c r="EP305" s="37"/>
      <c r="EQ305" s="37"/>
      <c r="ER305" s="37"/>
      <c r="ES305" s="37"/>
      <c r="ET305" s="37"/>
      <c r="EU305" s="37"/>
      <c r="EV305" s="37"/>
      <c r="EW305" s="37"/>
      <c r="EX305" s="37"/>
      <c r="EY305" s="37"/>
      <c r="EZ305" s="37"/>
      <c r="FA305" s="37"/>
      <c r="FB305" s="37"/>
      <c r="FC305" s="37"/>
      <c r="FD305" s="37"/>
      <c r="FE305" s="37"/>
      <c r="FF305" s="55"/>
      <c r="FG305" s="55"/>
      <c r="FH305" s="55"/>
      <c r="FI305" s="37"/>
      <c r="FJ305" s="55"/>
      <c r="FK305" s="55"/>
      <c r="FL305" s="45"/>
      <c r="FM305" s="37"/>
      <c r="FN305" s="37"/>
      <c r="FO305" s="37"/>
      <c r="FP305" s="55"/>
      <c r="FQ305" s="1" t="s">
        <v>2</v>
      </c>
      <c r="FR305" s="1" t="s">
        <v>118</v>
      </c>
      <c r="FS305" s="1" t="s">
        <v>68</v>
      </c>
      <c r="FV305" s="1" t="s">
        <v>2</v>
      </c>
    </row>
    <row r="306" spans="1:178" ht="16.25" customHeight="1" x14ac:dyDescent="0.2">
      <c r="A306" s="18" t="s">
        <v>177</v>
      </c>
      <c r="B306" s="1" t="s">
        <v>103</v>
      </c>
      <c r="C306" s="79" t="s">
        <v>340</v>
      </c>
      <c r="D306" s="1" t="s">
        <v>69</v>
      </c>
      <c r="G306" s="1" t="s">
        <v>72</v>
      </c>
      <c r="H306" s="1" t="s">
        <v>341</v>
      </c>
      <c r="K306" s="1">
        <v>0</v>
      </c>
      <c r="AF306" s="13">
        <v>7.5024829999999998</v>
      </c>
      <c r="AG306" s="1">
        <v>0.02</v>
      </c>
      <c r="AN306" s="1">
        <v>0.32</v>
      </c>
      <c r="AO306" s="1">
        <v>0.01</v>
      </c>
      <c r="AP306" s="1">
        <v>7.0000000000000007E-2</v>
      </c>
      <c r="AQ306" s="1">
        <v>0.15</v>
      </c>
      <c r="BA306" s="2">
        <v>0.73888299999999996</v>
      </c>
      <c r="BB306" s="1">
        <v>0.02</v>
      </c>
      <c r="BI306" s="1">
        <v>0.27</v>
      </c>
      <c r="BJ306" s="1">
        <v>0.01</v>
      </c>
      <c r="BK306" s="1">
        <v>7.0000000000000007E-2</v>
      </c>
      <c r="BL306" s="1">
        <v>0.11</v>
      </c>
      <c r="BV306" s="1">
        <v>0</v>
      </c>
      <c r="CQ306" s="1">
        <v>0</v>
      </c>
      <c r="DL306" s="18" t="s">
        <v>96</v>
      </c>
      <c r="DN306" s="1">
        <f t="shared" si="61"/>
        <v>0.3155172297893335</v>
      </c>
      <c r="DO306" s="1">
        <f t="shared" si="62"/>
        <v>0.01</v>
      </c>
      <c r="DP306" s="1" t="s">
        <v>949</v>
      </c>
      <c r="DQ306" s="1" t="s">
        <v>2</v>
      </c>
      <c r="DR306" s="103">
        <f t="shared" si="63"/>
        <v>8.2413659999999993</v>
      </c>
      <c r="DS306" s="100">
        <f t="shared" si="64"/>
        <v>0.3155172297893335</v>
      </c>
      <c r="DT306" s="101">
        <f t="shared" si="65"/>
        <v>26.002929700000003</v>
      </c>
      <c r="DV306" s="16">
        <f t="shared" si="66"/>
        <v>0</v>
      </c>
      <c r="DZ306" s="37" t="s">
        <v>2</v>
      </c>
      <c r="EA306" s="37"/>
      <c r="EM306" s="73"/>
      <c r="EN306" s="37"/>
      <c r="EO306" s="37"/>
      <c r="EP306" s="37"/>
      <c r="EQ306" s="37"/>
      <c r="ER306" s="37"/>
      <c r="ES306" s="37"/>
      <c r="ET306" s="37"/>
      <c r="EU306" s="37"/>
      <c r="EV306" s="37"/>
      <c r="EW306" s="37"/>
      <c r="EX306" s="37"/>
      <c r="EY306" s="37"/>
      <c r="EZ306" s="37"/>
      <c r="FA306" s="37"/>
      <c r="FB306" s="37"/>
      <c r="FC306" s="37"/>
      <c r="FD306" s="37"/>
      <c r="FE306" s="37"/>
      <c r="FF306" s="55"/>
      <c r="FG306" s="55"/>
      <c r="FH306" s="55"/>
      <c r="FI306" s="37"/>
      <c r="FJ306" s="55"/>
      <c r="FK306" s="55"/>
      <c r="FL306" s="45"/>
      <c r="FM306" s="37"/>
      <c r="FN306" s="37"/>
      <c r="FO306" s="37"/>
      <c r="FP306" s="55"/>
      <c r="FQ306" s="1" t="s">
        <v>2</v>
      </c>
      <c r="FR306" s="1" t="s">
        <v>118</v>
      </c>
      <c r="FS306" s="1" t="s">
        <v>68</v>
      </c>
      <c r="FV306" s="1" t="s">
        <v>2</v>
      </c>
    </row>
    <row r="307" spans="1:178" ht="16.25" customHeight="1" x14ac:dyDescent="0.2">
      <c r="A307" s="18" t="s">
        <v>177</v>
      </c>
      <c r="B307" s="1" t="s">
        <v>103</v>
      </c>
      <c r="C307" s="79" t="s">
        <v>458</v>
      </c>
      <c r="D307" s="1" t="s">
        <v>69</v>
      </c>
      <c r="G307" s="1" t="s">
        <v>72</v>
      </c>
      <c r="H307" s="1" t="s">
        <v>131</v>
      </c>
      <c r="K307" s="1">
        <v>0</v>
      </c>
      <c r="AF307" s="13">
        <v>28.301300000000001</v>
      </c>
      <c r="AG307" s="1">
        <v>0.10100000000000001</v>
      </c>
      <c r="AM307" s="1">
        <v>0.378</v>
      </c>
      <c r="AN307" s="1">
        <v>0.192</v>
      </c>
      <c r="AO307" s="1">
        <v>1.2E-2</v>
      </c>
      <c r="BA307" s="2">
        <v>5.9603999999999999</v>
      </c>
      <c r="BB307" s="1">
        <v>0.104</v>
      </c>
      <c r="BH307" s="1">
        <v>0.39100000000000001</v>
      </c>
      <c r="BI307" s="1">
        <v>0.186</v>
      </c>
      <c r="BJ307" s="1">
        <v>1.2E-2</v>
      </c>
      <c r="BV307" s="1">
        <v>0</v>
      </c>
      <c r="CQ307" s="1">
        <v>0</v>
      </c>
      <c r="DL307" s="18" t="s">
        <v>96</v>
      </c>
      <c r="DM307" s="1" t="s">
        <v>96</v>
      </c>
      <c r="DN307" s="1">
        <f t="shared" si="61"/>
        <v>0.19095619890431587</v>
      </c>
      <c r="DO307" s="1">
        <f t="shared" si="62"/>
        <v>1.1999999999999999E-2</v>
      </c>
      <c r="DP307" s="1" t="s">
        <v>968</v>
      </c>
      <c r="DQ307" s="1" t="s">
        <v>2</v>
      </c>
      <c r="DR307" s="100">
        <f t="shared" si="63"/>
        <v>34.261700000000005</v>
      </c>
      <c r="DS307" s="100">
        <f t="shared" si="64"/>
        <v>0.19095619890431587</v>
      </c>
      <c r="DT307" s="101">
        <f t="shared" si="65"/>
        <v>65.424839999999989</v>
      </c>
      <c r="DV307" s="16">
        <f t="shared" si="66"/>
        <v>0</v>
      </c>
      <c r="DZ307" s="37" t="s">
        <v>2</v>
      </c>
      <c r="EA307" s="37"/>
      <c r="EM307" s="73"/>
      <c r="EN307" s="37"/>
      <c r="EO307" s="37"/>
      <c r="EP307" s="37"/>
      <c r="EQ307" s="37"/>
      <c r="ER307" s="37"/>
      <c r="ES307" s="37"/>
      <c r="ET307" s="37"/>
      <c r="EU307" s="37"/>
      <c r="EV307" s="37"/>
      <c r="EW307" s="37"/>
      <c r="EX307" s="37"/>
      <c r="EY307" s="37"/>
      <c r="EZ307" s="37"/>
      <c r="FA307" s="37"/>
      <c r="FB307" s="37"/>
      <c r="FC307" s="37"/>
      <c r="FD307" s="37"/>
      <c r="FE307" s="37"/>
      <c r="FF307" s="55"/>
      <c r="FG307" s="55"/>
      <c r="FH307" s="55"/>
      <c r="FI307" s="37"/>
      <c r="FJ307" s="55"/>
      <c r="FK307" s="55"/>
      <c r="FL307" s="45"/>
      <c r="FM307" s="37"/>
      <c r="FN307" s="37"/>
      <c r="FO307" s="37"/>
      <c r="FP307" s="55"/>
      <c r="FQ307" s="1" t="s">
        <v>2</v>
      </c>
      <c r="FR307" s="1" t="s">
        <v>118</v>
      </c>
      <c r="FS307" s="1" t="s">
        <v>68</v>
      </c>
      <c r="FV307" s="1" t="s">
        <v>2</v>
      </c>
    </row>
    <row r="308" spans="1:178" ht="16.25" customHeight="1" x14ac:dyDescent="0.2">
      <c r="A308" s="18" t="s">
        <v>177</v>
      </c>
      <c r="B308" s="1" t="s">
        <v>103</v>
      </c>
      <c r="C308" s="80" t="s">
        <v>1239</v>
      </c>
      <c r="H308" s="1" t="s">
        <v>1185</v>
      </c>
      <c r="K308" s="1">
        <v>0</v>
      </c>
      <c r="AF308" s="1">
        <v>0</v>
      </c>
      <c r="BA308" s="1">
        <v>0.114</v>
      </c>
      <c r="BC308" s="1">
        <v>0.5</v>
      </c>
      <c r="BI308" s="1">
        <v>0.45</v>
      </c>
      <c r="BV308" s="1">
        <v>0</v>
      </c>
      <c r="CQ308" s="1">
        <v>0</v>
      </c>
      <c r="DL308" s="18" t="s">
        <v>163</v>
      </c>
      <c r="DN308" s="1">
        <f t="shared" si="61"/>
        <v>0.45</v>
      </c>
      <c r="DO308" s="1">
        <f t="shared" si="62"/>
        <v>0</v>
      </c>
      <c r="DP308" s="1" t="s">
        <v>919</v>
      </c>
      <c r="DQ308" s="1" t="s">
        <v>2</v>
      </c>
      <c r="DR308" s="16">
        <f t="shared" si="63"/>
        <v>0.114</v>
      </c>
      <c r="DS308" s="16">
        <f t="shared" si="64"/>
        <v>0.45</v>
      </c>
      <c r="DT308" s="101">
        <f t="shared" si="65"/>
        <v>0.51300000000000001</v>
      </c>
      <c r="DV308" s="16">
        <f t="shared" si="66"/>
        <v>0</v>
      </c>
      <c r="DZ308" s="37" t="s">
        <v>2</v>
      </c>
      <c r="EA308" s="37"/>
      <c r="EM308" s="73"/>
      <c r="EN308" s="37"/>
      <c r="EO308" s="37"/>
      <c r="EP308" s="37"/>
      <c r="EQ308" s="37"/>
      <c r="ER308" s="37"/>
      <c r="ES308" s="37"/>
      <c r="ET308" s="37"/>
      <c r="EU308" s="37"/>
      <c r="EV308" s="37"/>
      <c r="EW308" s="37"/>
      <c r="EX308" s="37"/>
      <c r="EY308" s="37"/>
      <c r="EZ308" s="37"/>
      <c r="FA308" s="37"/>
      <c r="FB308" s="37"/>
      <c r="FC308" s="37"/>
      <c r="FD308" s="37"/>
      <c r="FE308" s="37"/>
      <c r="FF308" s="55"/>
      <c r="FG308" s="55"/>
      <c r="FH308" s="55"/>
      <c r="FI308" s="37"/>
      <c r="FJ308" s="55"/>
      <c r="FK308" s="55"/>
      <c r="FL308" s="45"/>
      <c r="FM308" s="37"/>
      <c r="FN308" s="37"/>
      <c r="FO308" s="37"/>
      <c r="FP308" s="55"/>
      <c r="FQ308" s="1" t="s">
        <v>2</v>
      </c>
      <c r="FR308" s="1" t="s">
        <v>118</v>
      </c>
      <c r="FS308" s="1" t="s">
        <v>106</v>
      </c>
      <c r="FV308" s="1" t="s">
        <v>2</v>
      </c>
    </row>
    <row r="309" spans="1:178" ht="16.25" customHeight="1" x14ac:dyDescent="0.2">
      <c r="A309" s="18" t="s">
        <v>177</v>
      </c>
      <c r="B309" s="1" t="s">
        <v>103</v>
      </c>
      <c r="C309" s="80" t="s">
        <v>1240</v>
      </c>
      <c r="H309" s="1" t="s">
        <v>1241</v>
      </c>
      <c r="J309" s="1" t="s">
        <v>92</v>
      </c>
      <c r="K309" s="1">
        <v>0</v>
      </c>
      <c r="AF309" s="1">
        <v>0</v>
      </c>
      <c r="BA309" s="12">
        <v>1525</v>
      </c>
      <c r="BB309" s="1">
        <v>0.14399999999999999</v>
      </c>
      <c r="BD309" s="1">
        <v>2</v>
      </c>
      <c r="BE309" s="1">
        <v>1.6999999999999999E-3</v>
      </c>
      <c r="BF309" s="1">
        <v>7.0000000000000001E-3</v>
      </c>
      <c r="BG309" s="1">
        <v>5.0000000000000001E-3</v>
      </c>
      <c r="BH309" s="1">
        <v>0.54200000000000004</v>
      </c>
      <c r="BI309" s="1">
        <v>0.26700000000000002</v>
      </c>
      <c r="BJ309" s="1">
        <v>2.1000000000000001E-2</v>
      </c>
      <c r="BK309" s="1">
        <v>1.4999999999999999E-2</v>
      </c>
      <c r="BL309" s="1">
        <v>0.02</v>
      </c>
      <c r="BV309" s="1">
        <v>0</v>
      </c>
      <c r="CQ309" s="1">
        <v>0</v>
      </c>
      <c r="DL309" s="18" t="s">
        <v>96</v>
      </c>
      <c r="DM309" s="1" t="s">
        <v>96</v>
      </c>
      <c r="DN309" s="1">
        <f t="shared" si="61"/>
        <v>0.26700000000000002</v>
      </c>
      <c r="DO309" s="1">
        <f t="shared" si="62"/>
        <v>2.0999999999999998E-2</v>
      </c>
      <c r="DP309" s="1" t="s">
        <v>67</v>
      </c>
      <c r="DQ309" s="1" t="s">
        <v>2</v>
      </c>
      <c r="DR309" s="102">
        <f t="shared" si="63"/>
        <v>1525</v>
      </c>
      <c r="DS309" s="100">
        <f t="shared" si="64"/>
        <v>0.26700000000000002</v>
      </c>
      <c r="DT309" s="102">
        <f t="shared" si="65"/>
        <v>4071.75</v>
      </c>
      <c r="DV309" s="16">
        <f t="shared" si="66"/>
        <v>0</v>
      </c>
      <c r="DZ309" s="37" t="s">
        <v>2</v>
      </c>
      <c r="EA309" s="37"/>
      <c r="EM309" s="73"/>
      <c r="EN309" s="37"/>
      <c r="EO309" s="37"/>
      <c r="EP309" s="37"/>
      <c r="EQ309" s="37"/>
      <c r="ER309" s="37"/>
      <c r="ES309" s="37"/>
      <c r="ET309" s="37"/>
      <c r="EU309" s="37"/>
      <c r="EV309" s="37"/>
      <c r="EW309" s="37"/>
      <c r="EX309" s="37"/>
      <c r="EY309" s="37"/>
      <c r="EZ309" s="37"/>
      <c r="FA309" s="37"/>
      <c r="FB309" s="37"/>
      <c r="FC309" s="37"/>
      <c r="FD309" s="37"/>
      <c r="FE309" s="37"/>
      <c r="FF309" s="55"/>
      <c r="FG309" s="55"/>
      <c r="FH309" s="55"/>
      <c r="FI309" s="37"/>
      <c r="FJ309" s="55"/>
      <c r="FK309" s="55"/>
      <c r="FL309" s="45"/>
      <c r="FM309" s="37"/>
      <c r="FN309" s="37"/>
      <c r="FO309" s="37"/>
      <c r="FP309" s="55"/>
      <c r="FQ309" s="1" t="s">
        <v>2</v>
      </c>
      <c r="FR309" s="1" t="s">
        <v>118</v>
      </c>
      <c r="FS309" s="1" t="s">
        <v>652</v>
      </c>
      <c r="FT309" s="1" t="s">
        <v>653</v>
      </c>
      <c r="FV309" s="1" t="s">
        <v>2</v>
      </c>
    </row>
    <row r="310" spans="1:178" ht="16.25" customHeight="1" x14ac:dyDescent="0.2">
      <c r="A310" s="18" t="s">
        <v>177</v>
      </c>
      <c r="B310" s="1" t="s">
        <v>103</v>
      </c>
      <c r="C310" s="79" t="s">
        <v>538</v>
      </c>
      <c r="D310" s="1" t="s">
        <v>69</v>
      </c>
      <c r="G310" s="1" t="s">
        <v>72</v>
      </c>
      <c r="H310" s="1" t="s">
        <v>131</v>
      </c>
      <c r="K310" s="1">
        <f>0.843+2.51</f>
        <v>3.3529999999999998</v>
      </c>
      <c r="L310" s="13">
        <f>(0.87*0.843+0.56*2.51)/K310</f>
        <v>0.6379391589621235</v>
      </c>
      <c r="M310" s="13">
        <f>(0.87*0.843+0.24*2.51)/K310</f>
        <v>0.39839248434237995</v>
      </c>
      <c r="R310" s="13">
        <f>(0.44*0.843+0.3*2.51)/K310</f>
        <v>0.33519832985386216</v>
      </c>
      <c r="S310" s="13">
        <f>(0.22*0.843+0.25*2.51)/K310</f>
        <v>0.24245750074560093</v>
      </c>
      <c r="T310" s="13">
        <f>(0.19*0.843+0.14*2.51)/K310</f>
        <v>0.15257083209066508</v>
      </c>
      <c r="AF310" s="1">
        <f>0.493+3.639</f>
        <v>4.1319999999999997</v>
      </c>
      <c r="AG310" s="13">
        <f>(0.35*0.493+0.34*3.639)/AF310</f>
        <v>0.34119312681510167</v>
      </c>
      <c r="AH310" s="13">
        <f>(1.11*0.493+0.36*3.639)/AF310</f>
        <v>0.44948451113262339</v>
      </c>
      <c r="AM310" s="13">
        <f>(0.13*0.493+0.21*3.639)/AF310</f>
        <v>0.20045498547918683</v>
      </c>
      <c r="AN310" s="13">
        <f>(0.27*0.493+0.27*3.639)/AF310</f>
        <v>0.27</v>
      </c>
      <c r="AO310" s="13">
        <f>(0.13*0.493+0.11*3.639)/AF310</f>
        <v>0.1123862536302033</v>
      </c>
      <c r="BA310" s="1">
        <v>0.73699999999999999</v>
      </c>
      <c r="BB310" s="1">
        <v>0.08</v>
      </c>
      <c r="BC310" s="1">
        <v>0.02</v>
      </c>
      <c r="BH310" s="1">
        <v>0.05</v>
      </c>
      <c r="BI310" s="1">
        <v>0.42</v>
      </c>
      <c r="BJ310" s="1">
        <v>0.04</v>
      </c>
      <c r="BV310" s="1">
        <v>0.84299999999999997</v>
      </c>
      <c r="BW310" s="1">
        <v>0.87</v>
      </c>
      <c r="BX310" s="1">
        <v>0.87</v>
      </c>
      <c r="CC310" s="1">
        <v>0.44</v>
      </c>
      <c r="CD310" s="1">
        <v>0.22</v>
      </c>
      <c r="CE310" s="1">
        <v>0.19</v>
      </c>
      <c r="CQ310" s="1">
        <v>0.49299999999999999</v>
      </c>
      <c r="CR310" s="1">
        <v>0.35</v>
      </c>
      <c r="CS310" s="1">
        <v>1.1100000000000001</v>
      </c>
      <c r="CX310" s="1">
        <v>0.13</v>
      </c>
      <c r="CY310" s="1">
        <v>0.27</v>
      </c>
      <c r="CZ310" s="1">
        <v>0.13</v>
      </c>
      <c r="DL310" s="18" t="s">
        <v>96</v>
      </c>
      <c r="DM310" s="1" t="s">
        <v>96</v>
      </c>
      <c r="DN310" s="1">
        <f t="shared" si="61"/>
        <v>0.27221357333981999</v>
      </c>
      <c r="DO310" s="1">
        <f t="shared" si="62"/>
        <v>0.12228533203600099</v>
      </c>
      <c r="DP310" s="1" t="s">
        <v>73</v>
      </c>
      <c r="DQ310" s="1" t="s">
        <v>2</v>
      </c>
      <c r="DR310" s="16">
        <f t="shared" si="63"/>
        <v>8.2219999999999995</v>
      </c>
      <c r="DS310" s="100">
        <f t="shared" si="64"/>
        <v>0.27221357333981999</v>
      </c>
      <c r="DT310" s="101">
        <f t="shared" si="65"/>
        <v>22.381399999999999</v>
      </c>
      <c r="DV310" s="16">
        <f t="shared" si="66"/>
        <v>1.3359999999999999</v>
      </c>
      <c r="DW310" s="100">
        <f>(BV310*CD310+CQ310*CY310)/DV310</f>
        <v>0.23845059880239525</v>
      </c>
      <c r="DX310" s="101">
        <f>1000*DV310*DW310/100</f>
        <v>3.1856999999999998</v>
      </c>
      <c r="DZ310" s="37" t="s">
        <v>2</v>
      </c>
      <c r="EA310" s="37"/>
      <c r="EM310" s="73"/>
      <c r="EN310" s="37"/>
      <c r="EO310" s="37"/>
      <c r="EP310" s="37"/>
      <c r="EQ310" s="37"/>
      <c r="ER310" s="37"/>
      <c r="ES310" s="37"/>
      <c r="ET310" s="37"/>
      <c r="EU310" s="37"/>
      <c r="EV310" s="37"/>
      <c r="EW310" s="37"/>
      <c r="EX310" s="37"/>
      <c r="EY310" s="37"/>
      <c r="EZ310" s="37"/>
      <c r="FA310" s="37"/>
      <c r="FB310" s="37"/>
      <c r="FC310" s="37"/>
      <c r="FD310" s="37"/>
      <c r="FE310" s="37"/>
      <c r="FF310" s="55"/>
      <c r="FG310" s="55"/>
      <c r="FH310" s="55"/>
      <c r="FI310" s="37"/>
      <c r="FJ310" s="55"/>
      <c r="FK310" s="55"/>
      <c r="FL310" s="45"/>
      <c r="FM310" s="37"/>
      <c r="FN310" s="37"/>
      <c r="FO310" s="37"/>
      <c r="FP310" s="55"/>
      <c r="FQ310" s="1" t="s">
        <v>2</v>
      </c>
      <c r="FR310" s="1" t="s">
        <v>118</v>
      </c>
      <c r="FS310" s="1" t="s">
        <v>138</v>
      </c>
      <c r="FV310" s="1" t="s">
        <v>2</v>
      </c>
    </row>
    <row r="311" spans="1:178" ht="16.25" customHeight="1" x14ac:dyDescent="0.2">
      <c r="A311" s="18" t="s">
        <v>177</v>
      </c>
      <c r="B311" s="1" t="s">
        <v>103</v>
      </c>
      <c r="C311" s="80" t="s">
        <v>852</v>
      </c>
      <c r="D311" s="1" t="s">
        <v>853</v>
      </c>
      <c r="H311" s="1" t="s">
        <v>249</v>
      </c>
      <c r="K311" s="1">
        <v>0</v>
      </c>
      <c r="L311" s="13"/>
      <c r="S311" s="13"/>
      <c r="AF311" s="1">
        <v>0</v>
      </c>
      <c r="BA311" s="1">
        <v>0.2</v>
      </c>
      <c r="BB311" s="1">
        <v>0.5</v>
      </c>
      <c r="BI311" s="1">
        <v>0.15</v>
      </c>
      <c r="BJ311" s="1">
        <v>0.04</v>
      </c>
      <c r="BV311" s="1">
        <v>0</v>
      </c>
      <c r="CQ311" s="1">
        <v>0</v>
      </c>
      <c r="CR311" s="13"/>
      <c r="CY311" s="13"/>
      <c r="DL311" s="18" t="s">
        <v>163</v>
      </c>
      <c r="DM311" s="1" t="s">
        <v>163</v>
      </c>
      <c r="DN311" s="1">
        <f t="shared" si="61"/>
        <v>0.15</v>
      </c>
      <c r="DO311" s="1">
        <f t="shared" si="62"/>
        <v>0.04</v>
      </c>
      <c r="DP311" s="1" t="s">
        <v>919</v>
      </c>
      <c r="DQ311" s="1" t="s">
        <v>2</v>
      </c>
      <c r="DR311" s="16">
        <f t="shared" si="63"/>
        <v>0.2</v>
      </c>
      <c r="DS311" s="16">
        <f t="shared" si="64"/>
        <v>0.15</v>
      </c>
      <c r="DT311" s="101">
        <f t="shared" si="65"/>
        <v>0.3</v>
      </c>
      <c r="DV311" s="16">
        <f t="shared" si="66"/>
        <v>0</v>
      </c>
      <c r="DZ311" s="37" t="s">
        <v>2</v>
      </c>
      <c r="EA311" s="37"/>
      <c r="EM311" s="73"/>
      <c r="EN311" s="37"/>
      <c r="EO311" s="37"/>
      <c r="EP311" s="37"/>
      <c r="EQ311" s="37"/>
      <c r="ER311" s="37"/>
      <c r="ES311" s="37"/>
      <c r="ET311" s="37"/>
      <c r="EU311" s="37"/>
      <c r="EV311" s="37"/>
      <c r="EW311" s="37"/>
      <c r="EX311" s="37"/>
      <c r="EY311" s="37"/>
      <c r="EZ311" s="37"/>
      <c r="FA311" s="37"/>
      <c r="FB311" s="37"/>
      <c r="FC311" s="37"/>
      <c r="FD311" s="37"/>
      <c r="FE311" s="37"/>
      <c r="FF311" s="55"/>
      <c r="FG311" s="55"/>
      <c r="FH311" s="55"/>
      <c r="FI311" s="37"/>
      <c r="FJ311" s="55"/>
      <c r="FK311" s="55"/>
      <c r="FL311" s="45"/>
      <c r="FM311" s="37"/>
      <c r="FN311" s="37"/>
      <c r="FO311" s="37"/>
      <c r="FP311" s="55"/>
      <c r="FQ311" s="1" t="s">
        <v>2</v>
      </c>
      <c r="FR311" s="1" t="s">
        <v>118</v>
      </c>
      <c r="FS311" s="1" t="s">
        <v>138</v>
      </c>
      <c r="FV311" s="1" t="s">
        <v>2</v>
      </c>
    </row>
    <row r="312" spans="1:178" ht="16.25" customHeight="1" x14ac:dyDescent="0.2">
      <c r="A312" s="18" t="s">
        <v>177</v>
      </c>
      <c r="B312" s="1" t="s">
        <v>103</v>
      </c>
      <c r="C312" s="80" t="s">
        <v>1046</v>
      </c>
      <c r="D312" s="1" t="s">
        <v>69</v>
      </c>
      <c r="H312" s="1" t="s">
        <v>1042</v>
      </c>
      <c r="K312" s="1">
        <v>1.03</v>
      </c>
      <c r="L312" s="1">
        <v>0.47</v>
      </c>
      <c r="R312" s="1">
        <v>0.06</v>
      </c>
      <c r="S312" s="1">
        <v>0.47</v>
      </c>
      <c r="T312" s="1">
        <v>0.13</v>
      </c>
      <c r="AF312" s="1">
        <v>1.23</v>
      </c>
      <c r="AG312" s="13">
        <v>0.3</v>
      </c>
      <c r="AM312" s="1">
        <v>7.0000000000000007E-2</v>
      </c>
      <c r="AN312" s="1">
        <v>0.42</v>
      </c>
      <c r="AO312" s="1">
        <v>0.11</v>
      </c>
      <c r="BA312" s="13">
        <v>0.9</v>
      </c>
      <c r="BB312" s="13">
        <v>0.3</v>
      </c>
      <c r="BH312" s="13">
        <v>0.1</v>
      </c>
      <c r="BI312" s="13">
        <v>0.4</v>
      </c>
      <c r="BJ312" s="13">
        <v>0.1</v>
      </c>
      <c r="BV312" s="1">
        <v>0</v>
      </c>
      <c r="CQ312" s="1">
        <v>0</v>
      </c>
      <c r="DL312" s="18" t="s">
        <v>96</v>
      </c>
      <c r="DM312" s="1" t="s">
        <v>96</v>
      </c>
      <c r="DN312" s="1">
        <f t="shared" si="61"/>
        <v>0.43060126582278485</v>
      </c>
      <c r="DO312" s="1">
        <f t="shared" si="62"/>
        <v>0.11367088607594938</v>
      </c>
      <c r="DP312" s="1" t="s">
        <v>943</v>
      </c>
      <c r="DQ312" s="1" t="s">
        <v>2</v>
      </c>
      <c r="DR312" s="16">
        <f t="shared" si="63"/>
        <v>3.1599999999999997</v>
      </c>
      <c r="DS312" s="100">
        <f t="shared" si="64"/>
        <v>0.43060126582278485</v>
      </c>
      <c r="DT312" s="101">
        <f t="shared" si="65"/>
        <v>13.607000000000001</v>
      </c>
      <c r="DV312" s="16">
        <f t="shared" si="66"/>
        <v>0</v>
      </c>
      <c r="DZ312" s="37" t="s">
        <v>2</v>
      </c>
      <c r="EA312" s="37"/>
      <c r="EM312" s="73"/>
      <c r="EN312" s="37"/>
      <c r="EO312" s="37"/>
      <c r="EP312" s="37"/>
      <c r="EQ312" s="37"/>
      <c r="ER312" s="37"/>
      <c r="ES312" s="37"/>
      <c r="ET312" s="37"/>
      <c r="EU312" s="37"/>
      <c r="EV312" s="37"/>
      <c r="EW312" s="37"/>
      <c r="EX312" s="37"/>
      <c r="EY312" s="37"/>
      <c r="EZ312" s="37"/>
      <c r="FA312" s="37"/>
      <c r="FB312" s="37"/>
      <c r="FC312" s="37"/>
      <c r="FD312" s="37"/>
      <c r="FE312" s="37"/>
      <c r="FF312" s="55"/>
      <c r="FG312" s="55"/>
      <c r="FH312" s="55"/>
      <c r="FI312" s="37"/>
      <c r="FJ312" s="55"/>
      <c r="FK312" s="55"/>
      <c r="FL312" s="45"/>
      <c r="FM312" s="37"/>
      <c r="FN312" s="37"/>
      <c r="FO312" s="37"/>
      <c r="FP312" s="55"/>
      <c r="FQ312" s="1" t="s">
        <v>2</v>
      </c>
      <c r="FR312" s="1" t="s">
        <v>118</v>
      </c>
      <c r="FS312" s="1" t="s">
        <v>138</v>
      </c>
      <c r="FV312" s="1" t="s">
        <v>2</v>
      </c>
    </row>
    <row r="313" spans="1:178" ht="16.25" customHeight="1" x14ac:dyDescent="0.2">
      <c r="A313" s="18" t="s">
        <v>177</v>
      </c>
      <c r="B313" s="1" t="s">
        <v>103</v>
      </c>
      <c r="C313" s="80" t="s">
        <v>1047</v>
      </c>
      <c r="D313" s="1" t="s">
        <v>69</v>
      </c>
      <c r="H313" s="1" t="s">
        <v>1042</v>
      </c>
      <c r="K313" s="1">
        <v>0</v>
      </c>
      <c r="AF313" s="1">
        <v>0.14000000000000001</v>
      </c>
      <c r="AG313" s="1">
        <v>1.69</v>
      </c>
      <c r="AN313" s="1">
        <v>0.16</v>
      </c>
      <c r="AO313" s="1">
        <v>0.04</v>
      </c>
      <c r="BA313" s="1">
        <v>0.55900000000000005</v>
      </c>
      <c r="BB313" s="1">
        <v>0.72</v>
      </c>
      <c r="BC313" s="1">
        <v>0.3</v>
      </c>
      <c r="BD313" s="1">
        <v>6</v>
      </c>
      <c r="BI313" s="1">
        <v>0.03</v>
      </c>
      <c r="BJ313" s="1">
        <v>0.09</v>
      </c>
      <c r="BV313" s="1">
        <v>0</v>
      </c>
      <c r="CQ313" s="1">
        <v>0</v>
      </c>
      <c r="DL313" s="18" t="s">
        <v>96</v>
      </c>
      <c r="DM313" s="1" t="s">
        <v>96</v>
      </c>
      <c r="DN313" s="1">
        <f t="shared" si="61"/>
        <v>5.603719599427754E-2</v>
      </c>
      <c r="DO313" s="1">
        <f t="shared" si="62"/>
        <v>7.9985693848354786E-2</v>
      </c>
      <c r="DP313" s="1" t="s">
        <v>943</v>
      </c>
      <c r="DQ313" s="1" t="s">
        <v>2</v>
      </c>
      <c r="DR313" s="16">
        <f t="shared" si="63"/>
        <v>0.69900000000000007</v>
      </c>
      <c r="DS313" s="103">
        <f t="shared" si="64"/>
        <v>5.603719599427754E-2</v>
      </c>
      <c r="DT313" s="101">
        <f t="shared" si="65"/>
        <v>0.3917000000000001</v>
      </c>
      <c r="DV313" s="16">
        <f t="shared" si="66"/>
        <v>0</v>
      </c>
      <c r="DZ313" s="37" t="s">
        <v>2</v>
      </c>
      <c r="EA313" s="37"/>
      <c r="EM313" s="73"/>
      <c r="EN313" s="37"/>
      <c r="EO313" s="37"/>
      <c r="EP313" s="37"/>
      <c r="EQ313" s="37"/>
      <c r="ER313" s="37"/>
      <c r="ES313" s="37"/>
      <c r="ET313" s="37"/>
      <c r="EU313" s="37"/>
      <c r="EV313" s="37"/>
      <c r="EW313" s="37"/>
      <c r="EX313" s="37"/>
      <c r="EY313" s="37"/>
      <c r="EZ313" s="37"/>
      <c r="FA313" s="37"/>
      <c r="FB313" s="37"/>
      <c r="FC313" s="37"/>
      <c r="FD313" s="37"/>
      <c r="FE313" s="37"/>
      <c r="FF313" s="55"/>
      <c r="FG313" s="55"/>
      <c r="FH313" s="55"/>
      <c r="FI313" s="37"/>
      <c r="FJ313" s="55"/>
      <c r="FK313" s="55"/>
      <c r="FL313" s="45"/>
      <c r="FM313" s="37"/>
      <c r="FN313" s="37"/>
      <c r="FO313" s="37"/>
      <c r="FP313" s="55"/>
      <c r="FQ313" s="1" t="s">
        <v>2</v>
      </c>
      <c r="FR313" s="1" t="s">
        <v>118</v>
      </c>
      <c r="FS313" s="1" t="s">
        <v>138</v>
      </c>
      <c r="FV313" s="1" t="s">
        <v>2</v>
      </c>
    </row>
    <row r="314" spans="1:178" ht="16.25" customHeight="1" x14ac:dyDescent="0.2">
      <c r="A314" s="18" t="s">
        <v>177</v>
      </c>
      <c r="B314" s="1" t="s">
        <v>103</v>
      </c>
      <c r="C314" s="79" t="s">
        <v>1105</v>
      </c>
      <c r="D314" s="1" t="s">
        <v>69</v>
      </c>
      <c r="H314" s="1" t="s">
        <v>131</v>
      </c>
      <c r="K314" s="1">
        <v>0</v>
      </c>
      <c r="AF314" s="1">
        <v>0</v>
      </c>
      <c r="BA314" s="1">
        <v>3.4</v>
      </c>
      <c r="BB314" s="1">
        <v>0.71</v>
      </c>
      <c r="BH314" s="1">
        <v>0.63</v>
      </c>
      <c r="BI314" s="1">
        <v>0.05</v>
      </c>
      <c r="BJ314" s="1">
        <v>0.09</v>
      </c>
      <c r="BV314" s="1">
        <v>0</v>
      </c>
      <c r="CQ314" s="1">
        <v>0</v>
      </c>
      <c r="DL314" s="18" t="s">
        <v>96</v>
      </c>
      <c r="DM314" s="1" t="s">
        <v>96</v>
      </c>
      <c r="DN314" s="1">
        <f t="shared" si="61"/>
        <v>0.05</v>
      </c>
      <c r="DO314" s="1">
        <f t="shared" si="62"/>
        <v>0.09</v>
      </c>
      <c r="DP314" s="1" t="s">
        <v>943</v>
      </c>
      <c r="DQ314" s="1" t="s">
        <v>2</v>
      </c>
      <c r="DR314" s="16">
        <f t="shared" si="63"/>
        <v>3.4</v>
      </c>
      <c r="DS314" s="16">
        <f t="shared" si="64"/>
        <v>0.05</v>
      </c>
      <c r="DT314" s="101">
        <f t="shared" si="65"/>
        <v>1.7</v>
      </c>
      <c r="DV314" s="16">
        <f t="shared" si="66"/>
        <v>0</v>
      </c>
      <c r="DZ314" s="37" t="s">
        <v>2</v>
      </c>
      <c r="EA314" s="37"/>
      <c r="EM314" s="73"/>
      <c r="EN314" s="37"/>
      <c r="EO314" s="37"/>
      <c r="EP314" s="37"/>
      <c r="EQ314" s="37"/>
      <c r="ER314" s="37"/>
      <c r="ES314" s="37"/>
      <c r="ET314" s="37"/>
      <c r="EU314" s="37"/>
      <c r="EV314" s="37"/>
      <c r="EW314" s="37"/>
      <c r="EX314" s="37"/>
      <c r="EY314" s="37"/>
      <c r="EZ314" s="37"/>
      <c r="FA314" s="37"/>
      <c r="FB314" s="37"/>
      <c r="FC314" s="37"/>
      <c r="FD314" s="37"/>
      <c r="FE314" s="37"/>
      <c r="FF314" s="55"/>
      <c r="FG314" s="55"/>
      <c r="FH314" s="55"/>
      <c r="FI314" s="37"/>
      <c r="FJ314" s="55"/>
      <c r="FK314" s="55"/>
      <c r="FL314" s="45"/>
      <c r="FM314" s="37"/>
      <c r="FN314" s="37"/>
      <c r="FO314" s="37"/>
      <c r="FP314" s="55"/>
      <c r="FQ314" s="1" t="s">
        <v>2</v>
      </c>
      <c r="FR314" s="1" t="s">
        <v>118</v>
      </c>
      <c r="FS314" s="1" t="s">
        <v>138</v>
      </c>
      <c r="FV314" s="1" t="s">
        <v>2</v>
      </c>
    </row>
    <row r="315" spans="1:178" ht="16.25" customHeight="1" x14ac:dyDescent="0.2">
      <c r="A315" s="18" t="s">
        <v>177</v>
      </c>
      <c r="B315" s="1" t="s">
        <v>103</v>
      </c>
      <c r="C315" s="80" t="s">
        <v>717</v>
      </c>
      <c r="D315" s="1" t="s">
        <v>69</v>
      </c>
      <c r="H315" s="1" t="s">
        <v>713</v>
      </c>
      <c r="K315" s="1">
        <v>0</v>
      </c>
      <c r="AF315" s="1">
        <v>0</v>
      </c>
      <c r="BA315" s="1">
        <v>0.19</v>
      </c>
      <c r="BB315" s="1">
        <v>0.33</v>
      </c>
      <c r="BI315" s="1">
        <v>1.02</v>
      </c>
      <c r="BJ315" s="1">
        <v>2.7E-2</v>
      </c>
      <c r="BV315" s="1">
        <v>0</v>
      </c>
      <c r="CQ315" s="1">
        <v>0</v>
      </c>
      <c r="DL315" s="18" t="s">
        <v>96</v>
      </c>
      <c r="DM315" s="1" t="s">
        <v>96</v>
      </c>
      <c r="DN315" s="1">
        <f t="shared" si="61"/>
        <v>1.02</v>
      </c>
      <c r="DO315" s="1">
        <f t="shared" si="62"/>
        <v>2.7E-2</v>
      </c>
      <c r="DP315" s="1" t="s">
        <v>943</v>
      </c>
      <c r="DQ315" s="1" t="s">
        <v>2</v>
      </c>
      <c r="DR315" s="16">
        <f t="shared" si="63"/>
        <v>0.19</v>
      </c>
      <c r="DS315" s="16">
        <f t="shared" si="64"/>
        <v>1.02</v>
      </c>
      <c r="DT315" s="101">
        <f t="shared" si="65"/>
        <v>1.9380000000000002</v>
      </c>
      <c r="DV315" s="16">
        <f t="shared" si="66"/>
        <v>0</v>
      </c>
      <c r="DZ315" s="37" t="s">
        <v>2</v>
      </c>
      <c r="EA315" s="37"/>
      <c r="EM315" s="73"/>
      <c r="EN315" s="37"/>
      <c r="EO315" s="37"/>
      <c r="EP315" s="37"/>
      <c r="EQ315" s="37"/>
      <c r="ER315" s="37"/>
      <c r="ES315" s="37"/>
      <c r="ET315" s="37"/>
      <c r="EU315" s="37"/>
      <c r="EV315" s="37"/>
      <c r="EW315" s="37"/>
      <c r="EX315" s="37"/>
      <c r="EY315" s="37"/>
      <c r="EZ315" s="37"/>
      <c r="FA315" s="37"/>
      <c r="FB315" s="37"/>
      <c r="FC315" s="37"/>
      <c r="FD315" s="37"/>
      <c r="FE315" s="37"/>
      <c r="FF315" s="55"/>
      <c r="FG315" s="55"/>
      <c r="FH315" s="55"/>
      <c r="FI315" s="37"/>
      <c r="FJ315" s="55"/>
      <c r="FK315" s="55"/>
      <c r="FL315" s="45"/>
      <c r="FM315" s="37"/>
      <c r="FN315" s="37"/>
      <c r="FO315" s="37"/>
      <c r="FP315" s="55"/>
      <c r="FQ315" s="1" t="s">
        <v>2</v>
      </c>
      <c r="FR315" s="1" t="s">
        <v>118</v>
      </c>
      <c r="FS315" s="1" t="s">
        <v>138</v>
      </c>
      <c r="FV315" s="1" t="s">
        <v>2</v>
      </c>
    </row>
    <row r="316" spans="1:178" ht="16.25" customHeight="1" x14ac:dyDescent="0.2">
      <c r="A316" s="18" t="s">
        <v>177</v>
      </c>
      <c r="B316" s="1" t="s">
        <v>103</v>
      </c>
      <c r="C316" s="80" t="s">
        <v>723</v>
      </c>
      <c r="D316" s="1" t="s">
        <v>69</v>
      </c>
      <c r="H316" s="1" t="s">
        <v>706</v>
      </c>
      <c r="K316" s="1">
        <v>0</v>
      </c>
      <c r="AF316" s="1">
        <v>0.1</v>
      </c>
      <c r="AG316" s="1">
        <v>0.35</v>
      </c>
      <c r="AN316" s="1">
        <v>0.7</v>
      </c>
      <c r="AO316" s="1">
        <v>0.05</v>
      </c>
      <c r="BA316" s="1">
        <v>0</v>
      </c>
      <c r="BV316" s="1">
        <v>0</v>
      </c>
      <c r="CQ316" s="1">
        <v>0</v>
      </c>
      <c r="DL316" s="18" t="s">
        <v>96</v>
      </c>
      <c r="DM316" s="1" t="s">
        <v>96</v>
      </c>
      <c r="DN316" s="1">
        <f t="shared" si="61"/>
        <v>0.69999999999999984</v>
      </c>
      <c r="DO316" s="1">
        <f t="shared" si="62"/>
        <v>5.000000000000001E-2</v>
      </c>
      <c r="DP316" s="1" t="s">
        <v>943</v>
      </c>
      <c r="DQ316" s="1" t="s">
        <v>2</v>
      </c>
      <c r="DR316" s="16">
        <f t="shared" si="63"/>
        <v>0.1</v>
      </c>
      <c r="DS316" s="16">
        <f t="shared" si="64"/>
        <v>0.69999999999999984</v>
      </c>
      <c r="DT316" s="101">
        <f t="shared" si="65"/>
        <v>0.69999999999999984</v>
      </c>
      <c r="DV316" s="16">
        <f t="shared" si="66"/>
        <v>0</v>
      </c>
      <c r="DZ316" s="37" t="s">
        <v>2</v>
      </c>
      <c r="EA316" s="37"/>
      <c r="EM316" s="73"/>
      <c r="EN316" s="37"/>
      <c r="EO316" s="37"/>
      <c r="EP316" s="37"/>
      <c r="EQ316" s="37"/>
      <c r="ER316" s="37"/>
      <c r="ES316" s="37"/>
      <c r="ET316" s="37"/>
      <c r="EU316" s="37"/>
      <c r="EV316" s="37"/>
      <c r="EW316" s="37"/>
      <c r="EX316" s="37"/>
      <c r="EY316" s="37"/>
      <c r="EZ316" s="37"/>
      <c r="FA316" s="37"/>
      <c r="FB316" s="37"/>
      <c r="FC316" s="37"/>
      <c r="FD316" s="37"/>
      <c r="FE316" s="37"/>
      <c r="FF316" s="55"/>
      <c r="FG316" s="55"/>
      <c r="FH316" s="55"/>
      <c r="FI316" s="37"/>
      <c r="FJ316" s="55"/>
      <c r="FK316" s="55"/>
      <c r="FL316" s="45"/>
      <c r="FM316" s="37"/>
      <c r="FN316" s="37"/>
      <c r="FO316" s="37"/>
      <c r="FP316" s="55"/>
      <c r="FQ316" s="1" t="s">
        <v>2</v>
      </c>
      <c r="FR316" s="1" t="s">
        <v>118</v>
      </c>
      <c r="FS316" s="1" t="s">
        <v>138</v>
      </c>
      <c r="FV316" s="1" t="s">
        <v>2</v>
      </c>
    </row>
    <row r="317" spans="1:178" ht="16.25" customHeight="1" x14ac:dyDescent="0.2">
      <c r="A317" s="18" t="s">
        <v>177</v>
      </c>
      <c r="B317" s="1" t="s">
        <v>103</v>
      </c>
      <c r="C317" s="80" t="s">
        <v>178</v>
      </c>
      <c r="D317" s="1" t="s">
        <v>69</v>
      </c>
      <c r="G317" s="1" t="s">
        <v>72</v>
      </c>
      <c r="H317" s="1" t="s">
        <v>179</v>
      </c>
      <c r="K317" s="1">
        <v>0</v>
      </c>
      <c r="AF317" s="1">
        <v>1.54</v>
      </c>
      <c r="AG317" s="1">
        <v>0.28999999999999998</v>
      </c>
      <c r="AN317" s="1">
        <v>0.71</v>
      </c>
      <c r="AO317" s="1">
        <v>0.03</v>
      </c>
      <c r="BA317" s="1">
        <v>0</v>
      </c>
      <c r="BV317" s="1">
        <v>0</v>
      </c>
      <c r="CQ317" s="1">
        <v>0</v>
      </c>
      <c r="DL317" s="18" t="s">
        <v>96</v>
      </c>
      <c r="DM317" s="1" t="s">
        <v>96</v>
      </c>
      <c r="DN317" s="1">
        <f t="shared" si="61"/>
        <v>0.71</v>
      </c>
      <c r="DO317" s="1">
        <f t="shared" si="62"/>
        <v>0.03</v>
      </c>
      <c r="DP317" s="1" t="s">
        <v>943</v>
      </c>
      <c r="DQ317" s="1" t="s">
        <v>2</v>
      </c>
      <c r="DR317" s="16">
        <f t="shared" si="63"/>
        <v>1.54</v>
      </c>
      <c r="DS317" s="16">
        <f t="shared" si="64"/>
        <v>0.71</v>
      </c>
      <c r="DT317" s="101">
        <f t="shared" si="65"/>
        <v>10.933999999999999</v>
      </c>
      <c r="DV317" s="16">
        <f t="shared" si="66"/>
        <v>0</v>
      </c>
      <c r="DZ317" s="37" t="s">
        <v>2</v>
      </c>
      <c r="EA317" s="37"/>
      <c r="EM317" s="73"/>
      <c r="EN317" s="37"/>
      <c r="EO317" s="37"/>
      <c r="EP317" s="37"/>
      <c r="EQ317" s="37"/>
      <c r="ER317" s="37"/>
      <c r="ES317" s="37"/>
      <c r="ET317" s="37"/>
      <c r="EU317" s="37"/>
      <c r="EV317" s="37"/>
      <c r="EW317" s="37"/>
      <c r="EX317" s="37"/>
      <c r="EY317" s="37"/>
      <c r="EZ317" s="37"/>
      <c r="FA317" s="37"/>
      <c r="FB317" s="37"/>
      <c r="FC317" s="37"/>
      <c r="FD317" s="37"/>
      <c r="FE317" s="37"/>
      <c r="FF317" s="55"/>
      <c r="FG317" s="55"/>
      <c r="FH317" s="55"/>
      <c r="FI317" s="37"/>
      <c r="FJ317" s="55"/>
      <c r="FK317" s="55"/>
      <c r="FL317" s="45"/>
      <c r="FM317" s="37"/>
      <c r="FN317" s="37"/>
      <c r="FO317" s="37"/>
      <c r="FP317" s="55"/>
      <c r="FQ317" s="1" t="s">
        <v>2</v>
      </c>
      <c r="FR317" s="1" t="s">
        <v>118</v>
      </c>
      <c r="FS317" s="1" t="s">
        <v>138</v>
      </c>
      <c r="FV317" s="1" t="s">
        <v>2</v>
      </c>
    </row>
    <row r="318" spans="1:178" ht="16.25" customHeight="1" x14ac:dyDescent="0.2">
      <c r="A318" s="18" t="s">
        <v>177</v>
      </c>
      <c r="B318" s="1" t="s">
        <v>103</v>
      </c>
      <c r="C318" s="80" t="s">
        <v>1048</v>
      </c>
      <c r="D318" s="1" t="s">
        <v>69</v>
      </c>
      <c r="H318" s="1" t="s">
        <v>189</v>
      </c>
      <c r="K318" s="1">
        <v>0</v>
      </c>
      <c r="AF318" s="1">
        <v>0</v>
      </c>
      <c r="BA318" s="1">
        <v>0.76</v>
      </c>
      <c r="BB318" s="1">
        <v>1.76</v>
      </c>
      <c r="BC318" s="1">
        <v>0.1</v>
      </c>
      <c r="BD318" s="1">
        <v>11</v>
      </c>
      <c r="BH318" s="1">
        <v>1.33</v>
      </c>
      <c r="BI318" s="1">
        <v>0.13</v>
      </c>
      <c r="BJ318" s="1">
        <v>0.14000000000000001</v>
      </c>
      <c r="BV318" s="1">
        <v>0</v>
      </c>
      <c r="CQ318" s="1">
        <v>0</v>
      </c>
      <c r="DL318" s="18" t="s">
        <v>96</v>
      </c>
      <c r="DM318" s="1" t="s">
        <v>96</v>
      </c>
      <c r="DN318" s="1">
        <f t="shared" si="61"/>
        <v>0.13</v>
      </c>
      <c r="DO318" s="1">
        <f t="shared" si="62"/>
        <v>0.14000000000000001</v>
      </c>
      <c r="DP318" s="1" t="s">
        <v>943</v>
      </c>
      <c r="DQ318" s="1" t="s">
        <v>2</v>
      </c>
      <c r="DR318" s="16">
        <f t="shared" si="63"/>
        <v>0.76</v>
      </c>
      <c r="DS318" s="16">
        <f t="shared" si="64"/>
        <v>0.13</v>
      </c>
      <c r="DT318" s="101">
        <f t="shared" si="65"/>
        <v>0.98799999999999999</v>
      </c>
      <c r="DV318" s="16">
        <f t="shared" si="66"/>
        <v>0</v>
      </c>
      <c r="DZ318" s="37" t="s">
        <v>2</v>
      </c>
      <c r="EA318" s="37"/>
      <c r="EM318" s="73"/>
      <c r="EN318" s="37"/>
      <c r="EO318" s="37"/>
      <c r="EP318" s="37"/>
      <c r="EQ318" s="37"/>
      <c r="ER318" s="37"/>
      <c r="ES318" s="37"/>
      <c r="ET318" s="37"/>
      <c r="EU318" s="37"/>
      <c r="EV318" s="37"/>
      <c r="EW318" s="37"/>
      <c r="EX318" s="37"/>
      <c r="EY318" s="37"/>
      <c r="EZ318" s="37"/>
      <c r="FA318" s="37"/>
      <c r="FB318" s="37"/>
      <c r="FC318" s="37"/>
      <c r="FD318" s="37"/>
      <c r="FE318" s="37"/>
      <c r="FF318" s="55"/>
      <c r="FG318" s="55"/>
      <c r="FH318" s="55"/>
      <c r="FI318" s="37"/>
      <c r="FJ318" s="55"/>
      <c r="FK318" s="55"/>
      <c r="FL318" s="45"/>
      <c r="FM318" s="37"/>
      <c r="FN318" s="37"/>
      <c r="FO318" s="37"/>
      <c r="FP318" s="55"/>
      <c r="FQ318" s="1" t="s">
        <v>2</v>
      </c>
      <c r="FR318" s="1" t="s">
        <v>118</v>
      </c>
      <c r="FS318" s="1" t="s">
        <v>138</v>
      </c>
      <c r="FV318" s="1" t="s">
        <v>2</v>
      </c>
    </row>
    <row r="319" spans="1:178" ht="16.25" customHeight="1" x14ac:dyDescent="0.2">
      <c r="A319" s="18" t="s">
        <v>177</v>
      </c>
      <c r="B319" s="1" t="s">
        <v>103</v>
      </c>
      <c r="C319" s="80" t="s">
        <v>1242</v>
      </c>
      <c r="H319" s="1" t="s">
        <v>685</v>
      </c>
      <c r="K319" s="1">
        <v>0</v>
      </c>
      <c r="L319" s="13"/>
      <c r="S319" s="13"/>
      <c r="AF319" s="1">
        <v>0</v>
      </c>
      <c r="BA319" s="1">
        <v>1.3240000000000001</v>
      </c>
      <c r="BB319" s="1">
        <v>2.15</v>
      </c>
      <c r="BH319" s="1">
        <v>1.89</v>
      </c>
      <c r="BI319" s="1">
        <v>0.14000000000000001</v>
      </c>
      <c r="BJ319" s="1">
        <v>0.15</v>
      </c>
      <c r="BV319" s="1">
        <v>0</v>
      </c>
      <c r="CQ319" s="1">
        <v>0</v>
      </c>
      <c r="CR319" s="13"/>
      <c r="CY319" s="13"/>
      <c r="DL319" s="18" t="s">
        <v>163</v>
      </c>
      <c r="DM319" s="1" t="s">
        <v>163</v>
      </c>
      <c r="DN319" s="1">
        <f t="shared" si="61"/>
        <v>0.14000000000000001</v>
      </c>
      <c r="DO319" s="1">
        <f t="shared" si="62"/>
        <v>0.15</v>
      </c>
      <c r="DP319" s="1" t="s">
        <v>919</v>
      </c>
      <c r="DQ319" s="1" t="s">
        <v>2</v>
      </c>
      <c r="DR319" s="16">
        <f t="shared" si="63"/>
        <v>1.3240000000000001</v>
      </c>
      <c r="DS319" s="16">
        <f t="shared" si="64"/>
        <v>0.14000000000000001</v>
      </c>
      <c r="DT319" s="101">
        <f t="shared" si="65"/>
        <v>1.8536000000000001</v>
      </c>
      <c r="DV319" s="16">
        <f t="shared" si="66"/>
        <v>0</v>
      </c>
      <c r="DZ319" s="37" t="s">
        <v>2</v>
      </c>
      <c r="EA319" s="37"/>
      <c r="EM319" s="73"/>
      <c r="EN319" s="37"/>
      <c r="EO319" s="37"/>
      <c r="EP319" s="37"/>
      <c r="EQ319" s="37"/>
      <c r="ER319" s="37"/>
      <c r="ES319" s="37"/>
      <c r="ET319" s="37"/>
      <c r="EU319" s="37"/>
      <c r="EV319" s="37"/>
      <c r="EW319" s="37"/>
      <c r="EX319" s="37"/>
      <c r="EY319" s="37"/>
      <c r="EZ319" s="37"/>
      <c r="FA319" s="37"/>
      <c r="FB319" s="37"/>
      <c r="FC319" s="37"/>
      <c r="FD319" s="37"/>
      <c r="FE319" s="37"/>
      <c r="FF319" s="55"/>
      <c r="FG319" s="55"/>
      <c r="FH319" s="55"/>
      <c r="FI319" s="37"/>
      <c r="FJ319" s="55"/>
      <c r="FK319" s="55"/>
      <c r="FL319" s="45"/>
      <c r="FM319" s="37"/>
      <c r="FN319" s="37"/>
      <c r="FO319" s="37"/>
      <c r="FP319" s="55"/>
      <c r="FQ319" s="1" t="s">
        <v>2</v>
      </c>
      <c r="FR319" s="1" t="s">
        <v>118</v>
      </c>
      <c r="FS319" s="1" t="s">
        <v>138</v>
      </c>
      <c r="FV319" s="1" t="s">
        <v>2</v>
      </c>
    </row>
    <row r="320" spans="1:178" ht="16.25" customHeight="1" x14ac:dyDescent="0.2">
      <c r="A320" s="18" t="s">
        <v>177</v>
      </c>
      <c r="B320" s="1" t="s">
        <v>103</v>
      </c>
      <c r="C320" s="80" t="s">
        <v>1010</v>
      </c>
      <c r="H320" s="1" t="s">
        <v>1011</v>
      </c>
      <c r="K320" s="1">
        <v>0</v>
      </c>
      <c r="AF320" s="1">
        <v>0</v>
      </c>
      <c r="BA320" s="1">
        <v>0.7</v>
      </c>
      <c r="BB320" s="1">
        <v>0.72</v>
      </c>
      <c r="BC320" s="1">
        <v>0.3</v>
      </c>
      <c r="BD320" s="1">
        <v>6</v>
      </c>
      <c r="BH320" s="1">
        <v>0.09</v>
      </c>
      <c r="BI320" s="1">
        <v>0.03</v>
      </c>
      <c r="BJ320" s="1">
        <v>0.09</v>
      </c>
      <c r="BV320" s="1">
        <v>0</v>
      </c>
      <c r="CQ320" s="1">
        <v>0</v>
      </c>
      <c r="DL320" s="18" t="s">
        <v>163</v>
      </c>
      <c r="DM320" s="1" t="s">
        <v>163</v>
      </c>
      <c r="DN320" s="1">
        <f t="shared" si="61"/>
        <v>0.03</v>
      </c>
      <c r="DO320" s="1">
        <f t="shared" si="62"/>
        <v>9.0000000000000011E-2</v>
      </c>
      <c r="DP320" s="1" t="s">
        <v>919</v>
      </c>
      <c r="DQ320" s="1" t="s">
        <v>2</v>
      </c>
      <c r="DR320" s="16">
        <f t="shared" si="63"/>
        <v>0.7</v>
      </c>
      <c r="DS320" s="16">
        <f t="shared" si="64"/>
        <v>0.03</v>
      </c>
      <c r="DT320" s="101">
        <f t="shared" si="65"/>
        <v>0.21</v>
      </c>
      <c r="DV320" s="16">
        <f t="shared" si="66"/>
        <v>0</v>
      </c>
      <c r="DZ320" s="37" t="s">
        <v>2</v>
      </c>
      <c r="EA320" s="37"/>
      <c r="EM320" s="73"/>
      <c r="EN320" s="37"/>
      <c r="EO320" s="37"/>
      <c r="EP320" s="37"/>
      <c r="EQ320" s="37"/>
      <c r="ER320" s="37"/>
      <c r="ES320" s="37"/>
      <c r="ET320" s="37"/>
      <c r="EU320" s="37"/>
      <c r="EV320" s="37"/>
      <c r="EW320" s="37"/>
      <c r="EX320" s="37"/>
      <c r="EY320" s="37"/>
      <c r="EZ320" s="37"/>
      <c r="FA320" s="37"/>
      <c r="FB320" s="37"/>
      <c r="FC320" s="37"/>
      <c r="FD320" s="37"/>
      <c r="FE320" s="37"/>
      <c r="FF320" s="55"/>
      <c r="FG320" s="55"/>
      <c r="FH320" s="55"/>
      <c r="FI320" s="37"/>
      <c r="FJ320" s="55"/>
      <c r="FK320" s="55"/>
      <c r="FL320" s="45"/>
      <c r="FM320" s="37"/>
      <c r="FN320" s="37"/>
      <c r="FO320" s="37"/>
      <c r="FP320" s="55"/>
      <c r="FQ320" s="1" t="s">
        <v>2</v>
      </c>
      <c r="FR320" s="1" t="s">
        <v>118</v>
      </c>
      <c r="FS320" s="1" t="s">
        <v>138</v>
      </c>
      <c r="FV320" s="1" t="s">
        <v>2</v>
      </c>
    </row>
    <row r="321" spans="1:178" ht="16.25" customHeight="1" x14ac:dyDescent="0.2">
      <c r="A321" s="18" t="s">
        <v>177</v>
      </c>
      <c r="B321" s="1" t="s">
        <v>103</v>
      </c>
      <c r="C321" s="80" t="s">
        <v>725</v>
      </c>
      <c r="D321" s="1" t="s">
        <v>69</v>
      </c>
      <c r="H321" s="1" t="s">
        <v>706</v>
      </c>
      <c r="K321" s="1">
        <v>0</v>
      </c>
      <c r="AF321" s="1">
        <v>0</v>
      </c>
      <c r="BA321" s="1">
        <v>1.8</v>
      </c>
      <c r="BB321" s="1">
        <v>0.35</v>
      </c>
      <c r="BI321" s="1">
        <v>0.02</v>
      </c>
      <c r="BJ321" s="1">
        <v>0.01</v>
      </c>
      <c r="BQ321" s="1">
        <v>12</v>
      </c>
      <c r="BV321" s="1">
        <v>0</v>
      </c>
      <c r="CQ321" s="1">
        <v>0</v>
      </c>
      <c r="DL321" s="18" t="s">
        <v>163</v>
      </c>
      <c r="DM321" s="1" t="s">
        <v>163</v>
      </c>
      <c r="DN321" s="1">
        <f t="shared" si="61"/>
        <v>0.02</v>
      </c>
      <c r="DO321" s="1">
        <f t="shared" si="62"/>
        <v>0.01</v>
      </c>
      <c r="DP321" s="1" t="s">
        <v>919</v>
      </c>
      <c r="DQ321" s="1" t="s">
        <v>2</v>
      </c>
      <c r="DR321" s="16">
        <f t="shared" si="63"/>
        <v>1.8</v>
      </c>
      <c r="DS321" s="16">
        <f t="shared" si="64"/>
        <v>0.02</v>
      </c>
      <c r="DT321" s="101">
        <f t="shared" si="65"/>
        <v>0.36</v>
      </c>
      <c r="DV321" s="16">
        <f t="shared" si="66"/>
        <v>0</v>
      </c>
      <c r="DZ321" s="37" t="s">
        <v>2</v>
      </c>
      <c r="EA321" s="37"/>
      <c r="EM321" s="73"/>
      <c r="EN321" s="37"/>
      <c r="EO321" s="37"/>
      <c r="EP321" s="37"/>
      <c r="EQ321" s="37"/>
      <c r="ER321" s="37"/>
      <c r="ES321" s="37"/>
      <c r="ET321" s="37"/>
      <c r="EU321" s="37"/>
      <c r="EV321" s="37"/>
      <c r="EW321" s="37"/>
      <c r="EX321" s="37"/>
      <c r="EY321" s="37"/>
      <c r="EZ321" s="37"/>
      <c r="FA321" s="37"/>
      <c r="FB321" s="37"/>
      <c r="FC321" s="37"/>
      <c r="FD321" s="37"/>
      <c r="FE321" s="37"/>
      <c r="FF321" s="55"/>
      <c r="FG321" s="55"/>
      <c r="FH321" s="55"/>
      <c r="FI321" s="37"/>
      <c r="FJ321" s="55"/>
      <c r="FK321" s="55"/>
      <c r="FL321" s="45"/>
      <c r="FM321" s="37"/>
      <c r="FN321" s="37"/>
      <c r="FO321" s="37"/>
      <c r="FP321" s="55"/>
      <c r="FQ321" s="1" t="s">
        <v>2</v>
      </c>
      <c r="FR321" s="1" t="s">
        <v>118</v>
      </c>
      <c r="FS321" s="1" t="s">
        <v>138</v>
      </c>
      <c r="FV321" s="1" t="s">
        <v>2</v>
      </c>
    </row>
    <row r="322" spans="1:178" ht="16.25" customHeight="1" x14ac:dyDescent="0.2">
      <c r="A322" s="18" t="s">
        <v>177</v>
      </c>
      <c r="B322" s="1" t="s">
        <v>103</v>
      </c>
      <c r="C322" s="79" t="s">
        <v>532</v>
      </c>
      <c r="D322" s="1" t="s">
        <v>69</v>
      </c>
      <c r="G322" s="1" t="s">
        <v>72</v>
      </c>
      <c r="H322" s="1" t="s">
        <v>533</v>
      </c>
      <c r="K322" s="1">
        <v>0</v>
      </c>
      <c r="AF322" s="1">
        <v>0</v>
      </c>
      <c r="BA322" s="1">
        <v>1.2669999999999999</v>
      </c>
      <c r="BI322" s="1">
        <v>0.43</v>
      </c>
      <c r="BJ322" s="1">
        <v>0.03</v>
      </c>
      <c r="BV322" s="1">
        <v>0</v>
      </c>
      <c r="CQ322" s="1">
        <v>0</v>
      </c>
      <c r="DL322" s="18" t="s">
        <v>96</v>
      </c>
      <c r="DM322" s="1" t="s">
        <v>96</v>
      </c>
      <c r="DN322" s="1">
        <f t="shared" si="61"/>
        <v>0.42999999999999994</v>
      </c>
      <c r="DO322" s="1">
        <f t="shared" si="62"/>
        <v>0.03</v>
      </c>
      <c r="DP322" s="1" t="s">
        <v>929</v>
      </c>
      <c r="DQ322" s="1" t="s">
        <v>2</v>
      </c>
      <c r="DR322" s="16">
        <f t="shared" si="63"/>
        <v>1.2669999999999999</v>
      </c>
      <c r="DS322" s="16">
        <f t="shared" si="64"/>
        <v>0.42999999999999994</v>
      </c>
      <c r="DT322" s="101">
        <f t="shared" si="65"/>
        <v>5.4480999999999993</v>
      </c>
      <c r="DV322" s="16">
        <f t="shared" si="66"/>
        <v>0</v>
      </c>
      <c r="DZ322" s="37" t="s">
        <v>2</v>
      </c>
      <c r="EA322" s="37"/>
      <c r="EM322" s="73"/>
      <c r="EN322" s="37"/>
      <c r="EO322" s="37"/>
      <c r="EP322" s="37"/>
      <c r="EQ322" s="37"/>
      <c r="ER322" s="37"/>
      <c r="ES322" s="37"/>
      <c r="ET322" s="37"/>
      <c r="EU322" s="37"/>
      <c r="EV322" s="37"/>
      <c r="EW322" s="37"/>
      <c r="EX322" s="37"/>
      <c r="EY322" s="37"/>
      <c r="EZ322" s="37"/>
      <c r="FA322" s="37"/>
      <c r="FB322" s="37"/>
      <c r="FC322" s="37"/>
      <c r="FD322" s="37"/>
      <c r="FE322" s="37"/>
      <c r="FF322" s="55"/>
      <c r="FG322" s="55"/>
      <c r="FH322" s="55"/>
      <c r="FI322" s="37"/>
      <c r="FJ322" s="55"/>
      <c r="FK322" s="55"/>
      <c r="FL322" s="45"/>
      <c r="FM322" s="37"/>
      <c r="FN322" s="37"/>
      <c r="FO322" s="37"/>
      <c r="FP322" s="55"/>
      <c r="FQ322" s="1" t="s">
        <v>2</v>
      </c>
      <c r="FR322" s="1" t="s">
        <v>113</v>
      </c>
      <c r="FS322" s="1" t="s">
        <v>223</v>
      </c>
      <c r="FV322" s="1" t="s">
        <v>2</v>
      </c>
    </row>
    <row r="323" spans="1:178" ht="16.25" customHeight="1" x14ac:dyDescent="0.2">
      <c r="A323" s="18" t="s">
        <v>177</v>
      </c>
      <c r="B323" s="1" t="s">
        <v>103</v>
      </c>
      <c r="C323" s="16" t="s">
        <v>1061</v>
      </c>
      <c r="D323" s="1" t="s">
        <v>69</v>
      </c>
      <c r="H323" s="1" t="s">
        <v>131</v>
      </c>
      <c r="K323" s="1">
        <v>0</v>
      </c>
      <c r="AF323" s="1">
        <v>0</v>
      </c>
      <c r="BA323" s="1">
        <v>0.5</v>
      </c>
      <c r="BB323" s="1">
        <v>0.01</v>
      </c>
      <c r="BI323" s="1">
        <v>0.28999999999999998</v>
      </c>
      <c r="BJ323" s="1">
        <v>0.05</v>
      </c>
      <c r="BV323" s="1">
        <v>0</v>
      </c>
      <c r="CQ323" s="1">
        <v>0</v>
      </c>
      <c r="DL323" s="18" t="s">
        <v>96</v>
      </c>
      <c r="DM323" s="1" t="s">
        <v>96</v>
      </c>
      <c r="DN323" s="1">
        <f t="shared" si="61"/>
        <v>0.28999999999999998</v>
      </c>
      <c r="DO323" s="1">
        <f t="shared" si="62"/>
        <v>0.05</v>
      </c>
      <c r="DP323" s="1" t="s">
        <v>935</v>
      </c>
      <c r="DQ323" s="1" t="s">
        <v>2</v>
      </c>
      <c r="DR323" s="16">
        <f t="shared" si="63"/>
        <v>0.5</v>
      </c>
      <c r="DS323" s="16">
        <f t="shared" si="64"/>
        <v>0.28999999999999998</v>
      </c>
      <c r="DT323" s="101">
        <f t="shared" si="65"/>
        <v>1.45</v>
      </c>
      <c r="DV323" s="16">
        <f t="shared" si="66"/>
        <v>0</v>
      </c>
      <c r="DZ323" s="37" t="s">
        <v>2</v>
      </c>
      <c r="EA323" s="37"/>
      <c r="EM323" s="73"/>
      <c r="EN323" s="37"/>
      <c r="EO323" s="37"/>
      <c r="EP323" s="37"/>
      <c r="EQ323" s="37"/>
      <c r="ER323" s="37"/>
      <c r="ES323" s="37"/>
      <c r="ET323" s="37"/>
      <c r="EU323" s="37"/>
      <c r="EV323" s="37"/>
      <c r="EW323" s="37"/>
      <c r="EX323" s="37"/>
      <c r="EY323" s="37"/>
      <c r="EZ323" s="37"/>
      <c r="FA323" s="37"/>
      <c r="FB323" s="37"/>
      <c r="FC323" s="37"/>
      <c r="FD323" s="37"/>
      <c r="FE323" s="37"/>
      <c r="FF323" s="55"/>
      <c r="FG323" s="55"/>
      <c r="FH323" s="55"/>
      <c r="FI323" s="37"/>
      <c r="FJ323" s="55"/>
      <c r="FK323" s="55"/>
      <c r="FL323" s="45"/>
      <c r="FM323" s="37"/>
      <c r="FN323" s="37"/>
      <c r="FO323" s="37"/>
      <c r="FP323" s="55"/>
      <c r="FQ323" s="1" t="s">
        <v>2</v>
      </c>
      <c r="FR323" s="1" t="s">
        <v>113</v>
      </c>
      <c r="FS323" s="1" t="s">
        <v>223</v>
      </c>
      <c r="FV323" s="1" t="s">
        <v>2</v>
      </c>
    </row>
    <row r="324" spans="1:178" ht="16.25" customHeight="1" x14ac:dyDescent="0.2">
      <c r="A324" s="18" t="s">
        <v>595</v>
      </c>
      <c r="B324" s="1" t="s">
        <v>103</v>
      </c>
      <c r="C324" s="15" t="s">
        <v>402</v>
      </c>
      <c r="D324" s="1" t="s">
        <v>69</v>
      </c>
      <c r="G324" s="1" t="s">
        <v>65</v>
      </c>
      <c r="H324" s="1" t="s">
        <v>389</v>
      </c>
      <c r="K324" s="1">
        <v>46.9</v>
      </c>
      <c r="L324" s="1">
        <v>0.24</v>
      </c>
      <c r="M324" s="1">
        <v>0.16</v>
      </c>
      <c r="S324" s="13">
        <v>0.1</v>
      </c>
      <c r="U324" s="1">
        <v>0.41</v>
      </c>
      <c r="V324" s="1">
        <v>1.68</v>
      </c>
      <c r="AF324" s="1">
        <v>69.900000000000006</v>
      </c>
      <c r="AG324" s="1">
        <v>0.22</v>
      </c>
      <c r="AH324" s="1">
        <v>0.11</v>
      </c>
      <c r="AN324" s="1">
        <v>0.09</v>
      </c>
      <c r="AP324" s="1">
        <v>0.31</v>
      </c>
      <c r="AQ324" s="1">
        <v>1.28</v>
      </c>
      <c r="BA324" s="1">
        <v>91.7</v>
      </c>
      <c r="BB324" s="1">
        <v>0.22</v>
      </c>
      <c r="BC324" s="13">
        <v>0.1</v>
      </c>
      <c r="BI324" s="13">
        <v>0.1</v>
      </c>
      <c r="BK324" s="1">
        <v>0.38</v>
      </c>
      <c r="BL324" s="13">
        <v>1.5</v>
      </c>
      <c r="BV324" s="1">
        <v>0</v>
      </c>
      <c r="CQ324" s="1">
        <v>0</v>
      </c>
      <c r="DL324" s="18" t="s">
        <v>96</v>
      </c>
      <c r="DN324" s="1">
        <f t="shared" ref="DN324:DN387" si="67">(S324*K324+AN324*AF324+BI324*BA324)/(K324+AF324+BA324)</f>
        <v>9.6647482014388511E-2</v>
      </c>
      <c r="DO324" s="1">
        <f t="shared" ref="DO324:DO387" si="68">(T324*K324+AO324*AF324+BJ324*BA324)/(K324+AF324+BA324)</f>
        <v>0</v>
      </c>
      <c r="DP324" s="1" t="s">
        <v>360</v>
      </c>
      <c r="DQ324" s="1" t="s">
        <v>2</v>
      </c>
      <c r="DR324" s="16">
        <f t="shared" ref="DR324:DR387" si="69">K324+AF324+BA324</f>
        <v>208.5</v>
      </c>
      <c r="DS324" s="103">
        <f t="shared" ref="DS324:DS387" si="70">(K324*S324+AF324*AN324+BA324*BI324)/DR324</f>
        <v>9.6647482014388511E-2</v>
      </c>
      <c r="DT324" s="101">
        <f t="shared" ref="DT324:DT387" si="71">1000*DR324*DS324/100</f>
        <v>201.51000000000005</v>
      </c>
      <c r="DV324" s="16">
        <f t="shared" ref="DV324:DV387" si="72">BV324+CQ324</f>
        <v>0</v>
      </c>
      <c r="DZ324" s="37" t="s">
        <v>2</v>
      </c>
      <c r="EA324" s="37"/>
      <c r="EM324" s="73"/>
      <c r="EN324" s="37"/>
      <c r="EO324" s="37"/>
      <c r="EP324" s="37"/>
      <c r="EQ324" s="37"/>
      <c r="ER324" s="37"/>
      <c r="ES324" s="37"/>
      <c r="ET324" s="37"/>
      <c r="EU324" s="37"/>
      <c r="EV324" s="37"/>
      <c r="EW324" s="37"/>
      <c r="EX324" s="37"/>
      <c r="EY324" s="37"/>
      <c r="EZ324" s="37"/>
      <c r="FA324" s="37"/>
      <c r="FB324" s="37"/>
      <c r="FC324" s="37"/>
      <c r="FD324" s="37"/>
      <c r="FE324" s="37"/>
      <c r="FF324" s="55"/>
      <c r="FG324" s="55"/>
      <c r="FH324" s="55"/>
      <c r="FI324" s="37"/>
      <c r="FJ324" s="55"/>
      <c r="FK324" s="55"/>
      <c r="FL324" s="45"/>
      <c r="FM324" s="37"/>
      <c r="FN324" s="37"/>
      <c r="FO324" s="37"/>
      <c r="FP324" s="55"/>
      <c r="FQ324" s="1" t="s">
        <v>2</v>
      </c>
      <c r="FR324" s="1" t="s">
        <v>113</v>
      </c>
      <c r="FS324" s="1" t="s">
        <v>261</v>
      </c>
      <c r="FT324" s="1" t="s">
        <v>708</v>
      </c>
      <c r="FV324" s="1" t="s">
        <v>2</v>
      </c>
    </row>
    <row r="325" spans="1:178" ht="16.25" customHeight="1" x14ac:dyDescent="0.2">
      <c r="A325" s="18" t="s">
        <v>177</v>
      </c>
      <c r="B325" s="1" t="s">
        <v>103</v>
      </c>
      <c r="C325" s="15" t="s">
        <v>1073</v>
      </c>
      <c r="D325" s="1" t="s">
        <v>69</v>
      </c>
      <c r="H325" s="1" t="s">
        <v>131</v>
      </c>
      <c r="K325" s="1">
        <v>0</v>
      </c>
      <c r="AF325" s="1">
        <v>10.984999999999999</v>
      </c>
      <c r="AG325" s="1">
        <v>0.15</v>
      </c>
      <c r="AH325" s="1">
        <v>0.09</v>
      </c>
      <c r="AN325" s="1">
        <v>0.09</v>
      </c>
      <c r="AO325" s="2">
        <v>6.4000000000000003E-3</v>
      </c>
      <c r="AP325" s="1">
        <v>0.27</v>
      </c>
      <c r="AQ325" s="1">
        <v>0.81</v>
      </c>
      <c r="BA325" s="1">
        <v>10.875</v>
      </c>
      <c r="BB325" s="1">
        <v>0.13</v>
      </c>
      <c r="BC325" s="1">
        <v>0.08</v>
      </c>
      <c r="BI325" s="1">
        <v>0.08</v>
      </c>
      <c r="BJ325" s="2">
        <v>5.4000000000000003E-3</v>
      </c>
      <c r="BK325" s="13">
        <v>0.2</v>
      </c>
      <c r="BL325" s="1">
        <v>0.64</v>
      </c>
      <c r="BV325" s="1">
        <v>0</v>
      </c>
      <c r="CQ325" s="1">
        <v>0</v>
      </c>
      <c r="DL325" s="18" t="s">
        <v>96</v>
      </c>
      <c r="DM325" s="1" t="s">
        <v>96</v>
      </c>
      <c r="DN325" s="1">
        <f t="shared" si="67"/>
        <v>8.5025160109789569E-2</v>
      </c>
      <c r="DO325" s="1">
        <f t="shared" si="68"/>
        <v>5.9025160109789573E-3</v>
      </c>
      <c r="DP325" s="1" t="s">
        <v>585</v>
      </c>
      <c r="DQ325" s="1" t="s">
        <v>2</v>
      </c>
      <c r="DR325" s="16">
        <f t="shared" si="69"/>
        <v>21.86</v>
      </c>
      <c r="DS325" s="103">
        <f t="shared" si="70"/>
        <v>8.5025160109789569E-2</v>
      </c>
      <c r="DT325" s="101">
        <f t="shared" si="71"/>
        <v>18.586499999999997</v>
      </c>
      <c r="DV325" s="16">
        <f t="shared" si="72"/>
        <v>0</v>
      </c>
      <c r="DZ325" s="37" t="s">
        <v>2</v>
      </c>
      <c r="EA325" s="37"/>
      <c r="EM325" s="73"/>
      <c r="EN325" s="37"/>
      <c r="EO325" s="37"/>
      <c r="EP325" s="37"/>
      <c r="EQ325" s="37"/>
      <c r="ER325" s="37"/>
      <c r="ES325" s="37"/>
      <c r="ET325" s="37"/>
      <c r="EU325" s="37"/>
      <c r="EV325" s="37"/>
      <c r="EW325" s="37"/>
      <c r="EX325" s="37"/>
      <c r="EY325" s="37"/>
      <c r="EZ325" s="37"/>
      <c r="FA325" s="37"/>
      <c r="FB325" s="37"/>
      <c r="FC325" s="37"/>
      <c r="FD325" s="37"/>
      <c r="FE325" s="37"/>
      <c r="FF325" s="55"/>
      <c r="FG325" s="55"/>
      <c r="FH325" s="55"/>
      <c r="FI325" s="37"/>
      <c r="FJ325" s="55"/>
      <c r="FK325" s="55"/>
      <c r="FL325" s="45"/>
      <c r="FM325" s="37"/>
      <c r="FN325" s="37"/>
      <c r="FO325" s="37"/>
      <c r="FP325" s="55"/>
      <c r="FQ325" s="1" t="s">
        <v>2</v>
      </c>
      <c r="FR325" s="1" t="s">
        <v>113</v>
      </c>
      <c r="FS325" s="1" t="s">
        <v>261</v>
      </c>
      <c r="FT325" s="1" t="s">
        <v>708</v>
      </c>
      <c r="FV325" s="1" t="s">
        <v>2</v>
      </c>
    </row>
    <row r="326" spans="1:178" ht="16.25" customHeight="1" x14ac:dyDescent="0.2">
      <c r="A326" s="18" t="s">
        <v>177</v>
      </c>
      <c r="B326" s="1" t="s">
        <v>103</v>
      </c>
      <c r="C326" s="15" t="s">
        <v>1169</v>
      </c>
      <c r="D326" s="1" t="s">
        <v>69</v>
      </c>
      <c r="H326" s="1" t="s">
        <v>131</v>
      </c>
      <c r="K326" s="1">
        <f>62.5+23.6</f>
        <v>86.1</v>
      </c>
      <c r="L326" s="13">
        <f>(0.35*62.5+0.31*23.6)/K326</f>
        <v>0.33903600464576078</v>
      </c>
      <c r="M326" s="13">
        <f>(0.09*62.5+0.08*23.6)/K326</f>
        <v>8.7259001161440197E-2</v>
      </c>
      <c r="S326" s="13">
        <f>(58.29/(58.29+32.07))*((0.21*62.5+0.22*23.6)/(62.5+23.6))</f>
        <v>0.13723630834771638</v>
      </c>
      <c r="T326" s="2">
        <f>(58.29/(58.29+32.07))*((0.01*62.5+0.01*23.6)/(62.5+23.6))</f>
        <v>6.4508632138114211E-3</v>
      </c>
      <c r="U326" s="13">
        <f>(0.18*62.5+0.17*23.6)/K326</f>
        <v>0.17725900116144019</v>
      </c>
      <c r="V326" s="13">
        <f>(0.12*62.5+0.11*23.6)/K326</f>
        <v>0.1172590011614402</v>
      </c>
      <c r="AF326" s="14">
        <f>66.1+114.9</f>
        <v>181</v>
      </c>
      <c r="AG326" s="1">
        <f>(0.34*66.1+0.34*114.9)/AF326</f>
        <v>0.34</v>
      </c>
      <c r="AH326" s="13">
        <f>(0.1*66.1+0.08*114.9)/AF326</f>
        <v>8.7303867403314916E-2</v>
      </c>
      <c r="AN326" s="1">
        <f>(58.29/(58.29+32.07))*((0.24*66.1+0.23*114.9)/(66.1+114.9))</f>
        <v>0.15072566639519269</v>
      </c>
      <c r="AO326" s="1">
        <f>(58.29/(58.29+32.07))*((0.01*66.1+0.01*114.9)/(66.1+114.9))</f>
        <v>6.4508632138114211E-3</v>
      </c>
      <c r="AP326" s="13">
        <f>(0.21*66.1+0.17*114.9)/AF326</f>
        <v>0.18460773480662984</v>
      </c>
      <c r="AQ326" s="13">
        <f>(0.14*66.1+0.09*114.9)/AF326</f>
        <v>0.10825966850828729</v>
      </c>
      <c r="BA326" s="1">
        <v>19.2</v>
      </c>
      <c r="BB326" s="1">
        <v>0.32</v>
      </c>
      <c r="BC326" s="1">
        <v>0.06</v>
      </c>
      <c r="BI326" s="13">
        <f>(58.29/(58.29+32.07))*0.22</f>
        <v>0.14191899070385125</v>
      </c>
      <c r="BJ326" s="2">
        <f>(58.93/(58.93+32.07))*0.01</f>
        <v>6.4758241758241753E-3</v>
      </c>
      <c r="BK326" s="1">
        <v>0.13</v>
      </c>
      <c r="BL326" s="1">
        <v>0.08</v>
      </c>
      <c r="BV326" s="1">
        <v>62.5</v>
      </c>
      <c r="BW326" s="1">
        <v>0.35</v>
      </c>
      <c r="BX326" s="1">
        <v>0.09</v>
      </c>
      <c r="CD326" s="13">
        <v>0.13546812749003984</v>
      </c>
      <c r="CE326" s="2">
        <f>0.01*(58.93/(58.93+32.07))</f>
        <v>6.4758241758241753E-3</v>
      </c>
      <c r="CF326" s="1">
        <v>0.18</v>
      </c>
      <c r="CG326" s="1">
        <v>0.12</v>
      </c>
      <c r="CQ326" s="1">
        <v>66.099999999999994</v>
      </c>
      <c r="CR326" s="1">
        <v>0.34</v>
      </c>
      <c r="CS326" s="13">
        <v>0.1</v>
      </c>
      <c r="CY326" s="13">
        <f>(58.29/(58.29+32.07))*0.24</f>
        <v>0.15482071713147411</v>
      </c>
      <c r="CZ326" s="2">
        <f>0.01*(58.93/(58.93+32.07))</f>
        <v>6.4758241758241753E-3</v>
      </c>
      <c r="DA326" s="1">
        <v>0.21</v>
      </c>
      <c r="DB326" s="1">
        <v>0.14000000000000001</v>
      </c>
      <c r="DL326" s="18" t="s">
        <v>96</v>
      </c>
      <c r="DM326" s="1" t="s">
        <v>96</v>
      </c>
      <c r="DN326" s="1">
        <f t="shared" si="67"/>
        <v>0.14607836670549146</v>
      </c>
      <c r="DO326" s="1">
        <f t="shared" si="68"/>
        <v>6.4525371588713045E-3</v>
      </c>
      <c r="DP326" s="1" t="s">
        <v>73</v>
      </c>
      <c r="DQ326" s="1" t="s">
        <v>2</v>
      </c>
      <c r="DR326" s="16">
        <f t="shared" si="69"/>
        <v>286.3</v>
      </c>
      <c r="DS326" s="100">
        <f t="shared" si="70"/>
        <v>0.14607836670549146</v>
      </c>
      <c r="DT326" s="101">
        <f t="shared" si="71"/>
        <v>418.22236387782209</v>
      </c>
      <c r="DV326" s="16">
        <f t="shared" si="72"/>
        <v>128.6</v>
      </c>
      <c r="DW326" s="100">
        <f>(BV326*CD326+CQ326*CY326)/DV326</f>
        <v>0.14541529837105699</v>
      </c>
      <c r="DX326" s="101">
        <f>1000*DV326*DW326/100</f>
        <v>187.00407370517928</v>
      </c>
      <c r="DZ326" s="37" t="s">
        <v>2</v>
      </c>
      <c r="EA326" s="37"/>
      <c r="EM326" s="73"/>
      <c r="EN326" s="37"/>
      <c r="EO326" s="37"/>
      <c r="EP326" s="37"/>
      <c r="EQ326" s="37"/>
      <c r="ER326" s="37"/>
      <c r="ES326" s="37"/>
      <c r="ET326" s="37"/>
      <c r="EU326" s="37"/>
      <c r="EV326" s="37"/>
      <c r="EW326" s="37"/>
      <c r="EX326" s="37"/>
      <c r="EY326" s="37"/>
      <c r="EZ326" s="37"/>
      <c r="FA326" s="37"/>
      <c r="FB326" s="37"/>
      <c r="FC326" s="37"/>
      <c r="FD326" s="37"/>
      <c r="FE326" s="37"/>
      <c r="FF326" s="55"/>
      <c r="FG326" s="55"/>
      <c r="FH326" s="55"/>
      <c r="FI326" s="37"/>
      <c r="FJ326" s="55"/>
      <c r="FK326" s="55"/>
      <c r="FL326" s="45"/>
      <c r="FM326" s="37"/>
      <c r="FN326" s="37"/>
      <c r="FO326" s="37"/>
      <c r="FP326" s="55"/>
      <c r="FQ326" s="1" t="s">
        <v>2</v>
      </c>
      <c r="FR326" s="1" t="s">
        <v>113</v>
      </c>
      <c r="FS326" s="1" t="s">
        <v>261</v>
      </c>
      <c r="FT326" s="1" t="s">
        <v>708</v>
      </c>
      <c r="FV326" s="1" t="s">
        <v>2</v>
      </c>
    </row>
    <row r="327" spans="1:178" ht="16.25" customHeight="1" x14ac:dyDescent="0.2">
      <c r="A327" s="18" t="s">
        <v>177</v>
      </c>
      <c r="B327" s="1" t="s">
        <v>103</v>
      </c>
      <c r="C327" s="79" t="s">
        <v>559</v>
      </c>
      <c r="D327" s="1" t="s">
        <v>64</v>
      </c>
      <c r="G327" s="1" t="s">
        <v>72</v>
      </c>
      <c r="H327" s="1" t="s">
        <v>560</v>
      </c>
      <c r="K327" s="1">
        <v>0</v>
      </c>
      <c r="AF327" s="1">
        <v>0</v>
      </c>
      <c r="BA327" s="1">
        <v>0.02</v>
      </c>
      <c r="BB327" s="1">
        <v>0.2</v>
      </c>
      <c r="BI327" s="1">
        <v>1.25</v>
      </c>
      <c r="BV327" s="1">
        <v>0</v>
      </c>
      <c r="CQ327" s="1">
        <v>0</v>
      </c>
      <c r="DL327" s="18" t="s">
        <v>163</v>
      </c>
      <c r="DN327" s="1">
        <f t="shared" si="67"/>
        <v>1.25</v>
      </c>
      <c r="DO327" s="1">
        <f t="shared" si="68"/>
        <v>0</v>
      </c>
      <c r="DP327" s="1" t="s">
        <v>919</v>
      </c>
      <c r="DQ327" s="1" t="s">
        <v>2</v>
      </c>
      <c r="DR327" s="16">
        <f t="shared" si="69"/>
        <v>0.02</v>
      </c>
      <c r="DS327" s="16">
        <f t="shared" si="70"/>
        <v>1.25</v>
      </c>
      <c r="DT327" s="101">
        <f t="shared" si="71"/>
        <v>0.25</v>
      </c>
      <c r="DV327" s="16">
        <f t="shared" si="72"/>
        <v>0</v>
      </c>
      <c r="DZ327" s="37" t="s">
        <v>2</v>
      </c>
      <c r="EA327" s="37"/>
      <c r="EM327" s="73"/>
      <c r="EN327" s="37"/>
      <c r="EO327" s="37"/>
      <c r="EP327" s="37"/>
      <c r="EQ327" s="37"/>
      <c r="ER327" s="37"/>
      <c r="ES327" s="37"/>
      <c r="ET327" s="37"/>
      <c r="EU327" s="37"/>
      <c r="EV327" s="37"/>
      <c r="EW327" s="37"/>
      <c r="EX327" s="37"/>
      <c r="EY327" s="37"/>
      <c r="EZ327" s="37"/>
      <c r="FA327" s="37"/>
      <c r="FB327" s="37"/>
      <c r="FC327" s="37"/>
      <c r="FD327" s="37"/>
      <c r="FE327" s="37"/>
      <c r="FF327" s="55"/>
      <c r="FG327" s="55"/>
      <c r="FH327" s="55"/>
      <c r="FI327" s="37"/>
      <c r="FJ327" s="55"/>
      <c r="FK327" s="55"/>
      <c r="FL327" s="45"/>
      <c r="FM327" s="37"/>
      <c r="FN327" s="37"/>
      <c r="FO327" s="37"/>
      <c r="FP327" s="55"/>
      <c r="FQ327" s="1" t="s">
        <v>2</v>
      </c>
      <c r="FR327" s="1" t="s">
        <v>113</v>
      </c>
      <c r="FS327" s="1" t="s">
        <v>129</v>
      </c>
      <c r="FV327" s="1" t="s">
        <v>2</v>
      </c>
    </row>
    <row r="328" spans="1:178" ht="16.25" customHeight="1" x14ac:dyDescent="0.2">
      <c r="A328" s="18" t="s">
        <v>177</v>
      </c>
      <c r="B328" s="1" t="s">
        <v>103</v>
      </c>
      <c r="C328" s="79" t="s">
        <v>1132</v>
      </c>
      <c r="D328" s="1" t="s">
        <v>64</v>
      </c>
      <c r="H328" s="1" t="s">
        <v>1133</v>
      </c>
      <c r="K328" s="1">
        <v>0</v>
      </c>
      <c r="AF328" s="1">
        <v>0</v>
      </c>
      <c r="BA328" s="1">
        <v>23.2</v>
      </c>
      <c r="BB328" s="1">
        <v>0.21</v>
      </c>
      <c r="BC328" s="13">
        <v>0.1</v>
      </c>
      <c r="BI328" s="1">
        <v>0.14000000000000001</v>
      </c>
      <c r="BJ328" s="2">
        <v>4.3E-3</v>
      </c>
      <c r="BK328" s="1">
        <v>0.12</v>
      </c>
      <c r="BL328" s="1">
        <v>0.31</v>
      </c>
      <c r="BV328" s="1">
        <v>0</v>
      </c>
      <c r="CQ328" s="1">
        <v>0</v>
      </c>
      <c r="DL328" s="18" t="s">
        <v>96</v>
      </c>
      <c r="DN328" s="1">
        <f t="shared" si="67"/>
        <v>0.14000000000000001</v>
      </c>
      <c r="DO328" s="1">
        <f t="shared" si="68"/>
        <v>4.3E-3</v>
      </c>
      <c r="DP328" s="1" t="s">
        <v>924</v>
      </c>
      <c r="DQ328" s="1" t="s">
        <v>2</v>
      </c>
      <c r="DR328" s="16">
        <f t="shared" si="69"/>
        <v>23.2</v>
      </c>
      <c r="DS328" s="16">
        <f t="shared" si="70"/>
        <v>0.14000000000000001</v>
      </c>
      <c r="DT328" s="101">
        <f t="shared" si="71"/>
        <v>32.480000000000004</v>
      </c>
      <c r="DV328" s="16">
        <f t="shared" si="72"/>
        <v>0</v>
      </c>
      <c r="DZ328" s="37" t="s">
        <v>2</v>
      </c>
      <c r="EA328" s="37"/>
      <c r="EM328" s="73"/>
      <c r="EN328" s="37"/>
      <c r="EO328" s="37"/>
      <c r="EP328" s="37"/>
      <c r="EQ328" s="37"/>
      <c r="ER328" s="37"/>
      <c r="ES328" s="37"/>
      <c r="ET328" s="37"/>
      <c r="EU328" s="37"/>
      <c r="EV328" s="37"/>
      <c r="EW328" s="37"/>
      <c r="EX328" s="37"/>
      <c r="EY328" s="37"/>
      <c r="EZ328" s="37"/>
      <c r="FA328" s="37"/>
      <c r="FB328" s="37"/>
      <c r="FC328" s="37"/>
      <c r="FD328" s="37"/>
      <c r="FE328" s="37"/>
      <c r="FF328" s="55"/>
      <c r="FG328" s="55"/>
      <c r="FH328" s="55"/>
      <c r="FI328" s="37"/>
      <c r="FJ328" s="55"/>
      <c r="FK328" s="55"/>
      <c r="FL328" s="45"/>
      <c r="FM328" s="37"/>
      <c r="FN328" s="37"/>
      <c r="FO328" s="37"/>
      <c r="FP328" s="55"/>
      <c r="FQ328" s="1" t="s">
        <v>2</v>
      </c>
      <c r="FR328" s="1" t="s">
        <v>113</v>
      </c>
      <c r="FS328" s="1" t="s">
        <v>129</v>
      </c>
      <c r="FV328" s="1" t="s">
        <v>2</v>
      </c>
    </row>
    <row r="329" spans="1:178" ht="16.25" customHeight="1" x14ac:dyDescent="0.2">
      <c r="A329" s="18" t="s">
        <v>177</v>
      </c>
      <c r="B329" s="1" t="s">
        <v>103</v>
      </c>
      <c r="C329" s="79" t="s">
        <v>1135</v>
      </c>
      <c r="D329" s="1" t="s">
        <v>64</v>
      </c>
      <c r="H329" s="1" t="s">
        <v>1133</v>
      </c>
      <c r="J329" s="1" t="s">
        <v>70</v>
      </c>
      <c r="K329" s="1">
        <f>0.149+0.072</f>
        <v>0.22099999999999997</v>
      </c>
      <c r="L329" s="13">
        <f>(0.2*0.149+0.29*0.072)/K329</f>
        <v>0.2293212669683258</v>
      </c>
      <c r="S329" s="13">
        <f>(0.59*0.149+0.7*0.072)/K329</f>
        <v>0.62583710407239823</v>
      </c>
      <c r="T329" s="1">
        <v>0.02</v>
      </c>
      <c r="U329" s="1">
        <v>0.1</v>
      </c>
      <c r="V329" s="1">
        <v>0.1</v>
      </c>
      <c r="AF329" s="1">
        <f>0.487+1.02+0.931+1.604</f>
        <v>4.0419999999999998</v>
      </c>
      <c r="AG329" s="13">
        <f>(0.26*0.487+0.13*1.02+0.23*0.931+0.13*1.604)/AF329</f>
        <v>0.16869619000494807</v>
      </c>
      <c r="AN329" s="13">
        <f>(0.6*0.487+0.38*1.02+0.65*0.931+0.42*1.604)/AF329</f>
        <v>0.48456952003958442</v>
      </c>
      <c r="AO329" s="1">
        <v>0.02</v>
      </c>
      <c r="AP329" s="1">
        <v>0.1</v>
      </c>
      <c r="AQ329" s="1">
        <v>0.1</v>
      </c>
      <c r="BA329" s="1">
        <v>0.45700000000000002</v>
      </c>
      <c r="BB329" s="1">
        <v>0.31</v>
      </c>
      <c r="BI329" s="1">
        <v>0.72</v>
      </c>
      <c r="BJ329" s="1">
        <v>0.02</v>
      </c>
      <c r="BK329" s="1">
        <v>0.1</v>
      </c>
      <c r="BL329" s="1">
        <v>0.1</v>
      </c>
      <c r="BV329" s="1">
        <v>0.14899999999999999</v>
      </c>
      <c r="BW329" s="1">
        <v>0.2</v>
      </c>
      <c r="CD329" s="1">
        <v>0.59</v>
      </c>
      <c r="CE329" s="1">
        <v>0.02</v>
      </c>
      <c r="CF329" s="1">
        <v>0.1</v>
      </c>
      <c r="CG329" s="1">
        <v>0.1</v>
      </c>
      <c r="CQ329" s="1">
        <f>0.487+1.02</f>
        <v>1.5070000000000001</v>
      </c>
      <c r="CR329" s="13">
        <f>(0.26*0.487+0.13*1.02)/CQ329</f>
        <v>0.17201061712010615</v>
      </c>
      <c r="CY329" s="13">
        <f>(0.6*0.487+0.38*1.02)/CQ329</f>
        <v>0.45109489051094886</v>
      </c>
      <c r="CZ329" s="1">
        <v>0.02</v>
      </c>
      <c r="DA329" s="1">
        <v>0.1</v>
      </c>
      <c r="DB329" s="1">
        <v>0.1</v>
      </c>
      <c r="DL329" s="18" t="s">
        <v>96</v>
      </c>
      <c r="DM329" s="1" t="s">
        <v>96</v>
      </c>
      <c r="DN329" s="1">
        <f t="shared" si="67"/>
        <v>0.51397881355932207</v>
      </c>
      <c r="DO329" s="1">
        <f t="shared" si="68"/>
        <v>1.9999999999999997E-2</v>
      </c>
      <c r="DP329" s="1" t="s">
        <v>926</v>
      </c>
      <c r="DQ329" s="1" t="s">
        <v>2</v>
      </c>
      <c r="DR329" s="16">
        <f t="shared" si="69"/>
        <v>4.72</v>
      </c>
      <c r="DS329" s="100">
        <f t="shared" si="70"/>
        <v>0.51397881355932207</v>
      </c>
      <c r="DT329" s="101">
        <f t="shared" si="71"/>
        <v>24.259799999999998</v>
      </c>
      <c r="DV329" s="16">
        <f t="shared" si="72"/>
        <v>1.6560000000000001</v>
      </c>
      <c r="DW329" s="100">
        <f>(BV329*CD329+CQ329*CY329)/DV329</f>
        <v>0.46359299516908203</v>
      </c>
      <c r="DX329" s="101">
        <f>1000*DV329*DW329/100</f>
        <v>7.6770999999999994</v>
      </c>
      <c r="DZ329" s="37" t="s">
        <v>2</v>
      </c>
      <c r="EA329" s="37"/>
      <c r="EM329" s="73"/>
      <c r="EN329" s="37"/>
      <c r="EO329" s="37"/>
      <c r="EP329" s="37"/>
      <c r="EQ329" s="37"/>
      <c r="ER329" s="37"/>
      <c r="ES329" s="37"/>
      <c r="ET329" s="37"/>
      <c r="EU329" s="37"/>
      <c r="EV329" s="37"/>
      <c r="EW329" s="37"/>
      <c r="EX329" s="37"/>
      <c r="EY329" s="37"/>
      <c r="EZ329" s="37"/>
      <c r="FA329" s="37"/>
      <c r="FB329" s="37"/>
      <c r="FC329" s="37"/>
      <c r="FD329" s="37"/>
      <c r="FE329" s="37"/>
      <c r="FF329" s="55"/>
      <c r="FG329" s="55"/>
      <c r="FH329" s="55"/>
      <c r="FI329" s="37"/>
      <c r="FJ329" s="55"/>
      <c r="FK329" s="55"/>
      <c r="FL329" s="45"/>
      <c r="FM329" s="37"/>
      <c r="FN329" s="37"/>
      <c r="FO329" s="37"/>
      <c r="FP329" s="55"/>
      <c r="FQ329" s="1" t="s">
        <v>2</v>
      </c>
      <c r="FR329" s="1" t="s">
        <v>113</v>
      </c>
      <c r="FS329" s="1" t="s">
        <v>129</v>
      </c>
      <c r="FV329" s="1" t="s">
        <v>2</v>
      </c>
    </row>
    <row r="330" spans="1:178" ht="16.25" customHeight="1" x14ac:dyDescent="0.2">
      <c r="A330" s="18" t="s">
        <v>177</v>
      </c>
      <c r="B330" s="1" t="s">
        <v>103</v>
      </c>
      <c r="C330" s="79" t="s">
        <v>1136</v>
      </c>
      <c r="D330" s="1" t="s">
        <v>64</v>
      </c>
      <c r="H330" s="1" t="s">
        <v>1133</v>
      </c>
      <c r="K330" s="1">
        <v>0</v>
      </c>
      <c r="AF330" s="1">
        <v>0</v>
      </c>
      <c r="BA330" s="1">
        <v>0.21</v>
      </c>
      <c r="BB330" s="1">
        <v>0.28000000000000003</v>
      </c>
      <c r="BI330" s="1">
        <v>0.37</v>
      </c>
      <c r="BJ330" s="1">
        <v>0.04</v>
      </c>
      <c r="BV330" s="1">
        <v>0</v>
      </c>
      <c r="CQ330" s="1">
        <v>0</v>
      </c>
      <c r="DL330" s="18" t="s">
        <v>96</v>
      </c>
      <c r="DM330" s="1" t="s">
        <v>96</v>
      </c>
      <c r="DN330" s="1">
        <f t="shared" si="67"/>
        <v>0.37</v>
      </c>
      <c r="DO330" s="1">
        <f t="shared" si="68"/>
        <v>0.04</v>
      </c>
      <c r="DP330" s="1" t="s">
        <v>919</v>
      </c>
      <c r="DQ330" s="1" t="s">
        <v>2</v>
      </c>
      <c r="DR330" s="16">
        <f t="shared" si="69"/>
        <v>0.21</v>
      </c>
      <c r="DS330" s="16">
        <f t="shared" si="70"/>
        <v>0.37</v>
      </c>
      <c r="DT330" s="101">
        <f t="shared" si="71"/>
        <v>0.77700000000000002</v>
      </c>
      <c r="DV330" s="16">
        <f t="shared" si="72"/>
        <v>0</v>
      </c>
      <c r="DZ330" s="37" t="s">
        <v>2</v>
      </c>
      <c r="EA330" s="37"/>
      <c r="EM330" s="73"/>
      <c r="EN330" s="37"/>
      <c r="EO330" s="37"/>
      <c r="EP330" s="37"/>
      <c r="EQ330" s="37"/>
      <c r="ER330" s="37"/>
      <c r="ES330" s="37"/>
      <c r="ET330" s="37"/>
      <c r="EU330" s="37"/>
      <c r="EV330" s="37"/>
      <c r="EW330" s="37"/>
      <c r="EX330" s="37"/>
      <c r="EY330" s="37"/>
      <c r="EZ330" s="37"/>
      <c r="FA330" s="37"/>
      <c r="FB330" s="37"/>
      <c r="FC330" s="37"/>
      <c r="FD330" s="37"/>
      <c r="FE330" s="37"/>
      <c r="FF330" s="55"/>
      <c r="FG330" s="55"/>
      <c r="FH330" s="55"/>
      <c r="FI330" s="37"/>
      <c r="FJ330" s="55"/>
      <c r="FK330" s="55"/>
      <c r="FL330" s="45"/>
      <c r="FM330" s="37"/>
      <c r="FN330" s="37"/>
      <c r="FO330" s="37"/>
      <c r="FP330" s="55"/>
      <c r="FQ330" s="1" t="s">
        <v>2</v>
      </c>
      <c r="FR330" s="1" t="s">
        <v>113</v>
      </c>
      <c r="FS330" s="1" t="s">
        <v>129</v>
      </c>
      <c r="FV330" s="1" t="s">
        <v>2</v>
      </c>
    </row>
    <row r="331" spans="1:178" ht="16.25" customHeight="1" x14ac:dyDescent="0.2">
      <c r="A331" s="18" t="s">
        <v>177</v>
      </c>
      <c r="B331" s="1" t="s">
        <v>103</v>
      </c>
      <c r="C331" s="15" t="s">
        <v>1243</v>
      </c>
      <c r="H331" s="1" t="s">
        <v>1244</v>
      </c>
      <c r="K331" s="1">
        <v>0</v>
      </c>
      <c r="AF331" s="1">
        <v>0</v>
      </c>
      <c r="BA331" s="1">
        <v>0.104</v>
      </c>
      <c r="BB331" s="1">
        <v>0.28000000000000003</v>
      </c>
      <c r="BI331" s="1">
        <v>0.43</v>
      </c>
      <c r="BJ331" s="1">
        <v>0.03</v>
      </c>
      <c r="BV331" s="1">
        <v>0</v>
      </c>
      <c r="CQ331" s="1">
        <v>0</v>
      </c>
      <c r="DL331" s="18" t="s">
        <v>96</v>
      </c>
      <c r="DM331" s="1" t="s">
        <v>96</v>
      </c>
      <c r="DN331" s="1">
        <f t="shared" si="67"/>
        <v>0.43</v>
      </c>
      <c r="DO331" s="1">
        <f t="shared" si="68"/>
        <v>3.0000000000000002E-2</v>
      </c>
      <c r="DP331" s="1" t="s">
        <v>919</v>
      </c>
      <c r="DQ331" s="1" t="s">
        <v>2</v>
      </c>
      <c r="DR331" s="16">
        <f t="shared" si="69"/>
        <v>0.104</v>
      </c>
      <c r="DS331" s="16">
        <f t="shared" si="70"/>
        <v>0.43</v>
      </c>
      <c r="DT331" s="101">
        <f t="shared" si="71"/>
        <v>0.44719999999999999</v>
      </c>
      <c r="DV331" s="16">
        <f t="shared" si="72"/>
        <v>0</v>
      </c>
      <c r="DZ331" s="37" t="s">
        <v>2</v>
      </c>
      <c r="EA331" s="37"/>
      <c r="EM331" s="73"/>
      <c r="EN331" s="37"/>
      <c r="EO331" s="37"/>
      <c r="EP331" s="37"/>
      <c r="EQ331" s="37"/>
      <c r="ER331" s="37"/>
      <c r="ES331" s="37"/>
      <c r="ET331" s="37"/>
      <c r="EU331" s="37"/>
      <c r="EV331" s="37"/>
      <c r="EW331" s="37"/>
      <c r="EX331" s="37"/>
      <c r="EY331" s="37"/>
      <c r="EZ331" s="37"/>
      <c r="FA331" s="37"/>
      <c r="FB331" s="37"/>
      <c r="FC331" s="37"/>
      <c r="FD331" s="37"/>
      <c r="FE331" s="37"/>
      <c r="FF331" s="55"/>
      <c r="FG331" s="55"/>
      <c r="FH331" s="55"/>
      <c r="FI331" s="37"/>
      <c r="FJ331" s="55"/>
      <c r="FK331" s="55"/>
      <c r="FL331" s="45"/>
      <c r="FM331" s="37"/>
      <c r="FN331" s="37"/>
      <c r="FO331" s="37"/>
      <c r="FP331" s="55"/>
      <c r="FQ331" s="1" t="s">
        <v>2</v>
      </c>
      <c r="FR331" s="1" t="s">
        <v>113</v>
      </c>
      <c r="FS331" s="1" t="s">
        <v>129</v>
      </c>
      <c r="FV331" s="1" t="s">
        <v>2</v>
      </c>
    </row>
    <row r="332" spans="1:178" ht="16.25" customHeight="1" x14ac:dyDescent="0.2">
      <c r="A332" s="18" t="s">
        <v>177</v>
      </c>
      <c r="B332" s="1" t="s">
        <v>103</v>
      </c>
      <c r="C332" s="15" t="s">
        <v>1277</v>
      </c>
      <c r="D332" s="1" t="s">
        <v>64</v>
      </c>
      <c r="H332" s="1" t="s">
        <v>1009</v>
      </c>
      <c r="K332" s="1">
        <v>0</v>
      </c>
      <c r="AF332" s="1">
        <v>0</v>
      </c>
      <c r="BA332" s="1">
        <v>0.13700000000000001</v>
      </c>
      <c r="BB332" s="1">
        <v>0.28999999999999998</v>
      </c>
      <c r="BI332" s="1">
        <v>0.24</v>
      </c>
      <c r="BV332" s="1">
        <v>0</v>
      </c>
      <c r="CQ332" s="1">
        <v>0</v>
      </c>
      <c r="DL332" s="18" t="s">
        <v>96</v>
      </c>
      <c r="DN332" s="1">
        <f t="shared" si="67"/>
        <v>0.24</v>
      </c>
      <c r="DO332" s="1">
        <f t="shared" si="68"/>
        <v>0</v>
      </c>
      <c r="DP332" s="1" t="s">
        <v>919</v>
      </c>
      <c r="DQ332" s="1" t="s">
        <v>2</v>
      </c>
      <c r="DR332" s="16">
        <f t="shared" si="69"/>
        <v>0.13700000000000001</v>
      </c>
      <c r="DS332" s="16">
        <f t="shared" si="70"/>
        <v>0.24</v>
      </c>
      <c r="DT332" s="101">
        <f t="shared" si="71"/>
        <v>0.32879999999999998</v>
      </c>
      <c r="DV332" s="16">
        <f t="shared" si="72"/>
        <v>0</v>
      </c>
      <c r="DZ332" s="37" t="s">
        <v>2</v>
      </c>
      <c r="EA332" s="37"/>
      <c r="EM332" s="73"/>
      <c r="EN332" s="37"/>
      <c r="EO332" s="37"/>
      <c r="EP332" s="37"/>
      <c r="EQ332" s="37"/>
      <c r="ER332" s="37"/>
      <c r="ES332" s="37"/>
      <c r="ET332" s="37"/>
      <c r="EU332" s="37"/>
      <c r="EV332" s="37"/>
      <c r="EW332" s="37"/>
      <c r="EX332" s="37"/>
      <c r="EY332" s="37"/>
      <c r="EZ332" s="37"/>
      <c r="FA332" s="37"/>
      <c r="FB332" s="37"/>
      <c r="FC332" s="37"/>
      <c r="FD332" s="37"/>
      <c r="FE332" s="37"/>
      <c r="FF332" s="55"/>
      <c r="FG332" s="55"/>
      <c r="FH332" s="55"/>
      <c r="FI332" s="37"/>
      <c r="FJ332" s="55"/>
      <c r="FK332" s="55"/>
      <c r="FL332" s="45"/>
      <c r="FM332" s="37"/>
      <c r="FN332" s="37"/>
      <c r="FO332" s="37"/>
      <c r="FP332" s="55"/>
      <c r="FQ332" s="1" t="s">
        <v>2</v>
      </c>
      <c r="FR332" s="1" t="s">
        <v>113</v>
      </c>
      <c r="FS332" s="1" t="s">
        <v>129</v>
      </c>
      <c r="FV332" s="1" t="s">
        <v>2</v>
      </c>
    </row>
    <row r="333" spans="1:178" ht="16.25" customHeight="1" x14ac:dyDescent="0.2">
      <c r="A333" s="18" t="s">
        <v>177</v>
      </c>
      <c r="B333" s="1" t="s">
        <v>103</v>
      </c>
      <c r="C333" s="15" t="s">
        <v>1165</v>
      </c>
      <c r="D333" s="1" t="s">
        <v>69</v>
      </c>
      <c r="H333" s="1" t="s">
        <v>131</v>
      </c>
      <c r="K333" s="1">
        <v>0</v>
      </c>
      <c r="AF333" s="1">
        <v>0</v>
      </c>
      <c r="BA333" s="1">
        <v>0.11600000000000001</v>
      </c>
      <c r="BB333" s="1">
        <v>0.33</v>
      </c>
      <c r="BI333" s="1">
        <v>0.6</v>
      </c>
      <c r="BJ333" s="1">
        <v>0.03</v>
      </c>
      <c r="BV333" s="1">
        <v>0</v>
      </c>
      <c r="CQ333" s="1">
        <v>0</v>
      </c>
      <c r="DL333" s="18" t="s">
        <v>96</v>
      </c>
      <c r="DM333" s="1" t="s">
        <v>96</v>
      </c>
      <c r="DN333" s="1">
        <f t="shared" si="67"/>
        <v>0.6</v>
      </c>
      <c r="DO333" s="1">
        <f t="shared" si="68"/>
        <v>0.03</v>
      </c>
      <c r="DP333" s="1" t="s">
        <v>919</v>
      </c>
      <c r="DQ333" s="1" t="s">
        <v>2</v>
      </c>
      <c r="DR333" s="16">
        <f t="shared" si="69"/>
        <v>0.11600000000000001</v>
      </c>
      <c r="DS333" s="16">
        <f t="shared" si="70"/>
        <v>0.6</v>
      </c>
      <c r="DT333" s="101">
        <f t="shared" si="71"/>
        <v>0.69599999999999995</v>
      </c>
      <c r="DV333" s="16">
        <f t="shared" si="72"/>
        <v>0</v>
      </c>
      <c r="DZ333" s="37" t="s">
        <v>2</v>
      </c>
      <c r="EA333" s="37"/>
      <c r="EM333" s="73"/>
      <c r="EN333" s="37"/>
      <c r="EO333" s="37"/>
      <c r="EP333" s="37"/>
      <c r="EQ333" s="37"/>
      <c r="ER333" s="37"/>
      <c r="ES333" s="37"/>
      <c r="ET333" s="37"/>
      <c r="EU333" s="37"/>
      <c r="EV333" s="37"/>
      <c r="EW333" s="37"/>
      <c r="EX333" s="37"/>
      <c r="EY333" s="37"/>
      <c r="EZ333" s="37"/>
      <c r="FA333" s="37"/>
      <c r="FB333" s="37"/>
      <c r="FC333" s="37"/>
      <c r="FD333" s="37"/>
      <c r="FE333" s="37"/>
      <c r="FF333" s="55"/>
      <c r="FG333" s="55"/>
      <c r="FH333" s="55"/>
      <c r="FI333" s="37"/>
      <c r="FJ333" s="55"/>
      <c r="FK333" s="55"/>
      <c r="FL333" s="45"/>
      <c r="FM333" s="37"/>
      <c r="FN333" s="37"/>
      <c r="FO333" s="37"/>
      <c r="FP333" s="55"/>
      <c r="FQ333" s="1" t="s">
        <v>2</v>
      </c>
      <c r="FR333" s="1" t="s">
        <v>113</v>
      </c>
      <c r="FS333" s="1" t="s">
        <v>129</v>
      </c>
      <c r="FV333" s="1" t="s">
        <v>2</v>
      </c>
    </row>
    <row r="334" spans="1:178" ht="16.25" customHeight="1" x14ac:dyDescent="0.2">
      <c r="A334" s="18" t="s">
        <v>177</v>
      </c>
      <c r="B334" s="1" t="s">
        <v>103</v>
      </c>
      <c r="C334" s="15" t="s">
        <v>1291</v>
      </c>
      <c r="D334" s="1" t="s">
        <v>69</v>
      </c>
      <c r="H334" s="1" t="s">
        <v>1292</v>
      </c>
      <c r="K334" s="1">
        <v>0</v>
      </c>
      <c r="AF334" s="1">
        <v>0</v>
      </c>
      <c r="BA334" s="1">
        <v>2.5000000000000001E-2</v>
      </c>
      <c r="BB334" s="1">
        <v>0.3</v>
      </c>
      <c r="BI334" s="1">
        <v>0.94</v>
      </c>
      <c r="BV334" s="1">
        <v>0</v>
      </c>
      <c r="CQ334" s="1">
        <v>0</v>
      </c>
      <c r="DL334" s="18" t="s">
        <v>163</v>
      </c>
      <c r="DN334" s="1">
        <f t="shared" si="67"/>
        <v>0.94</v>
      </c>
      <c r="DO334" s="1">
        <f t="shared" si="68"/>
        <v>0</v>
      </c>
      <c r="DP334" s="1" t="s">
        <v>919</v>
      </c>
      <c r="DQ334" s="1" t="s">
        <v>2</v>
      </c>
      <c r="DR334" s="16">
        <f t="shared" si="69"/>
        <v>2.5000000000000001E-2</v>
      </c>
      <c r="DS334" s="16">
        <f t="shared" si="70"/>
        <v>0.94</v>
      </c>
      <c r="DT334" s="101">
        <f t="shared" si="71"/>
        <v>0.23499999999999999</v>
      </c>
      <c r="DV334" s="16">
        <f t="shared" si="72"/>
        <v>0</v>
      </c>
      <c r="DZ334" s="37" t="s">
        <v>2</v>
      </c>
      <c r="EA334" s="37"/>
      <c r="EM334" s="73"/>
      <c r="EN334" s="37"/>
      <c r="EO334" s="37"/>
      <c r="EP334" s="37"/>
      <c r="EQ334" s="37"/>
      <c r="ER334" s="37"/>
      <c r="ES334" s="37"/>
      <c r="ET334" s="37"/>
      <c r="EU334" s="37"/>
      <c r="EV334" s="37"/>
      <c r="EW334" s="37"/>
      <c r="EX334" s="37"/>
      <c r="EY334" s="37"/>
      <c r="EZ334" s="37"/>
      <c r="FA334" s="37"/>
      <c r="FB334" s="37"/>
      <c r="FC334" s="37"/>
      <c r="FD334" s="37"/>
      <c r="FE334" s="37"/>
      <c r="FF334" s="55"/>
      <c r="FG334" s="55"/>
      <c r="FH334" s="55"/>
      <c r="FI334" s="37"/>
      <c r="FJ334" s="55"/>
      <c r="FK334" s="55"/>
      <c r="FL334" s="45"/>
      <c r="FM334" s="37"/>
      <c r="FN334" s="37"/>
      <c r="FO334" s="37"/>
      <c r="FP334" s="55"/>
      <c r="FQ334" s="1" t="s">
        <v>2</v>
      </c>
      <c r="FR334" s="1" t="s">
        <v>113</v>
      </c>
      <c r="FS334" s="1" t="s">
        <v>129</v>
      </c>
      <c r="FV334" s="1" t="s">
        <v>2</v>
      </c>
    </row>
    <row r="335" spans="1:178" ht="16.25" customHeight="1" x14ac:dyDescent="0.2">
      <c r="A335" s="18" t="s">
        <v>177</v>
      </c>
      <c r="B335" s="1" t="s">
        <v>103</v>
      </c>
      <c r="C335" s="79" t="s">
        <v>897</v>
      </c>
      <c r="D335" s="1" t="s">
        <v>69</v>
      </c>
      <c r="H335" s="1" t="s">
        <v>131</v>
      </c>
      <c r="K335" s="1">
        <v>0</v>
      </c>
      <c r="AF335" s="1">
        <v>0</v>
      </c>
      <c r="BA335" s="1">
        <v>0.05</v>
      </c>
      <c r="BB335" s="1">
        <v>0.2</v>
      </c>
      <c r="BI335" s="1">
        <v>0.3</v>
      </c>
      <c r="BV335" s="1">
        <v>0</v>
      </c>
      <c r="CQ335" s="1">
        <v>0</v>
      </c>
      <c r="DL335" s="18" t="s">
        <v>163</v>
      </c>
      <c r="DN335" s="1">
        <f t="shared" si="67"/>
        <v>0.3</v>
      </c>
      <c r="DO335" s="1">
        <f t="shared" si="68"/>
        <v>0</v>
      </c>
      <c r="DP335" s="1" t="s">
        <v>919</v>
      </c>
      <c r="DQ335" s="1" t="s">
        <v>2</v>
      </c>
      <c r="DR335" s="16">
        <f t="shared" si="69"/>
        <v>0.05</v>
      </c>
      <c r="DS335" s="16">
        <f t="shared" si="70"/>
        <v>0.3</v>
      </c>
      <c r="DT335" s="101">
        <f t="shared" si="71"/>
        <v>0.15</v>
      </c>
      <c r="DV335" s="16">
        <f t="shared" si="72"/>
        <v>0</v>
      </c>
      <c r="DZ335" s="37" t="s">
        <v>2</v>
      </c>
      <c r="EA335" s="37"/>
      <c r="EM335" s="73"/>
      <c r="EN335" s="37"/>
      <c r="EO335" s="37"/>
      <c r="EP335" s="37"/>
      <c r="EQ335" s="37"/>
      <c r="ER335" s="37"/>
      <c r="ES335" s="37"/>
      <c r="ET335" s="37"/>
      <c r="EU335" s="37"/>
      <c r="EV335" s="37"/>
      <c r="EW335" s="37"/>
      <c r="EX335" s="37"/>
      <c r="EY335" s="37"/>
      <c r="EZ335" s="37"/>
      <c r="FA335" s="37"/>
      <c r="FB335" s="37"/>
      <c r="FC335" s="37"/>
      <c r="FD335" s="37"/>
      <c r="FE335" s="37"/>
      <c r="FF335" s="55"/>
      <c r="FG335" s="55"/>
      <c r="FH335" s="55"/>
      <c r="FI335" s="37"/>
      <c r="FJ335" s="55"/>
      <c r="FK335" s="55"/>
      <c r="FL335" s="45"/>
      <c r="FM335" s="37"/>
      <c r="FN335" s="37"/>
      <c r="FO335" s="37"/>
      <c r="FP335" s="55"/>
      <c r="FQ335" s="1" t="s">
        <v>2</v>
      </c>
      <c r="FR335" s="1" t="s">
        <v>113</v>
      </c>
      <c r="FS335" s="1" t="s">
        <v>129</v>
      </c>
      <c r="FV335" s="1" t="s">
        <v>2</v>
      </c>
    </row>
    <row r="336" spans="1:178" ht="16.25" customHeight="1" x14ac:dyDescent="0.2">
      <c r="A336" s="18" t="s">
        <v>177</v>
      </c>
      <c r="B336" s="1" t="s">
        <v>103</v>
      </c>
      <c r="C336" s="15" t="s">
        <v>854</v>
      </c>
      <c r="D336" s="1" t="s">
        <v>69</v>
      </c>
      <c r="H336" s="1" t="s">
        <v>131</v>
      </c>
      <c r="K336" s="1">
        <v>0</v>
      </c>
      <c r="AF336" s="1">
        <v>0</v>
      </c>
      <c r="BA336" s="1">
        <v>1.3</v>
      </c>
      <c r="BB336" s="1">
        <v>0.16</v>
      </c>
      <c r="BI336" s="1">
        <v>0.95</v>
      </c>
      <c r="BJ336" s="1">
        <v>0.03</v>
      </c>
      <c r="BV336" s="1">
        <v>0</v>
      </c>
      <c r="CQ336" s="1">
        <v>0</v>
      </c>
      <c r="DL336" s="18" t="s">
        <v>163</v>
      </c>
      <c r="DM336" s="1" t="s">
        <v>163</v>
      </c>
      <c r="DN336" s="1">
        <f t="shared" si="67"/>
        <v>0.94999999999999984</v>
      </c>
      <c r="DO336" s="1">
        <f t="shared" si="68"/>
        <v>0.03</v>
      </c>
      <c r="DP336" s="1" t="s">
        <v>919</v>
      </c>
      <c r="DQ336" s="1" t="s">
        <v>2</v>
      </c>
      <c r="DR336" s="16">
        <f t="shared" si="69"/>
        <v>1.3</v>
      </c>
      <c r="DS336" s="16">
        <f t="shared" si="70"/>
        <v>0.94999999999999984</v>
      </c>
      <c r="DT336" s="101">
        <f t="shared" si="71"/>
        <v>12.349999999999998</v>
      </c>
      <c r="DV336" s="16">
        <f t="shared" si="72"/>
        <v>0</v>
      </c>
      <c r="DZ336" s="37" t="s">
        <v>2</v>
      </c>
      <c r="EA336" s="37"/>
      <c r="EM336" s="73"/>
      <c r="EN336" s="37"/>
      <c r="EO336" s="37"/>
      <c r="EP336" s="37"/>
      <c r="EQ336" s="37"/>
      <c r="ER336" s="37"/>
      <c r="ES336" s="37"/>
      <c r="ET336" s="37"/>
      <c r="EU336" s="37"/>
      <c r="EV336" s="37"/>
      <c r="EW336" s="37"/>
      <c r="EX336" s="37"/>
      <c r="EY336" s="37"/>
      <c r="EZ336" s="37"/>
      <c r="FA336" s="37"/>
      <c r="FB336" s="37"/>
      <c r="FC336" s="37"/>
      <c r="FD336" s="37"/>
      <c r="FE336" s="37"/>
      <c r="FF336" s="55"/>
      <c r="FG336" s="55"/>
      <c r="FH336" s="55"/>
      <c r="FI336" s="37"/>
      <c r="FJ336" s="55"/>
      <c r="FK336" s="55"/>
      <c r="FL336" s="45"/>
      <c r="FM336" s="37"/>
      <c r="FN336" s="37"/>
      <c r="FO336" s="37"/>
      <c r="FP336" s="55"/>
      <c r="FQ336" s="1" t="s">
        <v>2</v>
      </c>
      <c r="FR336" s="1" t="s">
        <v>113</v>
      </c>
      <c r="FS336" s="1" t="s">
        <v>129</v>
      </c>
      <c r="FV336" s="1" t="s">
        <v>2</v>
      </c>
    </row>
    <row r="337" spans="1:178" ht="16.25" customHeight="1" x14ac:dyDescent="0.2">
      <c r="A337" s="18" t="s">
        <v>177</v>
      </c>
      <c r="B337" s="1" t="s">
        <v>103</v>
      </c>
      <c r="C337" s="15" t="s">
        <v>855</v>
      </c>
      <c r="D337" s="1" t="s">
        <v>69</v>
      </c>
      <c r="H337" s="1" t="s">
        <v>131</v>
      </c>
      <c r="K337" s="1">
        <v>0</v>
      </c>
      <c r="AF337" s="1">
        <v>0</v>
      </c>
      <c r="BA337" s="1">
        <v>0.02</v>
      </c>
      <c r="BB337" s="1">
        <v>0.34</v>
      </c>
      <c r="BI337" s="1">
        <v>0.53</v>
      </c>
      <c r="BV337" s="1">
        <v>0</v>
      </c>
      <c r="CQ337" s="1">
        <v>0</v>
      </c>
      <c r="DL337" s="18" t="s">
        <v>163</v>
      </c>
      <c r="DN337" s="1">
        <f t="shared" si="67"/>
        <v>0.53</v>
      </c>
      <c r="DO337" s="1">
        <f t="shared" si="68"/>
        <v>0</v>
      </c>
      <c r="DP337" s="1" t="s">
        <v>919</v>
      </c>
      <c r="DQ337" s="1" t="s">
        <v>2</v>
      </c>
      <c r="DR337" s="16">
        <f t="shared" si="69"/>
        <v>0.02</v>
      </c>
      <c r="DS337" s="16">
        <f t="shared" si="70"/>
        <v>0.53</v>
      </c>
      <c r="DT337" s="101">
        <f t="shared" si="71"/>
        <v>0.10600000000000001</v>
      </c>
      <c r="DV337" s="16">
        <f t="shared" si="72"/>
        <v>0</v>
      </c>
      <c r="DZ337" s="37" t="s">
        <v>2</v>
      </c>
      <c r="EA337" s="37"/>
      <c r="EM337" s="73"/>
      <c r="EN337" s="37"/>
      <c r="EO337" s="37"/>
      <c r="EP337" s="37"/>
      <c r="EQ337" s="37"/>
      <c r="ER337" s="37"/>
      <c r="ES337" s="37"/>
      <c r="ET337" s="37"/>
      <c r="EU337" s="37"/>
      <c r="EV337" s="37"/>
      <c r="EW337" s="37"/>
      <c r="EX337" s="37"/>
      <c r="EY337" s="37"/>
      <c r="EZ337" s="37"/>
      <c r="FA337" s="37"/>
      <c r="FB337" s="37"/>
      <c r="FC337" s="37"/>
      <c r="FD337" s="37"/>
      <c r="FE337" s="37"/>
      <c r="FF337" s="55"/>
      <c r="FG337" s="55"/>
      <c r="FH337" s="55"/>
      <c r="FI337" s="37"/>
      <c r="FJ337" s="55"/>
      <c r="FK337" s="55"/>
      <c r="FL337" s="45"/>
      <c r="FM337" s="37"/>
      <c r="FN337" s="37"/>
      <c r="FO337" s="37"/>
      <c r="FP337" s="55"/>
      <c r="FQ337" s="1" t="s">
        <v>2</v>
      </c>
      <c r="FR337" s="1" t="s">
        <v>113</v>
      </c>
      <c r="FS337" s="1" t="s">
        <v>129</v>
      </c>
      <c r="FV337" s="1" t="s">
        <v>2</v>
      </c>
    </row>
    <row r="338" spans="1:178" ht="16.25" customHeight="1" x14ac:dyDescent="0.2">
      <c r="A338" s="18" t="s">
        <v>177</v>
      </c>
      <c r="B338" s="1" t="s">
        <v>103</v>
      </c>
      <c r="C338" s="15" t="s">
        <v>856</v>
      </c>
      <c r="D338" s="1" t="s">
        <v>69</v>
      </c>
      <c r="H338" s="1" t="s">
        <v>131</v>
      </c>
      <c r="K338" s="1">
        <v>0</v>
      </c>
      <c r="AF338" s="1">
        <v>0</v>
      </c>
      <c r="BA338" s="1">
        <v>3.5</v>
      </c>
      <c r="BB338" s="1">
        <v>0.28000000000000003</v>
      </c>
      <c r="BI338" s="1">
        <v>0.32</v>
      </c>
      <c r="BJ338" s="2">
        <v>0.04</v>
      </c>
      <c r="BV338" s="1">
        <v>0</v>
      </c>
      <c r="CQ338" s="1">
        <v>0</v>
      </c>
      <c r="DL338" s="18" t="s">
        <v>163</v>
      </c>
      <c r="DN338" s="1">
        <f t="shared" si="67"/>
        <v>0.32</v>
      </c>
      <c r="DO338" s="1">
        <f t="shared" si="68"/>
        <v>0.04</v>
      </c>
      <c r="DP338" s="1" t="s">
        <v>971</v>
      </c>
      <c r="DQ338" s="1" t="s">
        <v>2</v>
      </c>
      <c r="DR338" s="16">
        <f t="shared" si="69"/>
        <v>3.5</v>
      </c>
      <c r="DS338" s="16">
        <f t="shared" si="70"/>
        <v>0.32</v>
      </c>
      <c r="DT338" s="101">
        <f t="shared" si="71"/>
        <v>11.2</v>
      </c>
      <c r="DV338" s="16">
        <f t="shared" si="72"/>
        <v>0</v>
      </c>
      <c r="DZ338" s="37" t="s">
        <v>2</v>
      </c>
      <c r="EA338" s="37"/>
      <c r="EM338" s="73"/>
      <c r="EN338" s="37"/>
      <c r="EO338" s="37"/>
      <c r="EP338" s="37"/>
      <c r="EQ338" s="37"/>
      <c r="ER338" s="37"/>
      <c r="ES338" s="37"/>
      <c r="ET338" s="37"/>
      <c r="EU338" s="37"/>
      <c r="EV338" s="37"/>
      <c r="EW338" s="37"/>
      <c r="EX338" s="37"/>
      <c r="EY338" s="37"/>
      <c r="EZ338" s="37"/>
      <c r="FA338" s="37"/>
      <c r="FB338" s="37"/>
      <c r="FC338" s="37"/>
      <c r="FD338" s="37"/>
      <c r="FE338" s="37"/>
      <c r="FF338" s="55"/>
      <c r="FG338" s="55"/>
      <c r="FH338" s="55"/>
      <c r="FI338" s="37"/>
      <c r="FJ338" s="55"/>
      <c r="FK338" s="55"/>
      <c r="FL338" s="45"/>
      <c r="FM338" s="37"/>
      <c r="FN338" s="37"/>
      <c r="FO338" s="37"/>
      <c r="FP338" s="55"/>
      <c r="FQ338" s="1" t="s">
        <v>2</v>
      </c>
      <c r="FR338" s="1" t="s">
        <v>113</v>
      </c>
      <c r="FS338" s="1" t="s">
        <v>129</v>
      </c>
      <c r="FV338" s="1" t="s">
        <v>2</v>
      </c>
    </row>
    <row r="339" spans="1:178" ht="16.25" customHeight="1" x14ac:dyDescent="0.2">
      <c r="A339" s="18" t="s">
        <v>177</v>
      </c>
      <c r="B339" s="1" t="s">
        <v>103</v>
      </c>
      <c r="C339" s="15" t="s">
        <v>857</v>
      </c>
      <c r="D339" s="1" t="s">
        <v>69</v>
      </c>
      <c r="H339" s="1" t="s">
        <v>131</v>
      </c>
      <c r="K339" s="1">
        <v>0</v>
      </c>
      <c r="AF339" s="1">
        <v>0</v>
      </c>
      <c r="BA339" s="1">
        <v>0.03</v>
      </c>
      <c r="BB339" s="1">
        <v>0.2</v>
      </c>
      <c r="BI339" s="1">
        <v>1.4</v>
      </c>
      <c r="BV339" s="1">
        <v>0</v>
      </c>
      <c r="CQ339" s="1">
        <v>0</v>
      </c>
      <c r="DL339" s="18" t="s">
        <v>163</v>
      </c>
      <c r="DN339" s="1">
        <f t="shared" si="67"/>
        <v>1.4</v>
      </c>
      <c r="DO339" s="1">
        <f t="shared" si="68"/>
        <v>0</v>
      </c>
      <c r="DP339" s="1" t="s">
        <v>919</v>
      </c>
      <c r="DQ339" s="1" t="s">
        <v>2</v>
      </c>
      <c r="DR339" s="16">
        <f t="shared" si="69"/>
        <v>0.03</v>
      </c>
      <c r="DS339" s="16">
        <f t="shared" si="70"/>
        <v>1.4</v>
      </c>
      <c r="DT339" s="101">
        <f t="shared" si="71"/>
        <v>0.42</v>
      </c>
      <c r="DV339" s="16">
        <f t="shared" si="72"/>
        <v>0</v>
      </c>
      <c r="DZ339" s="37" t="s">
        <v>2</v>
      </c>
      <c r="EA339" s="37"/>
      <c r="EM339" s="73"/>
      <c r="EN339" s="37"/>
      <c r="EO339" s="37"/>
      <c r="EP339" s="37"/>
      <c r="EQ339" s="37"/>
      <c r="ER339" s="37"/>
      <c r="ES339" s="37"/>
      <c r="ET339" s="37"/>
      <c r="EU339" s="37"/>
      <c r="EV339" s="37"/>
      <c r="EW339" s="37"/>
      <c r="EX339" s="37"/>
      <c r="EY339" s="37"/>
      <c r="EZ339" s="37"/>
      <c r="FA339" s="37"/>
      <c r="FB339" s="37"/>
      <c r="FC339" s="37"/>
      <c r="FD339" s="37"/>
      <c r="FE339" s="37"/>
      <c r="FF339" s="55"/>
      <c r="FG339" s="55"/>
      <c r="FH339" s="55"/>
      <c r="FI339" s="37"/>
      <c r="FJ339" s="55"/>
      <c r="FK339" s="55"/>
      <c r="FL339" s="45"/>
      <c r="FM339" s="37"/>
      <c r="FN339" s="37"/>
      <c r="FO339" s="37"/>
      <c r="FP339" s="55"/>
      <c r="FQ339" s="1" t="s">
        <v>2</v>
      </c>
      <c r="FR339" s="1" t="s">
        <v>113</v>
      </c>
      <c r="FS339" s="1" t="s">
        <v>129</v>
      </c>
      <c r="FV339" s="1" t="s">
        <v>2</v>
      </c>
    </row>
    <row r="340" spans="1:178" ht="16.25" customHeight="1" x14ac:dyDescent="0.2">
      <c r="A340" s="18" t="s">
        <v>177</v>
      </c>
      <c r="B340" s="1" t="s">
        <v>103</v>
      </c>
      <c r="C340" s="79" t="s">
        <v>632</v>
      </c>
      <c r="D340" s="1" t="s">
        <v>69</v>
      </c>
      <c r="H340" s="1" t="s">
        <v>131</v>
      </c>
      <c r="K340" s="1">
        <v>0</v>
      </c>
      <c r="AF340" s="1">
        <v>0</v>
      </c>
      <c r="BA340" s="1">
        <v>0.09</v>
      </c>
      <c r="BB340" s="1">
        <v>0.15</v>
      </c>
      <c r="BI340" s="1">
        <v>0.34</v>
      </c>
      <c r="BV340" s="1">
        <v>0</v>
      </c>
      <c r="CQ340" s="1">
        <v>0</v>
      </c>
      <c r="DL340" s="18" t="s">
        <v>163</v>
      </c>
      <c r="DN340" s="1">
        <f t="shared" si="67"/>
        <v>0.34</v>
      </c>
      <c r="DO340" s="1">
        <f t="shared" si="68"/>
        <v>0</v>
      </c>
      <c r="DP340" s="1" t="s">
        <v>919</v>
      </c>
      <c r="DQ340" s="1" t="s">
        <v>2</v>
      </c>
      <c r="DR340" s="16">
        <f t="shared" si="69"/>
        <v>0.09</v>
      </c>
      <c r="DS340" s="16">
        <f t="shared" si="70"/>
        <v>0.34</v>
      </c>
      <c r="DT340" s="101">
        <f t="shared" si="71"/>
        <v>0.30599999999999999</v>
      </c>
      <c r="DV340" s="16">
        <f t="shared" si="72"/>
        <v>0</v>
      </c>
      <c r="DZ340" s="37" t="s">
        <v>2</v>
      </c>
      <c r="EA340" s="37"/>
      <c r="EM340" s="73"/>
      <c r="EN340" s="37"/>
      <c r="EO340" s="37"/>
      <c r="EP340" s="37"/>
      <c r="EQ340" s="37"/>
      <c r="ER340" s="37"/>
      <c r="ES340" s="37"/>
      <c r="ET340" s="37"/>
      <c r="EU340" s="37"/>
      <c r="EV340" s="37"/>
      <c r="EW340" s="37"/>
      <c r="EX340" s="37"/>
      <c r="EY340" s="37"/>
      <c r="EZ340" s="37"/>
      <c r="FA340" s="37"/>
      <c r="FB340" s="37"/>
      <c r="FC340" s="37"/>
      <c r="FD340" s="37"/>
      <c r="FE340" s="37"/>
      <c r="FF340" s="55"/>
      <c r="FG340" s="55"/>
      <c r="FH340" s="55"/>
      <c r="FI340" s="37"/>
      <c r="FJ340" s="55"/>
      <c r="FK340" s="55"/>
      <c r="FL340" s="45"/>
      <c r="FM340" s="37"/>
      <c r="FN340" s="37"/>
      <c r="FO340" s="37"/>
      <c r="FP340" s="55"/>
      <c r="FQ340" s="1" t="s">
        <v>2</v>
      </c>
      <c r="FR340" s="1" t="s">
        <v>113</v>
      </c>
      <c r="FS340" s="1" t="s">
        <v>129</v>
      </c>
      <c r="FV340" s="1" t="s">
        <v>2</v>
      </c>
    </row>
    <row r="341" spans="1:178" ht="16.25" customHeight="1" x14ac:dyDescent="0.2">
      <c r="A341" s="18" t="s">
        <v>177</v>
      </c>
      <c r="B341" s="1" t="s">
        <v>103</v>
      </c>
      <c r="C341" s="79" t="s">
        <v>507</v>
      </c>
      <c r="D341" s="1" t="s">
        <v>69</v>
      </c>
      <c r="G341" s="1" t="s">
        <v>72</v>
      </c>
      <c r="H341" s="1" t="s">
        <v>499</v>
      </c>
      <c r="K341" s="1">
        <v>0</v>
      </c>
      <c r="AF341" s="1">
        <v>0</v>
      </c>
      <c r="BA341" s="1">
        <v>1.052</v>
      </c>
      <c r="BB341" s="1">
        <v>0.42</v>
      </c>
      <c r="BI341" s="1">
        <v>0.49</v>
      </c>
      <c r="BV341" s="1">
        <v>0</v>
      </c>
      <c r="CQ341" s="1">
        <v>0</v>
      </c>
      <c r="DL341" s="18" t="s">
        <v>96</v>
      </c>
      <c r="DN341" s="1">
        <f t="shared" si="67"/>
        <v>0.49000000000000005</v>
      </c>
      <c r="DO341" s="1">
        <f t="shared" si="68"/>
        <v>0</v>
      </c>
      <c r="DP341" s="1" t="s">
        <v>978</v>
      </c>
      <c r="DQ341" s="1" t="s">
        <v>2</v>
      </c>
      <c r="DR341" s="16">
        <f t="shared" si="69"/>
        <v>1.052</v>
      </c>
      <c r="DS341" s="16">
        <f t="shared" si="70"/>
        <v>0.49000000000000005</v>
      </c>
      <c r="DT341" s="101">
        <f t="shared" si="71"/>
        <v>5.1547999999999998</v>
      </c>
      <c r="DV341" s="16">
        <f t="shared" si="72"/>
        <v>0</v>
      </c>
      <c r="DZ341" s="37" t="s">
        <v>2</v>
      </c>
      <c r="EA341" s="37"/>
      <c r="EM341" s="73"/>
      <c r="EN341" s="37"/>
      <c r="EO341" s="37"/>
      <c r="EP341" s="37"/>
      <c r="EQ341" s="37"/>
      <c r="ER341" s="37"/>
      <c r="ES341" s="37"/>
      <c r="ET341" s="37"/>
      <c r="EU341" s="37"/>
      <c r="EV341" s="37"/>
      <c r="EW341" s="37"/>
      <c r="EX341" s="37"/>
      <c r="EY341" s="37"/>
      <c r="EZ341" s="37"/>
      <c r="FA341" s="37"/>
      <c r="FB341" s="37"/>
      <c r="FC341" s="37"/>
      <c r="FD341" s="37"/>
      <c r="FE341" s="37"/>
      <c r="FF341" s="55"/>
      <c r="FG341" s="55"/>
      <c r="FH341" s="55"/>
      <c r="FI341" s="37"/>
      <c r="FJ341" s="55"/>
      <c r="FK341" s="55"/>
      <c r="FL341" s="45"/>
      <c r="FM341" s="37"/>
      <c r="FN341" s="37"/>
      <c r="FO341" s="37"/>
      <c r="FP341" s="55"/>
      <c r="FQ341" s="1" t="s">
        <v>2</v>
      </c>
      <c r="FR341" s="1" t="s">
        <v>113</v>
      </c>
      <c r="FS341" s="1" t="s">
        <v>129</v>
      </c>
      <c r="FV341" s="1" t="s">
        <v>2</v>
      </c>
    </row>
    <row r="342" spans="1:178" ht="16.25" customHeight="1" x14ac:dyDescent="0.2">
      <c r="A342" s="18" t="s">
        <v>177</v>
      </c>
      <c r="B342" s="1" t="s">
        <v>103</v>
      </c>
      <c r="C342" s="79" t="s">
        <v>623</v>
      </c>
      <c r="D342" s="1" t="s">
        <v>69</v>
      </c>
      <c r="H342" s="1" t="s">
        <v>131</v>
      </c>
      <c r="K342" s="1">
        <v>0</v>
      </c>
      <c r="L342" s="13"/>
      <c r="S342" s="13"/>
      <c r="AF342" s="1">
        <v>0</v>
      </c>
      <c r="BA342" s="1">
        <v>1.6</v>
      </c>
      <c r="BB342" s="1">
        <v>0.19</v>
      </c>
      <c r="BI342" s="1">
        <v>0.65</v>
      </c>
      <c r="BJ342" s="1">
        <v>0.03</v>
      </c>
      <c r="BV342" s="1">
        <v>0</v>
      </c>
      <c r="CQ342" s="1">
        <v>0</v>
      </c>
      <c r="CR342" s="13"/>
      <c r="CY342" s="13"/>
      <c r="DL342" s="18" t="s">
        <v>163</v>
      </c>
      <c r="DM342" s="1" t="s">
        <v>163</v>
      </c>
      <c r="DN342" s="1">
        <f t="shared" si="67"/>
        <v>0.65</v>
      </c>
      <c r="DO342" s="1">
        <f t="shared" si="68"/>
        <v>0.03</v>
      </c>
      <c r="DP342" s="1" t="s">
        <v>919</v>
      </c>
      <c r="DQ342" s="1" t="s">
        <v>2</v>
      </c>
      <c r="DR342" s="16">
        <f t="shared" si="69"/>
        <v>1.6</v>
      </c>
      <c r="DS342" s="16">
        <f t="shared" si="70"/>
        <v>0.65</v>
      </c>
      <c r="DT342" s="101">
        <f t="shared" si="71"/>
        <v>10.4</v>
      </c>
      <c r="DV342" s="16">
        <f t="shared" si="72"/>
        <v>0</v>
      </c>
      <c r="DZ342" s="37" t="s">
        <v>2</v>
      </c>
      <c r="EA342" s="37"/>
      <c r="EM342" s="73"/>
      <c r="EN342" s="37"/>
      <c r="EO342" s="37"/>
      <c r="EP342" s="37"/>
      <c r="EQ342" s="37"/>
      <c r="ER342" s="37"/>
      <c r="ES342" s="37"/>
      <c r="ET342" s="37"/>
      <c r="EU342" s="37"/>
      <c r="EV342" s="37"/>
      <c r="EW342" s="37"/>
      <c r="EX342" s="37"/>
      <c r="EY342" s="37"/>
      <c r="EZ342" s="37"/>
      <c r="FA342" s="37"/>
      <c r="FB342" s="37"/>
      <c r="FC342" s="37"/>
      <c r="FD342" s="37"/>
      <c r="FE342" s="37"/>
      <c r="FF342" s="55"/>
      <c r="FG342" s="55"/>
      <c r="FH342" s="55"/>
      <c r="FI342" s="37"/>
      <c r="FJ342" s="55"/>
      <c r="FK342" s="55"/>
      <c r="FL342" s="45"/>
      <c r="FM342" s="37"/>
      <c r="FN342" s="37"/>
      <c r="FO342" s="37"/>
      <c r="FP342" s="55"/>
      <c r="FQ342" s="1" t="s">
        <v>2</v>
      </c>
      <c r="FR342" s="1" t="s">
        <v>113</v>
      </c>
      <c r="FS342" s="1" t="s">
        <v>129</v>
      </c>
      <c r="FV342" s="1" t="s">
        <v>2</v>
      </c>
    </row>
    <row r="343" spans="1:178" ht="16.25" customHeight="1" x14ac:dyDescent="0.2">
      <c r="A343" s="18" t="s">
        <v>177</v>
      </c>
      <c r="B343" s="1" t="s">
        <v>103</v>
      </c>
      <c r="C343" s="79" t="s">
        <v>624</v>
      </c>
      <c r="D343" s="1" t="s">
        <v>69</v>
      </c>
      <c r="H343" s="1" t="s">
        <v>131</v>
      </c>
      <c r="K343" s="1">
        <v>0</v>
      </c>
      <c r="AF343" s="1">
        <v>0</v>
      </c>
      <c r="BA343" s="1">
        <v>0.05</v>
      </c>
      <c r="BB343" s="1">
        <v>0.25</v>
      </c>
      <c r="BI343" s="1">
        <v>0.44</v>
      </c>
      <c r="BV343" s="1">
        <v>0</v>
      </c>
      <c r="CQ343" s="1">
        <v>0</v>
      </c>
      <c r="DL343" s="18" t="s">
        <v>163</v>
      </c>
      <c r="DN343" s="1">
        <f t="shared" si="67"/>
        <v>0.44</v>
      </c>
      <c r="DO343" s="1">
        <f t="shared" si="68"/>
        <v>0</v>
      </c>
      <c r="DP343" s="1" t="s">
        <v>919</v>
      </c>
      <c r="DQ343" s="1" t="s">
        <v>2</v>
      </c>
      <c r="DR343" s="16">
        <f t="shared" si="69"/>
        <v>0.05</v>
      </c>
      <c r="DS343" s="16">
        <f t="shared" si="70"/>
        <v>0.44</v>
      </c>
      <c r="DT343" s="101">
        <f t="shared" si="71"/>
        <v>0.22</v>
      </c>
      <c r="DV343" s="16">
        <f t="shared" si="72"/>
        <v>0</v>
      </c>
      <c r="DZ343" s="37" t="s">
        <v>2</v>
      </c>
      <c r="EA343" s="37"/>
      <c r="EM343" s="73"/>
      <c r="EN343" s="37"/>
      <c r="EO343" s="37"/>
      <c r="EP343" s="37"/>
      <c r="EQ343" s="37"/>
      <c r="ER343" s="37"/>
      <c r="ES343" s="37"/>
      <c r="ET343" s="37"/>
      <c r="EU343" s="37"/>
      <c r="EV343" s="37"/>
      <c r="EW343" s="37"/>
      <c r="EX343" s="37"/>
      <c r="EY343" s="37"/>
      <c r="EZ343" s="37"/>
      <c r="FA343" s="37"/>
      <c r="FB343" s="37"/>
      <c r="FC343" s="37"/>
      <c r="FD343" s="37"/>
      <c r="FE343" s="37"/>
      <c r="FF343" s="55"/>
      <c r="FG343" s="55"/>
      <c r="FH343" s="55"/>
      <c r="FI343" s="37"/>
      <c r="FJ343" s="55"/>
      <c r="FK343" s="55"/>
      <c r="FL343" s="45"/>
      <c r="FM343" s="37"/>
      <c r="FN343" s="37"/>
      <c r="FO343" s="37"/>
      <c r="FP343" s="55"/>
      <c r="FQ343" s="1" t="s">
        <v>2</v>
      </c>
      <c r="FR343" s="1" t="s">
        <v>113</v>
      </c>
      <c r="FS343" s="1" t="s">
        <v>129</v>
      </c>
      <c r="FV343" s="1" t="s">
        <v>2</v>
      </c>
    </row>
    <row r="344" spans="1:178" ht="16.25" customHeight="1" x14ac:dyDescent="0.2">
      <c r="A344" s="18" t="s">
        <v>177</v>
      </c>
      <c r="B344" s="1" t="s">
        <v>103</v>
      </c>
      <c r="C344" s="79" t="s">
        <v>633</v>
      </c>
      <c r="D344" s="1" t="s">
        <v>69</v>
      </c>
      <c r="H344" s="1" t="s">
        <v>634</v>
      </c>
      <c r="K344" s="1">
        <v>0</v>
      </c>
      <c r="AF344" s="1">
        <v>0</v>
      </c>
      <c r="BA344" s="1">
        <v>1.6</v>
      </c>
      <c r="BB344" s="1">
        <v>0.28999999999999998</v>
      </c>
      <c r="BI344" s="1">
        <v>0.44</v>
      </c>
      <c r="BV344" s="1">
        <v>0</v>
      </c>
      <c r="CQ344" s="1">
        <v>0</v>
      </c>
      <c r="DL344" s="18" t="s">
        <v>96</v>
      </c>
      <c r="DN344" s="1">
        <f t="shared" si="67"/>
        <v>0.44</v>
      </c>
      <c r="DO344" s="1">
        <f t="shared" si="68"/>
        <v>0</v>
      </c>
      <c r="DP344" s="1" t="s">
        <v>978</v>
      </c>
      <c r="DQ344" s="1" t="s">
        <v>2</v>
      </c>
      <c r="DR344" s="16">
        <f t="shared" si="69"/>
        <v>1.6</v>
      </c>
      <c r="DS344" s="16">
        <f t="shared" si="70"/>
        <v>0.44</v>
      </c>
      <c r="DT344" s="101">
        <f t="shared" si="71"/>
        <v>7.04</v>
      </c>
      <c r="DV344" s="16">
        <f t="shared" si="72"/>
        <v>0</v>
      </c>
      <c r="DZ344" s="37" t="s">
        <v>2</v>
      </c>
      <c r="EA344" s="37"/>
      <c r="EM344" s="73"/>
      <c r="EN344" s="37"/>
      <c r="EO344" s="37"/>
      <c r="EP344" s="37"/>
      <c r="EQ344" s="37"/>
      <c r="ER344" s="37"/>
      <c r="ES344" s="37"/>
      <c r="ET344" s="37"/>
      <c r="EU344" s="37"/>
      <c r="EV344" s="37"/>
      <c r="EW344" s="37"/>
      <c r="EX344" s="37"/>
      <c r="EY344" s="37"/>
      <c r="EZ344" s="37"/>
      <c r="FA344" s="37"/>
      <c r="FB344" s="37"/>
      <c r="FC344" s="37"/>
      <c r="FD344" s="37"/>
      <c r="FE344" s="37"/>
      <c r="FF344" s="55"/>
      <c r="FG344" s="55"/>
      <c r="FH344" s="55"/>
      <c r="FI344" s="37"/>
      <c r="FJ344" s="55"/>
      <c r="FK344" s="55"/>
      <c r="FL344" s="45"/>
      <c r="FM344" s="37"/>
      <c r="FN344" s="37"/>
      <c r="FO344" s="37"/>
      <c r="FP344" s="55"/>
      <c r="FQ344" s="1" t="s">
        <v>2</v>
      </c>
      <c r="FR344" s="1" t="s">
        <v>113</v>
      </c>
      <c r="FS344" s="1" t="s">
        <v>129</v>
      </c>
      <c r="FV344" s="1" t="s">
        <v>2</v>
      </c>
    </row>
    <row r="345" spans="1:178" ht="16.25" customHeight="1" x14ac:dyDescent="0.2">
      <c r="A345" s="18" t="s">
        <v>177</v>
      </c>
      <c r="B345" s="1" t="s">
        <v>103</v>
      </c>
      <c r="C345" s="15" t="s">
        <v>1245</v>
      </c>
      <c r="H345" s="1" t="s">
        <v>1009</v>
      </c>
      <c r="K345" s="1">
        <v>0</v>
      </c>
      <c r="AF345" s="1">
        <v>0</v>
      </c>
      <c r="BA345" s="1">
        <v>3.5999999999999997E-2</v>
      </c>
      <c r="BB345" s="1">
        <v>0.69</v>
      </c>
      <c r="BI345" s="1">
        <v>0.94</v>
      </c>
      <c r="BJ345" s="1">
        <v>0.06</v>
      </c>
      <c r="BV345" s="1">
        <v>0</v>
      </c>
      <c r="CQ345" s="1">
        <v>0</v>
      </c>
      <c r="DL345" s="18" t="s">
        <v>163</v>
      </c>
      <c r="DM345" s="1" t="s">
        <v>163</v>
      </c>
      <c r="DN345" s="1">
        <f t="shared" si="67"/>
        <v>0.94</v>
      </c>
      <c r="DO345" s="1">
        <f t="shared" si="68"/>
        <v>5.9999999999999991E-2</v>
      </c>
      <c r="DP345" s="1" t="s">
        <v>983</v>
      </c>
      <c r="DQ345" s="1" t="s">
        <v>2</v>
      </c>
      <c r="DR345" s="16">
        <f t="shared" si="69"/>
        <v>3.5999999999999997E-2</v>
      </c>
      <c r="DS345" s="16">
        <f t="shared" si="70"/>
        <v>0.94</v>
      </c>
      <c r="DT345" s="101">
        <f t="shared" si="71"/>
        <v>0.33839999999999998</v>
      </c>
      <c r="DV345" s="16">
        <f t="shared" si="72"/>
        <v>0</v>
      </c>
      <c r="DZ345" s="37" t="s">
        <v>2</v>
      </c>
      <c r="EA345" s="37"/>
      <c r="EM345" s="73"/>
      <c r="EN345" s="37"/>
      <c r="EO345" s="37"/>
      <c r="EP345" s="37"/>
      <c r="EQ345" s="37"/>
      <c r="ER345" s="37"/>
      <c r="ES345" s="37"/>
      <c r="ET345" s="37"/>
      <c r="EU345" s="37"/>
      <c r="EV345" s="37"/>
      <c r="EW345" s="37"/>
      <c r="EX345" s="37"/>
      <c r="EY345" s="37"/>
      <c r="EZ345" s="37"/>
      <c r="FA345" s="37"/>
      <c r="FB345" s="37"/>
      <c r="FC345" s="37"/>
      <c r="FD345" s="37"/>
      <c r="FE345" s="37"/>
      <c r="FF345" s="55"/>
      <c r="FG345" s="55"/>
      <c r="FH345" s="55"/>
      <c r="FI345" s="37"/>
      <c r="FJ345" s="55"/>
      <c r="FK345" s="55"/>
      <c r="FL345" s="45"/>
      <c r="FM345" s="37"/>
      <c r="FN345" s="37"/>
      <c r="FO345" s="37"/>
      <c r="FP345" s="55"/>
      <c r="FQ345" s="1" t="s">
        <v>2</v>
      </c>
      <c r="FR345" s="1" t="s">
        <v>113</v>
      </c>
      <c r="FS345" s="1" t="s">
        <v>129</v>
      </c>
      <c r="FV345" s="1" t="s">
        <v>2</v>
      </c>
    </row>
    <row r="346" spans="1:178" ht="16.25" customHeight="1" x14ac:dyDescent="0.2">
      <c r="A346" s="18" t="s">
        <v>177</v>
      </c>
      <c r="B346" s="1" t="s">
        <v>103</v>
      </c>
      <c r="C346" s="15" t="s">
        <v>1057</v>
      </c>
      <c r="D346" s="1" t="s">
        <v>69</v>
      </c>
      <c r="H346" s="1" t="s">
        <v>131</v>
      </c>
      <c r="K346" s="1">
        <v>0</v>
      </c>
      <c r="AF346" s="1">
        <v>0</v>
      </c>
      <c r="BA346" s="1">
        <f>6.975+0.026</f>
        <v>7.0009999999999994</v>
      </c>
      <c r="BB346" s="13">
        <f>(0.38*6.975+0.36*0.026)/BA346</f>
        <v>0.37992572489644338</v>
      </c>
      <c r="BC346" s="1">
        <f>(0.2*6.975+0.2*0.026)/BA346</f>
        <v>0.20000000000000004</v>
      </c>
      <c r="BI346" s="13">
        <f>(0.24*6.975+0.24*0.026)/BA346</f>
        <v>0.24000000000000002</v>
      </c>
      <c r="BK346" s="1">
        <f>(0.2*6.975+0.2*0.026)/BA346</f>
        <v>0.20000000000000004</v>
      </c>
      <c r="BL346" s="1">
        <f>(0.6*6.975+0.6*0.026)/BA346</f>
        <v>0.6</v>
      </c>
      <c r="BV346" s="1">
        <v>0</v>
      </c>
      <c r="CQ346" s="1">
        <v>0</v>
      </c>
      <c r="DL346" s="18" t="s">
        <v>163</v>
      </c>
      <c r="DN346" s="1">
        <f t="shared" si="67"/>
        <v>0.24000000000000002</v>
      </c>
      <c r="DO346" s="1">
        <f t="shared" si="68"/>
        <v>0</v>
      </c>
      <c r="DP346" s="1" t="s">
        <v>951</v>
      </c>
      <c r="DQ346" s="1" t="s">
        <v>2</v>
      </c>
      <c r="DR346" s="16">
        <f t="shared" si="69"/>
        <v>7.0009999999999994</v>
      </c>
      <c r="DS346" s="16">
        <f t="shared" si="70"/>
        <v>0.24000000000000002</v>
      </c>
      <c r="DT346" s="101">
        <f t="shared" si="71"/>
        <v>16.802399999999999</v>
      </c>
      <c r="DV346" s="16">
        <f t="shared" si="72"/>
        <v>0</v>
      </c>
      <c r="DZ346" s="37" t="s">
        <v>2</v>
      </c>
      <c r="EA346" s="37"/>
      <c r="EM346" s="73"/>
      <c r="EN346" s="37"/>
      <c r="EO346" s="37"/>
      <c r="EP346" s="37"/>
      <c r="EQ346" s="37"/>
      <c r="ER346" s="37"/>
      <c r="ES346" s="37"/>
      <c r="ET346" s="37"/>
      <c r="EU346" s="37"/>
      <c r="EV346" s="37"/>
      <c r="EW346" s="37"/>
      <c r="EX346" s="37"/>
      <c r="EY346" s="37"/>
      <c r="EZ346" s="37"/>
      <c r="FA346" s="37"/>
      <c r="FB346" s="37"/>
      <c r="FC346" s="37"/>
      <c r="FD346" s="37"/>
      <c r="FE346" s="37"/>
      <c r="FF346" s="55"/>
      <c r="FG346" s="55"/>
      <c r="FH346" s="55"/>
      <c r="FI346" s="37"/>
      <c r="FJ346" s="55"/>
      <c r="FK346" s="55"/>
      <c r="FL346" s="45"/>
      <c r="FM346" s="37"/>
      <c r="FN346" s="37"/>
      <c r="FO346" s="37"/>
      <c r="FP346" s="55"/>
      <c r="FQ346" s="1" t="s">
        <v>2</v>
      </c>
      <c r="FR346" s="1" t="s">
        <v>113</v>
      </c>
      <c r="FS346" s="1" t="s">
        <v>708</v>
      </c>
      <c r="FV346" s="1" t="s">
        <v>2</v>
      </c>
    </row>
    <row r="347" spans="1:178" ht="16.25" customHeight="1" x14ac:dyDescent="0.2">
      <c r="A347" s="25" t="s">
        <v>190</v>
      </c>
      <c r="B347" s="1" t="s">
        <v>137</v>
      </c>
      <c r="C347" s="21" t="s">
        <v>346</v>
      </c>
      <c r="D347" s="1" t="s">
        <v>69</v>
      </c>
      <c r="G347" s="1" t="s">
        <v>72</v>
      </c>
      <c r="H347" s="1" t="s">
        <v>152</v>
      </c>
      <c r="J347" s="1" t="s">
        <v>467</v>
      </c>
      <c r="K347" s="1">
        <v>0</v>
      </c>
      <c r="AF347" s="1">
        <v>0</v>
      </c>
      <c r="BA347" s="1">
        <f>66.2-13*0.7</f>
        <v>57.1</v>
      </c>
      <c r="BI347" s="1" t="s">
        <v>1113</v>
      </c>
      <c r="BV347" s="1">
        <v>0</v>
      </c>
      <c r="CQ347" s="1">
        <v>0</v>
      </c>
      <c r="DL347" s="18" t="s">
        <v>163</v>
      </c>
      <c r="DN347" s="1">
        <f t="shared" si="67"/>
        <v>0.76999999999999991</v>
      </c>
      <c r="DO347" s="1">
        <f t="shared" si="68"/>
        <v>0</v>
      </c>
      <c r="DP347" s="1" t="s">
        <v>471</v>
      </c>
      <c r="DQ347" s="1" t="s">
        <v>2</v>
      </c>
      <c r="DR347" s="16">
        <f t="shared" si="69"/>
        <v>57.1</v>
      </c>
      <c r="DS347" s="16">
        <f t="shared" si="70"/>
        <v>0.76999999999999991</v>
      </c>
      <c r="DT347" s="101">
        <f t="shared" si="71"/>
        <v>439.6699999999999</v>
      </c>
      <c r="DV347" s="16">
        <f t="shared" si="72"/>
        <v>0</v>
      </c>
      <c r="DZ347" s="37" t="s">
        <v>2</v>
      </c>
      <c r="EA347" s="37" t="s">
        <v>137</v>
      </c>
      <c r="EM347" s="73" t="s">
        <v>137</v>
      </c>
      <c r="EN347" s="37"/>
      <c r="EO347" s="37"/>
      <c r="EP347" s="37"/>
      <c r="EQ347" s="37"/>
      <c r="ER347" s="37"/>
      <c r="ES347" s="37"/>
      <c r="ET347" s="37"/>
      <c r="EU347" s="37"/>
      <c r="EV347" s="37"/>
      <c r="EW347" s="37"/>
      <c r="EX347" s="37"/>
      <c r="EY347" s="37"/>
      <c r="EZ347" s="37"/>
      <c r="FA347" s="37"/>
      <c r="FB347" s="37"/>
      <c r="FC347" s="37"/>
      <c r="FD347" s="37"/>
      <c r="FE347" s="37"/>
      <c r="FF347" s="55"/>
      <c r="FG347" s="55"/>
      <c r="FH347" s="55"/>
      <c r="FI347" s="37"/>
      <c r="FJ347" s="55"/>
      <c r="FK347" s="55"/>
      <c r="FL347" s="45"/>
      <c r="FM347" s="37"/>
      <c r="FN347" s="37"/>
      <c r="FO347" s="37"/>
      <c r="FP347" s="55" t="s">
        <v>137</v>
      </c>
      <c r="FQ347" s="1" t="s">
        <v>2</v>
      </c>
      <c r="FR347" s="1" t="s">
        <v>31</v>
      </c>
      <c r="FS347" s="1" t="s">
        <v>193</v>
      </c>
      <c r="FT347" s="1" t="s">
        <v>193</v>
      </c>
      <c r="FV347" s="1" t="s">
        <v>2</v>
      </c>
    </row>
    <row r="348" spans="1:178" ht="16.25" customHeight="1" x14ac:dyDescent="0.2">
      <c r="A348" s="25" t="s">
        <v>190</v>
      </c>
      <c r="B348" s="1" t="s">
        <v>137</v>
      </c>
      <c r="C348" s="80" t="s">
        <v>439</v>
      </c>
      <c r="D348" s="1" t="s">
        <v>69</v>
      </c>
      <c r="G348" s="1" t="s">
        <v>65</v>
      </c>
      <c r="H348" s="1" t="s">
        <v>440</v>
      </c>
      <c r="J348" s="1" t="s">
        <v>467</v>
      </c>
      <c r="K348" s="1">
        <v>0</v>
      </c>
      <c r="AF348" s="1">
        <v>0</v>
      </c>
      <c r="BA348" s="14">
        <f>228.3-13*1.35</f>
        <v>210.75</v>
      </c>
      <c r="BI348" s="1" t="s">
        <v>1115</v>
      </c>
      <c r="BV348" s="1">
        <v>0</v>
      </c>
      <c r="CQ348" s="1">
        <v>0</v>
      </c>
      <c r="DL348" s="18" t="s">
        <v>163</v>
      </c>
      <c r="DN348" s="1">
        <f t="shared" si="67"/>
        <v>0.83</v>
      </c>
      <c r="DO348" s="1">
        <f t="shared" si="68"/>
        <v>0</v>
      </c>
      <c r="DP348" s="1" t="s">
        <v>471</v>
      </c>
      <c r="DQ348" s="1" t="s">
        <v>2</v>
      </c>
      <c r="DR348" s="101">
        <f t="shared" si="69"/>
        <v>210.75</v>
      </c>
      <c r="DS348" s="16">
        <f t="shared" si="70"/>
        <v>0.83</v>
      </c>
      <c r="DT348" s="102">
        <f t="shared" si="71"/>
        <v>1749.2249999999999</v>
      </c>
      <c r="DV348" s="16">
        <f t="shared" si="72"/>
        <v>0</v>
      </c>
      <c r="DZ348" s="37" t="s">
        <v>2</v>
      </c>
      <c r="EA348" s="37"/>
      <c r="EM348" s="73"/>
      <c r="EN348" s="37"/>
      <c r="EO348" s="37"/>
      <c r="EP348" s="37"/>
      <c r="EQ348" s="37"/>
      <c r="ER348" s="37"/>
      <c r="ES348" s="37"/>
      <c r="ET348" s="37"/>
      <c r="EU348" s="37"/>
      <c r="EV348" s="37"/>
      <c r="EW348" s="37"/>
      <c r="EX348" s="37"/>
      <c r="EY348" s="37"/>
      <c r="EZ348" s="37"/>
      <c r="FA348" s="37"/>
      <c r="FB348" s="37"/>
      <c r="FC348" s="37"/>
      <c r="FD348" s="37"/>
      <c r="FE348" s="37"/>
      <c r="FF348" s="55"/>
      <c r="FG348" s="55"/>
      <c r="FH348" s="55"/>
      <c r="FI348" s="37"/>
      <c r="FJ348" s="55"/>
      <c r="FK348" s="55"/>
      <c r="FL348" s="45"/>
      <c r="FM348" s="37"/>
      <c r="FN348" s="37"/>
      <c r="FO348" s="37"/>
      <c r="FP348" s="55"/>
      <c r="FQ348" s="1" t="s">
        <v>2</v>
      </c>
      <c r="FR348" s="1" t="s">
        <v>31</v>
      </c>
      <c r="FS348" s="1" t="s">
        <v>193</v>
      </c>
      <c r="FT348" s="1" t="s">
        <v>193</v>
      </c>
      <c r="FV348" s="1" t="s">
        <v>2</v>
      </c>
    </row>
    <row r="349" spans="1:178" ht="16.25" customHeight="1" x14ac:dyDescent="0.2">
      <c r="A349" s="25" t="s">
        <v>190</v>
      </c>
      <c r="B349" s="1" t="s">
        <v>137</v>
      </c>
      <c r="C349" s="16" t="s">
        <v>116</v>
      </c>
      <c r="D349" s="1" t="s">
        <v>69</v>
      </c>
      <c r="G349" s="1" t="s">
        <v>72</v>
      </c>
      <c r="H349" s="1" t="s">
        <v>110</v>
      </c>
      <c r="J349" s="1" t="s">
        <v>467</v>
      </c>
      <c r="K349" s="1">
        <v>0</v>
      </c>
      <c r="AF349" s="1">
        <v>0</v>
      </c>
      <c r="BA349" s="1">
        <f>5.5-13*0.3</f>
        <v>1.6</v>
      </c>
      <c r="BI349" s="1" t="s">
        <v>1117</v>
      </c>
      <c r="BV349" s="1">
        <v>0</v>
      </c>
      <c r="CQ349" s="1">
        <v>0</v>
      </c>
      <c r="DL349" s="18" t="s">
        <v>163</v>
      </c>
      <c r="DN349" s="1">
        <f t="shared" si="67"/>
        <v>1.32</v>
      </c>
      <c r="DO349" s="1">
        <f t="shared" si="68"/>
        <v>0</v>
      </c>
      <c r="DP349" s="1" t="s">
        <v>471</v>
      </c>
      <c r="DQ349" s="1" t="s">
        <v>2</v>
      </c>
      <c r="DR349" s="16">
        <f t="shared" si="69"/>
        <v>1.6</v>
      </c>
      <c r="DS349" s="16">
        <f t="shared" si="70"/>
        <v>1.32</v>
      </c>
      <c r="DT349" s="101">
        <f t="shared" si="71"/>
        <v>21.12</v>
      </c>
      <c r="DV349" s="16">
        <f t="shared" si="72"/>
        <v>0</v>
      </c>
      <c r="DZ349" s="37" t="s">
        <v>2</v>
      </c>
      <c r="EA349" s="37"/>
      <c r="EM349" s="73"/>
      <c r="EN349" s="37"/>
      <c r="EO349" s="37"/>
      <c r="EP349" s="37"/>
      <c r="EQ349" s="37"/>
      <c r="ER349" s="37"/>
      <c r="ES349" s="37"/>
      <c r="ET349" s="37"/>
      <c r="EU349" s="37"/>
      <c r="EV349" s="37"/>
      <c r="EW349" s="37"/>
      <c r="EX349" s="37"/>
      <c r="EY349" s="37"/>
      <c r="EZ349" s="37"/>
      <c r="FA349" s="37"/>
      <c r="FB349" s="37"/>
      <c r="FC349" s="37"/>
      <c r="FD349" s="37"/>
      <c r="FE349" s="37"/>
      <c r="FF349" s="55"/>
      <c r="FG349" s="55"/>
      <c r="FH349" s="55"/>
      <c r="FI349" s="37"/>
      <c r="FJ349" s="55"/>
      <c r="FK349" s="55"/>
      <c r="FL349" s="45"/>
      <c r="FM349" s="37"/>
      <c r="FN349" s="37"/>
      <c r="FO349" s="37"/>
      <c r="FP349" s="55"/>
      <c r="FQ349" s="1" t="s">
        <v>2</v>
      </c>
      <c r="FR349" s="1" t="s">
        <v>31</v>
      </c>
      <c r="FS349" s="1" t="s">
        <v>205</v>
      </c>
      <c r="FT349" s="1" t="s">
        <v>205</v>
      </c>
      <c r="FV349" s="1" t="s">
        <v>2</v>
      </c>
    </row>
    <row r="350" spans="1:178" ht="16.25" customHeight="1" x14ac:dyDescent="0.2">
      <c r="A350" s="25" t="s">
        <v>190</v>
      </c>
      <c r="B350" s="1" t="s">
        <v>134</v>
      </c>
      <c r="C350" s="80" t="s">
        <v>357</v>
      </c>
      <c r="D350" s="1" t="s">
        <v>69</v>
      </c>
      <c r="G350" s="1" t="s">
        <v>72</v>
      </c>
      <c r="H350" s="1" t="s">
        <v>356</v>
      </c>
      <c r="K350" s="1">
        <v>0</v>
      </c>
      <c r="AF350" s="1">
        <v>0</v>
      </c>
      <c r="BA350" s="1">
        <v>40</v>
      </c>
      <c r="BI350" s="1">
        <v>1.35</v>
      </c>
      <c r="BJ350" s="1">
        <v>0.04</v>
      </c>
      <c r="BV350" s="1">
        <v>0</v>
      </c>
      <c r="CQ350" s="1">
        <v>0</v>
      </c>
      <c r="DL350" s="18" t="s">
        <v>163</v>
      </c>
      <c r="DM350" s="1" t="s">
        <v>163</v>
      </c>
      <c r="DN350" s="1">
        <f t="shared" si="67"/>
        <v>1.35</v>
      </c>
      <c r="DO350" s="1">
        <f t="shared" si="68"/>
        <v>0.04</v>
      </c>
      <c r="DP350" s="1" t="s">
        <v>471</v>
      </c>
      <c r="DQ350" s="1" t="s">
        <v>2</v>
      </c>
      <c r="DR350" s="16">
        <f t="shared" si="69"/>
        <v>40</v>
      </c>
      <c r="DS350" s="16">
        <f t="shared" si="70"/>
        <v>1.35</v>
      </c>
      <c r="DT350" s="101">
        <f t="shared" si="71"/>
        <v>540</v>
      </c>
      <c r="DV350" s="16">
        <f t="shared" si="72"/>
        <v>0</v>
      </c>
      <c r="DZ350" s="37" t="s">
        <v>2</v>
      </c>
      <c r="EA350" s="37" t="s">
        <v>134</v>
      </c>
      <c r="EM350" s="73" t="s">
        <v>134</v>
      </c>
      <c r="EN350" s="37"/>
      <c r="EO350" s="37"/>
      <c r="EP350" s="37"/>
      <c r="EQ350" s="37"/>
      <c r="ER350" s="37"/>
      <c r="ES350" s="37"/>
      <c r="ET350" s="37"/>
      <c r="EU350" s="37"/>
      <c r="EV350" s="37"/>
      <c r="EW350" s="37"/>
      <c r="EX350" s="37"/>
      <c r="EY350" s="37"/>
      <c r="EZ350" s="37"/>
      <c r="FA350" s="37"/>
      <c r="FB350" s="37"/>
      <c r="FC350" s="37"/>
      <c r="FD350" s="37"/>
      <c r="FE350" s="37"/>
      <c r="FF350" s="55"/>
      <c r="FG350" s="55"/>
      <c r="FH350" s="55"/>
      <c r="FI350" s="37"/>
      <c r="FJ350" s="55"/>
      <c r="FK350" s="55"/>
      <c r="FL350" s="45"/>
      <c r="FM350" s="37"/>
      <c r="FN350" s="37"/>
      <c r="FO350" s="37"/>
      <c r="FP350" s="55" t="s">
        <v>134</v>
      </c>
      <c r="FQ350" s="1" t="s">
        <v>2</v>
      </c>
      <c r="FR350" s="1" t="s">
        <v>31</v>
      </c>
      <c r="FS350" s="1" t="s">
        <v>245</v>
      </c>
      <c r="FT350" s="1" t="s">
        <v>245</v>
      </c>
      <c r="FV350" s="1" t="s">
        <v>2</v>
      </c>
    </row>
    <row r="351" spans="1:178" ht="16.25" customHeight="1" x14ac:dyDescent="0.2">
      <c r="A351" s="25" t="s">
        <v>190</v>
      </c>
      <c r="B351" s="1" t="s">
        <v>134</v>
      </c>
      <c r="C351" s="80" t="s">
        <v>409</v>
      </c>
      <c r="D351" s="1" t="s">
        <v>69</v>
      </c>
      <c r="G351" s="1" t="s">
        <v>65</v>
      </c>
      <c r="H351" s="1" t="s">
        <v>410</v>
      </c>
      <c r="K351" s="1">
        <f>44.32+2.3+8.394</f>
        <v>55.013999999999996</v>
      </c>
      <c r="S351" s="13">
        <f>(1.12*44.32+1.1*2.3+2.1*8.394)/K351</f>
        <v>1.2686916057730764</v>
      </c>
      <c r="T351" s="2">
        <f>(0.11*44.32+0.093*2.3+0*8.394)/K351</f>
        <v>9.2505544043334428E-2</v>
      </c>
      <c r="AA351" s="1">
        <v>44.6</v>
      </c>
      <c r="AB351" s="1">
        <v>5.5</v>
      </c>
      <c r="AF351" s="1">
        <f>28.454+2.206+10.3</f>
        <v>40.96</v>
      </c>
      <c r="AN351" s="13">
        <f>(1.87*28.454+1.02*2.206+1.2*10.3)/AF351</f>
        <v>1.6557397460937502</v>
      </c>
      <c r="AO351" s="2">
        <f>(0*28.454+0.098*2.206+0.101*10.3)/AF351</f>
        <v>3.0675976562500006E-2</v>
      </c>
      <c r="AV351" s="14">
        <v>43</v>
      </c>
      <c r="AW351" s="1">
        <v>7.1</v>
      </c>
      <c r="BA351" s="1">
        <f>3.9+3.9+14.7+32.8</f>
        <v>55.3</v>
      </c>
      <c r="BI351" s="13">
        <f>(1.8*3.9+1.8*3.9+1.01*14.7+1.15*32.8)/BA351</f>
        <v>1.2044665461121158</v>
      </c>
      <c r="BJ351" s="2">
        <f>(0*3.9+0*3.9+0.083*14.7+0.095*32.8)/BA351</f>
        <v>7.841048824593129E-2</v>
      </c>
      <c r="BQ351" s="1">
        <v>41.5</v>
      </c>
      <c r="BR351" s="1">
        <v>7.6</v>
      </c>
      <c r="BV351" s="1">
        <v>0</v>
      </c>
      <c r="CQ351" s="1">
        <v>0</v>
      </c>
      <c r="DL351" s="18" t="s">
        <v>96</v>
      </c>
      <c r="DM351" s="1" t="s">
        <v>96</v>
      </c>
      <c r="DN351" s="1">
        <f t="shared" si="67"/>
        <v>1.3500132210426117</v>
      </c>
      <c r="DO351" s="1">
        <f t="shared" si="68"/>
        <v>7.0611526104948641E-2</v>
      </c>
      <c r="DP351" s="1" t="s">
        <v>726</v>
      </c>
      <c r="DQ351" s="1" t="s">
        <v>2</v>
      </c>
      <c r="DR351" s="101">
        <f t="shared" si="69"/>
        <v>151.274</v>
      </c>
      <c r="DS351" s="100">
        <f t="shared" si="70"/>
        <v>1.3500132210426117</v>
      </c>
      <c r="DT351" s="102">
        <f t="shared" si="71"/>
        <v>2042.2190000000005</v>
      </c>
      <c r="DV351" s="16">
        <f t="shared" si="72"/>
        <v>0</v>
      </c>
      <c r="DZ351" s="37" t="s">
        <v>2</v>
      </c>
      <c r="EA351" s="37"/>
      <c r="EM351" s="73"/>
      <c r="EN351" s="37"/>
      <c r="EO351" s="37"/>
      <c r="EP351" s="37"/>
      <c r="EQ351" s="37"/>
      <c r="ER351" s="37"/>
      <c r="ES351" s="37"/>
      <c r="ET351" s="37"/>
      <c r="EU351" s="37"/>
      <c r="EV351" s="37"/>
      <c r="EW351" s="37"/>
      <c r="EX351" s="37"/>
      <c r="EY351" s="37"/>
      <c r="EZ351" s="37"/>
      <c r="FA351" s="37"/>
      <c r="FB351" s="37"/>
      <c r="FC351" s="37"/>
      <c r="FD351" s="37"/>
      <c r="FE351" s="37"/>
      <c r="FF351" s="55"/>
      <c r="FG351" s="55"/>
      <c r="FH351" s="55"/>
      <c r="FI351" s="37"/>
      <c r="FJ351" s="55"/>
      <c r="FK351" s="55"/>
      <c r="FL351" s="45"/>
      <c r="FM351" s="37"/>
      <c r="FN351" s="37"/>
      <c r="FO351" s="37"/>
      <c r="FP351" s="55"/>
      <c r="FQ351" s="1" t="s">
        <v>2</v>
      </c>
      <c r="FR351" s="1" t="s">
        <v>31</v>
      </c>
      <c r="FS351" s="1" t="s">
        <v>205</v>
      </c>
      <c r="FT351" s="1" t="s">
        <v>205</v>
      </c>
      <c r="FV351" s="1" t="s">
        <v>2</v>
      </c>
    </row>
    <row r="352" spans="1:178" ht="16.25" customHeight="1" x14ac:dyDescent="0.2">
      <c r="A352" s="25" t="s">
        <v>190</v>
      </c>
      <c r="B352" s="1" t="s">
        <v>134</v>
      </c>
      <c r="C352" s="80" t="s">
        <v>224</v>
      </c>
      <c r="D352" s="1" t="s">
        <v>64</v>
      </c>
      <c r="G352" s="1" t="s">
        <v>72</v>
      </c>
      <c r="H352" s="1" t="s">
        <v>66</v>
      </c>
      <c r="K352" s="1">
        <v>0</v>
      </c>
      <c r="AF352" s="1">
        <v>50.758000000000003</v>
      </c>
      <c r="AN352" s="1">
        <v>1.29</v>
      </c>
      <c r="AO352" s="13">
        <f>(1.29/1.4)*0.06</f>
        <v>5.5285714285714285E-2</v>
      </c>
      <c r="BA352" s="1">
        <v>84.162999999999997</v>
      </c>
      <c r="BI352" s="1">
        <v>1.21</v>
      </c>
      <c r="BJ352" s="13">
        <f>(1.35/1.4)*0.05</f>
        <v>4.8214285714285723E-2</v>
      </c>
      <c r="BV352" s="1">
        <v>0</v>
      </c>
      <c r="CQ352" s="1">
        <v>0</v>
      </c>
      <c r="DL352" s="18" t="s">
        <v>96</v>
      </c>
      <c r="DM352" s="1" t="s">
        <v>96</v>
      </c>
      <c r="DN352" s="1">
        <f t="shared" si="67"/>
        <v>1.240096426797904</v>
      </c>
      <c r="DO352" s="1">
        <f t="shared" si="68"/>
        <v>5.0874594868743302E-2</v>
      </c>
      <c r="DP352" s="1" t="s">
        <v>1106</v>
      </c>
      <c r="DQ352" s="1" t="s">
        <v>2</v>
      </c>
      <c r="DR352" s="101">
        <f t="shared" si="69"/>
        <v>134.92099999999999</v>
      </c>
      <c r="DS352" s="100">
        <f t="shared" si="70"/>
        <v>1.240096426797904</v>
      </c>
      <c r="DT352" s="102">
        <f t="shared" si="71"/>
        <v>1673.1505000000002</v>
      </c>
      <c r="DV352" s="16">
        <f t="shared" si="72"/>
        <v>0</v>
      </c>
      <c r="DZ352" s="37" t="s">
        <v>2</v>
      </c>
      <c r="EA352" s="37"/>
      <c r="EM352" s="73"/>
      <c r="EN352" s="37"/>
      <c r="EO352" s="37"/>
      <c r="EP352" s="37"/>
      <c r="EQ352" s="37"/>
      <c r="ER352" s="37"/>
      <c r="ES352" s="37"/>
      <c r="ET352" s="37"/>
      <c r="EU352" s="37"/>
      <c r="EV352" s="37"/>
      <c r="EW352" s="37"/>
      <c r="EX352" s="37"/>
      <c r="EY352" s="37"/>
      <c r="EZ352" s="37"/>
      <c r="FA352" s="37"/>
      <c r="FB352" s="37"/>
      <c r="FC352" s="37"/>
      <c r="FD352" s="37"/>
      <c r="FE352" s="37"/>
      <c r="FF352" s="55"/>
      <c r="FG352" s="55"/>
      <c r="FH352" s="55"/>
      <c r="FI352" s="37"/>
      <c r="FJ352" s="55"/>
      <c r="FK352" s="55"/>
      <c r="FL352" s="45"/>
      <c r="FM352" s="37"/>
      <c r="FN352" s="37"/>
      <c r="FO352" s="37"/>
      <c r="FP352" s="55"/>
      <c r="FQ352" s="1" t="s">
        <v>2</v>
      </c>
      <c r="FR352" s="1" t="s">
        <v>31</v>
      </c>
      <c r="FS352" s="1" t="s">
        <v>205</v>
      </c>
      <c r="FT352" s="1" t="s">
        <v>205</v>
      </c>
      <c r="FV352" s="1" t="s">
        <v>2</v>
      </c>
    </row>
    <row r="353" spans="1:178" ht="16.25" customHeight="1" x14ac:dyDescent="0.2">
      <c r="A353" s="25" t="s">
        <v>190</v>
      </c>
      <c r="B353" s="1" t="s">
        <v>80</v>
      </c>
      <c r="C353" s="21" t="s">
        <v>906</v>
      </c>
      <c r="D353" s="1" t="s">
        <v>69</v>
      </c>
      <c r="H353" s="1" t="s">
        <v>131</v>
      </c>
      <c r="K353" s="1">
        <v>0</v>
      </c>
      <c r="AF353" s="1">
        <v>0</v>
      </c>
      <c r="BA353" s="1">
        <v>44.89</v>
      </c>
      <c r="BI353" s="1">
        <v>1.28</v>
      </c>
      <c r="BJ353" s="1">
        <v>0.13</v>
      </c>
      <c r="BQ353" s="1">
        <v>41.27</v>
      </c>
      <c r="BS353" s="1">
        <v>29</v>
      </c>
      <c r="BV353" s="1">
        <v>0</v>
      </c>
      <c r="CQ353" s="1">
        <v>0</v>
      </c>
      <c r="DL353" s="18" t="s">
        <v>96</v>
      </c>
      <c r="DM353" s="1" t="s">
        <v>96</v>
      </c>
      <c r="DN353" s="1">
        <f t="shared" si="67"/>
        <v>1.28</v>
      </c>
      <c r="DO353" s="1">
        <f t="shared" si="68"/>
        <v>0.13</v>
      </c>
      <c r="DP353" s="1" t="s">
        <v>638</v>
      </c>
      <c r="DQ353" s="1" t="s">
        <v>2</v>
      </c>
      <c r="DR353" s="16">
        <f t="shared" si="69"/>
        <v>44.89</v>
      </c>
      <c r="DS353" s="16">
        <f t="shared" si="70"/>
        <v>1.28</v>
      </c>
      <c r="DT353" s="101">
        <f t="shared" si="71"/>
        <v>574.5920000000001</v>
      </c>
      <c r="DV353" s="16">
        <f t="shared" si="72"/>
        <v>0</v>
      </c>
      <c r="DZ353" s="37" t="s">
        <v>2</v>
      </c>
      <c r="EA353" s="37" t="s">
        <v>80</v>
      </c>
      <c r="EM353" s="73" t="s">
        <v>80</v>
      </c>
      <c r="EN353" s="37"/>
      <c r="EO353" s="37"/>
      <c r="EP353" s="37"/>
      <c r="EQ353" s="37"/>
      <c r="ER353" s="37"/>
      <c r="ES353" s="37"/>
      <c r="ET353" s="37"/>
      <c r="EU353" s="37"/>
      <c r="EV353" s="37"/>
      <c r="EW353" s="37"/>
      <c r="EX353" s="37"/>
      <c r="EY353" s="37"/>
      <c r="EZ353" s="37"/>
      <c r="FA353" s="37"/>
      <c r="FB353" s="37"/>
      <c r="FC353" s="37"/>
      <c r="FD353" s="37"/>
      <c r="FE353" s="37"/>
      <c r="FF353" s="55"/>
      <c r="FG353" s="55"/>
      <c r="FH353" s="55"/>
      <c r="FI353" s="37"/>
      <c r="FJ353" s="55"/>
      <c r="FK353" s="55"/>
      <c r="FL353" s="45"/>
      <c r="FM353" s="37"/>
      <c r="FN353" s="37"/>
      <c r="FO353" s="37"/>
      <c r="FP353" s="55" t="s">
        <v>80</v>
      </c>
      <c r="FQ353" s="1" t="s">
        <v>2</v>
      </c>
      <c r="FR353" s="1" t="s">
        <v>31</v>
      </c>
      <c r="FS353" s="1" t="s">
        <v>506</v>
      </c>
      <c r="FV353" s="1" t="s">
        <v>2</v>
      </c>
    </row>
    <row r="354" spans="1:178" ht="16.25" customHeight="1" x14ac:dyDescent="0.2">
      <c r="A354" s="25" t="s">
        <v>190</v>
      </c>
      <c r="B354" s="1" t="s">
        <v>143</v>
      </c>
      <c r="C354" s="80" t="s">
        <v>437</v>
      </c>
      <c r="D354" s="1" t="s">
        <v>71</v>
      </c>
      <c r="G354" s="1" t="s">
        <v>65</v>
      </c>
      <c r="H354" s="1" t="s">
        <v>438</v>
      </c>
      <c r="K354" s="1">
        <v>0</v>
      </c>
      <c r="AF354" s="1">
        <v>0</v>
      </c>
      <c r="BA354" s="1">
        <v>40.880000000000003</v>
      </c>
      <c r="BI354" s="1" t="s">
        <v>1151</v>
      </c>
      <c r="BJ354" s="1" t="s">
        <v>1152</v>
      </c>
      <c r="BV354" s="1">
        <v>0</v>
      </c>
      <c r="CQ354" s="1">
        <v>0</v>
      </c>
      <c r="DL354" s="18" t="s">
        <v>163</v>
      </c>
      <c r="DM354" s="1" t="s">
        <v>163</v>
      </c>
      <c r="DN354" s="1">
        <f t="shared" si="67"/>
        <v>0.79999999999999993</v>
      </c>
      <c r="DO354" s="1">
        <f t="shared" si="68"/>
        <v>0.08</v>
      </c>
      <c r="DP354" s="1" t="s">
        <v>471</v>
      </c>
      <c r="DQ354" s="1" t="s">
        <v>2</v>
      </c>
      <c r="DR354" s="16">
        <f t="shared" si="69"/>
        <v>40.880000000000003</v>
      </c>
      <c r="DS354" s="16">
        <f t="shared" si="70"/>
        <v>0.79999999999999993</v>
      </c>
      <c r="DT354" s="101">
        <f t="shared" si="71"/>
        <v>327.03999999999996</v>
      </c>
      <c r="DV354" s="16">
        <f t="shared" si="72"/>
        <v>0</v>
      </c>
      <c r="DZ354" s="37" t="s">
        <v>2</v>
      </c>
      <c r="EA354" s="37" t="s">
        <v>143</v>
      </c>
      <c r="EM354" s="73" t="s">
        <v>143</v>
      </c>
      <c r="EN354" s="37"/>
      <c r="EO354" s="37"/>
      <c r="EP354" s="37"/>
      <c r="EQ354" s="37"/>
      <c r="ER354" s="37"/>
      <c r="ES354" s="37"/>
      <c r="ET354" s="37"/>
      <c r="EU354" s="37"/>
      <c r="EV354" s="37"/>
      <c r="EW354" s="37"/>
      <c r="EX354" s="37"/>
      <c r="EY354" s="37"/>
      <c r="EZ354" s="37"/>
      <c r="FA354" s="37"/>
      <c r="FB354" s="37"/>
      <c r="FC354" s="37"/>
      <c r="FD354" s="37"/>
      <c r="FE354" s="37"/>
      <c r="FF354" s="55"/>
      <c r="FG354" s="55"/>
      <c r="FH354" s="55"/>
      <c r="FI354" s="37"/>
      <c r="FJ354" s="55"/>
      <c r="FK354" s="55"/>
      <c r="FL354" s="45"/>
      <c r="FM354" s="37"/>
      <c r="FN354" s="37"/>
      <c r="FO354" s="37"/>
      <c r="FP354" s="55" t="s">
        <v>143</v>
      </c>
      <c r="FQ354" s="1" t="s">
        <v>2</v>
      </c>
      <c r="FR354" s="1" t="s">
        <v>31</v>
      </c>
      <c r="FS354" s="1" t="s">
        <v>193</v>
      </c>
      <c r="FT354" s="1" t="s">
        <v>193</v>
      </c>
      <c r="FV354" s="1" t="s">
        <v>2</v>
      </c>
    </row>
    <row r="355" spans="1:178" ht="16.25" customHeight="1" x14ac:dyDescent="0.2">
      <c r="A355" s="25" t="s">
        <v>190</v>
      </c>
      <c r="B355" s="1" t="s">
        <v>143</v>
      </c>
      <c r="C355" s="21" t="s">
        <v>305</v>
      </c>
      <c r="D355" s="1" t="s">
        <v>69</v>
      </c>
      <c r="G355" s="1" t="s">
        <v>72</v>
      </c>
      <c r="H355" s="1" t="s">
        <v>306</v>
      </c>
      <c r="K355" s="1">
        <v>0</v>
      </c>
      <c r="AF355" s="1">
        <v>0</v>
      </c>
      <c r="BA355" s="1">
        <v>27</v>
      </c>
      <c r="BI355" s="14">
        <v>1</v>
      </c>
      <c r="BV355" s="1">
        <v>0</v>
      </c>
      <c r="CQ355" s="1">
        <v>0</v>
      </c>
      <c r="DL355" s="18" t="s">
        <v>163</v>
      </c>
      <c r="DN355" s="1">
        <f t="shared" si="67"/>
        <v>1</v>
      </c>
      <c r="DO355" s="1">
        <f t="shared" si="68"/>
        <v>0</v>
      </c>
      <c r="DP355" s="1" t="s">
        <v>471</v>
      </c>
      <c r="DQ355" s="1" t="s">
        <v>2</v>
      </c>
      <c r="DR355" s="16">
        <f t="shared" si="69"/>
        <v>27</v>
      </c>
      <c r="DS355" s="16">
        <f t="shared" si="70"/>
        <v>1</v>
      </c>
      <c r="DT355" s="101">
        <f t="shared" si="71"/>
        <v>270</v>
      </c>
      <c r="DV355" s="16">
        <f t="shared" si="72"/>
        <v>0</v>
      </c>
      <c r="DZ355" s="37" t="s">
        <v>2</v>
      </c>
      <c r="EA355" s="37"/>
      <c r="EM355" s="73"/>
      <c r="EN355" s="37"/>
      <c r="EO355" s="37"/>
      <c r="EP355" s="37"/>
      <c r="EQ355" s="37"/>
      <c r="ER355" s="37"/>
      <c r="ES355" s="37"/>
      <c r="ET355" s="37"/>
      <c r="EU355" s="37"/>
      <c r="EV355" s="37"/>
      <c r="EW355" s="37"/>
      <c r="EX355" s="37"/>
      <c r="EY355" s="37"/>
      <c r="EZ355" s="37"/>
      <c r="FA355" s="37"/>
      <c r="FB355" s="37"/>
      <c r="FC355" s="37"/>
      <c r="FD355" s="37"/>
      <c r="FE355" s="37"/>
      <c r="FF355" s="55"/>
      <c r="FG355" s="55"/>
      <c r="FH355" s="55"/>
      <c r="FI355" s="37"/>
      <c r="FJ355" s="55"/>
      <c r="FK355" s="55"/>
      <c r="FL355" s="45"/>
      <c r="FM355" s="37"/>
      <c r="FN355" s="37"/>
      <c r="FO355" s="37"/>
      <c r="FP355" s="55"/>
      <c r="FQ355" s="1" t="s">
        <v>2</v>
      </c>
      <c r="FR355" s="1" t="s">
        <v>31</v>
      </c>
      <c r="FS355" s="1" t="s">
        <v>193</v>
      </c>
      <c r="FT355" s="1" t="s">
        <v>193</v>
      </c>
      <c r="FV355" s="1" t="s">
        <v>2</v>
      </c>
    </row>
    <row r="356" spans="1:178" ht="16.25" customHeight="1" x14ac:dyDescent="0.2">
      <c r="A356" s="25" t="s">
        <v>190</v>
      </c>
      <c r="B356" s="1" t="s">
        <v>143</v>
      </c>
      <c r="C356" s="80" t="s">
        <v>441</v>
      </c>
      <c r="D356" s="1" t="s">
        <v>69</v>
      </c>
      <c r="G356" s="1" t="s">
        <v>72</v>
      </c>
      <c r="H356" s="1" t="s">
        <v>442</v>
      </c>
      <c r="K356" s="1">
        <v>0</v>
      </c>
      <c r="AF356" s="1">
        <v>0</v>
      </c>
      <c r="BA356" s="1">
        <v>63.9</v>
      </c>
      <c r="BI356" s="1" t="s">
        <v>1146</v>
      </c>
      <c r="BJ356" s="1" t="s">
        <v>1147</v>
      </c>
      <c r="BV356" s="1">
        <v>0</v>
      </c>
      <c r="CQ356" s="1">
        <v>0</v>
      </c>
      <c r="DL356" s="18" t="s">
        <v>163</v>
      </c>
      <c r="DM356" s="1" t="s">
        <v>163</v>
      </c>
      <c r="DN356" s="1">
        <f t="shared" si="67"/>
        <v>1.03</v>
      </c>
      <c r="DO356" s="1">
        <f t="shared" si="68"/>
        <v>0.15</v>
      </c>
      <c r="DP356" s="1" t="s">
        <v>471</v>
      </c>
      <c r="DQ356" s="1" t="s">
        <v>2</v>
      </c>
      <c r="DR356" s="16">
        <f t="shared" si="69"/>
        <v>63.9</v>
      </c>
      <c r="DS356" s="16">
        <f t="shared" si="70"/>
        <v>1.03</v>
      </c>
      <c r="DT356" s="101">
        <f t="shared" si="71"/>
        <v>658.17</v>
      </c>
      <c r="DV356" s="16">
        <f t="shared" si="72"/>
        <v>0</v>
      </c>
      <c r="DZ356" s="37" t="s">
        <v>2</v>
      </c>
      <c r="EA356" s="37"/>
      <c r="EM356" s="73"/>
      <c r="EN356" s="37"/>
      <c r="EO356" s="37"/>
      <c r="EP356" s="37"/>
      <c r="EQ356" s="37"/>
      <c r="ER356" s="37"/>
      <c r="ES356" s="37"/>
      <c r="ET356" s="37"/>
      <c r="EU356" s="37"/>
      <c r="EV356" s="37"/>
      <c r="EW356" s="37"/>
      <c r="EX356" s="37"/>
      <c r="EY356" s="37"/>
      <c r="EZ356" s="37"/>
      <c r="FA356" s="37"/>
      <c r="FB356" s="37"/>
      <c r="FC356" s="37"/>
      <c r="FD356" s="37"/>
      <c r="FE356" s="37"/>
      <c r="FF356" s="55"/>
      <c r="FG356" s="55"/>
      <c r="FH356" s="55"/>
      <c r="FI356" s="37"/>
      <c r="FJ356" s="55"/>
      <c r="FK356" s="55"/>
      <c r="FL356" s="45"/>
      <c r="FM356" s="37"/>
      <c r="FN356" s="37"/>
      <c r="FO356" s="37"/>
      <c r="FP356" s="55"/>
      <c r="FQ356" s="1" t="s">
        <v>2</v>
      </c>
      <c r="FR356" s="1" t="s">
        <v>31</v>
      </c>
      <c r="FS356" s="1" t="s">
        <v>205</v>
      </c>
      <c r="FT356" s="1" t="s">
        <v>205</v>
      </c>
      <c r="FV356" s="1" t="s">
        <v>2</v>
      </c>
    </row>
    <row r="357" spans="1:178" ht="16.25" customHeight="1" x14ac:dyDescent="0.2">
      <c r="A357" s="25" t="s">
        <v>190</v>
      </c>
      <c r="B357" s="1" t="s">
        <v>143</v>
      </c>
      <c r="C357" s="80" t="s">
        <v>858</v>
      </c>
      <c r="D357" s="1" t="s">
        <v>69</v>
      </c>
      <c r="H357" s="1" t="s">
        <v>131</v>
      </c>
      <c r="K357" s="1">
        <v>0</v>
      </c>
      <c r="AF357" s="1">
        <v>0</v>
      </c>
      <c r="BA357" s="1">
        <v>64.599999999999994</v>
      </c>
      <c r="BI357" s="1" t="s">
        <v>1149</v>
      </c>
      <c r="BV357" s="1">
        <v>0</v>
      </c>
      <c r="CQ357" s="1">
        <v>0</v>
      </c>
      <c r="DL357" s="18" t="s">
        <v>163</v>
      </c>
      <c r="DN357" s="1">
        <f t="shared" si="67"/>
        <v>0.88</v>
      </c>
      <c r="DO357" s="1">
        <f t="shared" si="68"/>
        <v>0</v>
      </c>
      <c r="DP357" s="1" t="s">
        <v>471</v>
      </c>
      <c r="DQ357" s="1" t="s">
        <v>2</v>
      </c>
      <c r="DR357" s="16">
        <f t="shared" si="69"/>
        <v>64.599999999999994</v>
      </c>
      <c r="DS357" s="16">
        <f t="shared" si="70"/>
        <v>0.88</v>
      </c>
      <c r="DT357" s="101">
        <f t="shared" si="71"/>
        <v>568.4799999999999</v>
      </c>
      <c r="DV357" s="16">
        <f t="shared" si="72"/>
        <v>0</v>
      </c>
      <c r="DZ357" s="37" t="s">
        <v>2</v>
      </c>
      <c r="EA357" s="37"/>
      <c r="EM357" s="73"/>
      <c r="EN357" s="37"/>
      <c r="EO357" s="37"/>
      <c r="EP357" s="37"/>
      <c r="EQ357" s="37"/>
      <c r="ER357" s="37"/>
      <c r="ES357" s="37"/>
      <c r="ET357" s="37"/>
      <c r="EU357" s="37"/>
      <c r="EV357" s="37"/>
      <c r="EW357" s="37"/>
      <c r="EX357" s="37"/>
      <c r="EY357" s="37"/>
      <c r="EZ357" s="37"/>
      <c r="FA357" s="37"/>
      <c r="FB357" s="37"/>
      <c r="FC357" s="37"/>
      <c r="FD357" s="37"/>
      <c r="FE357" s="37"/>
      <c r="FF357" s="55"/>
      <c r="FG357" s="55"/>
      <c r="FH357" s="55"/>
      <c r="FI357" s="37"/>
      <c r="FJ357" s="55"/>
      <c r="FK357" s="55"/>
      <c r="FL357" s="45"/>
      <c r="FM357" s="37"/>
      <c r="FN357" s="37"/>
      <c r="FO357" s="37"/>
      <c r="FP357" s="55"/>
      <c r="FQ357" s="1" t="s">
        <v>2</v>
      </c>
      <c r="FR357" s="1" t="s">
        <v>31</v>
      </c>
      <c r="FS357" s="1" t="s">
        <v>205</v>
      </c>
      <c r="FT357" s="1" t="s">
        <v>205</v>
      </c>
      <c r="FV357" s="1" t="s">
        <v>2</v>
      </c>
    </row>
    <row r="358" spans="1:178" ht="16.25" customHeight="1" x14ac:dyDescent="0.2">
      <c r="A358" s="25" t="s">
        <v>190</v>
      </c>
      <c r="B358" s="1" t="s">
        <v>143</v>
      </c>
      <c r="C358" s="80" t="s">
        <v>1246</v>
      </c>
      <c r="H358" s="1" t="s">
        <v>1215</v>
      </c>
      <c r="K358" s="1">
        <v>0</v>
      </c>
      <c r="AF358" s="1">
        <v>0</v>
      </c>
      <c r="BA358" s="1">
        <v>18.399999999999999</v>
      </c>
      <c r="BI358" s="1" t="s">
        <v>1154</v>
      </c>
      <c r="BJ358" s="1" t="s">
        <v>1152</v>
      </c>
      <c r="BV358" s="1">
        <v>0</v>
      </c>
      <c r="CQ358" s="1">
        <v>0</v>
      </c>
      <c r="DL358" s="18" t="s">
        <v>163</v>
      </c>
      <c r="DM358" s="1" t="s">
        <v>163</v>
      </c>
      <c r="DN358" s="1">
        <f t="shared" si="67"/>
        <v>0.92000000000000015</v>
      </c>
      <c r="DO358" s="1">
        <f t="shared" si="68"/>
        <v>0.08</v>
      </c>
      <c r="DP358" s="1" t="s">
        <v>471</v>
      </c>
      <c r="DQ358" s="1" t="s">
        <v>2</v>
      </c>
      <c r="DR358" s="16">
        <f t="shared" si="69"/>
        <v>18.399999999999999</v>
      </c>
      <c r="DS358" s="16">
        <f t="shared" si="70"/>
        <v>0.92000000000000015</v>
      </c>
      <c r="DT358" s="101">
        <f t="shared" si="71"/>
        <v>169.28000000000003</v>
      </c>
      <c r="DV358" s="16">
        <f t="shared" si="72"/>
        <v>0</v>
      </c>
      <c r="DZ358" s="37" t="s">
        <v>2</v>
      </c>
      <c r="EA358" s="37"/>
      <c r="EM358" s="73"/>
      <c r="EN358" s="37"/>
      <c r="EO358" s="37"/>
      <c r="EP358" s="37"/>
      <c r="EQ358" s="37"/>
      <c r="ER358" s="37"/>
      <c r="ES358" s="37"/>
      <c r="ET358" s="37"/>
      <c r="EU358" s="37"/>
      <c r="EV358" s="37"/>
      <c r="EW358" s="37"/>
      <c r="EX358" s="37"/>
      <c r="EY358" s="37"/>
      <c r="EZ358" s="37"/>
      <c r="FA358" s="37"/>
      <c r="FB358" s="37"/>
      <c r="FC358" s="37"/>
      <c r="FD358" s="37"/>
      <c r="FE358" s="37"/>
      <c r="FF358" s="55"/>
      <c r="FG358" s="55"/>
      <c r="FH358" s="55"/>
      <c r="FI358" s="37"/>
      <c r="FJ358" s="55"/>
      <c r="FK358" s="55"/>
      <c r="FL358" s="45"/>
      <c r="FM358" s="37"/>
      <c r="FN358" s="37"/>
      <c r="FO358" s="37"/>
      <c r="FP358" s="55"/>
      <c r="FQ358" s="1" t="s">
        <v>2</v>
      </c>
      <c r="FR358" s="1" t="s">
        <v>31</v>
      </c>
      <c r="FS358" s="1" t="s">
        <v>205</v>
      </c>
      <c r="FT358" s="1" t="s">
        <v>205</v>
      </c>
      <c r="FV358" s="1" t="s">
        <v>2</v>
      </c>
    </row>
    <row r="359" spans="1:178" ht="16.25" customHeight="1" x14ac:dyDescent="0.2">
      <c r="A359" s="25" t="s">
        <v>190</v>
      </c>
      <c r="B359" s="1" t="s">
        <v>74</v>
      </c>
      <c r="C359" s="40" t="s">
        <v>461</v>
      </c>
      <c r="D359" s="1" t="s">
        <v>71</v>
      </c>
      <c r="G359" s="1" t="s">
        <v>160</v>
      </c>
      <c r="H359" s="1" t="s">
        <v>462</v>
      </c>
      <c r="J359" s="1" t="s">
        <v>216</v>
      </c>
      <c r="K359" s="1">
        <v>0</v>
      </c>
      <c r="AF359" s="1">
        <v>0</v>
      </c>
      <c r="BA359" s="1">
        <v>56</v>
      </c>
      <c r="BI359" s="1">
        <v>1.5</v>
      </c>
      <c r="BV359" s="1">
        <v>0</v>
      </c>
      <c r="CQ359" s="1">
        <v>0</v>
      </c>
      <c r="DL359" s="18" t="s">
        <v>163</v>
      </c>
      <c r="DN359" s="1">
        <f t="shared" si="67"/>
        <v>1.5</v>
      </c>
      <c r="DO359" s="1">
        <f t="shared" si="68"/>
        <v>0</v>
      </c>
      <c r="DP359" s="1" t="s">
        <v>471</v>
      </c>
      <c r="DQ359" s="1" t="s">
        <v>2</v>
      </c>
      <c r="DR359" s="16">
        <f t="shared" si="69"/>
        <v>56</v>
      </c>
      <c r="DS359" s="100">
        <f t="shared" si="70"/>
        <v>1.5</v>
      </c>
      <c r="DT359" s="101">
        <f t="shared" si="71"/>
        <v>840</v>
      </c>
      <c r="DV359" s="16">
        <f t="shared" si="72"/>
        <v>0</v>
      </c>
      <c r="DZ359" s="37" t="s">
        <v>2</v>
      </c>
      <c r="EA359" s="37" t="s">
        <v>74</v>
      </c>
      <c r="EM359" s="73" t="s">
        <v>74</v>
      </c>
      <c r="EN359" s="37"/>
      <c r="EO359" s="37"/>
      <c r="EP359" s="37"/>
      <c r="EQ359" s="37"/>
      <c r="ER359" s="37"/>
      <c r="ES359" s="37"/>
      <c r="ET359" s="37"/>
      <c r="EU359" s="37"/>
      <c r="EV359" s="37"/>
      <c r="EW359" s="37"/>
      <c r="EX359" s="37"/>
      <c r="EY359" s="37"/>
      <c r="EZ359" s="37"/>
      <c r="FA359" s="37"/>
      <c r="FB359" s="37"/>
      <c r="FC359" s="37"/>
      <c r="FD359" s="37"/>
      <c r="FE359" s="37"/>
      <c r="FF359" s="55"/>
      <c r="FG359" s="55"/>
      <c r="FH359" s="55"/>
      <c r="FI359" s="37"/>
      <c r="FJ359" s="55"/>
      <c r="FK359" s="55"/>
      <c r="FL359" s="45"/>
      <c r="FM359" s="37"/>
      <c r="FN359" s="37"/>
      <c r="FO359" s="37"/>
      <c r="FP359" s="55" t="s">
        <v>74</v>
      </c>
      <c r="FQ359" s="1" t="s">
        <v>2</v>
      </c>
      <c r="FR359" s="1" t="s">
        <v>31</v>
      </c>
      <c r="FS359" s="1" t="s">
        <v>490</v>
      </c>
      <c r="FT359" s="1" t="s">
        <v>490</v>
      </c>
      <c r="FV359" s="1" t="s">
        <v>2</v>
      </c>
    </row>
    <row r="360" spans="1:178" ht="16.25" customHeight="1" x14ac:dyDescent="0.2">
      <c r="A360" s="25" t="s">
        <v>190</v>
      </c>
      <c r="B360" s="1" t="s">
        <v>74</v>
      </c>
      <c r="C360" s="16" t="s">
        <v>124</v>
      </c>
      <c r="D360" s="1" t="s">
        <v>69</v>
      </c>
      <c r="G360" s="1" t="s">
        <v>72</v>
      </c>
      <c r="H360" s="1" t="s">
        <v>125</v>
      </c>
      <c r="J360" s="1" t="s">
        <v>467</v>
      </c>
      <c r="K360" s="1">
        <v>0</v>
      </c>
      <c r="AF360" s="1">
        <v>0</v>
      </c>
      <c r="BA360" s="1">
        <v>175</v>
      </c>
      <c r="BI360" s="1">
        <v>1.77</v>
      </c>
      <c r="BV360" s="1">
        <v>0</v>
      </c>
      <c r="CQ360" s="1">
        <v>0</v>
      </c>
      <c r="DL360" s="18" t="s">
        <v>163</v>
      </c>
      <c r="DN360" s="1">
        <f t="shared" si="67"/>
        <v>1.77</v>
      </c>
      <c r="DO360" s="1">
        <f t="shared" si="68"/>
        <v>0</v>
      </c>
      <c r="DP360" s="1" t="s">
        <v>468</v>
      </c>
      <c r="DQ360" s="1" t="s">
        <v>2</v>
      </c>
      <c r="DR360" s="16">
        <f t="shared" si="69"/>
        <v>175</v>
      </c>
      <c r="DS360" s="100">
        <f t="shared" si="70"/>
        <v>1.77</v>
      </c>
      <c r="DT360" s="102">
        <f t="shared" si="71"/>
        <v>3097.5</v>
      </c>
      <c r="DV360" s="16">
        <f t="shared" si="72"/>
        <v>0</v>
      </c>
      <c r="DZ360" s="37" t="s">
        <v>2</v>
      </c>
      <c r="EA360" s="37"/>
      <c r="EM360" s="73"/>
      <c r="EN360" s="37"/>
      <c r="EO360" s="37"/>
      <c r="EP360" s="37"/>
      <c r="EQ360" s="37"/>
      <c r="ER360" s="37"/>
      <c r="ES360" s="37"/>
      <c r="ET360" s="37"/>
      <c r="EU360" s="37"/>
      <c r="EV360" s="37"/>
      <c r="EW360" s="37"/>
      <c r="EX360" s="37"/>
      <c r="EY360" s="37"/>
      <c r="EZ360" s="37"/>
      <c r="FA360" s="37"/>
      <c r="FB360" s="37"/>
      <c r="FC360" s="37"/>
      <c r="FD360" s="37"/>
      <c r="FE360" s="37"/>
      <c r="FF360" s="55"/>
      <c r="FG360" s="55"/>
      <c r="FH360" s="55"/>
      <c r="FI360" s="37"/>
      <c r="FJ360" s="55"/>
      <c r="FK360" s="55"/>
      <c r="FL360" s="45"/>
      <c r="FM360" s="37"/>
      <c r="FN360" s="37"/>
      <c r="FO360" s="37"/>
      <c r="FP360" s="55"/>
      <c r="FQ360" s="1" t="s">
        <v>2</v>
      </c>
      <c r="FR360" s="1" t="s">
        <v>31</v>
      </c>
      <c r="FS360" s="1" t="s">
        <v>469</v>
      </c>
      <c r="FT360" s="1" t="s">
        <v>469</v>
      </c>
      <c r="FV360" s="1" t="s">
        <v>2</v>
      </c>
    </row>
    <row r="361" spans="1:178" ht="16.25" customHeight="1" x14ac:dyDescent="0.2">
      <c r="A361" s="25" t="s">
        <v>190</v>
      </c>
      <c r="B361" s="1" t="s">
        <v>74</v>
      </c>
      <c r="C361" s="80" t="s">
        <v>1020</v>
      </c>
      <c r="D361" s="1" t="s">
        <v>64</v>
      </c>
      <c r="H361" s="1" t="s">
        <v>1021</v>
      </c>
      <c r="J361" s="1" t="s">
        <v>216</v>
      </c>
      <c r="K361" s="1">
        <v>0</v>
      </c>
      <c r="AF361" s="1">
        <v>0</v>
      </c>
      <c r="BA361" s="1">
        <v>194.6</v>
      </c>
      <c r="BI361" s="1">
        <v>1.1000000000000001</v>
      </c>
      <c r="BV361" s="1">
        <v>0</v>
      </c>
      <c r="CQ361" s="1">
        <v>0</v>
      </c>
      <c r="DL361" s="18" t="s">
        <v>163</v>
      </c>
      <c r="DN361" s="1">
        <f t="shared" si="67"/>
        <v>1.1000000000000001</v>
      </c>
      <c r="DO361" s="1">
        <f t="shared" si="68"/>
        <v>0</v>
      </c>
      <c r="DP361" s="1" t="s">
        <v>471</v>
      </c>
      <c r="DQ361" s="1" t="s">
        <v>2</v>
      </c>
      <c r="DR361" s="16">
        <f t="shared" si="69"/>
        <v>194.6</v>
      </c>
      <c r="DS361" s="100">
        <f t="shared" si="70"/>
        <v>1.1000000000000001</v>
      </c>
      <c r="DT361" s="102">
        <f t="shared" si="71"/>
        <v>2140.6000000000004</v>
      </c>
      <c r="DV361" s="16">
        <f t="shared" si="72"/>
        <v>0</v>
      </c>
      <c r="DZ361" s="37" t="s">
        <v>2</v>
      </c>
      <c r="EA361" s="37"/>
      <c r="EM361" s="73"/>
      <c r="EN361" s="37"/>
      <c r="EO361" s="37"/>
      <c r="EP361" s="37"/>
      <c r="EQ361" s="37"/>
      <c r="ER361" s="37"/>
      <c r="ES361" s="37"/>
      <c r="ET361" s="37"/>
      <c r="EU361" s="37"/>
      <c r="EV361" s="37"/>
      <c r="EW361" s="37"/>
      <c r="EX361" s="37"/>
      <c r="EY361" s="37"/>
      <c r="EZ361" s="37"/>
      <c r="FA361" s="37"/>
      <c r="FB361" s="37"/>
      <c r="FC361" s="37"/>
      <c r="FD361" s="37"/>
      <c r="FE361" s="37"/>
      <c r="FF361" s="55"/>
      <c r="FG361" s="55"/>
      <c r="FH361" s="55"/>
      <c r="FI361" s="37"/>
      <c r="FJ361" s="55"/>
      <c r="FK361" s="55"/>
      <c r="FL361" s="45"/>
      <c r="FM361" s="37"/>
      <c r="FN361" s="37"/>
      <c r="FO361" s="37"/>
      <c r="FP361" s="55"/>
      <c r="FQ361" s="1" t="s">
        <v>2</v>
      </c>
      <c r="FR361" s="1" t="s">
        <v>31</v>
      </c>
      <c r="FS361" s="1" t="s">
        <v>469</v>
      </c>
      <c r="FT361" s="1" t="s">
        <v>469</v>
      </c>
      <c r="FV361" s="1" t="s">
        <v>2</v>
      </c>
    </row>
    <row r="362" spans="1:178" ht="16.25" customHeight="1" x14ac:dyDescent="0.2">
      <c r="A362" s="25" t="s">
        <v>190</v>
      </c>
      <c r="B362" s="1" t="s">
        <v>74</v>
      </c>
      <c r="C362" s="80" t="s">
        <v>400</v>
      </c>
      <c r="D362" s="1" t="s">
        <v>69</v>
      </c>
      <c r="G362" s="1" t="s">
        <v>65</v>
      </c>
      <c r="H362" s="1" t="s">
        <v>401</v>
      </c>
      <c r="J362" s="1" t="s">
        <v>467</v>
      </c>
      <c r="K362" s="1">
        <f>14.76+8.91+33.3+25.06</f>
        <v>82.03</v>
      </c>
      <c r="S362" s="13">
        <f>(2.11*14.76+1.94*8.91+2.07*33.3+1.81*25.06)/K362</f>
        <v>1.9836474460563207</v>
      </c>
      <c r="T362" s="13">
        <f>(0.05*14.76+0.03*8.91+0.03*33.3+0.03*25.06)/K362</f>
        <v>3.3598683408509078E-2</v>
      </c>
      <c r="AA362" s="13">
        <f>(15.47*14.76+12.4*8.91+10.74*33.3+11.55*25.06)/K362</f>
        <v>12.018849201511641</v>
      </c>
      <c r="AB362" s="13">
        <f>(37.22*14.76+41.42*8.91+42.06*33.3+41.31*25.06)/K362</f>
        <v>40.890479093014747</v>
      </c>
      <c r="AF362" s="1">
        <f>0.95+6.09+16.49+69.71</f>
        <v>93.24</v>
      </c>
      <c r="AN362" s="13">
        <f>(2.04*0.95+1.98*6.09+1.98*16.49+1.81*69.71)/AF362</f>
        <v>1.8535124410124411</v>
      </c>
      <c r="AO362" s="13">
        <f>(0.05*0.95+0.03*6.09+0.03*16.49+0.03*69.71)/AF362</f>
        <v>3.0203775203775204E-2</v>
      </c>
      <c r="AV362" s="13">
        <f>(14.78*0.95+11.18*6.09+11.19*16.49+11.96*69.71)/AF362</f>
        <v>11.801607679107677</v>
      </c>
      <c r="AW362" s="13">
        <f>(39.84*0.95+41.49*6.09+43.13*16.49+41.09*69.71)/AF362</f>
        <v>41.464175246675246</v>
      </c>
      <c r="BA362" s="1">
        <f>0.42+14.76+0.16+95.99</f>
        <v>111.33</v>
      </c>
      <c r="BI362" s="13">
        <f>(2*0.42+1.97*14.76+2.15*0.16+1.82*95.99)/BA362</f>
        <v>1.8410401509027217</v>
      </c>
      <c r="BJ362" s="13">
        <f>(0.05*0.42+0.03*14.76+0.03*0.16+0.04*95.99)/BA362</f>
        <v>3.8697565795383096E-2</v>
      </c>
      <c r="BQ362" s="13">
        <f>(14.33*0.42+11.17*14.76+11.38*0.16+12.67*95.99)/BA362</f>
        <v>12.475540285637294</v>
      </c>
      <c r="BR362" s="13">
        <f>(38.47*0.42+41.89*14.76+42.08*0.16+40.61*95.99)/BA362</f>
        <v>40.773740231743467</v>
      </c>
      <c r="BV362" s="1">
        <f>8.92+6.3+29.92+19.1</f>
        <v>64.240000000000009</v>
      </c>
      <c r="CD362" s="13">
        <f>(2.04*8.92+1.88*6.3+2.02*29.92+1.78*19.1)/BV362</f>
        <v>1.9376899128268987</v>
      </c>
      <c r="CE362" s="13">
        <f>(0.05*8.92+0.05*6.3+0.03*29.92+0.03*19.1)/BV362</f>
        <v>3.4738480697384805E-2</v>
      </c>
      <c r="CL362" s="13">
        <f>(15.69*8.92+14.31*6.3+10.76*29.92+11.41*19.1)/BV362</f>
        <v>11.985958904109589</v>
      </c>
      <c r="CM362" s="13">
        <f>(36.66*8.92+39.68*6.3+42.03*29.92+41.36*19.1)/BV362</f>
        <v>40.854682440846823</v>
      </c>
      <c r="CQ362" s="1">
        <f>0.27+2.23+13.73+54.03</f>
        <v>70.260000000000005</v>
      </c>
      <c r="CY362" s="13">
        <f>(1.84*0.27+1.86*2.23+1.93*13.73+1.77*54.03)/CQ362</f>
        <v>1.8043922573299174</v>
      </c>
      <c r="CZ362" s="13">
        <f>(0.05*0.27+0.04*2.23+0.03*13.73+0.03*54.03)/CQ362</f>
        <v>3.039424992883575E-2</v>
      </c>
      <c r="DG362" s="13">
        <f>(13.88*0.27+13.04*2.23+11.21*13.73+11.71*54.03)/CQ362</f>
        <v>11.662843723313408</v>
      </c>
      <c r="DH362" s="13">
        <f>(40.99*0.27+40.57*2.23+43.05*13.73+41.25*54.03)/CQ362</f>
        <v>41.579168801594079</v>
      </c>
      <c r="DL362" s="18" t="s">
        <v>96</v>
      </c>
      <c r="DM362" s="1" t="s">
        <v>96</v>
      </c>
      <c r="DN362" s="1">
        <f t="shared" si="67"/>
        <v>1.8859145150034891</v>
      </c>
      <c r="DO362" s="1">
        <f t="shared" si="68"/>
        <v>3.4474877878576414E-2</v>
      </c>
      <c r="DP362" s="1" t="s">
        <v>67</v>
      </c>
      <c r="DQ362" s="1" t="s">
        <v>2</v>
      </c>
      <c r="DR362" s="16">
        <f t="shared" si="69"/>
        <v>286.59999999999997</v>
      </c>
      <c r="DS362" s="100">
        <f t="shared" si="70"/>
        <v>1.8859145150034891</v>
      </c>
      <c r="DT362" s="102">
        <f t="shared" si="71"/>
        <v>5405.030999999999</v>
      </c>
      <c r="DV362" s="16">
        <f t="shared" si="72"/>
        <v>134.5</v>
      </c>
      <c r="DW362" s="100">
        <f>(BV362*CD362+CQ362*CY362)/DV362</f>
        <v>1.8680579925650558</v>
      </c>
      <c r="DX362" s="102">
        <f>1000*DV362*DW362/100</f>
        <v>2512.538</v>
      </c>
      <c r="DZ362" s="37" t="s">
        <v>2</v>
      </c>
      <c r="EA362" s="37"/>
      <c r="EM362" s="73"/>
      <c r="EN362" s="37"/>
      <c r="EO362" s="37"/>
      <c r="EP362" s="37"/>
      <c r="EQ362" s="37"/>
      <c r="ER362" s="37"/>
      <c r="ES362" s="37"/>
      <c r="ET362" s="37"/>
      <c r="EU362" s="37"/>
      <c r="EV362" s="37"/>
      <c r="EW362" s="37"/>
      <c r="EX362" s="37"/>
      <c r="EY362" s="37"/>
      <c r="EZ362" s="37"/>
      <c r="FA362" s="37"/>
      <c r="FB362" s="37"/>
      <c r="FC362" s="37"/>
      <c r="FD362" s="37"/>
      <c r="FE362" s="37"/>
      <c r="FF362" s="55"/>
      <c r="FG362" s="55"/>
      <c r="FH362" s="55"/>
      <c r="FI362" s="37"/>
      <c r="FJ362" s="55"/>
      <c r="FK362" s="55"/>
      <c r="FL362" s="45"/>
      <c r="FM362" s="37"/>
      <c r="FN362" s="37"/>
      <c r="FO362" s="37"/>
      <c r="FP362" s="55"/>
      <c r="FQ362" s="1" t="s">
        <v>2</v>
      </c>
      <c r="FR362" s="1" t="s">
        <v>31</v>
      </c>
      <c r="FS362" s="1" t="s">
        <v>469</v>
      </c>
      <c r="FV362" s="1" t="s">
        <v>2</v>
      </c>
    </row>
    <row r="363" spans="1:178" ht="16.25" customHeight="1" x14ac:dyDescent="0.2">
      <c r="A363" s="25" t="s">
        <v>190</v>
      </c>
      <c r="B363" s="1" t="s">
        <v>74</v>
      </c>
      <c r="C363" s="21" t="s">
        <v>344</v>
      </c>
      <c r="D363" s="1" t="s">
        <v>69</v>
      </c>
      <c r="G363" s="1" t="s">
        <v>72</v>
      </c>
      <c r="H363" s="1" t="s">
        <v>345</v>
      </c>
      <c r="J363" s="1" t="s">
        <v>467</v>
      </c>
      <c r="K363" s="1">
        <f>0.25+12.49+9.16+8.52</f>
        <v>30.419999999999998</v>
      </c>
      <c r="S363" s="13">
        <f>(1.79*0.25+1.69*12.49+1.7*9.16+1.72*8.52)/K363</f>
        <v>1.7022353714661407</v>
      </c>
      <c r="T363" s="13">
        <f>(0.03*0.25+0.04*12.49+0.04*9.16+0.06*8.52)/K363</f>
        <v>4.5519395134779754E-2</v>
      </c>
      <c r="AA363" s="13">
        <f>(14.8*0.25+14.51*12.49+13.51*9.16+22*8.52)/K363</f>
        <v>16.309056541748848</v>
      </c>
      <c r="AB363" s="13">
        <f>(37.69*0.25+36.97*12.49+39.83*9.16+31.25*8.52)/K363</f>
        <v>36.235062458908615</v>
      </c>
      <c r="AF363" s="1">
        <f>5.17+9.57+32.72+9.01</f>
        <v>56.47</v>
      </c>
      <c r="AN363" s="13">
        <f>(1.76*5.17+1.64*9.57+1.76*32.72+1.78*9.01)/AF363</f>
        <v>1.742854613068886</v>
      </c>
      <c r="AO363" s="13">
        <f>(0.04*5.17+0.04*9.57+0.03*32.72+0.05*9.01)/AF363</f>
        <v>3.5801310430316986E-2</v>
      </c>
      <c r="AV363" s="13">
        <f>(14.44*5.17+14.55*9.57+14.98*32.72+21.14*9.01)/AF363</f>
        <v>15.84054010979281</v>
      </c>
      <c r="AW363" s="13">
        <f>(37.41*5.17+36.97*9.57+37.8*32.72+32.16*9.01)/AF363</f>
        <v>36.723750664069414</v>
      </c>
      <c r="BA363" s="1">
        <f>2.35+7.03+57.97+12.48</f>
        <v>79.83</v>
      </c>
      <c r="BI363" s="13">
        <f>(1.7*2.35+1.47*7.03+1.51*57.97+1.83*12.48)/BA363</f>
        <v>1.5620969560315672</v>
      </c>
      <c r="BJ363" s="13">
        <f>(0.03*2.35+0.04*7.03+0.04*57.97+0.04*12.48)/BA363</f>
        <v>3.9705624451960422E-2</v>
      </c>
      <c r="BQ363" s="13">
        <f>(14.47*2.35+14.14*7.03+14.96*57.97+17.48*12.48)/BA363</f>
        <v>15.267321808843795</v>
      </c>
      <c r="BR363" s="13">
        <f>(35.87*2.35+37.49*7.03+38.34*57.97+33.32*12.48)/BA363</f>
        <v>37.407648753601407</v>
      </c>
      <c r="BV363" s="1">
        <f>7.94+10.1</f>
        <v>18.04</v>
      </c>
      <c r="CD363" s="13">
        <f>(1.67*7.94+1.67*10.1)/BV363</f>
        <v>1.67</v>
      </c>
      <c r="CE363" s="13">
        <f>(0.04*7.94+0.04*10.1)/BV363</f>
        <v>0.04</v>
      </c>
      <c r="CL363" s="13">
        <f>(13.53*7.94+13.57*10.1)/BV363</f>
        <v>13.55239467849224</v>
      </c>
      <c r="CM363" s="13">
        <f>(39.74*7.94+36.96*10.1)/BV363</f>
        <v>38.183569844789361</v>
      </c>
      <c r="CQ363" s="1">
        <f>28.39+7.53</f>
        <v>35.92</v>
      </c>
      <c r="CY363" s="13">
        <f>(1.61*28.39+1.57*7.53)/CQ363</f>
        <v>1.6016146993318485</v>
      </c>
      <c r="CZ363" s="13">
        <f>(0.04*28.39+0.04*7.53)/CQ363</f>
        <v>3.9999999999999994E-2</v>
      </c>
      <c r="DG363" s="13">
        <f>(15*28.39+14.51*7.53)/CQ363</f>
        <v>14.897280066815146</v>
      </c>
      <c r="DH363" s="13">
        <f>(37.71*28.39+36.98*7.53)/CQ363</f>
        <v>37.556968262806237</v>
      </c>
      <c r="DL363" s="18" t="s">
        <v>96</v>
      </c>
      <c r="DM363" s="1" t="s">
        <v>96</v>
      </c>
      <c r="DN363" s="1">
        <f t="shared" si="67"/>
        <v>1.6488915547024949</v>
      </c>
      <c r="DO363" s="1">
        <f t="shared" si="68"/>
        <v>3.9443977927063341E-2</v>
      </c>
      <c r="DP363" s="1" t="s">
        <v>67</v>
      </c>
      <c r="DQ363" s="1" t="s">
        <v>2</v>
      </c>
      <c r="DR363" s="101">
        <f t="shared" si="69"/>
        <v>166.72</v>
      </c>
      <c r="DS363" s="100">
        <f t="shared" si="70"/>
        <v>1.6488915547024949</v>
      </c>
      <c r="DT363" s="102">
        <f t="shared" si="71"/>
        <v>2749.0319999999997</v>
      </c>
      <c r="DV363" s="16">
        <f t="shared" si="72"/>
        <v>53.96</v>
      </c>
      <c r="DW363" s="100">
        <f>(BV363*CD363+CQ363*CY363)/DV363</f>
        <v>1.6244773906597481</v>
      </c>
      <c r="DX363" s="101">
        <f>1000*DV363*DW363/100</f>
        <v>876.56799999999998</v>
      </c>
      <c r="DZ363" s="37" t="s">
        <v>2</v>
      </c>
      <c r="EA363" s="37"/>
      <c r="EM363" s="73"/>
      <c r="EN363" s="37"/>
      <c r="EO363" s="37"/>
      <c r="EP363" s="37"/>
      <c r="EQ363" s="37"/>
      <c r="ER363" s="37"/>
      <c r="ES363" s="37"/>
      <c r="ET363" s="37"/>
      <c r="EU363" s="37"/>
      <c r="EV363" s="37"/>
      <c r="EW363" s="37"/>
      <c r="EX363" s="37"/>
      <c r="EY363" s="37"/>
      <c r="EZ363" s="37"/>
      <c r="FA363" s="37"/>
      <c r="FB363" s="37"/>
      <c r="FC363" s="37"/>
      <c r="FD363" s="37"/>
      <c r="FE363" s="37"/>
      <c r="FF363" s="55"/>
      <c r="FG363" s="55"/>
      <c r="FH363" s="55"/>
      <c r="FI363" s="37"/>
      <c r="FJ363" s="55"/>
      <c r="FK363" s="55"/>
      <c r="FL363" s="45"/>
      <c r="FM363" s="37"/>
      <c r="FN363" s="37"/>
      <c r="FO363" s="37"/>
      <c r="FP363" s="55"/>
      <c r="FQ363" s="1" t="s">
        <v>2</v>
      </c>
      <c r="FR363" s="1" t="s">
        <v>31</v>
      </c>
      <c r="FS363" s="1" t="s">
        <v>469</v>
      </c>
      <c r="FV363" s="1" t="s">
        <v>2</v>
      </c>
    </row>
    <row r="364" spans="1:178" ht="16.25" customHeight="1" x14ac:dyDescent="0.2">
      <c r="A364" s="25" t="s">
        <v>190</v>
      </c>
      <c r="B364" s="1" t="s">
        <v>74</v>
      </c>
      <c r="C364" s="80" t="s">
        <v>386</v>
      </c>
      <c r="D364" s="1" t="s">
        <v>69</v>
      </c>
      <c r="G364" s="1" t="s">
        <v>65</v>
      </c>
      <c r="H364" s="1" t="s">
        <v>387</v>
      </c>
      <c r="J364" s="1" t="s">
        <v>467</v>
      </c>
      <c r="K364" s="1">
        <v>8.99</v>
      </c>
      <c r="S364" s="1">
        <v>1.93</v>
      </c>
      <c r="T364" s="1">
        <v>0.03</v>
      </c>
      <c r="AA364" s="1">
        <v>13.81</v>
      </c>
      <c r="AB364" s="1">
        <v>42.84</v>
      </c>
      <c r="AF364" s="1">
        <v>12.63</v>
      </c>
      <c r="AN364" s="1">
        <v>1.79</v>
      </c>
      <c r="AO364" s="1">
        <v>0.03</v>
      </c>
      <c r="AV364" s="1">
        <v>13.04</v>
      </c>
      <c r="AW364" s="1">
        <v>42.59</v>
      </c>
      <c r="BA364" s="1">
        <v>9.1300000000000008</v>
      </c>
      <c r="BI364" s="1">
        <v>1.73</v>
      </c>
      <c r="BJ364" s="1">
        <v>0.03</v>
      </c>
      <c r="BQ364" s="1">
        <v>12.38</v>
      </c>
      <c r="BR364" s="1">
        <v>42.76</v>
      </c>
      <c r="BV364" s="1">
        <v>7.67</v>
      </c>
      <c r="CD364" s="1">
        <v>1.89</v>
      </c>
      <c r="CE364" s="1">
        <v>0.03</v>
      </c>
      <c r="CL364" s="1">
        <v>13.53</v>
      </c>
      <c r="CM364" s="1">
        <v>43.16</v>
      </c>
      <c r="CQ364" s="1">
        <v>11.14</v>
      </c>
      <c r="CY364" s="1">
        <v>1.75</v>
      </c>
      <c r="CZ364" s="1">
        <v>0.03</v>
      </c>
      <c r="DG364" s="1">
        <v>12.85</v>
      </c>
      <c r="DH364" s="1">
        <v>42.68</v>
      </c>
      <c r="DL364" s="18" t="s">
        <v>96</v>
      </c>
      <c r="DM364" s="1" t="s">
        <v>96</v>
      </c>
      <c r="DN364" s="1">
        <f t="shared" si="67"/>
        <v>1.8131154471544715</v>
      </c>
      <c r="DO364" s="1">
        <f t="shared" si="68"/>
        <v>3.0000000000000002E-2</v>
      </c>
      <c r="DP364" s="1" t="s">
        <v>67</v>
      </c>
      <c r="DQ364" s="1" t="s">
        <v>2</v>
      </c>
      <c r="DR364" s="16">
        <f t="shared" si="69"/>
        <v>30.75</v>
      </c>
      <c r="DS364" s="100">
        <f t="shared" si="70"/>
        <v>1.8131154471544715</v>
      </c>
      <c r="DT364" s="101">
        <f t="shared" si="71"/>
        <v>557.5329999999999</v>
      </c>
      <c r="DV364" s="16">
        <f t="shared" si="72"/>
        <v>18.810000000000002</v>
      </c>
      <c r="DW364" s="100">
        <f>(BV364*CD364+CQ364*CY364)/DV364</f>
        <v>1.8070866560340244</v>
      </c>
      <c r="DX364" s="101">
        <f>1000*DV364*DW364/100</f>
        <v>339.91300000000001</v>
      </c>
      <c r="DZ364" s="37" t="s">
        <v>2</v>
      </c>
      <c r="EA364" s="37"/>
      <c r="EM364" s="73"/>
      <c r="EN364" s="37"/>
      <c r="EO364" s="37"/>
      <c r="EP364" s="37"/>
      <c r="EQ364" s="37"/>
      <c r="ER364" s="37"/>
      <c r="ES364" s="37"/>
      <c r="ET364" s="37"/>
      <c r="EU364" s="37"/>
      <c r="EV364" s="37"/>
      <c r="EW364" s="37"/>
      <c r="EX364" s="37"/>
      <c r="EY364" s="37"/>
      <c r="EZ364" s="37"/>
      <c r="FA364" s="37"/>
      <c r="FB364" s="37"/>
      <c r="FC364" s="37"/>
      <c r="FD364" s="37"/>
      <c r="FE364" s="37"/>
      <c r="FF364" s="55"/>
      <c r="FG364" s="55"/>
      <c r="FH364" s="55"/>
      <c r="FI364" s="37"/>
      <c r="FJ364" s="55"/>
      <c r="FK364" s="55"/>
      <c r="FL364" s="45"/>
      <c r="FM364" s="37"/>
      <c r="FN364" s="37"/>
      <c r="FO364" s="37"/>
      <c r="FP364" s="55"/>
      <c r="FQ364" s="1" t="s">
        <v>2</v>
      </c>
      <c r="FR364" s="1" t="s">
        <v>31</v>
      </c>
      <c r="FS364" s="1" t="s">
        <v>469</v>
      </c>
      <c r="FV364" s="1" t="s">
        <v>2</v>
      </c>
    </row>
    <row r="365" spans="1:178" ht="16.25" customHeight="1" x14ac:dyDescent="0.2">
      <c r="A365" s="25" t="s">
        <v>190</v>
      </c>
      <c r="B365" s="1" t="s">
        <v>74</v>
      </c>
      <c r="C365" s="21" t="s">
        <v>229</v>
      </c>
      <c r="D365" s="1" t="s">
        <v>64</v>
      </c>
      <c r="G365" s="1" t="s">
        <v>72</v>
      </c>
      <c r="H365" s="1" t="s">
        <v>81</v>
      </c>
      <c r="J365" s="1" t="s">
        <v>467</v>
      </c>
      <c r="K365" s="1">
        <v>8.68</v>
      </c>
      <c r="S365" s="1">
        <v>2.06</v>
      </c>
      <c r="T365" s="1">
        <v>0.05</v>
      </c>
      <c r="AA365" s="1">
        <v>16.25</v>
      </c>
      <c r="AB365" s="1">
        <v>36.46</v>
      </c>
      <c r="AF365" s="1">
        <v>31.42</v>
      </c>
      <c r="AN365" s="1">
        <v>1.97</v>
      </c>
      <c r="AO365" s="1">
        <v>0.04</v>
      </c>
      <c r="AV365" s="1">
        <v>15.34</v>
      </c>
      <c r="AW365" s="1">
        <v>38.83</v>
      </c>
      <c r="BA365" s="1">
        <v>76.760000000000005</v>
      </c>
      <c r="BI365" s="1">
        <v>1.88</v>
      </c>
      <c r="BJ365" s="1">
        <v>0.04</v>
      </c>
      <c r="BQ365" s="1">
        <v>16.260000000000002</v>
      </c>
      <c r="BR365" s="1">
        <v>37.6</v>
      </c>
      <c r="BV365" s="1">
        <v>6.48</v>
      </c>
      <c r="CD365" s="1">
        <v>1.96</v>
      </c>
      <c r="CE365" s="1">
        <v>0.05</v>
      </c>
      <c r="CL365" s="1">
        <v>16.2</v>
      </c>
      <c r="CM365" s="1">
        <v>36.32</v>
      </c>
      <c r="CQ365" s="1">
        <v>22.39</v>
      </c>
      <c r="CY365" s="1">
        <v>1.87</v>
      </c>
      <c r="CZ365" s="1">
        <v>0.04</v>
      </c>
      <c r="DG365" s="1">
        <v>15.4</v>
      </c>
      <c r="DH365" s="1">
        <v>38.9</v>
      </c>
      <c r="DL365" s="18" t="s">
        <v>96</v>
      </c>
      <c r="DM365" s="1" t="s">
        <v>96</v>
      </c>
      <c r="DN365" s="1">
        <f t="shared" si="67"/>
        <v>1.9175680301215126</v>
      </c>
      <c r="DO365" s="1">
        <f t="shared" si="68"/>
        <v>4.0742769125449253E-2</v>
      </c>
      <c r="DP365" s="1" t="s">
        <v>67</v>
      </c>
      <c r="DQ365" s="1" t="s">
        <v>2</v>
      </c>
      <c r="DR365" s="101">
        <f t="shared" si="69"/>
        <v>116.86000000000001</v>
      </c>
      <c r="DS365" s="100">
        <f t="shared" si="70"/>
        <v>1.9175680301215126</v>
      </c>
      <c r="DT365" s="102">
        <f t="shared" si="71"/>
        <v>2240.87</v>
      </c>
      <c r="DV365" s="16">
        <f t="shared" si="72"/>
        <v>28.87</v>
      </c>
      <c r="DW365" s="100">
        <f>(BV365*CD365+CQ365*CY365)/DV365</f>
        <v>1.8902009005888467</v>
      </c>
      <c r="DX365" s="101">
        <f>1000*DV365*DW365/100</f>
        <v>545.70100000000002</v>
      </c>
      <c r="DZ365" s="37" t="s">
        <v>2</v>
      </c>
      <c r="EA365" s="37"/>
      <c r="EM365" s="73"/>
      <c r="EN365" s="37"/>
      <c r="EO365" s="37"/>
      <c r="EP365" s="37"/>
      <c r="EQ365" s="37"/>
      <c r="ER365" s="37"/>
      <c r="ES365" s="37"/>
      <c r="ET365" s="37"/>
      <c r="EU365" s="37"/>
      <c r="EV365" s="37"/>
      <c r="EW365" s="37"/>
      <c r="EX365" s="37"/>
      <c r="EY365" s="37"/>
      <c r="EZ365" s="37"/>
      <c r="FA365" s="37"/>
      <c r="FB365" s="37"/>
      <c r="FC365" s="37"/>
      <c r="FD365" s="37"/>
      <c r="FE365" s="37"/>
      <c r="FF365" s="55"/>
      <c r="FG365" s="55"/>
      <c r="FH365" s="55"/>
      <c r="FI365" s="37"/>
      <c r="FJ365" s="55"/>
      <c r="FK365" s="55"/>
      <c r="FL365" s="45"/>
      <c r="FM365" s="37"/>
      <c r="FN365" s="37"/>
      <c r="FO365" s="37"/>
      <c r="FP365" s="55"/>
      <c r="FQ365" s="1" t="s">
        <v>2</v>
      </c>
      <c r="FR365" s="1" t="s">
        <v>31</v>
      </c>
      <c r="FS365" s="1" t="s">
        <v>469</v>
      </c>
      <c r="FV365" s="1" t="s">
        <v>2</v>
      </c>
    </row>
    <row r="366" spans="1:178" ht="16.25" customHeight="1" x14ac:dyDescent="0.2">
      <c r="A366" s="25" t="s">
        <v>190</v>
      </c>
      <c r="B366" s="1" t="s">
        <v>74</v>
      </c>
      <c r="C366" s="21" t="s">
        <v>1026</v>
      </c>
      <c r="D366" s="1" t="s">
        <v>69</v>
      </c>
      <c r="H366" s="1" t="s">
        <v>1027</v>
      </c>
      <c r="J366" s="1" t="s">
        <v>467</v>
      </c>
      <c r="K366" s="1">
        <v>101.8</v>
      </c>
      <c r="S366" s="1">
        <v>1.76</v>
      </c>
      <c r="AF366" s="1">
        <v>14.7</v>
      </c>
      <c r="AN366" s="1">
        <v>1.64</v>
      </c>
      <c r="BA366" s="1">
        <v>0</v>
      </c>
      <c r="BV366" s="1">
        <v>101.8</v>
      </c>
      <c r="CD366" s="1">
        <v>1.76</v>
      </c>
      <c r="CQ366" s="1">
        <v>14.7</v>
      </c>
      <c r="CY366" s="1">
        <v>1.64</v>
      </c>
      <c r="DL366" s="18" t="s">
        <v>96</v>
      </c>
      <c r="DN366" s="1">
        <f t="shared" si="67"/>
        <v>1.7448583690987125</v>
      </c>
      <c r="DO366" s="1">
        <f t="shared" si="68"/>
        <v>0</v>
      </c>
      <c r="DP366" s="1" t="s">
        <v>67</v>
      </c>
      <c r="DQ366" s="1" t="s">
        <v>2</v>
      </c>
      <c r="DR366" s="16">
        <f t="shared" si="69"/>
        <v>116.5</v>
      </c>
      <c r="DS366" s="100">
        <f t="shared" si="70"/>
        <v>1.7448583690987125</v>
      </c>
      <c r="DT366" s="102">
        <f t="shared" si="71"/>
        <v>2032.76</v>
      </c>
      <c r="DV366" s="16">
        <f t="shared" si="72"/>
        <v>116.5</v>
      </c>
      <c r="DW366" s="100">
        <f>(BV366*CD366+CQ366*CY366)/DV366</f>
        <v>1.7448583690987125</v>
      </c>
      <c r="DX366" s="102">
        <f>1000*DV366*DW366/100</f>
        <v>2032.76</v>
      </c>
      <c r="DZ366" s="37" t="s">
        <v>2</v>
      </c>
      <c r="EA366" s="37"/>
      <c r="EM366" s="73"/>
      <c r="EN366" s="37"/>
      <c r="EO366" s="37"/>
      <c r="EP366" s="37"/>
      <c r="EQ366" s="37"/>
      <c r="ER366" s="37"/>
      <c r="ES366" s="37"/>
      <c r="ET366" s="37"/>
      <c r="EU366" s="37"/>
      <c r="EV366" s="37"/>
      <c r="EW366" s="37"/>
      <c r="EX366" s="37"/>
      <c r="EY366" s="37"/>
      <c r="EZ366" s="37"/>
      <c r="FA366" s="37"/>
      <c r="FB366" s="37"/>
      <c r="FC366" s="37"/>
      <c r="FD366" s="37"/>
      <c r="FE366" s="37"/>
      <c r="FF366" s="55"/>
      <c r="FG366" s="55"/>
      <c r="FH366" s="55"/>
      <c r="FI366" s="37"/>
      <c r="FJ366" s="55"/>
      <c r="FK366" s="55"/>
      <c r="FL366" s="45"/>
      <c r="FM366" s="37"/>
      <c r="FN366" s="37"/>
      <c r="FO366" s="37"/>
      <c r="FP366" s="55"/>
      <c r="FQ366" s="1" t="s">
        <v>2</v>
      </c>
      <c r="FR366" s="1" t="s">
        <v>31</v>
      </c>
      <c r="FS366" s="1" t="s">
        <v>469</v>
      </c>
      <c r="FT366" s="1" t="s">
        <v>469</v>
      </c>
      <c r="FV366" s="1" t="s">
        <v>2</v>
      </c>
    </row>
    <row r="367" spans="1:178" ht="16.25" customHeight="1" x14ac:dyDescent="0.2">
      <c r="A367" s="25" t="s">
        <v>190</v>
      </c>
      <c r="B367" s="1" t="s">
        <v>74</v>
      </c>
      <c r="C367" s="21" t="s">
        <v>565</v>
      </c>
      <c r="D367" s="1" t="s">
        <v>69</v>
      </c>
      <c r="G367" s="1" t="s">
        <v>72</v>
      </c>
      <c r="H367" s="1" t="s">
        <v>566</v>
      </c>
      <c r="J367" s="1" t="s">
        <v>216</v>
      </c>
      <c r="K367" s="1">
        <v>0</v>
      </c>
      <c r="AF367" s="1">
        <v>0</v>
      </c>
      <c r="BA367" s="1">
        <v>13</v>
      </c>
      <c r="BI367" s="1">
        <v>1.31</v>
      </c>
      <c r="BV367" s="1">
        <v>0</v>
      </c>
      <c r="CQ367" s="1">
        <v>0</v>
      </c>
      <c r="DL367" s="18" t="s">
        <v>163</v>
      </c>
      <c r="DN367" s="1">
        <f t="shared" si="67"/>
        <v>1.31</v>
      </c>
      <c r="DO367" s="1">
        <f t="shared" si="68"/>
        <v>0</v>
      </c>
      <c r="DP367" s="1" t="s">
        <v>471</v>
      </c>
      <c r="DQ367" s="1" t="s">
        <v>2</v>
      </c>
      <c r="DR367" s="16">
        <f t="shared" si="69"/>
        <v>13</v>
      </c>
      <c r="DS367" s="100">
        <f t="shared" si="70"/>
        <v>1.31</v>
      </c>
      <c r="DT367" s="101">
        <f t="shared" si="71"/>
        <v>170.3</v>
      </c>
      <c r="DV367" s="16">
        <f t="shared" si="72"/>
        <v>0</v>
      </c>
      <c r="DZ367" s="37" t="s">
        <v>2</v>
      </c>
      <c r="EA367" s="37"/>
      <c r="EM367" s="73"/>
      <c r="EN367" s="37"/>
      <c r="EO367" s="37"/>
      <c r="EP367" s="37"/>
      <c r="EQ367" s="37"/>
      <c r="ER367" s="37"/>
      <c r="ES367" s="37"/>
      <c r="ET367" s="37"/>
      <c r="EU367" s="37"/>
      <c r="EV367" s="37"/>
      <c r="EW367" s="37"/>
      <c r="EX367" s="37"/>
      <c r="EY367" s="37"/>
      <c r="EZ367" s="37"/>
      <c r="FA367" s="37"/>
      <c r="FB367" s="37"/>
      <c r="FC367" s="37"/>
      <c r="FD367" s="37"/>
      <c r="FE367" s="37"/>
      <c r="FF367" s="55"/>
      <c r="FG367" s="55"/>
      <c r="FH367" s="55"/>
      <c r="FI367" s="37"/>
      <c r="FJ367" s="55"/>
      <c r="FK367" s="55"/>
      <c r="FL367" s="45"/>
      <c r="FM367" s="37"/>
      <c r="FN367" s="37"/>
      <c r="FO367" s="37"/>
      <c r="FP367" s="55"/>
      <c r="FQ367" s="1" t="s">
        <v>2</v>
      </c>
      <c r="FR367" s="1" t="s">
        <v>31</v>
      </c>
      <c r="FS367" s="1" t="s">
        <v>205</v>
      </c>
      <c r="FV367" s="1" t="s">
        <v>2</v>
      </c>
    </row>
    <row r="368" spans="1:178" ht="16.25" customHeight="1" x14ac:dyDescent="0.2">
      <c r="A368" s="25" t="s">
        <v>190</v>
      </c>
      <c r="B368" s="1" t="s">
        <v>74</v>
      </c>
      <c r="C368" s="80" t="s">
        <v>1039</v>
      </c>
      <c r="D368" s="1" t="s">
        <v>69</v>
      </c>
      <c r="H368" s="1" t="s">
        <v>1040</v>
      </c>
      <c r="J368" s="1" t="s">
        <v>211</v>
      </c>
      <c r="K368" s="1">
        <f>13.47+4.15+10.61+9.32</f>
        <v>37.549999999999997</v>
      </c>
      <c r="S368" s="13">
        <f>(1.57*13.47+1.51*4.15+1.45*10.61+1.32*9.32)/K368</f>
        <v>1.467411451398136</v>
      </c>
      <c r="T368" s="13">
        <f>(0.18*13.47+0.16*4.15+0.18*10.61+0.16*9.32)/K368</f>
        <v>0.1728255659121172</v>
      </c>
      <c r="AA368" s="13">
        <f>(40.71*13.47+36.19*4.15+39.75*10.61+41.98*9.32)/K368</f>
        <v>40.25441544607191</v>
      </c>
      <c r="AB368" s="13">
        <f>(9.46*13.47+17.68*4.15+15.63*10.61+12.76*9.32)/K368</f>
        <v>12.930910785619178</v>
      </c>
      <c r="AF368" s="1">
        <f>0.44+1.85+5.21+18.55</f>
        <v>26.05</v>
      </c>
      <c r="AN368" s="13">
        <f>(1.56*0.44+1.58*1.85+1.42*5.21+1.33*18.55)/AF368</f>
        <v>1.3696391554702496</v>
      </c>
      <c r="AO368" s="13">
        <f>(0.22*0.44+0.16*1.85+0.16*5.21+0.16*18.55)/AF368</f>
        <v>0.1610134357005758</v>
      </c>
      <c r="AV368" s="13">
        <f>(37.85*0.44+37.26*1.85+36.36*5.21+42.89*18.55)/AF368</f>
        <v>41.099044145873322</v>
      </c>
      <c r="AW368" s="13">
        <f>(15.11*0.44+16.25*1.85+19.72*5.21+11.66*18.55)/AF368</f>
        <v>13.656241842610363</v>
      </c>
      <c r="BA368" s="1">
        <f>0.11+2.97+0.03+21.59</f>
        <v>24.7</v>
      </c>
      <c r="BI368" s="13">
        <f>(1.57*0.11+1.63*2.97+1.35*0.03+1.35*21.59)/BA368</f>
        <v>1.3846477732793523</v>
      </c>
      <c r="BJ368" s="13">
        <f>(0.21*0.11+0.16*2.97+0.15*0.03+0.17*21.59)/BA368</f>
        <v>0.16895141700404859</v>
      </c>
      <c r="BQ368" s="13">
        <f>(39.94*0.11+36.13*2.97+34.94*0.03+42.35*21.59)/BA368</f>
        <v>41.582356275303646</v>
      </c>
      <c r="BR368" s="13">
        <f>(14.15*0.11+19.28*2.97+17.98*0.03+10.8*21.59)/BA368</f>
        <v>11.843299595141703</v>
      </c>
      <c r="BV368" s="1">
        <f>5.16+1.66+3+0.4</f>
        <v>10.220000000000001</v>
      </c>
      <c r="CD368" s="13">
        <f>(1.7*5.16+1.79*1.66+1.65*3+1.58*0.4)/BV368</f>
        <v>1.6952446183953034</v>
      </c>
      <c r="CE368" s="13">
        <f>(0.19*5.16+0.13*1.66+0.18*3+0.15*0.4)/BV368</f>
        <v>0.17575342465753427</v>
      </c>
      <c r="CL368" s="13">
        <f>(39.98*5.16+28.09*1.66+38.09*3+40.38*0.4)/BV368</f>
        <v>37.509608610567511</v>
      </c>
      <c r="CM368" s="13">
        <f>(9.86*5.16+25.7*1.66+17.35*3+14.81*0.4)/BV368</f>
        <v>14.825205479452057</v>
      </c>
      <c r="CQ368" s="1">
        <f>0.03+0.38+1.12+1</f>
        <v>2.5300000000000002</v>
      </c>
      <c r="CY368" s="13">
        <f>(1.71*0.03+1.76*0.38+1.63*1.12+1.57*1)/CQ368</f>
        <v>1.6267588932806325</v>
      </c>
      <c r="CZ368" s="13">
        <f>(0.26*0.03+0.13*0.38+0.15*1.12+0.16*1)/CQ368</f>
        <v>0.15225296442687744</v>
      </c>
      <c r="DG368" s="13">
        <f>(36.68*0.03+29.61*0.38+33.24*1.12+41.15*1)/CQ368</f>
        <v>35.862055335968371</v>
      </c>
      <c r="DH368" s="13">
        <f>(16.66*0.03+23.87*0.38+23.6*1.12+13.6*1)/CQ368</f>
        <v>19.605691699604744</v>
      </c>
      <c r="DL368" s="18" t="s">
        <v>96</v>
      </c>
      <c r="DM368" s="1" t="s">
        <v>96</v>
      </c>
      <c r="DN368" s="1">
        <f t="shared" si="67"/>
        <v>1.4154156285390715</v>
      </c>
      <c r="DO368" s="1">
        <f t="shared" si="68"/>
        <v>0.16825707814269536</v>
      </c>
      <c r="DP368" s="1" t="s">
        <v>67</v>
      </c>
      <c r="DQ368" s="1" t="s">
        <v>2</v>
      </c>
      <c r="DR368" s="16">
        <f t="shared" si="69"/>
        <v>88.3</v>
      </c>
      <c r="DS368" s="100">
        <f t="shared" si="70"/>
        <v>1.4154156285390715</v>
      </c>
      <c r="DT368" s="102">
        <f t="shared" si="71"/>
        <v>1249.8120000000001</v>
      </c>
      <c r="DV368" s="16">
        <f t="shared" si="72"/>
        <v>12.75</v>
      </c>
      <c r="DW368" s="100">
        <f>(BV368*CD368+CQ368*CY368)/DV368</f>
        <v>1.6816549019607845</v>
      </c>
      <c r="DX368" s="101">
        <f>1000*DV368*DW368/100</f>
        <v>214.41100000000003</v>
      </c>
      <c r="DZ368" s="37" t="s">
        <v>2</v>
      </c>
      <c r="EA368" s="37"/>
      <c r="EM368" s="73"/>
      <c r="EN368" s="37"/>
      <c r="EO368" s="37"/>
      <c r="EP368" s="37"/>
      <c r="EQ368" s="37"/>
      <c r="ER368" s="37"/>
      <c r="ES368" s="37"/>
      <c r="ET368" s="37"/>
      <c r="EU368" s="37"/>
      <c r="EV368" s="37"/>
      <c r="EW368" s="37"/>
      <c r="EX368" s="37"/>
      <c r="EY368" s="37"/>
      <c r="EZ368" s="37"/>
      <c r="FA368" s="37"/>
      <c r="FB368" s="37"/>
      <c r="FC368" s="37"/>
      <c r="FD368" s="37"/>
      <c r="FE368" s="37"/>
      <c r="FF368" s="55"/>
      <c r="FG368" s="55"/>
      <c r="FH368" s="55"/>
      <c r="FI368" s="37"/>
      <c r="FJ368" s="55"/>
      <c r="FK368" s="55"/>
      <c r="FL368" s="45"/>
      <c r="FM368" s="37"/>
      <c r="FN368" s="37"/>
      <c r="FO368" s="37"/>
      <c r="FP368" s="55"/>
      <c r="FQ368" s="1" t="s">
        <v>2</v>
      </c>
      <c r="FR368" s="1" t="s">
        <v>31</v>
      </c>
      <c r="FS368" s="1" t="s">
        <v>205</v>
      </c>
      <c r="FV368" s="1" t="s">
        <v>2</v>
      </c>
    </row>
    <row r="369" spans="1:178" ht="16.25" customHeight="1" x14ac:dyDescent="0.2">
      <c r="A369" s="25" t="s">
        <v>190</v>
      </c>
      <c r="B369" s="1" t="s">
        <v>74</v>
      </c>
      <c r="C369" s="16" t="s">
        <v>1023</v>
      </c>
      <c r="D369" s="1" t="s">
        <v>69</v>
      </c>
      <c r="F369" s="26"/>
      <c r="H369" s="1" t="s">
        <v>131</v>
      </c>
      <c r="J369" s="1" t="s">
        <v>216</v>
      </c>
      <c r="K369" s="1">
        <v>0</v>
      </c>
      <c r="AF369" s="1">
        <v>0</v>
      </c>
      <c r="BA369" s="1">
        <v>27</v>
      </c>
      <c r="BI369" s="1">
        <v>2.2000000000000002</v>
      </c>
      <c r="BV369" s="1">
        <v>0</v>
      </c>
      <c r="CQ369" s="1">
        <v>0</v>
      </c>
      <c r="DL369" s="18" t="s">
        <v>163</v>
      </c>
      <c r="DN369" s="1">
        <f t="shared" si="67"/>
        <v>2.2000000000000002</v>
      </c>
      <c r="DO369" s="1">
        <f t="shared" si="68"/>
        <v>0</v>
      </c>
      <c r="DP369" s="1" t="s">
        <v>471</v>
      </c>
      <c r="DQ369" s="1" t="s">
        <v>2</v>
      </c>
      <c r="DR369" s="16">
        <f t="shared" si="69"/>
        <v>27</v>
      </c>
      <c r="DS369" s="100">
        <f t="shared" si="70"/>
        <v>2.2000000000000002</v>
      </c>
      <c r="DT369" s="101">
        <f t="shared" si="71"/>
        <v>594.00000000000011</v>
      </c>
      <c r="DV369" s="16">
        <f t="shared" si="72"/>
        <v>0</v>
      </c>
      <c r="DZ369" s="37" t="s">
        <v>2</v>
      </c>
      <c r="EA369" s="37"/>
      <c r="EM369" s="73"/>
      <c r="EN369" s="37"/>
      <c r="EO369" s="37"/>
      <c r="EP369" s="37"/>
      <c r="EQ369" s="37"/>
      <c r="ER369" s="37"/>
      <c r="ES369" s="37"/>
      <c r="ET369" s="37"/>
      <c r="EU369" s="37"/>
      <c r="EV369" s="37"/>
      <c r="EW369" s="37"/>
      <c r="EX369" s="37"/>
      <c r="EY369" s="37"/>
      <c r="EZ369" s="37"/>
      <c r="FA369" s="37"/>
      <c r="FB369" s="37"/>
      <c r="FC369" s="37"/>
      <c r="FD369" s="37"/>
      <c r="FE369" s="37"/>
      <c r="FF369" s="55"/>
      <c r="FG369" s="55"/>
      <c r="FH369" s="55"/>
      <c r="FI369" s="37"/>
      <c r="FJ369" s="55"/>
      <c r="FK369" s="55"/>
      <c r="FL369" s="45"/>
      <c r="FM369" s="37"/>
      <c r="FN369" s="37"/>
      <c r="FO369" s="37"/>
      <c r="FP369" s="55"/>
      <c r="FQ369" s="1" t="s">
        <v>2</v>
      </c>
      <c r="FR369" s="1" t="s">
        <v>31</v>
      </c>
      <c r="FS369" s="1" t="s">
        <v>205</v>
      </c>
      <c r="FV369" s="1" t="s">
        <v>2</v>
      </c>
    </row>
    <row r="370" spans="1:178" ht="16.25" customHeight="1" x14ac:dyDescent="0.2">
      <c r="A370" s="25" t="s">
        <v>190</v>
      </c>
      <c r="B370" s="1" t="s">
        <v>74</v>
      </c>
      <c r="C370" s="80" t="s">
        <v>388</v>
      </c>
      <c r="D370" s="1" t="s">
        <v>71</v>
      </c>
      <c r="G370" s="1" t="s">
        <v>65</v>
      </c>
      <c r="H370" s="1" t="s">
        <v>389</v>
      </c>
      <c r="J370" s="1" t="s">
        <v>211</v>
      </c>
      <c r="K370" s="1">
        <f>0.43+20.57+4.92+14.15</f>
        <v>40.07</v>
      </c>
      <c r="S370" s="13">
        <f>(1.45*0.43+1.42*20.57+1.43*4.92+1.41*14.15)/K370</f>
        <v>1.418018467681557</v>
      </c>
      <c r="T370" s="13">
        <f>(0.14*0.43+0.14*20.57+0.14*4.92+0.14*14.15)/K370</f>
        <v>0.14000000000000001</v>
      </c>
      <c r="AA370" s="13">
        <f>(38.45*0.43+41.96*20.57+38.71*4.92+43.93*14.15)/K370</f>
        <v>42.218951834289996</v>
      </c>
      <c r="AB370" s="13">
        <f>(14.1*0.43+10.24*20.57+12.48*4.92+8.86*14.15)/K370</f>
        <v>10.06913900673821</v>
      </c>
      <c r="AF370" s="1">
        <f>10.2+11.8+24.57+11.1</f>
        <v>57.67</v>
      </c>
      <c r="AN370" s="13">
        <f>(1.4*10.2+1.41*11.8+1.42*24.57+1.42*11.1)/AF370</f>
        <v>1.4144165077163169</v>
      </c>
      <c r="AO370" s="13">
        <f>(0.1*10.2+0.12*11.8+0.07*24.57+0.14*11.1)/AF370</f>
        <v>9.9009883821744402E-2</v>
      </c>
      <c r="AV370" s="13">
        <f>(36.98*10.2+40.75*11.8+36.16*24.57+43.37*11.1)/AF370</f>
        <v>38.631943818276397</v>
      </c>
      <c r="AW370" s="13">
        <f>(14.93*10.2+11.74*11.8+13.71*24.57+8.66*11.1)/AF370</f>
        <v>12.550697069533554</v>
      </c>
      <c r="BA370" s="1">
        <f>2.71+5.55+21.26+4.04</f>
        <v>33.56</v>
      </c>
      <c r="BI370" s="13">
        <f>(1.39*2.71+1.42*5.55+1.37*21.26+1.38*4.04)/BA370</f>
        <v>1.3810876042908224</v>
      </c>
      <c r="BJ370" s="13">
        <f>(0.12*2.71+0.14*5.55+0.07*21.26+0.15*4.04)/BA370</f>
        <v>9.524433849821215E-2</v>
      </c>
      <c r="BQ370" s="13">
        <f>(40.65*2.71+32.86*5.55+32.86*21.26+43.71*4.04)/BA370</f>
        <v>34.795187723480332</v>
      </c>
      <c r="BR370" s="13">
        <f>(13.5*2.71+11.76*5.55+19.3*21.26+8.48*4.04)/BA370</f>
        <v>16.282187127532776</v>
      </c>
      <c r="BV370" s="1">
        <f>4.47+17.9</f>
        <v>22.369999999999997</v>
      </c>
      <c r="CD370" s="13">
        <f>(1.39*4.47+1.38*17.9)/BV370</f>
        <v>1.3819982118909253</v>
      </c>
      <c r="CE370" s="13">
        <f>(0.14*4.47+1.4*17.9)/BV370</f>
        <v>1.1482253017434063</v>
      </c>
      <c r="CL370" s="13">
        <f>(38.7*4.47+42.03*17.9)/BV370</f>
        <v>41.364595440321864</v>
      </c>
      <c r="CM370" s="13">
        <f>(12.48*4.47+10.18*17.9)/BV370</f>
        <v>10.639588734912829</v>
      </c>
      <c r="CQ370" s="1">
        <f>22.04+20.09</f>
        <v>42.129999999999995</v>
      </c>
      <c r="CY370" s="13">
        <f>(1.38*22.04+1.37*20.09)/CQ370</f>
        <v>1.3752314265369097</v>
      </c>
      <c r="CZ370" s="13">
        <f>(0.07*22.04+0.12*20.09)/CQ370</f>
        <v>9.3842867315452189E-2</v>
      </c>
      <c r="DG370" s="13">
        <f>(36.15*22.04+40.72*20.09)/CQ370</f>
        <v>38.329238072632329</v>
      </c>
      <c r="DH370" s="13">
        <f>(13.71*22.04+11.74*20.09)/CQ370</f>
        <v>12.770591027771188</v>
      </c>
      <c r="DL370" s="18" t="s">
        <v>96</v>
      </c>
      <c r="DM370" s="1" t="s">
        <v>96</v>
      </c>
      <c r="DN370" s="1">
        <f t="shared" si="67"/>
        <v>1.4069969535415079</v>
      </c>
      <c r="DO370" s="1">
        <f t="shared" si="68"/>
        <v>0.11055674028941356</v>
      </c>
      <c r="DP370" s="1" t="s">
        <v>67</v>
      </c>
      <c r="DQ370" s="1" t="s">
        <v>2</v>
      </c>
      <c r="DR370" s="16">
        <f t="shared" si="69"/>
        <v>131.30000000000001</v>
      </c>
      <c r="DS370" s="100">
        <f t="shared" si="70"/>
        <v>1.4069969535415079</v>
      </c>
      <c r="DT370" s="102">
        <f t="shared" si="71"/>
        <v>1847.3869999999997</v>
      </c>
      <c r="DV370" s="16">
        <f t="shared" si="72"/>
        <v>64.5</v>
      </c>
      <c r="DW370" s="100">
        <f>(BV370*CD370+CQ370*CY370)/DV370</f>
        <v>1.3775782945736432</v>
      </c>
      <c r="DX370" s="101">
        <f>1000*DV370*DW370/100</f>
        <v>888.5379999999999</v>
      </c>
      <c r="DZ370" s="37" t="s">
        <v>2</v>
      </c>
      <c r="EA370" s="37"/>
      <c r="EM370" s="73"/>
      <c r="EN370" s="37"/>
      <c r="EO370" s="37"/>
      <c r="EP370" s="37"/>
      <c r="EQ370" s="37"/>
      <c r="ER370" s="37"/>
      <c r="ES370" s="37"/>
      <c r="ET370" s="37"/>
      <c r="EU370" s="37"/>
      <c r="EV370" s="37"/>
      <c r="EW370" s="37"/>
      <c r="EX370" s="37"/>
      <c r="EY370" s="37"/>
      <c r="EZ370" s="37"/>
      <c r="FA370" s="37"/>
      <c r="FB370" s="37"/>
      <c r="FC370" s="37"/>
      <c r="FD370" s="37"/>
      <c r="FE370" s="37"/>
      <c r="FF370" s="55"/>
      <c r="FG370" s="55"/>
      <c r="FH370" s="55"/>
      <c r="FI370" s="37"/>
      <c r="FJ370" s="55"/>
      <c r="FK370" s="55"/>
      <c r="FL370" s="45"/>
      <c r="FM370" s="37"/>
      <c r="FN370" s="37"/>
      <c r="FO370" s="37"/>
      <c r="FP370" s="55"/>
      <c r="FQ370" s="1" t="s">
        <v>2</v>
      </c>
      <c r="FR370" s="1" t="s">
        <v>31</v>
      </c>
      <c r="FS370" s="1" t="s">
        <v>205</v>
      </c>
      <c r="FV370" s="1" t="s">
        <v>2</v>
      </c>
    </row>
    <row r="371" spans="1:178" ht="16.25" customHeight="1" x14ac:dyDescent="0.2">
      <c r="A371" s="25" t="s">
        <v>190</v>
      </c>
      <c r="B371" s="1" t="s">
        <v>74</v>
      </c>
      <c r="C371" s="80" t="s">
        <v>385</v>
      </c>
      <c r="D371" s="1" t="s">
        <v>69</v>
      </c>
      <c r="G371" s="1" t="s">
        <v>65</v>
      </c>
      <c r="H371" s="1" t="s">
        <v>356</v>
      </c>
      <c r="J371" s="1" t="s">
        <v>187</v>
      </c>
      <c r="K371" s="13">
        <v>85.435869999999994</v>
      </c>
      <c r="S371" s="1">
        <v>1.51</v>
      </c>
      <c r="AF371" s="13">
        <v>182.0712</v>
      </c>
      <c r="AN371" s="1">
        <v>1.35</v>
      </c>
      <c r="BA371" s="14">
        <f>83.104+89.78</f>
        <v>172.88400000000001</v>
      </c>
      <c r="BI371" s="13">
        <f>(1.26*83.104+0.8*89.78)/BA371</f>
        <v>1.0211184377964413</v>
      </c>
      <c r="BV371" s="1">
        <v>0</v>
      </c>
      <c r="CQ371" s="1">
        <v>0</v>
      </c>
      <c r="DL371" s="18" t="s">
        <v>96</v>
      </c>
      <c r="DN371" s="1">
        <f t="shared" si="67"/>
        <v>1.2519312067340511</v>
      </c>
      <c r="DO371" s="1">
        <f t="shared" si="68"/>
        <v>0</v>
      </c>
      <c r="DP371" s="1" t="s">
        <v>101</v>
      </c>
      <c r="DQ371" s="1" t="s">
        <v>2</v>
      </c>
      <c r="DR371" s="101">
        <f t="shared" si="69"/>
        <v>440.39107000000001</v>
      </c>
      <c r="DS371" s="100">
        <f t="shared" si="70"/>
        <v>1.2519312067340511</v>
      </c>
      <c r="DT371" s="102">
        <f t="shared" si="71"/>
        <v>5513.3932369999993</v>
      </c>
      <c r="DV371" s="16">
        <f t="shared" si="72"/>
        <v>0</v>
      </c>
      <c r="DZ371" s="37" t="s">
        <v>2</v>
      </c>
      <c r="EA371" s="37"/>
      <c r="EM371" s="73"/>
      <c r="EN371" s="37"/>
      <c r="EO371" s="37"/>
      <c r="EP371" s="37"/>
      <c r="EQ371" s="37"/>
      <c r="ER371" s="37"/>
      <c r="ES371" s="37"/>
      <c r="ET371" s="37"/>
      <c r="EU371" s="37"/>
      <c r="EV371" s="37"/>
      <c r="EW371" s="37"/>
      <c r="EX371" s="37"/>
      <c r="EY371" s="37"/>
      <c r="EZ371" s="37"/>
      <c r="FA371" s="37"/>
      <c r="FB371" s="37"/>
      <c r="FC371" s="37"/>
      <c r="FD371" s="37"/>
      <c r="FE371" s="37"/>
      <c r="FF371" s="55"/>
      <c r="FG371" s="55"/>
      <c r="FH371" s="55"/>
      <c r="FI371" s="37"/>
      <c r="FJ371" s="55"/>
      <c r="FK371" s="55"/>
      <c r="FL371" s="45"/>
      <c r="FM371" s="37"/>
      <c r="FN371" s="37"/>
      <c r="FO371" s="37"/>
      <c r="FP371" s="55"/>
      <c r="FQ371" s="1" t="s">
        <v>2</v>
      </c>
      <c r="FR371" s="1" t="s">
        <v>31</v>
      </c>
      <c r="FS371" s="1" t="s">
        <v>205</v>
      </c>
      <c r="FV371" s="1" t="s">
        <v>2</v>
      </c>
    </row>
    <row r="372" spans="1:178" ht="16.25" customHeight="1" x14ac:dyDescent="0.2">
      <c r="A372" s="25" t="s">
        <v>190</v>
      </c>
      <c r="B372" s="1" t="s">
        <v>74</v>
      </c>
      <c r="C372" s="21" t="s">
        <v>1101</v>
      </c>
      <c r="D372" s="1" t="s">
        <v>69</v>
      </c>
      <c r="H372" s="1" t="s">
        <v>131</v>
      </c>
      <c r="J372" s="1" t="s">
        <v>216</v>
      </c>
      <c r="K372" s="1">
        <v>0</v>
      </c>
      <c r="AF372" s="1">
        <v>0</v>
      </c>
      <c r="BA372" s="1">
        <v>88</v>
      </c>
      <c r="BI372" s="1">
        <v>1.2</v>
      </c>
      <c r="BV372" s="1">
        <v>0</v>
      </c>
      <c r="CQ372" s="1">
        <v>0</v>
      </c>
      <c r="DL372" s="18" t="s">
        <v>163</v>
      </c>
      <c r="DN372" s="1">
        <f t="shared" si="67"/>
        <v>1.2</v>
      </c>
      <c r="DO372" s="1">
        <f t="shared" si="68"/>
        <v>0</v>
      </c>
      <c r="DP372" s="1" t="s">
        <v>471</v>
      </c>
      <c r="DQ372" s="1" t="s">
        <v>2</v>
      </c>
      <c r="DR372" s="16">
        <f t="shared" si="69"/>
        <v>88</v>
      </c>
      <c r="DS372" s="100">
        <f t="shared" si="70"/>
        <v>1.2</v>
      </c>
      <c r="DT372" s="102">
        <f t="shared" si="71"/>
        <v>1056</v>
      </c>
      <c r="DV372" s="16">
        <f t="shared" si="72"/>
        <v>0</v>
      </c>
      <c r="DZ372" s="37" t="s">
        <v>2</v>
      </c>
      <c r="EA372" s="37"/>
      <c r="EM372" s="73"/>
      <c r="EN372" s="37"/>
      <c r="EO372" s="37"/>
      <c r="EP372" s="37"/>
      <c r="EQ372" s="37"/>
      <c r="ER372" s="37"/>
      <c r="ES372" s="37"/>
      <c r="ET372" s="37"/>
      <c r="EU372" s="37"/>
      <c r="EV372" s="37"/>
      <c r="EW372" s="37"/>
      <c r="EX372" s="37"/>
      <c r="EY372" s="37"/>
      <c r="EZ372" s="37"/>
      <c r="FA372" s="37"/>
      <c r="FB372" s="37"/>
      <c r="FC372" s="37"/>
      <c r="FD372" s="37"/>
      <c r="FE372" s="37"/>
      <c r="FF372" s="55"/>
      <c r="FG372" s="55"/>
      <c r="FH372" s="55"/>
      <c r="FI372" s="37"/>
      <c r="FJ372" s="55"/>
      <c r="FK372" s="55"/>
      <c r="FL372" s="45"/>
      <c r="FM372" s="37"/>
      <c r="FN372" s="37"/>
      <c r="FO372" s="37"/>
      <c r="FP372" s="55"/>
      <c r="FQ372" s="1" t="s">
        <v>2</v>
      </c>
      <c r="FR372" s="1" t="s">
        <v>31</v>
      </c>
      <c r="FS372" s="1" t="s">
        <v>205</v>
      </c>
      <c r="FT372" s="1" t="s">
        <v>205</v>
      </c>
      <c r="FV372" s="1" t="s">
        <v>2</v>
      </c>
    </row>
    <row r="373" spans="1:178" ht="16.25" customHeight="1" x14ac:dyDescent="0.2">
      <c r="A373" s="25" t="s">
        <v>190</v>
      </c>
      <c r="B373" s="1" t="s">
        <v>74</v>
      </c>
      <c r="C373" s="21" t="s">
        <v>1141</v>
      </c>
      <c r="D373" s="1" t="s">
        <v>69</v>
      </c>
      <c r="H373" s="1" t="s">
        <v>1138</v>
      </c>
      <c r="J373" s="1" t="s">
        <v>211</v>
      </c>
      <c r="K373" s="1">
        <v>3.78</v>
      </c>
      <c r="S373" s="1">
        <v>1.41</v>
      </c>
      <c r="T373" s="1">
        <v>0.13</v>
      </c>
      <c r="AA373" s="1">
        <v>38.94</v>
      </c>
      <c r="AB373" s="1">
        <v>16.920000000000002</v>
      </c>
      <c r="AF373" s="1">
        <v>5.67</v>
      </c>
      <c r="AN373" s="1">
        <v>1.38</v>
      </c>
      <c r="AO373" s="1">
        <v>0.13</v>
      </c>
      <c r="AV373" s="1">
        <v>38.99</v>
      </c>
      <c r="AW373" s="1">
        <v>16.34</v>
      </c>
      <c r="BA373" s="1">
        <v>8.98</v>
      </c>
      <c r="BI373" s="1">
        <v>1.41</v>
      </c>
      <c r="BJ373" s="1">
        <v>0.11</v>
      </c>
      <c r="BQ373" s="1">
        <v>29.8</v>
      </c>
      <c r="BR373" s="1">
        <v>18.82</v>
      </c>
      <c r="BV373" s="1">
        <v>0.76</v>
      </c>
      <c r="CD373" s="1">
        <v>1.63</v>
      </c>
      <c r="CE373" s="1">
        <v>0.13</v>
      </c>
      <c r="CL373" s="1">
        <v>38.590000000000003</v>
      </c>
      <c r="CM373" s="1">
        <v>17.45</v>
      </c>
      <c r="CQ373" s="1">
        <v>0.74</v>
      </c>
      <c r="CY373" s="1">
        <v>1.59</v>
      </c>
      <c r="CZ373" s="1">
        <v>0.16</v>
      </c>
      <c r="DG373" s="1">
        <v>41.15</v>
      </c>
      <c r="DH373" s="1">
        <v>13.62</v>
      </c>
      <c r="DL373" s="18" t="s">
        <v>96</v>
      </c>
      <c r="DM373" s="1" t="s">
        <v>96</v>
      </c>
      <c r="DN373" s="1">
        <f t="shared" si="67"/>
        <v>1.4007704829083016</v>
      </c>
      <c r="DO373" s="1">
        <f t="shared" si="68"/>
        <v>0.12025501899077591</v>
      </c>
      <c r="DP373" s="1" t="s">
        <v>67</v>
      </c>
      <c r="DQ373" s="1" t="s">
        <v>2</v>
      </c>
      <c r="DR373" s="16">
        <f t="shared" si="69"/>
        <v>18.43</v>
      </c>
      <c r="DS373" s="100">
        <f t="shared" si="70"/>
        <v>1.4007704829083016</v>
      </c>
      <c r="DT373" s="101">
        <f t="shared" si="71"/>
        <v>258.16200000000003</v>
      </c>
      <c r="DV373" s="16">
        <f t="shared" si="72"/>
        <v>1.5</v>
      </c>
      <c r="DW373" s="100">
        <f>(BV373*CD373+CQ373*CY373)/DV373</f>
        <v>1.6102666666666667</v>
      </c>
      <c r="DX373" s="101">
        <f>1000*DV373*DW373/100</f>
        <v>24.154</v>
      </c>
      <c r="DZ373" s="37" t="s">
        <v>2</v>
      </c>
      <c r="EA373" s="37"/>
      <c r="EM373" s="73"/>
      <c r="EN373" s="37"/>
      <c r="EO373" s="37"/>
      <c r="EP373" s="37"/>
      <c r="EQ373" s="37"/>
      <c r="ER373" s="37"/>
      <c r="ES373" s="37"/>
      <c r="ET373" s="37"/>
      <c r="EU373" s="37"/>
      <c r="EV373" s="37"/>
      <c r="EW373" s="37"/>
      <c r="EX373" s="37"/>
      <c r="EY373" s="37"/>
      <c r="EZ373" s="37"/>
      <c r="FA373" s="37"/>
      <c r="FB373" s="37"/>
      <c r="FC373" s="37"/>
      <c r="FD373" s="37"/>
      <c r="FE373" s="37"/>
      <c r="FF373" s="55"/>
      <c r="FG373" s="55"/>
      <c r="FH373" s="55"/>
      <c r="FI373" s="37"/>
      <c r="FJ373" s="55"/>
      <c r="FK373" s="55"/>
      <c r="FL373" s="45"/>
      <c r="FM373" s="37"/>
      <c r="FN373" s="37"/>
      <c r="FO373" s="37"/>
      <c r="FP373" s="55"/>
      <c r="FQ373" s="1" t="s">
        <v>2</v>
      </c>
      <c r="FR373" s="1" t="s">
        <v>31</v>
      </c>
      <c r="FS373" s="1" t="s">
        <v>205</v>
      </c>
      <c r="FV373" s="1" t="s">
        <v>2</v>
      </c>
    </row>
    <row r="374" spans="1:178" ht="16.25" customHeight="1" x14ac:dyDescent="0.2">
      <c r="A374" s="25" t="s">
        <v>190</v>
      </c>
      <c r="B374" s="1" t="s">
        <v>74</v>
      </c>
      <c r="C374" s="80" t="s">
        <v>727</v>
      </c>
      <c r="D374" s="1" t="s">
        <v>69</v>
      </c>
      <c r="H374" s="1" t="s">
        <v>728</v>
      </c>
      <c r="J374" s="1" t="s">
        <v>211</v>
      </c>
      <c r="K374" s="1">
        <v>5.56</v>
      </c>
      <c r="S374" s="1">
        <v>1.45</v>
      </c>
      <c r="T374" s="1">
        <v>0.17</v>
      </c>
      <c r="AA374" s="1">
        <v>43.29</v>
      </c>
      <c r="AB374" s="1">
        <v>9.25</v>
      </c>
      <c r="AF374" s="1">
        <v>19.73</v>
      </c>
      <c r="AN374" s="1">
        <v>1.42</v>
      </c>
      <c r="AO374" s="1">
        <v>0.15</v>
      </c>
      <c r="AV374" s="1">
        <v>42.53</v>
      </c>
      <c r="AW374" s="1">
        <v>10.94</v>
      </c>
      <c r="BA374" s="1">
        <v>103.42</v>
      </c>
      <c r="BI374" s="1">
        <v>1.46</v>
      </c>
      <c r="BJ374" s="1">
        <v>0.15</v>
      </c>
      <c r="BQ374" s="1">
        <v>43.29</v>
      </c>
      <c r="BR374" s="1">
        <v>9.25</v>
      </c>
      <c r="BV374" s="1">
        <v>1.37</v>
      </c>
      <c r="CD374" s="1">
        <v>1.57</v>
      </c>
      <c r="CE374" s="1">
        <v>0.17</v>
      </c>
      <c r="CL374" s="1">
        <v>42.27</v>
      </c>
      <c r="CM374" s="1">
        <v>9.6999999999999993</v>
      </c>
      <c r="CQ374" s="1">
        <v>4.1399999999999997</v>
      </c>
      <c r="CY374" s="1">
        <v>1.55</v>
      </c>
      <c r="CZ374" s="1">
        <v>0.17</v>
      </c>
      <c r="DG374" s="1">
        <v>40.880000000000003</v>
      </c>
      <c r="DH374" s="1">
        <v>11.51</v>
      </c>
      <c r="DL374" s="18" t="s">
        <v>96</v>
      </c>
      <c r="DM374" s="1" t="s">
        <v>96</v>
      </c>
      <c r="DN374" s="1">
        <f t="shared" si="67"/>
        <v>1.4534364074275501</v>
      </c>
      <c r="DO374" s="1">
        <f t="shared" si="68"/>
        <v>0.15086395773444175</v>
      </c>
      <c r="DP374" s="1" t="s">
        <v>67</v>
      </c>
      <c r="DQ374" s="1" t="s">
        <v>2</v>
      </c>
      <c r="DR374" s="101">
        <f t="shared" si="69"/>
        <v>128.71</v>
      </c>
      <c r="DS374" s="100">
        <f t="shared" si="70"/>
        <v>1.4534364074275501</v>
      </c>
      <c r="DT374" s="102">
        <f t="shared" si="71"/>
        <v>1870.7179999999998</v>
      </c>
      <c r="DV374" s="16">
        <f t="shared" si="72"/>
        <v>5.51</v>
      </c>
      <c r="DW374" s="100">
        <f>(BV374*CD374+CQ374*CY374)/DV374</f>
        <v>1.5549727767695101</v>
      </c>
      <c r="DX374" s="101">
        <f>1000*DV374*DW374/100</f>
        <v>85.679000000000002</v>
      </c>
      <c r="DZ374" s="37" t="s">
        <v>2</v>
      </c>
      <c r="EA374" s="37"/>
      <c r="EM374" s="73"/>
      <c r="EN374" s="37"/>
      <c r="EO374" s="37"/>
      <c r="EP374" s="37"/>
      <c r="EQ374" s="37"/>
      <c r="ER374" s="37"/>
      <c r="ES374" s="37"/>
      <c r="ET374" s="37"/>
      <c r="EU374" s="37"/>
      <c r="EV374" s="37"/>
      <c r="EW374" s="37"/>
      <c r="EX374" s="37"/>
      <c r="EY374" s="37"/>
      <c r="EZ374" s="37"/>
      <c r="FA374" s="37"/>
      <c r="FB374" s="37"/>
      <c r="FC374" s="37"/>
      <c r="FD374" s="37"/>
      <c r="FE374" s="37"/>
      <c r="FF374" s="55"/>
      <c r="FG374" s="55"/>
      <c r="FH374" s="55"/>
      <c r="FI374" s="37"/>
      <c r="FJ374" s="55"/>
      <c r="FK374" s="55"/>
      <c r="FL374" s="45"/>
      <c r="FM374" s="37"/>
      <c r="FN374" s="37"/>
      <c r="FO374" s="37"/>
      <c r="FP374" s="55"/>
      <c r="FQ374" s="1" t="s">
        <v>2</v>
      </c>
      <c r="FR374" s="1" t="s">
        <v>31</v>
      </c>
      <c r="FS374" s="1" t="s">
        <v>205</v>
      </c>
      <c r="FV374" s="1" t="s">
        <v>2</v>
      </c>
    </row>
    <row r="375" spans="1:178" ht="16.25" customHeight="1" x14ac:dyDescent="0.2">
      <c r="A375" s="25" t="s">
        <v>190</v>
      </c>
      <c r="B375" s="1" t="s">
        <v>74</v>
      </c>
      <c r="C375" s="21" t="s">
        <v>277</v>
      </c>
      <c r="D375" s="1" t="s">
        <v>69</v>
      </c>
      <c r="G375" s="1" t="s">
        <v>72</v>
      </c>
      <c r="H375" s="1" t="s">
        <v>278</v>
      </c>
      <c r="J375" s="1" t="s">
        <v>467</v>
      </c>
      <c r="K375" s="1">
        <v>0</v>
      </c>
      <c r="AF375" s="1">
        <v>0</v>
      </c>
      <c r="BA375" s="1">
        <v>97</v>
      </c>
      <c r="BI375" s="1">
        <v>1.78</v>
      </c>
      <c r="BV375" s="1">
        <v>0</v>
      </c>
      <c r="CQ375" s="1">
        <v>0</v>
      </c>
      <c r="DL375" s="18" t="s">
        <v>96</v>
      </c>
      <c r="DN375" s="1">
        <f t="shared" si="67"/>
        <v>1.78</v>
      </c>
      <c r="DO375" s="1">
        <f t="shared" si="68"/>
        <v>0</v>
      </c>
      <c r="DP375" s="1" t="s">
        <v>492</v>
      </c>
      <c r="DQ375" s="1" t="s">
        <v>2</v>
      </c>
      <c r="DR375" s="16">
        <f t="shared" si="69"/>
        <v>97</v>
      </c>
      <c r="DS375" s="100">
        <f t="shared" si="70"/>
        <v>1.78</v>
      </c>
      <c r="DT375" s="102">
        <f t="shared" si="71"/>
        <v>1726.6</v>
      </c>
      <c r="DV375" s="16">
        <f t="shared" si="72"/>
        <v>0</v>
      </c>
      <c r="DZ375" s="37" t="s">
        <v>2</v>
      </c>
      <c r="EA375" s="37"/>
      <c r="EM375" s="73"/>
      <c r="EN375" s="37"/>
      <c r="EO375" s="37"/>
      <c r="EP375" s="37"/>
      <c r="EQ375" s="37"/>
      <c r="ER375" s="37"/>
      <c r="ES375" s="37"/>
      <c r="ET375" s="37"/>
      <c r="EU375" s="37"/>
      <c r="EV375" s="37"/>
      <c r="EW375" s="37"/>
      <c r="EX375" s="37"/>
      <c r="EY375" s="37"/>
      <c r="EZ375" s="37"/>
      <c r="FA375" s="37"/>
      <c r="FB375" s="37"/>
      <c r="FC375" s="37"/>
      <c r="FD375" s="37"/>
      <c r="FE375" s="37"/>
      <c r="FF375" s="55"/>
      <c r="FG375" s="55"/>
      <c r="FH375" s="55"/>
      <c r="FI375" s="37"/>
      <c r="FJ375" s="55"/>
      <c r="FK375" s="55"/>
      <c r="FL375" s="45"/>
      <c r="FM375" s="37"/>
      <c r="FN375" s="37"/>
      <c r="FO375" s="37"/>
      <c r="FP375" s="55"/>
      <c r="FQ375" s="1" t="s">
        <v>2</v>
      </c>
      <c r="FR375" s="1" t="s">
        <v>31</v>
      </c>
      <c r="FS375" s="1" t="s">
        <v>205</v>
      </c>
      <c r="FT375" s="1" t="s">
        <v>205</v>
      </c>
      <c r="FV375" s="1" t="s">
        <v>2</v>
      </c>
    </row>
    <row r="376" spans="1:178" ht="16.25" customHeight="1" x14ac:dyDescent="0.2">
      <c r="A376" s="25" t="s">
        <v>190</v>
      </c>
      <c r="B376" s="1" t="s">
        <v>74</v>
      </c>
      <c r="C376" s="21" t="s">
        <v>281</v>
      </c>
      <c r="D376" s="1" t="s">
        <v>69</v>
      </c>
      <c r="G376" s="1" t="s">
        <v>72</v>
      </c>
      <c r="H376" s="1" t="s">
        <v>278</v>
      </c>
      <c r="J376" s="1" t="s">
        <v>211</v>
      </c>
      <c r="K376" s="1">
        <v>0</v>
      </c>
      <c r="AF376" s="1">
        <v>0</v>
      </c>
      <c r="BA376" s="1">
        <v>162</v>
      </c>
      <c r="BI376" s="1">
        <v>1.62</v>
      </c>
      <c r="BJ376" s="1">
        <v>0.08</v>
      </c>
      <c r="BV376" s="1">
        <v>0</v>
      </c>
      <c r="CQ376" s="1">
        <v>0</v>
      </c>
      <c r="DL376" s="18" t="s">
        <v>96</v>
      </c>
      <c r="DM376" s="1" t="s">
        <v>96</v>
      </c>
      <c r="DN376" s="1">
        <f t="shared" si="67"/>
        <v>1.6199999999999999</v>
      </c>
      <c r="DO376" s="1">
        <f t="shared" si="68"/>
        <v>0.08</v>
      </c>
      <c r="DP376" s="1" t="s">
        <v>159</v>
      </c>
      <c r="DQ376" s="1" t="s">
        <v>2</v>
      </c>
      <c r="DR376" s="16">
        <f t="shared" si="69"/>
        <v>162</v>
      </c>
      <c r="DS376" s="100">
        <f t="shared" si="70"/>
        <v>1.6199999999999999</v>
      </c>
      <c r="DT376" s="102">
        <f t="shared" si="71"/>
        <v>2624.4</v>
      </c>
      <c r="DV376" s="16">
        <f t="shared" si="72"/>
        <v>0</v>
      </c>
      <c r="DZ376" s="37" t="s">
        <v>2</v>
      </c>
      <c r="EA376" s="37"/>
      <c r="EM376" s="73"/>
      <c r="EN376" s="37"/>
      <c r="EO376" s="37"/>
      <c r="EP376" s="37"/>
      <c r="EQ376" s="37"/>
      <c r="ER376" s="37"/>
      <c r="ES376" s="37"/>
      <c r="ET376" s="37"/>
      <c r="EU376" s="37"/>
      <c r="EV376" s="37"/>
      <c r="EW376" s="37"/>
      <c r="EX376" s="37"/>
      <c r="EY376" s="37"/>
      <c r="EZ376" s="37"/>
      <c r="FA376" s="37"/>
      <c r="FB376" s="37"/>
      <c r="FC376" s="37"/>
      <c r="FD376" s="37"/>
      <c r="FE376" s="37"/>
      <c r="FF376" s="55"/>
      <c r="FG376" s="55"/>
      <c r="FH376" s="55"/>
      <c r="FI376" s="37"/>
      <c r="FJ376" s="55"/>
      <c r="FK376" s="55"/>
      <c r="FL376" s="45"/>
      <c r="FM376" s="37"/>
      <c r="FN376" s="37"/>
      <c r="FO376" s="37"/>
      <c r="FP376" s="55"/>
      <c r="FQ376" s="1" t="s">
        <v>2</v>
      </c>
      <c r="FR376" s="1" t="s">
        <v>31</v>
      </c>
      <c r="FS376" s="1" t="s">
        <v>205</v>
      </c>
      <c r="FT376" s="1" t="s">
        <v>205</v>
      </c>
      <c r="FV376" s="1" t="s">
        <v>2</v>
      </c>
    </row>
    <row r="377" spans="1:178" ht="16.25" customHeight="1" x14ac:dyDescent="0.2">
      <c r="A377" s="25" t="s">
        <v>190</v>
      </c>
      <c r="B377" s="1" t="s">
        <v>74</v>
      </c>
      <c r="C377" s="80" t="s">
        <v>730</v>
      </c>
      <c r="D377" s="1" t="s">
        <v>69</v>
      </c>
      <c r="H377" s="1" t="s">
        <v>731</v>
      </c>
      <c r="J377" s="1" t="s">
        <v>211</v>
      </c>
      <c r="K377" s="1">
        <f>36.2+99.4</f>
        <v>135.60000000000002</v>
      </c>
      <c r="S377" s="13">
        <f>(1.26*36.2+1.71*99.4)/K377</f>
        <v>1.5898672566371679</v>
      </c>
      <c r="AF377" s="1">
        <f>67.4+166.4</f>
        <v>233.8</v>
      </c>
      <c r="AN377" s="13">
        <f>(1.22*67.4+1.53*166.4)/AF377</f>
        <v>1.440633019674936</v>
      </c>
      <c r="BA377" s="1">
        <f>52.4+213.2</f>
        <v>265.59999999999997</v>
      </c>
      <c r="BI377" s="13">
        <f>(1.21*52.4+1.49*213.2)/BA377</f>
        <v>1.4347590361445786</v>
      </c>
      <c r="BV377" s="1">
        <v>0</v>
      </c>
      <c r="CQ377" s="1">
        <v>0</v>
      </c>
      <c r="DL377" s="18" t="s">
        <v>96</v>
      </c>
      <c r="DN377" s="1">
        <f t="shared" si="67"/>
        <v>1.4700440944881892</v>
      </c>
      <c r="DO377" s="1">
        <f t="shared" si="68"/>
        <v>0</v>
      </c>
      <c r="DP377" s="1" t="s">
        <v>67</v>
      </c>
      <c r="DQ377" s="1" t="s">
        <v>2</v>
      </c>
      <c r="DR377" s="16">
        <f t="shared" si="69"/>
        <v>635</v>
      </c>
      <c r="DS377" s="100">
        <f t="shared" si="70"/>
        <v>1.4700440944881892</v>
      </c>
      <c r="DT377" s="102">
        <f t="shared" si="71"/>
        <v>9334.7800000000007</v>
      </c>
      <c r="DV377" s="16">
        <f t="shared" si="72"/>
        <v>0</v>
      </c>
      <c r="DZ377" s="37" t="s">
        <v>2</v>
      </c>
      <c r="EA377" s="37"/>
      <c r="EM377" s="73"/>
      <c r="EN377" s="37"/>
      <c r="EO377" s="37"/>
      <c r="EP377" s="37"/>
      <c r="EQ377" s="37"/>
      <c r="ER377" s="37"/>
      <c r="ES377" s="37"/>
      <c r="ET377" s="37"/>
      <c r="EU377" s="37"/>
      <c r="EV377" s="37"/>
      <c r="EW377" s="37"/>
      <c r="EX377" s="37"/>
      <c r="EY377" s="37"/>
      <c r="EZ377" s="37"/>
      <c r="FA377" s="37"/>
      <c r="FB377" s="37"/>
      <c r="FC377" s="37"/>
      <c r="FD377" s="37"/>
      <c r="FE377" s="37"/>
      <c r="FF377" s="55"/>
      <c r="FG377" s="55"/>
      <c r="FH377" s="55"/>
      <c r="FI377" s="37"/>
      <c r="FJ377" s="55"/>
      <c r="FK377" s="55"/>
      <c r="FL377" s="45"/>
      <c r="FM377" s="37"/>
      <c r="FN377" s="37"/>
      <c r="FO377" s="37"/>
      <c r="FP377" s="55"/>
      <c r="FQ377" s="1" t="s">
        <v>2</v>
      </c>
      <c r="FR377" s="1" t="s">
        <v>31</v>
      </c>
      <c r="FS377" s="1" t="s">
        <v>205</v>
      </c>
      <c r="FV377" s="1" t="s">
        <v>2</v>
      </c>
    </row>
    <row r="378" spans="1:178" ht="16.25" customHeight="1" x14ac:dyDescent="0.2">
      <c r="A378" s="25" t="s">
        <v>190</v>
      </c>
      <c r="B378" s="1" t="s">
        <v>74</v>
      </c>
      <c r="C378" s="21" t="s">
        <v>307</v>
      </c>
      <c r="D378" s="1" t="s">
        <v>69</v>
      </c>
      <c r="G378" s="1" t="s">
        <v>72</v>
      </c>
      <c r="H378" s="1" t="s">
        <v>308</v>
      </c>
      <c r="K378" s="1">
        <f>0.018+0.69</f>
        <v>0.70799999999999996</v>
      </c>
      <c r="S378" s="14">
        <f>(1.7*0.018+1.8*0.69)/K378</f>
        <v>1.797457627118644</v>
      </c>
      <c r="T378" s="13">
        <f>(0.03*0.018+0.05*0.69)/K378</f>
        <v>4.949152542372881E-2</v>
      </c>
      <c r="AA378" s="14">
        <f>(1.7*0.018+1.8*0.69)/K378</f>
        <v>1.797457627118644</v>
      </c>
      <c r="AF378" s="1">
        <f>5.5+1.2+0.35+6.4+0.89+0.21</f>
        <v>14.55</v>
      </c>
      <c r="AN378" s="14">
        <f>(1.9*5.5+1.8*1.2+1.8*0.35+1.8*6.4+1.9*0.89+1.7*0.21)/AF378</f>
        <v>1.8424742268041236</v>
      </c>
      <c r="AO378" s="13">
        <f>(0.04*5.5+0.05*1.2+0.07*0.35+0.08*6.4+0.09*0.89+0.03*0.21)/AF378</f>
        <v>6.2054982817869413E-2</v>
      </c>
      <c r="AV378" s="14">
        <f>(15*5.5+6.1*1.2+16*0.35+17*6.4+40*0.89+16*0.21)/AF378</f>
        <v>16.713402061855671</v>
      </c>
      <c r="BA378" s="1">
        <f>0.3+0.9+17+2.7+0.2+0.6+0.1</f>
        <v>21.8</v>
      </c>
      <c r="BI378" s="14">
        <f>(2*0.3+1.9*0.9+1.8*17+1.7*2.7+1.9*0.2+2*0.6+1.7*0.1)/BA378</f>
        <v>1.8004587155963305</v>
      </c>
      <c r="BJ378" s="13">
        <f>(0.04*0.3+0.05*0.9+0.05*17+0.08*2.7+0.09*0.2+0.03*0.6+0.04*0.1)/BA378</f>
        <v>5.334862385321102E-2</v>
      </c>
      <c r="BQ378" s="14">
        <f>(17*0.3+12*0.9+17*17+17*2.7+41*0.2+15*0.6+16*0.1)/BA378</f>
        <v>16.954128440366972</v>
      </c>
      <c r="BV378" s="1">
        <v>0</v>
      </c>
      <c r="CQ378" s="1">
        <v>0</v>
      </c>
      <c r="DL378" s="18" t="s">
        <v>96</v>
      </c>
      <c r="DM378" s="1" t="s">
        <v>96</v>
      </c>
      <c r="DN378" s="1">
        <f t="shared" si="67"/>
        <v>1.8168978358249233</v>
      </c>
      <c r="DO378" s="1">
        <f t="shared" si="68"/>
        <v>5.6693291596956137E-2</v>
      </c>
      <c r="DP378" s="1" t="s">
        <v>497</v>
      </c>
      <c r="DQ378" s="1" t="s">
        <v>2</v>
      </c>
      <c r="DR378" s="100">
        <f t="shared" si="69"/>
        <v>37.058</v>
      </c>
      <c r="DS378" s="100">
        <f t="shared" si="70"/>
        <v>1.8168978358249233</v>
      </c>
      <c r="DT378" s="101">
        <f t="shared" si="71"/>
        <v>673.30600000000004</v>
      </c>
      <c r="DV378" s="16">
        <f t="shared" si="72"/>
        <v>0</v>
      </c>
      <c r="DZ378" s="37" t="s">
        <v>2</v>
      </c>
      <c r="EA378" s="37"/>
      <c r="EM378" s="73"/>
      <c r="EN378" s="37"/>
      <c r="EO378" s="37"/>
      <c r="EP378" s="37"/>
      <c r="EQ378" s="37"/>
      <c r="ER378" s="37"/>
      <c r="ES378" s="37"/>
      <c r="ET378" s="37"/>
      <c r="EU378" s="37"/>
      <c r="EV378" s="37"/>
      <c r="EW378" s="37"/>
      <c r="EX378" s="37"/>
      <c r="EY378" s="37"/>
      <c r="EZ378" s="37"/>
      <c r="FA378" s="37"/>
      <c r="FB378" s="37"/>
      <c r="FC378" s="37"/>
      <c r="FD378" s="37"/>
      <c r="FE378" s="37"/>
      <c r="FF378" s="55"/>
      <c r="FG378" s="55"/>
      <c r="FH378" s="55"/>
      <c r="FI378" s="37"/>
      <c r="FJ378" s="55"/>
      <c r="FK378" s="55"/>
      <c r="FL378" s="45"/>
      <c r="FM378" s="37"/>
      <c r="FN378" s="37"/>
      <c r="FO378" s="37"/>
      <c r="FP378" s="55"/>
      <c r="FQ378" s="1" t="s">
        <v>2</v>
      </c>
      <c r="FR378" s="1" t="s">
        <v>31</v>
      </c>
      <c r="FS378" s="1" t="s">
        <v>205</v>
      </c>
      <c r="FV378" s="1" t="s">
        <v>2</v>
      </c>
    </row>
    <row r="379" spans="1:178" ht="16.25" customHeight="1" x14ac:dyDescent="0.2">
      <c r="A379" s="18" t="s">
        <v>1303</v>
      </c>
      <c r="B379" s="1" t="s">
        <v>150</v>
      </c>
      <c r="C379" s="79" t="s">
        <v>613</v>
      </c>
      <c r="D379" s="1" t="s">
        <v>64</v>
      </c>
      <c r="H379" s="1" t="s">
        <v>611</v>
      </c>
      <c r="J379" s="1" t="s">
        <v>188</v>
      </c>
      <c r="K379" s="14">
        <f>0.56*2.6</f>
        <v>1.4560000000000002</v>
      </c>
      <c r="L379" s="1">
        <v>1.05</v>
      </c>
      <c r="S379" s="1">
        <v>1.33</v>
      </c>
      <c r="T379" s="1">
        <v>0.23</v>
      </c>
      <c r="AD379" s="1">
        <v>27.57</v>
      </c>
      <c r="AF379" s="14">
        <f>0.56*68.1</f>
        <v>38.136000000000003</v>
      </c>
      <c r="AG379" s="1">
        <v>1.18</v>
      </c>
      <c r="AN379" s="1">
        <v>1.35</v>
      </c>
      <c r="AO379" s="1">
        <v>0.21</v>
      </c>
      <c r="AY379" s="1">
        <v>30.32</v>
      </c>
      <c r="BA379" s="14">
        <f>0.56*685.3</f>
        <v>383.76800000000003</v>
      </c>
      <c r="BB379" s="1">
        <v>1.1399999999999999</v>
      </c>
      <c r="BI379" s="1">
        <v>1.29</v>
      </c>
      <c r="BJ379" s="13">
        <v>0.2</v>
      </c>
      <c r="BT379" s="1">
        <v>29.05</v>
      </c>
      <c r="BV379" s="1">
        <v>0</v>
      </c>
      <c r="CQ379" s="1">
        <v>0</v>
      </c>
      <c r="DL379" s="18" t="s">
        <v>96</v>
      </c>
      <c r="DM379" s="1" t="s">
        <v>96</v>
      </c>
      <c r="DN379" s="1">
        <f t="shared" si="67"/>
        <v>1.2955423280423282</v>
      </c>
      <c r="DO379" s="1">
        <f t="shared" si="68"/>
        <v>0.20100396825396827</v>
      </c>
      <c r="DP379" s="1" t="s">
        <v>1305</v>
      </c>
      <c r="DQ379" s="1" t="s">
        <v>2</v>
      </c>
      <c r="DR379" s="101">
        <f t="shared" si="69"/>
        <v>423.36</v>
      </c>
      <c r="DS379" s="100">
        <f t="shared" si="70"/>
        <v>1.2955423280423282</v>
      </c>
      <c r="DT379" s="102">
        <f t="shared" si="71"/>
        <v>5484.8080000000009</v>
      </c>
      <c r="DV379" s="16">
        <f t="shared" si="72"/>
        <v>0</v>
      </c>
      <c r="DZ379" s="37" t="s">
        <v>2</v>
      </c>
      <c r="EA379" s="37" t="s">
        <v>150</v>
      </c>
      <c r="EM379" s="73" t="s">
        <v>150</v>
      </c>
      <c r="EN379" s="37"/>
      <c r="EO379" s="37"/>
      <c r="EP379" s="37"/>
      <c r="EQ379" s="37"/>
      <c r="ER379" s="37"/>
      <c r="ES379" s="37"/>
      <c r="ET379" s="37"/>
      <c r="EU379" s="37"/>
      <c r="EV379" s="37"/>
      <c r="EW379" s="37"/>
      <c r="EX379" s="37"/>
      <c r="EY379" s="37"/>
      <c r="EZ379" s="37"/>
      <c r="FA379" s="37"/>
      <c r="FB379" s="37"/>
      <c r="FC379" s="37"/>
      <c r="FD379" s="37"/>
      <c r="FE379" s="37"/>
      <c r="FF379" s="55"/>
      <c r="FG379" s="55"/>
      <c r="FH379" s="55"/>
      <c r="FI379" s="37"/>
      <c r="FJ379" s="55"/>
      <c r="FK379" s="55"/>
      <c r="FL379" s="45"/>
      <c r="FM379" s="37"/>
      <c r="FN379" s="37"/>
      <c r="FO379" s="37"/>
      <c r="FP379" s="55" t="s">
        <v>150</v>
      </c>
      <c r="FQ379" s="1" t="s">
        <v>2</v>
      </c>
      <c r="FR379" s="1" t="s">
        <v>118</v>
      </c>
      <c r="FS379" s="1" t="s">
        <v>1306</v>
      </c>
      <c r="FV379" s="1" t="s">
        <v>2</v>
      </c>
    </row>
    <row r="380" spans="1:178" ht="16.25" customHeight="1" x14ac:dyDescent="0.2">
      <c r="A380" s="18" t="s">
        <v>1303</v>
      </c>
      <c r="B380" s="1" t="s">
        <v>150</v>
      </c>
      <c r="C380" s="79" t="s">
        <v>268</v>
      </c>
      <c r="D380" s="1" t="s">
        <v>69</v>
      </c>
      <c r="G380" s="1" t="s">
        <v>72</v>
      </c>
      <c r="H380" s="1" t="s">
        <v>266</v>
      </c>
      <c r="J380" s="1" t="s">
        <v>188</v>
      </c>
      <c r="K380" s="1">
        <f>0.8*4</f>
        <v>3.2</v>
      </c>
      <c r="L380" s="1">
        <v>1.1599999999999999</v>
      </c>
      <c r="S380" s="13">
        <v>1.4</v>
      </c>
      <c r="T380" s="1">
        <v>0.13</v>
      </c>
      <c r="AD380" s="1">
        <v>31.9</v>
      </c>
      <c r="AF380" s="1">
        <f>0.8*33</f>
        <v>26.400000000000002</v>
      </c>
      <c r="AG380" s="1">
        <v>1.1499999999999999</v>
      </c>
      <c r="AN380" s="1">
        <v>1.35</v>
      </c>
      <c r="AO380" s="1">
        <v>0.13</v>
      </c>
      <c r="AY380" s="1">
        <v>31.1</v>
      </c>
      <c r="BA380" s="1">
        <f>0.8*855</f>
        <v>684</v>
      </c>
      <c r="BB380" s="1">
        <v>1.08</v>
      </c>
      <c r="BI380" s="13">
        <v>1.3</v>
      </c>
      <c r="BJ380" s="1">
        <v>0.18</v>
      </c>
      <c r="BT380" s="1">
        <v>31.1</v>
      </c>
      <c r="BV380" s="1">
        <v>0</v>
      </c>
      <c r="CQ380" s="1">
        <v>0</v>
      </c>
      <c r="DL380" s="18" t="s">
        <v>96</v>
      </c>
      <c r="DM380" s="1" t="s">
        <v>96</v>
      </c>
      <c r="DN380" s="1">
        <f t="shared" si="67"/>
        <v>1.3022982062780268</v>
      </c>
      <c r="DO380" s="1">
        <f t="shared" si="68"/>
        <v>0.17792600896860986</v>
      </c>
      <c r="DP380" s="1" t="s">
        <v>674</v>
      </c>
      <c r="DQ380" s="1" t="s">
        <v>2</v>
      </c>
      <c r="DR380" s="16">
        <f t="shared" si="69"/>
        <v>713.6</v>
      </c>
      <c r="DS380" s="100">
        <f t="shared" si="70"/>
        <v>1.3022982062780268</v>
      </c>
      <c r="DT380" s="102">
        <f t="shared" si="71"/>
        <v>9293.2000000000007</v>
      </c>
      <c r="DV380" s="16">
        <f t="shared" si="72"/>
        <v>0</v>
      </c>
      <c r="DZ380" s="37" t="s">
        <v>2</v>
      </c>
      <c r="EA380" s="37"/>
      <c r="EM380" s="73"/>
      <c r="EN380" s="37"/>
      <c r="EO380" s="37"/>
      <c r="EP380" s="37"/>
      <c r="EQ380" s="37"/>
      <c r="ER380" s="37"/>
      <c r="ES380" s="37"/>
      <c r="ET380" s="37"/>
      <c r="EU380" s="37"/>
      <c r="EV380" s="37"/>
      <c r="EW380" s="37"/>
      <c r="EX380" s="37"/>
      <c r="EY380" s="37"/>
      <c r="EZ380" s="37"/>
      <c r="FA380" s="37"/>
      <c r="FB380" s="37"/>
      <c r="FC380" s="37"/>
      <c r="FD380" s="37"/>
      <c r="FE380" s="37"/>
      <c r="FF380" s="55"/>
      <c r="FG380" s="55"/>
      <c r="FH380" s="55"/>
      <c r="FI380" s="37"/>
      <c r="FJ380" s="55"/>
      <c r="FK380" s="55"/>
      <c r="FL380" s="45"/>
      <c r="FM380" s="37"/>
      <c r="FN380" s="37"/>
      <c r="FO380" s="37"/>
      <c r="FP380" s="55"/>
      <c r="FQ380" s="1" t="s">
        <v>2</v>
      </c>
      <c r="FR380" s="1" t="s">
        <v>118</v>
      </c>
      <c r="FS380" s="1" t="s">
        <v>1306</v>
      </c>
      <c r="FV380" s="1" t="s">
        <v>2</v>
      </c>
    </row>
    <row r="381" spans="1:178" ht="16.25" customHeight="1" x14ac:dyDescent="0.2">
      <c r="A381" s="18" t="s">
        <v>1303</v>
      </c>
      <c r="B381" s="1" t="s">
        <v>150</v>
      </c>
      <c r="C381" s="79" t="s">
        <v>265</v>
      </c>
      <c r="D381" s="1" t="s">
        <v>69</v>
      </c>
      <c r="G381" s="1" t="s">
        <v>72</v>
      </c>
      <c r="H381" s="1" t="s">
        <v>266</v>
      </c>
      <c r="J381" s="1" t="s">
        <v>188</v>
      </c>
      <c r="K381" s="1">
        <v>0</v>
      </c>
      <c r="AF381" s="1">
        <v>0</v>
      </c>
      <c r="BA381" s="1">
        <v>448</v>
      </c>
      <c r="BB381" s="1">
        <v>1.1000000000000001</v>
      </c>
      <c r="BI381" s="13">
        <v>1.39</v>
      </c>
      <c r="BJ381" s="13">
        <v>0.23</v>
      </c>
      <c r="BT381" s="1">
        <v>29.3</v>
      </c>
      <c r="BV381" s="1">
        <v>0</v>
      </c>
      <c r="CQ381" s="1">
        <v>0</v>
      </c>
      <c r="DL381" s="18" t="s">
        <v>163</v>
      </c>
      <c r="DM381" s="1" t="s">
        <v>163</v>
      </c>
      <c r="DN381" s="1">
        <f t="shared" si="67"/>
        <v>1.39</v>
      </c>
      <c r="DO381" s="1">
        <f t="shared" si="68"/>
        <v>0.23</v>
      </c>
      <c r="DP381" s="1" t="s">
        <v>1310</v>
      </c>
      <c r="DQ381" s="1" t="s">
        <v>2</v>
      </c>
      <c r="DR381" s="16">
        <f t="shared" si="69"/>
        <v>448</v>
      </c>
      <c r="DS381" s="100">
        <f t="shared" si="70"/>
        <v>1.39</v>
      </c>
      <c r="DT381" s="102">
        <f t="shared" si="71"/>
        <v>6227.2</v>
      </c>
      <c r="DV381" s="16">
        <f t="shared" si="72"/>
        <v>0</v>
      </c>
      <c r="DZ381" s="37" t="s">
        <v>2</v>
      </c>
      <c r="EA381" s="37"/>
      <c r="EM381" s="73"/>
      <c r="EN381" s="37"/>
      <c r="EO381" s="37"/>
      <c r="EP381" s="37"/>
      <c r="EQ381" s="37"/>
      <c r="ER381" s="37"/>
      <c r="ES381" s="37"/>
      <c r="ET381" s="37"/>
      <c r="EU381" s="37"/>
      <c r="EV381" s="37"/>
      <c r="EW381" s="37"/>
      <c r="EX381" s="37"/>
      <c r="EY381" s="37"/>
      <c r="EZ381" s="37"/>
      <c r="FA381" s="37"/>
      <c r="FB381" s="37"/>
      <c r="FC381" s="37"/>
      <c r="FD381" s="37"/>
      <c r="FE381" s="37"/>
      <c r="FF381" s="55"/>
      <c r="FG381" s="55"/>
      <c r="FH381" s="55"/>
      <c r="FI381" s="37"/>
      <c r="FJ381" s="55"/>
      <c r="FK381" s="55"/>
      <c r="FL381" s="45"/>
      <c r="FM381" s="37"/>
      <c r="FN381" s="37"/>
      <c r="FO381" s="37"/>
      <c r="FP381" s="55"/>
      <c r="FQ381" s="1" t="s">
        <v>2</v>
      </c>
      <c r="FR381" s="1" t="s">
        <v>118</v>
      </c>
      <c r="FS381" s="1" t="s">
        <v>1306</v>
      </c>
      <c r="FV381" s="1" t="s">
        <v>2</v>
      </c>
    </row>
    <row r="382" spans="1:178" ht="16.25" customHeight="1" x14ac:dyDescent="0.2">
      <c r="A382" s="18" t="s">
        <v>1303</v>
      </c>
      <c r="B382" s="1" t="s">
        <v>150</v>
      </c>
      <c r="C382" s="79" t="s">
        <v>276</v>
      </c>
      <c r="D382" s="1" t="s">
        <v>69</v>
      </c>
      <c r="G382" s="1" t="s">
        <v>72</v>
      </c>
      <c r="H382" s="1" t="s">
        <v>131</v>
      </c>
      <c r="J382" s="1" t="s">
        <v>188</v>
      </c>
      <c r="K382" s="1">
        <v>0</v>
      </c>
      <c r="AF382" s="1">
        <v>0</v>
      </c>
      <c r="BA382" s="1">
        <v>33.700000000000003</v>
      </c>
      <c r="BB382" s="13">
        <f>100*0.435/BA382</f>
        <v>1.29080118694362</v>
      </c>
      <c r="BI382" s="13">
        <f>100*0.443/BA382</f>
        <v>1.3145400593471808</v>
      </c>
      <c r="BJ382" s="13">
        <f>100*0.053/BA382</f>
        <v>0.15727002967359049</v>
      </c>
      <c r="BT382" s="14">
        <f>100*11/BA382</f>
        <v>32.640949554896139</v>
      </c>
      <c r="BV382" s="1">
        <v>0</v>
      </c>
      <c r="CQ382" s="1">
        <v>0</v>
      </c>
      <c r="DL382" s="18" t="s">
        <v>163</v>
      </c>
      <c r="DM382" s="1" t="s">
        <v>163</v>
      </c>
      <c r="DN382" s="1">
        <f t="shared" si="67"/>
        <v>1.3145400593471808</v>
      </c>
      <c r="DO382" s="1">
        <f t="shared" si="68"/>
        <v>0.15727002967359049</v>
      </c>
      <c r="DP382" s="1" t="s">
        <v>1313</v>
      </c>
      <c r="DQ382" s="1" t="s">
        <v>2</v>
      </c>
      <c r="DR382" s="16">
        <f t="shared" si="69"/>
        <v>33.700000000000003</v>
      </c>
      <c r="DS382" s="100">
        <f t="shared" si="70"/>
        <v>1.3145400593471808</v>
      </c>
      <c r="DT382" s="101">
        <f t="shared" si="71"/>
        <v>442.99999999999994</v>
      </c>
      <c r="DV382" s="16">
        <f t="shared" si="72"/>
        <v>0</v>
      </c>
      <c r="DZ382" s="37" t="s">
        <v>2</v>
      </c>
      <c r="EA382" s="37"/>
      <c r="EM382" s="73"/>
      <c r="EN382" s="37"/>
      <c r="EO382" s="37"/>
      <c r="EP382" s="37"/>
      <c r="EQ382" s="37"/>
      <c r="ER382" s="37"/>
      <c r="ES382" s="37"/>
      <c r="ET382" s="37"/>
      <c r="EU382" s="37"/>
      <c r="EV382" s="37"/>
      <c r="EW382" s="37"/>
      <c r="EX382" s="37"/>
      <c r="EY382" s="37"/>
      <c r="EZ382" s="37"/>
      <c r="FA382" s="37"/>
      <c r="FB382" s="37"/>
      <c r="FC382" s="37"/>
      <c r="FD382" s="37"/>
      <c r="FE382" s="37"/>
      <c r="FF382" s="55"/>
      <c r="FG382" s="55"/>
      <c r="FH382" s="55"/>
      <c r="FI382" s="37"/>
      <c r="FJ382" s="55"/>
      <c r="FK382" s="55"/>
      <c r="FL382" s="45"/>
      <c r="FM382" s="37"/>
      <c r="FN382" s="37"/>
      <c r="FO382" s="37"/>
      <c r="FP382" s="55"/>
      <c r="FQ382" s="1" t="s">
        <v>2</v>
      </c>
      <c r="FR382" s="1" t="s">
        <v>118</v>
      </c>
      <c r="FS382" s="1" t="s">
        <v>1306</v>
      </c>
      <c r="FV382" s="1" t="s">
        <v>2</v>
      </c>
    </row>
    <row r="383" spans="1:178" ht="16.25" customHeight="1" x14ac:dyDescent="0.2">
      <c r="A383" s="18" t="s">
        <v>1303</v>
      </c>
      <c r="B383" s="1" t="s">
        <v>150</v>
      </c>
      <c r="C383" s="79" t="s">
        <v>272</v>
      </c>
      <c r="D383" s="1" t="s">
        <v>69</v>
      </c>
      <c r="G383" s="1" t="s">
        <v>72</v>
      </c>
      <c r="H383" s="1" t="s">
        <v>266</v>
      </c>
      <c r="J383" s="1" t="s">
        <v>188</v>
      </c>
      <c r="K383" s="1">
        <v>0</v>
      </c>
      <c r="AF383" s="1">
        <v>0</v>
      </c>
      <c r="BA383" s="1">
        <v>188.4</v>
      </c>
      <c r="BB383" s="1">
        <v>1.02</v>
      </c>
      <c r="BI383" s="1">
        <v>1.19</v>
      </c>
      <c r="BJ383" s="1">
        <v>0.22</v>
      </c>
      <c r="BT383" s="1">
        <v>27.7</v>
      </c>
      <c r="BV383" s="1">
        <v>0</v>
      </c>
      <c r="CQ383" s="1">
        <v>0</v>
      </c>
      <c r="DL383" s="18" t="s">
        <v>163</v>
      </c>
      <c r="DM383" s="1" t="s">
        <v>163</v>
      </c>
      <c r="DN383" s="1">
        <f t="shared" si="67"/>
        <v>1.19</v>
      </c>
      <c r="DO383" s="1">
        <f t="shared" si="68"/>
        <v>0.22</v>
      </c>
      <c r="DP383" s="1" t="s">
        <v>1316</v>
      </c>
      <c r="DQ383" s="1" t="s">
        <v>2</v>
      </c>
      <c r="DR383" s="16">
        <f t="shared" si="69"/>
        <v>188.4</v>
      </c>
      <c r="DS383" s="100">
        <f t="shared" si="70"/>
        <v>1.19</v>
      </c>
      <c r="DT383" s="102">
        <f t="shared" si="71"/>
        <v>2241.96</v>
      </c>
      <c r="DV383" s="16">
        <f t="shared" si="72"/>
        <v>0</v>
      </c>
      <c r="DZ383" s="37" t="s">
        <v>2</v>
      </c>
      <c r="EA383" s="37"/>
      <c r="EM383" s="73"/>
      <c r="EN383" s="37"/>
      <c r="EO383" s="37"/>
      <c r="EP383" s="37"/>
      <c r="EQ383" s="37"/>
      <c r="ER383" s="37"/>
      <c r="ES383" s="37"/>
      <c r="ET383" s="37"/>
      <c r="EU383" s="37"/>
      <c r="EV383" s="37"/>
      <c r="EW383" s="37"/>
      <c r="EX383" s="37"/>
      <c r="EY383" s="37"/>
      <c r="EZ383" s="37"/>
      <c r="FA383" s="37"/>
      <c r="FB383" s="37"/>
      <c r="FC383" s="37"/>
      <c r="FD383" s="37"/>
      <c r="FE383" s="37"/>
      <c r="FF383" s="55"/>
      <c r="FG383" s="55"/>
      <c r="FH383" s="55"/>
      <c r="FI383" s="37"/>
      <c r="FJ383" s="55"/>
      <c r="FK383" s="55"/>
      <c r="FL383" s="45"/>
      <c r="FM383" s="37"/>
      <c r="FN383" s="37"/>
      <c r="FO383" s="37"/>
      <c r="FP383" s="55"/>
      <c r="FQ383" s="1" t="s">
        <v>2</v>
      </c>
      <c r="FR383" s="1" t="s">
        <v>118</v>
      </c>
      <c r="FS383" s="1" t="s">
        <v>1306</v>
      </c>
      <c r="FV383" s="1" t="s">
        <v>2</v>
      </c>
    </row>
    <row r="384" spans="1:178" ht="16.25" customHeight="1" x14ac:dyDescent="0.2">
      <c r="A384" s="25" t="s">
        <v>190</v>
      </c>
      <c r="B384" s="1" t="s">
        <v>140</v>
      </c>
      <c r="C384" s="21" t="s">
        <v>267</v>
      </c>
      <c r="D384" s="1" t="s">
        <v>69</v>
      </c>
      <c r="G384" s="1" t="s">
        <v>72</v>
      </c>
      <c r="H384" s="1" t="s">
        <v>266</v>
      </c>
      <c r="K384" s="1">
        <v>0</v>
      </c>
      <c r="AF384" s="1">
        <v>0</v>
      </c>
      <c r="BA384" s="1">
        <v>8.6999999999999993</v>
      </c>
      <c r="BI384" s="1">
        <v>1.1399999999999999</v>
      </c>
      <c r="BJ384" s="1">
        <v>5.3999999999999999E-2</v>
      </c>
      <c r="BV384" s="1">
        <v>0</v>
      </c>
      <c r="CQ384" s="1">
        <v>0</v>
      </c>
      <c r="DL384" s="18" t="s">
        <v>163</v>
      </c>
      <c r="DM384" s="1" t="s">
        <v>163</v>
      </c>
      <c r="DN384" s="1">
        <f t="shared" si="67"/>
        <v>1.1399999999999999</v>
      </c>
      <c r="DO384" s="1">
        <f t="shared" si="68"/>
        <v>5.3999999999999999E-2</v>
      </c>
      <c r="DP384" s="1" t="s">
        <v>471</v>
      </c>
      <c r="DQ384" s="1" t="s">
        <v>2</v>
      </c>
      <c r="DR384" s="16">
        <f t="shared" si="69"/>
        <v>8.6999999999999993</v>
      </c>
      <c r="DS384" s="16">
        <f t="shared" si="70"/>
        <v>1.1399999999999999</v>
      </c>
      <c r="DT384" s="101">
        <f t="shared" si="71"/>
        <v>99.18</v>
      </c>
      <c r="DV384" s="16">
        <f t="shared" si="72"/>
        <v>0</v>
      </c>
      <c r="DZ384" s="37" t="s">
        <v>2</v>
      </c>
      <c r="EA384" s="37" t="s">
        <v>140</v>
      </c>
      <c r="EM384" s="73" t="s">
        <v>140</v>
      </c>
      <c r="EN384" s="37"/>
      <c r="EO384" s="37"/>
      <c r="EP384" s="37"/>
      <c r="EQ384" s="37"/>
      <c r="ER384" s="37"/>
      <c r="ES384" s="37"/>
      <c r="ET384" s="37"/>
      <c r="EU384" s="37"/>
      <c r="EV384" s="37"/>
      <c r="EW384" s="37"/>
      <c r="EX384" s="37"/>
      <c r="EY384" s="37"/>
      <c r="EZ384" s="37"/>
      <c r="FA384" s="37"/>
      <c r="FB384" s="37"/>
      <c r="FC384" s="37"/>
      <c r="FD384" s="37"/>
      <c r="FE384" s="37"/>
      <c r="FF384" s="55"/>
      <c r="FG384" s="55"/>
      <c r="FH384" s="55"/>
      <c r="FI384" s="37"/>
      <c r="FJ384" s="55"/>
      <c r="FK384" s="55"/>
      <c r="FL384" s="45"/>
      <c r="FM384" s="37"/>
      <c r="FN384" s="37"/>
      <c r="FO384" s="37"/>
      <c r="FP384" s="55" t="s">
        <v>140</v>
      </c>
      <c r="FQ384" s="1" t="s">
        <v>2</v>
      </c>
      <c r="FR384" s="1" t="s">
        <v>31</v>
      </c>
      <c r="FS384" s="1" t="s">
        <v>618</v>
      </c>
      <c r="FT384" s="1" t="s">
        <v>618</v>
      </c>
      <c r="FV384" s="1" t="s">
        <v>2</v>
      </c>
    </row>
    <row r="385" spans="1:178" ht="16.25" customHeight="1" x14ac:dyDescent="0.2">
      <c r="A385" s="25" t="s">
        <v>190</v>
      </c>
      <c r="B385" s="1" t="s">
        <v>140</v>
      </c>
      <c r="C385" s="21" t="s">
        <v>270</v>
      </c>
      <c r="D385" s="1" t="s">
        <v>69</v>
      </c>
      <c r="G385" s="1" t="s">
        <v>72</v>
      </c>
      <c r="H385" s="1" t="s">
        <v>266</v>
      </c>
      <c r="K385" s="1">
        <v>0</v>
      </c>
      <c r="AF385" s="1">
        <v>0</v>
      </c>
      <c r="BA385" s="1">
        <v>9.6999999999999993</v>
      </c>
      <c r="BI385" s="1">
        <v>0.91</v>
      </c>
      <c r="BV385" s="1">
        <v>0</v>
      </c>
      <c r="CQ385" s="1">
        <v>0</v>
      </c>
      <c r="DL385" s="18" t="s">
        <v>163</v>
      </c>
      <c r="DN385" s="1">
        <f t="shared" si="67"/>
        <v>0.91</v>
      </c>
      <c r="DO385" s="1">
        <f t="shared" si="68"/>
        <v>0</v>
      </c>
      <c r="DP385" s="1" t="s">
        <v>471</v>
      </c>
      <c r="DQ385" s="1" t="s">
        <v>2</v>
      </c>
      <c r="DR385" s="16">
        <f t="shared" si="69"/>
        <v>9.6999999999999993</v>
      </c>
      <c r="DS385" s="16">
        <f t="shared" si="70"/>
        <v>0.91</v>
      </c>
      <c r="DT385" s="101">
        <f t="shared" si="71"/>
        <v>88.27</v>
      </c>
      <c r="DV385" s="16">
        <f t="shared" si="72"/>
        <v>0</v>
      </c>
      <c r="DZ385" s="37" t="s">
        <v>2</v>
      </c>
      <c r="EA385" s="37"/>
      <c r="EM385" s="73"/>
      <c r="EN385" s="37"/>
      <c r="EO385" s="37"/>
      <c r="EP385" s="37"/>
      <c r="EQ385" s="37"/>
      <c r="ER385" s="37"/>
      <c r="ES385" s="37"/>
      <c r="ET385" s="37"/>
      <c r="EU385" s="37"/>
      <c r="EV385" s="37"/>
      <c r="EW385" s="37"/>
      <c r="EX385" s="37"/>
      <c r="EY385" s="37"/>
      <c r="EZ385" s="37"/>
      <c r="FA385" s="37"/>
      <c r="FB385" s="37"/>
      <c r="FC385" s="37"/>
      <c r="FD385" s="37"/>
      <c r="FE385" s="37"/>
      <c r="FF385" s="55"/>
      <c r="FG385" s="55"/>
      <c r="FH385" s="55"/>
      <c r="FI385" s="37"/>
      <c r="FJ385" s="55"/>
      <c r="FK385" s="55"/>
      <c r="FL385" s="45"/>
      <c r="FM385" s="37"/>
      <c r="FN385" s="37"/>
      <c r="FO385" s="37"/>
      <c r="FP385" s="55"/>
      <c r="FQ385" s="1" t="s">
        <v>2</v>
      </c>
      <c r="FR385" s="1" t="s">
        <v>31</v>
      </c>
      <c r="FS385" s="1" t="s">
        <v>618</v>
      </c>
      <c r="FT385" s="1" t="s">
        <v>618</v>
      </c>
      <c r="FV385" s="1" t="s">
        <v>2</v>
      </c>
    </row>
    <row r="386" spans="1:178" ht="16.25" customHeight="1" x14ac:dyDescent="0.2">
      <c r="A386" s="25" t="s">
        <v>190</v>
      </c>
      <c r="B386" s="1" t="s">
        <v>140</v>
      </c>
      <c r="C386" s="21" t="s">
        <v>271</v>
      </c>
      <c r="D386" s="1" t="s">
        <v>69</v>
      </c>
      <c r="G386" s="1" t="s">
        <v>72</v>
      </c>
      <c r="H386" s="1" t="s">
        <v>266</v>
      </c>
      <c r="K386" s="1">
        <v>0</v>
      </c>
      <c r="AF386" s="1">
        <v>0</v>
      </c>
      <c r="BA386" s="1">
        <v>107.4</v>
      </c>
      <c r="BI386" s="1" t="s">
        <v>1128</v>
      </c>
      <c r="BV386" s="1">
        <v>0</v>
      </c>
      <c r="CQ386" s="1">
        <v>0</v>
      </c>
      <c r="DL386" s="18" t="s">
        <v>163</v>
      </c>
      <c r="DN386" s="1">
        <f t="shared" si="67"/>
        <v>0.84000000000000008</v>
      </c>
      <c r="DO386" s="1">
        <f t="shared" si="68"/>
        <v>0</v>
      </c>
      <c r="DP386" s="1" t="s">
        <v>471</v>
      </c>
      <c r="DQ386" s="1" t="s">
        <v>2</v>
      </c>
      <c r="DR386" s="16">
        <f t="shared" si="69"/>
        <v>107.4</v>
      </c>
      <c r="DS386" s="16">
        <f t="shared" si="70"/>
        <v>0.84000000000000008</v>
      </c>
      <c r="DT386" s="101">
        <f t="shared" si="71"/>
        <v>902.1600000000002</v>
      </c>
      <c r="DV386" s="16">
        <f t="shared" si="72"/>
        <v>0</v>
      </c>
      <c r="DZ386" s="37" t="s">
        <v>2</v>
      </c>
      <c r="EA386" s="37"/>
      <c r="EM386" s="73"/>
      <c r="EN386" s="37"/>
      <c r="EO386" s="37"/>
      <c r="EP386" s="37"/>
      <c r="EQ386" s="37"/>
      <c r="ER386" s="37"/>
      <c r="ES386" s="37"/>
      <c r="ET386" s="37"/>
      <c r="EU386" s="37"/>
      <c r="EV386" s="37"/>
      <c r="EW386" s="37"/>
      <c r="EX386" s="37"/>
      <c r="EY386" s="37"/>
      <c r="EZ386" s="37"/>
      <c r="FA386" s="37"/>
      <c r="FB386" s="37"/>
      <c r="FC386" s="37"/>
      <c r="FD386" s="37"/>
      <c r="FE386" s="37"/>
      <c r="FF386" s="55"/>
      <c r="FG386" s="55"/>
      <c r="FH386" s="55"/>
      <c r="FI386" s="37"/>
      <c r="FJ386" s="55"/>
      <c r="FK386" s="55"/>
      <c r="FL386" s="45"/>
      <c r="FM386" s="37"/>
      <c r="FN386" s="37"/>
      <c r="FO386" s="37"/>
      <c r="FP386" s="55"/>
      <c r="FQ386" s="1" t="s">
        <v>2</v>
      </c>
      <c r="FR386" s="1" t="s">
        <v>31</v>
      </c>
      <c r="FS386" s="1" t="s">
        <v>205</v>
      </c>
      <c r="FT386" s="1" t="s">
        <v>205</v>
      </c>
      <c r="FV386" s="1" t="s">
        <v>2</v>
      </c>
    </row>
    <row r="387" spans="1:178" ht="16.25" customHeight="1" x14ac:dyDescent="0.2">
      <c r="A387" s="25" t="s">
        <v>190</v>
      </c>
      <c r="B387" s="1" t="s">
        <v>94</v>
      </c>
      <c r="C387" s="21" t="s">
        <v>269</v>
      </c>
      <c r="D387" s="1" t="s">
        <v>69</v>
      </c>
      <c r="G387" s="1" t="s">
        <v>72</v>
      </c>
      <c r="H387" s="1" t="s">
        <v>266</v>
      </c>
      <c r="K387" s="1">
        <v>0</v>
      </c>
      <c r="AF387" s="1">
        <v>0</v>
      </c>
      <c r="BA387" s="1">
        <f>0.1175/(1.175/100)</f>
        <v>10</v>
      </c>
      <c r="BI387" s="1">
        <v>1.175</v>
      </c>
      <c r="BJ387" s="1">
        <v>0.06</v>
      </c>
      <c r="BV387" s="1">
        <v>0</v>
      </c>
      <c r="CQ387" s="1">
        <v>0</v>
      </c>
      <c r="DL387" s="18" t="s">
        <v>163</v>
      </c>
      <c r="DM387" s="1" t="s">
        <v>163</v>
      </c>
      <c r="DN387" s="1">
        <f t="shared" si="67"/>
        <v>1.175</v>
      </c>
      <c r="DO387" s="1">
        <f t="shared" si="68"/>
        <v>0.06</v>
      </c>
      <c r="DP387" s="1" t="s">
        <v>899</v>
      </c>
      <c r="DQ387" s="1" t="s">
        <v>2</v>
      </c>
      <c r="DR387" s="16">
        <f t="shared" si="69"/>
        <v>10</v>
      </c>
      <c r="DS387" s="100">
        <f t="shared" si="70"/>
        <v>1.175</v>
      </c>
      <c r="DT387" s="101">
        <f t="shared" si="71"/>
        <v>117.5</v>
      </c>
      <c r="DV387" s="16">
        <f t="shared" si="72"/>
        <v>0</v>
      </c>
      <c r="DZ387" s="37" t="s">
        <v>2</v>
      </c>
      <c r="EA387" s="37" t="s">
        <v>94</v>
      </c>
      <c r="EM387" s="73" t="s">
        <v>94</v>
      </c>
      <c r="EN387" s="37"/>
      <c r="EO387" s="37"/>
      <c r="EP387" s="37"/>
      <c r="EQ387" s="37"/>
      <c r="ER387" s="37"/>
      <c r="ES387" s="37"/>
      <c r="ET387" s="37"/>
      <c r="EU387" s="37"/>
      <c r="EV387" s="37"/>
      <c r="EW387" s="37"/>
      <c r="EX387" s="37"/>
      <c r="EY387" s="37"/>
      <c r="EZ387" s="37"/>
      <c r="FA387" s="37"/>
      <c r="FB387" s="37"/>
      <c r="FC387" s="37"/>
      <c r="FD387" s="37"/>
      <c r="FE387" s="37"/>
      <c r="FF387" s="55"/>
      <c r="FG387" s="55"/>
      <c r="FH387" s="55"/>
      <c r="FI387" s="37"/>
      <c r="FJ387" s="55"/>
      <c r="FK387" s="55"/>
      <c r="FL387" s="45"/>
      <c r="FM387" s="37"/>
      <c r="FN387" s="37"/>
      <c r="FO387" s="37"/>
      <c r="FP387" s="55" t="s">
        <v>94</v>
      </c>
      <c r="FQ387" s="1" t="s">
        <v>2</v>
      </c>
      <c r="FR387" s="1" t="s">
        <v>31</v>
      </c>
      <c r="FS387" s="1" t="s">
        <v>618</v>
      </c>
      <c r="FT387" s="1" t="s">
        <v>618</v>
      </c>
      <c r="FV387" s="1" t="s">
        <v>2</v>
      </c>
    </row>
    <row r="388" spans="1:178" ht="16.25" customHeight="1" x14ac:dyDescent="0.2">
      <c r="A388" s="25" t="s">
        <v>190</v>
      </c>
      <c r="B388" s="1" t="s">
        <v>94</v>
      </c>
      <c r="C388" s="21" t="s">
        <v>1158</v>
      </c>
      <c r="D388" s="1" t="s">
        <v>69</v>
      </c>
      <c r="H388" s="1" t="s">
        <v>1159</v>
      </c>
      <c r="K388" s="1">
        <v>0</v>
      </c>
      <c r="AF388" s="1">
        <v>0</v>
      </c>
      <c r="BA388" s="1">
        <f>1.2/0.4</f>
        <v>2.9999999999999996</v>
      </c>
      <c r="BI388" s="1">
        <v>1</v>
      </c>
      <c r="BJ388" s="1">
        <v>0.1</v>
      </c>
      <c r="BP388" s="1">
        <v>3.5</v>
      </c>
      <c r="BQ388" s="1">
        <v>40</v>
      </c>
      <c r="BV388" s="1">
        <v>0</v>
      </c>
      <c r="CQ388" s="1">
        <v>0</v>
      </c>
      <c r="DL388" s="18" t="s">
        <v>163</v>
      </c>
      <c r="DM388" s="1" t="s">
        <v>163</v>
      </c>
      <c r="DN388" s="1">
        <f t="shared" ref="DN388:DN450" si="73">(S388*K388+AN388*AF388+BI388*BA388)/(K388+AF388+BA388)</f>
        <v>1</v>
      </c>
      <c r="DO388" s="1">
        <f t="shared" ref="DO388:DO450" si="74">(T388*K388+AO388*AF388+BJ388*BA388)/(K388+AF388+BA388)</f>
        <v>0.1</v>
      </c>
      <c r="DP388" s="1" t="s">
        <v>899</v>
      </c>
      <c r="DQ388" s="1" t="s">
        <v>2</v>
      </c>
      <c r="DR388" s="16">
        <f t="shared" ref="DR388:DR450" si="75">K388+AF388+BA388</f>
        <v>2.9999999999999996</v>
      </c>
      <c r="DS388" s="16">
        <f t="shared" ref="DS388:DS450" si="76">(K388*S388+AF388*AN388+BA388*BI388)/DR388</f>
        <v>1</v>
      </c>
      <c r="DT388" s="101">
        <f t="shared" ref="DT388:DT450" si="77">1000*DR388*DS388/100</f>
        <v>29.999999999999996</v>
      </c>
      <c r="DV388" s="16">
        <f t="shared" ref="DV388:DV450" si="78">BV388+CQ388</f>
        <v>0</v>
      </c>
      <c r="DZ388" s="37" t="s">
        <v>2</v>
      </c>
      <c r="EA388" s="37"/>
      <c r="EM388" s="73"/>
      <c r="EN388" s="37"/>
      <c r="EO388" s="37"/>
      <c r="EP388" s="37"/>
      <c r="EQ388" s="37"/>
      <c r="ER388" s="37"/>
      <c r="ES388" s="37"/>
      <c r="ET388" s="37"/>
      <c r="EU388" s="37"/>
      <c r="EV388" s="37"/>
      <c r="EW388" s="37"/>
      <c r="EX388" s="37"/>
      <c r="EY388" s="37"/>
      <c r="EZ388" s="37"/>
      <c r="FA388" s="37"/>
      <c r="FB388" s="37"/>
      <c r="FC388" s="37"/>
      <c r="FD388" s="37"/>
      <c r="FE388" s="37"/>
      <c r="FF388" s="55"/>
      <c r="FG388" s="55"/>
      <c r="FH388" s="55"/>
      <c r="FI388" s="37"/>
      <c r="FJ388" s="55"/>
      <c r="FK388" s="55"/>
      <c r="FL388" s="45"/>
      <c r="FM388" s="37"/>
      <c r="FN388" s="37"/>
      <c r="FO388" s="37"/>
      <c r="FP388" s="55"/>
      <c r="FQ388" s="1" t="s">
        <v>2</v>
      </c>
      <c r="FR388" s="1" t="s">
        <v>31</v>
      </c>
      <c r="FS388" s="1" t="s">
        <v>280</v>
      </c>
      <c r="FT388" s="1" t="s">
        <v>280</v>
      </c>
      <c r="FV388" s="1" t="s">
        <v>2</v>
      </c>
    </row>
    <row r="389" spans="1:178" ht="16.25" customHeight="1" x14ac:dyDescent="0.2">
      <c r="A389" s="25" t="s">
        <v>190</v>
      </c>
      <c r="B389" s="1" t="s">
        <v>141</v>
      </c>
      <c r="C389" s="80" t="s">
        <v>1295</v>
      </c>
      <c r="D389" s="1" t="s">
        <v>64</v>
      </c>
      <c r="H389" s="1" t="s">
        <v>1296</v>
      </c>
      <c r="K389" s="1">
        <f>49.9+4.6</f>
        <v>54.5</v>
      </c>
      <c r="S389" s="13">
        <f>(0.94*49.9+1.05*4.6)/K389</f>
        <v>0.94928440366972466</v>
      </c>
      <c r="T389" s="13">
        <f>(0.08*49.9+0.08*4.6)/K389</f>
        <v>0.08</v>
      </c>
      <c r="AF389" s="1">
        <f>102.6+19.2</f>
        <v>121.8</v>
      </c>
      <c r="AN389" s="13">
        <f>(0.93*102.6+0.84*19.2)/AF389</f>
        <v>0.91581280788177344</v>
      </c>
      <c r="AO389" s="13">
        <f>(0.08*102.6+0.07*19.2)/AF389</f>
        <v>7.842364532019705E-2</v>
      </c>
      <c r="BA389" s="1">
        <v>52.5</v>
      </c>
      <c r="BI389" s="1">
        <v>0.84</v>
      </c>
      <c r="BJ389" s="1">
        <v>0.08</v>
      </c>
      <c r="BV389" s="1">
        <v>49.9</v>
      </c>
      <c r="CD389" s="1">
        <v>0.94</v>
      </c>
      <c r="CE389" s="1">
        <v>0.08</v>
      </c>
      <c r="CQ389" s="1">
        <v>102.6</v>
      </c>
      <c r="CY389" s="1">
        <v>0.93</v>
      </c>
      <c r="CZ389" s="1">
        <v>0.08</v>
      </c>
      <c r="DL389" s="18" t="s">
        <v>96</v>
      </c>
      <c r="DM389" s="1" t="s">
        <v>96</v>
      </c>
      <c r="DN389" s="1">
        <f t="shared" si="73"/>
        <v>0.90638986013986012</v>
      </c>
      <c r="DO389" s="1">
        <f t="shared" si="74"/>
        <v>7.9160839160839144E-2</v>
      </c>
      <c r="DP389" s="1" t="s">
        <v>185</v>
      </c>
      <c r="DQ389" s="1" t="s">
        <v>2</v>
      </c>
      <c r="DR389" s="16">
        <f t="shared" si="75"/>
        <v>228.8</v>
      </c>
      <c r="DS389" s="100">
        <f t="shared" si="76"/>
        <v>0.90638986013986012</v>
      </c>
      <c r="DT389" s="102">
        <f t="shared" si="77"/>
        <v>2073.8200000000002</v>
      </c>
      <c r="DV389" s="16">
        <f t="shared" si="78"/>
        <v>152.5</v>
      </c>
      <c r="DW389" s="100">
        <f>(BV389*CD389+CQ389*CY389)/DV389</f>
        <v>0.93327213114754104</v>
      </c>
      <c r="DX389" s="102">
        <f>1000*DV389*DW389/100</f>
        <v>1423.24</v>
      </c>
      <c r="DZ389" s="37" t="s">
        <v>2</v>
      </c>
      <c r="EA389" s="37" t="s">
        <v>141</v>
      </c>
      <c r="EM389" s="73" t="s">
        <v>141</v>
      </c>
      <c r="EN389" s="37"/>
      <c r="EO389" s="37"/>
      <c r="EP389" s="37"/>
      <c r="EQ389" s="37"/>
      <c r="ER389" s="37"/>
      <c r="ES389" s="37"/>
      <c r="ET389" s="37"/>
      <c r="EU389" s="37"/>
      <c r="EV389" s="37"/>
      <c r="EW389" s="37"/>
      <c r="EX389" s="37"/>
      <c r="EY389" s="37"/>
      <c r="EZ389" s="37"/>
      <c r="FA389" s="37"/>
      <c r="FB389" s="37"/>
      <c r="FC389" s="37"/>
      <c r="FD389" s="37"/>
      <c r="FE389" s="37"/>
      <c r="FF389" s="55"/>
      <c r="FG389" s="55"/>
      <c r="FH389" s="55"/>
      <c r="FI389" s="37"/>
      <c r="FJ389" s="55"/>
      <c r="FK389" s="55"/>
      <c r="FL389" s="45"/>
      <c r="FM389" s="37"/>
      <c r="FN389" s="37"/>
      <c r="FO389" s="37"/>
      <c r="FP389" s="55" t="s">
        <v>141</v>
      </c>
      <c r="FQ389" s="1" t="s">
        <v>2</v>
      </c>
      <c r="FR389" s="1" t="s">
        <v>31</v>
      </c>
      <c r="FS389" s="1" t="s">
        <v>506</v>
      </c>
      <c r="FT389" s="1" t="s">
        <v>506</v>
      </c>
      <c r="FV389" s="1" t="s">
        <v>2</v>
      </c>
    </row>
    <row r="390" spans="1:178" ht="16.25" customHeight="1" x14ac:dyDescent="0.2">
      <c r="A390" s="25" t="s">
        <v>190</v>
      </c>
      <c r="B390" s="1" t="s">
        <v>141</v>
      </c>
      <c r="C390" s="21" t="s">
        <v>521</v>
      </c>
      <c r="D390" s="1" t="s">
        <v>518</v>
      </c>
      <c r="G390" s="1" t="s">
        <v>72</v>
      </c>
      <c r="H390" s="1" t="s">
        <v>522</v>
      </c>
      <c r="K390" s="1">
        <v>0</v>
      </c>
      <c r="AF390" s="1">
        <v>0</v>
      </c>
      <c r="BA390" s="1">
        <v>3.7</v>
      </c>
      <c r="BI390" s="1">
        <v>1.75</v>
      </c>
      <c r="BV390" s="1">
        <v>0</v>
      </c>
      <c r="CQ390" s="1">
        <v>0</v>
      </c>
      <c r="DL390" s="18" t="s">
        <v>163</v>
      </c>
      <c r="DM390" s="1" t="s">
        <v>163</v>
      </c>
      <c r="DN390" s="1">
        <f t="shared" si="73"/>
        <v>1.75</v>
      </c>
      <c r="DO390" s="1">
        <f t="shared" si="74"/>
        <v>0</v>
      </c>
      <c r="DP390" s="1" t="s">
        <v>471</v>
      </c>
      <c r="DQ390" s="1" t="s">
        <v>2</v>
      </c>
      <c r="DR390" s="16">
        <f t="shared" si="75"/>
        <v>3.7</v>
      </c>
      <c r="DS390" s="16">
        <f t="shared" si="76"/>
        <v>1.75</v>
      </c>
      <c r="DT390" s="101">
        <f t="shared" si="77"/>
        <v>64.75</v>
      </c>
      <c r="DV390" s="16">
        <f t="shared" si="78"/>
        <v>0</v>
      </c>
      <c r="DZ390" s="37" t="s">
        <v>2</v>
      </c>
      <c r="EA390" s="37"/>
      <c r="EM390" s="73"/>
      <c r="EN390" s="37"/>
      <c r="EO390" s="37"/>
      <c r="EP390" s="37"/>
      <c r="EQ390" s="37"/>
      <c r="ER390" s="37"/>
      <c r="ES390" s="37"/>
      <c r="ET390" s="37"/>
      <c r="EU390" s="37"/>
      <c r="EV390" s="37"/>
      <c r="EW390" s="37"/>
      <c r="EX390" s="37"/>
      <c r="EY390" s="37"/>
      <c r="EZ390" s="37"/>
      <c r="FA390" s="37"/>
      <c r="FB390" s="37"/>
      <c r="FC390" s="37"/>
      <c r="FD390" s="37"/>
      <c r="FE390" s="37"/>
      <c r="FF390" s="55"/>
      <c r="FG390" s="55"/>
      <c r="FH390" s="55"/>
      <c r="FI390" s="37"/>
      <c r="FJ390" s="55"/>
      <c r="FK390" s="55"/>
      <c r="FL390" s="45"/>
      <c r="FM390" s="37"/>
      <c r="FN390" s="37"/>
      <c r="FO390" s="37"/>
      <c r="FP390" s="55"/>
      <c r="FQ390" s="1" t="s">
        <v>2</v>
      </c>
      <c r="FR390" s="1" t="s">
        <v>31</v>
      </c>
      <c r="FS390" s="1" t="s">
        <v>506</v>
      </c>
      <c r="FT390" s="1" t="s">
        <v>506</v>
      </c>
      <c r="FV390" s="1" t="s">
        <v>2</v>
      </c>
    </row>
    <row r="391" spans="1:178" ht="16.25" customHeight="1" x14ac:dyDescent="0.2">
      <c r="A391" s="25" t="s">
        <v>190</v>
      </c>
      <c r="B391" s="1" t="s">
        <v>132</v>
      </c>
      <c r="C391" s="80" t="s">
        <v>859</v>
      </c>
      <c r="D391" s="1" t="s">
        <v>69</v>
      </c>
      <c r="H391" s="1" t="s">
        <v>131</v>
      </c>
      <c r="K391" s="1">
        <v>0</v>
      </c>
      <c r="AF391" s="1">
        <v>4.67</v>
      </c>
      <c r="AN391" s="1">
        <v>0.39</v>
      </c>
      <c r="AO391" s="1">
        <v>0.03</v>
      </c>
      <c r="AU391" s="1">
        <v>0.56999999999999995</v>
      </c>
      <c r="BA391" s="1">
        <v>3.883</v>
      </c>
      <c r="BI391" s="1">
        <v>0.33</v>
      </c>
      <c r="BJ391" s="1">
        <v>0.03</v>
      </c>
      <c r="BP391" s="1">
        <v>0.47</v>
      </c>
      <c r="BV391" s="1">
        <v>0</v>
      </c>
      <c r="CQ391" s="1">
        <v>0</v>
      </c>
      <c r="DL391" s="18" t="s">
        <v>96</v>
      </c>
      <c r="DM391" s="1" t="s">
        <v>96</v>
      </c>
      <c r="DN391" s="1">
        <f t="shared" si="73"/>
        <v>0.36276043493511045</v>
      </c>
      <c r="DO391" s="1">
        <f t="shared" si="74"/>
        <v>2.9999999999999995E-2</v>
      </c>
      <c r="DP391" s="1" t="s">
        <v>1097</v>
      </c>
      <c r="DQ391" s="1" t="s">
        <v>2</v>
      </c>
      <c r="DR391" s="16">
        <f t="shared" si="75"/>
        <v>8.5530000000000008</v>
      </c>
      <c r="DS391" s="100">
        <f t="shared" si="76"/>
        <v>0.36276043493511045</v>
      </c>
      <c r="DT391" s="101">
        <f t="shared" si="77"/>
        <v>31.026899999999998</v>
      </c>
      <c r="DV391" s="16">
        <f t="shared" si="78"/>
        <v>0</v>
      </c>
      <c r="DZ391" s="37" t="s">
        <v>2</v>
      </c>
      <c r="EA391" s="37" t="s">
        <v>132</v>
      </c>
      <c r="EM391" s="73" t="s">
        <v>132</v>
      </c>
      <c r="EN391" s="37"/>
      <c r="EO391" s="37"/>
      <c r="EP391" s="37"/>
      <c r="EQ391" s="37"/>
      <c r="ER391" s="37"/>
      <c r="ES391" s="37"/>
      <c r="ET391" s="37"/>
      <c r="EU391" s="37"/>
      <c r="EV391" s="37"/>
      <c r="EW391" s="37"/>
      <c r="EX391" s="37"/>
      <c r="EY391" s="37"/>
      <c r="EZ391" s="37"/>
      <c r="FA391" s="37"/>
      <c r="FB391" s="37"/>
      <c r="FC391" s="37"/>
      <c r="FD391" s="37"/>
      <c r="FE391" s="37"/>
      <c r="FF391" s="55"/>
      <c r="FG391" s="55"/>
      <c r="FH391" s="55"/>
      <c r="FI391" s="37"/>
      <c r="FJ391" s="55"/>
      <c r="FK391" s="55"/>
      <c r="FL391" s="45"/>
      <c r="FM391" s="37"/>
      <c r="FN391" s="37"/>
      <c r="FO391" s="37"/>
      <c r="FP391" s="55" t="s">
        <v>132</v>
      </c>
      <c r="FQ391" s="1" t="s">
        <v>2</v>
      </c>
      <c r="FR391" s="1" t="s">
        <v>31</v>
      </c>
      <c r="FS391" s="1" t="s">
        <v>612</v>
      </c>
      <c r="FT391" s="1" t="s">
        <v>612</v>
      </c>
      <c r="FV391" s="1" t="s">
        <v>2</v>
      </c>
    </row>
    <row r="392" spans="1:178" ht="16.25" customHeight="1" x14ac:dyDescent="0.2">
      <c r="A392" s="20" t="s">
        <v>166</v>
      </c>
      <c r="B392" s="1" t="s">
        <v>144</v>
      </c>
      <c r="C392" s="79" t="s">
        <v>479</v>
      </c>
      <c r="D392" s="1" t="s">
        <v>71</v>
      </c>
      <c r="H392" s="1" t="s">
        <v>480</v>
      </c>
      <c r="K392" s="1">
        <v>0</v>
      </c>
      <c r="AF392" s="1">
        <v>0</v>
      </c>
      <c r="BA392" s="1">
        <f>(18.2/1000)/(BJ392/100)</f>
        <v>1.82</v>
      </c>
      <c r="BC392" s="1">
        <v>3.5</v>
      </c>
      <c r="BI392" s="1">
        <v>1</v>
      </c>
      <c r="BJ392" s="1">
        <v>1</v>
      </c>
      <c r="BV392" s="1">
        <v>0</v>
      </c>
      <c r="CQ392" s="1">
        <f>(0.6/1000)/(CZ392/100)</f>
        <v>5.9999999999999991E-2</v>
      </c>
      <c r="CS392" s="1">
        <v>3.5</v>
      </c>
      <c r="CY392" s="1">
        <v>1</v>
      </c>
      <c r="CZ392" s="1">
        <v>1</v>
      </c>
      <c r="DL392" s="18" t="s">
        <v>163</v>
      </c>
      <c r="DM392" s="1" t="s">
        <v>163</v>
      </c>
      <c r="DN392" s="1">
        <f t="shared" si="73"/>
        <v>1</v>
      </c>
      <c r="DO392" s="1">
        <f t="shared" si="74"/>
        <v>1</v>
      </c>
      <c r="DP392" s="1" t="s">
        <v>67</v>
      </c>
      <c r="DQ392" s="1" t="s">
        <v>2</v>
      </c>
      <c r="DR392" s="16">
        <f t="shared" si="75"/>
        <v>1.82</v>
      </c>
      <c r="DS392" s="16">
        <f t="shared" si="76"/>
        <v>1</v>
      </c>
      <c r="DT392" s="101">
        <f t="shared" si="77"/>
        <v>18.2</v>
      </c>
      <c r="DV392" s="16">
        <f t="shared" si="78"/>
        <v>5.9999999999999991E-2</v>
      </c>
      <c r="DW392" s="16">
        <f>(BV392*CD392+CQ392*CY392)/DV392</f>
        <v>1</v>
      </c>
      <c r="DX392" s="101">
        <f>1000*DV392*DW392/100</f>
        <v>0.6</v>
      </c>
      <c r="DZ392" s="37" t="s">
        <v>2</v>
      </c>
      <c r="EA392" s="37" t="s">
        <v>144</v>
      </c>
      <c r="EM392" s="73" t="s">
        <v>144</v>
      </c>
      <c r="EN392" s="37"/>
      <c r="EO392" s="37"/>
      <c r="EP392" s="37"/>
      <c r="EQ392" s="37"/>
      <c r="ER392" s="37"/>
      <c r="ES392" s="37"/>
      <c r="ET392" s="37"/>
      <c r="EU392" s="37"/>
      <c r="EV392" s="37"/>
      <c r="EW392" s="37"/>
      <c r="EX392" s="37"/>
      <c r="EY392" s="37"/>
      <c r="EZ392" s="37"/>
      <c r="FA392" s="37"/>
      <c r="FB392" s="37"/>
      <c r="FC392" s="37"/>
      <c r="FD392" s="37"/>
      <c r="FE392" s="37"/>
      <c r="FF392" s="55"/>
      <c r="FG392" s="55"/>
      <c r="FH392" s="55"/>
      <c r="FI392" s="37"/>
      <c r="FJ392" s="55"/>
      <c r="FK392" s="55"/>
      <c r="FL392" s="45"/>
      <c r="FM392" s="37"/>
      <c r="FN392" s="37"/>
      <c r="FO392" s="37"/>
      <c r="FP392" s="55" t="s">
        <v>144</v>
      </c>
      <c r="FQ392" s="1" t="s">
        <v>2</v>
      </c>
      <c r="FR392" s="1" t="s">
        <v>113</v>
      </c>
      <c r="FS392" s="1" t="s">
        <v>129</v>
      </c>
      <c r="FV392" s="1" t="s">
        <v>2</v>
      </c>
    </row>
    <row r="393" spans="1:178" ht="16.25" customHeight="1" x14ac:dyDescent="0.2">
      <c r="A393" s="25" t="s">
        <v>190</v>
      </c>
      <c r="B393" s="1" t="s">
        <v>76</v>
      </c>
      <c r="C393" s="21" t="s">
        <v>477</v>
      </c>
      <c r="D393" s="1" t="s">
        <v>64</v>
      </c>
      <c r="E393" s="81"/>
      <c r="F393" s="81"/>
      <c r="H393" s="1" t="s">
        <v>474</v>
      </c>
      <c r="J393" s="1" t="s">
        <v>467</v>
      </c>
      <c r="K393" s="1">
        <v>0</v>
      </c>
      <c r="AF393" s="1">
        <v>0</v>
      </c>
      <c r="BA393" s="1">
        <v>40</v>
      </c>
      <c r="BI393" s="1" t="s">
        <v>570</v>
      </c>
      <c r="BV393" s="1">
        <v>0</v>
      </c>
      <c r="CQ393" s="1">
        <v>0</v>
      </c>
      <c r="DL393" s="18" t="s">
        <v>163</v>
      </c>
      <c r="DM393" s="1" t="s">
        <v>163</v>
      </c>
      <c r="DN393" s="1">
        <f t="shared" si="73"/>
        <v>2.15</v>
      </c>
      <c r="DO393" s="1">
        <f t="shared" si="74"/>
        <v>0</v>
      </c>
      <c r="DP393" s="1" t="s">
        <v>471</v>
      </c>
      <c r="DQ393" s="1" t="s">
        <v>2</v>
      </c>
      <c r="DR393" s="16">
        <f t="shared" si="75"/>
        <v>40</v>
      </c>
      <c r="DS393" s="100">
        <f t="shared" si="76"/>
        <v>2.15</v>
      </c>
      <c r="DT393" s="101">
        <f t="shared" si="77"/>
        <v>860</v>
      </c>
      <c r="DV393" s="16">
        <f t="shared" si="78"/>
        <v>0</v>
      </c>
      <c r="DZ393" s="37" t="s">
        <v>2</v>
      </c>
      <c r="EA393" s="37" t="s">
        <v>76</v>
      </c>
      <c r="EM393" s="73" t="s">
        <v>76</v>
      </c>
      <c r="EN393" s="37"/>
      <c r="EO393" s="37"/>
      <c r="EP393" s="37"/>
      <c r="EQ393" s="37"/>
      <c r="ER393" s="37"/>
      <c r="ES393" s="37"/>
      <c r="ET393" s="37"/>
      <c r="EU393" s="37"/>
      <c r="EV393" s="37"/>
      <c r="EW393" s="37"/>
      <c r="EX393" s="37"/>
      <c r="EY393" s="37"/>
      <c r="EZ393" s="37"/>
      <c r="FA393" s="37"/>
      <c r="FB393" s="37"/>
      <c r="FC393" s="37"/>
      <c r="FD393" s="37"/>
      <c r="FE393" s="37"/>
      <c r="FF393" s="55"/>
      <c r="FG393" s="55"/>
      <c r="FH393" s="55"/>
      <c r="FI393" s="37"/>
      <c r="FJ393" s="55"/>
      <c r="FK393" s="55"/>
      <c r="FL393" s="45"/>
      <c r="FM393" s="37"/>
      <c r="FN393" s="37"/>
      <c r="FO393" s="37"/>
      <c r="FP393" s="55" t="s">
        <v>76</v>
      </c>
      <c r="FQ393" s="1" t="s">
        <v>2</v>
      </c>
      <c r="FR393" s="1" t="s">
        <v>31</v>
      </c>
      <c r="FS393" s="1" t="s">
        <v>490</v>
      </c>
      <c r="FT393" s="1" t="s">
        <v>490</v>
      </c>
      <c r="FV393" s="1" t="s">
        <v>2</v>
      </c>
    </row>
    <row r="394" spans="1:178" ht="16.25" customHeight="1" x14ac:dyDescent="0.2">
      <c r="A394" s="25" t="s">
        <v>190</v>
      </c>
      <c r="B394" s="1" t="s">
        <v>76</v>
      </c>
      <c r="C394" s="21" t="s">
        <v>478</v>
      </c>
      <c r="D394" s="1" t="s">
        <v>64</v>
      </c>
      <c r="H394" s="1" t="s">
        <v>474</v>
      </c>
      <c r="K394" s="1">
        <v>0</v>
      </c>
      <c r="AF394" s="1">
        <v>0</v>
      </c>
      <c r="BA394" s="1">
        <v>110</v>
      </c>
      <c r="BI394" s="1" t="s">
        <v>567</v>
      </c>
      <c r="BV394" s="1">
        <v>0</v>
      </c>
      <c r="CQ394" s="1">
        <v>0</v>
      </c>
      <c r="DL394" s="18" t="s">
        <v>163</v>
      </c>
      <c r="DM394" s="1" t="s">
        <v>163</v>
      </c>
      <c r="DN394" s="1">
        <f t="shared" si="73"/>
        <v>1.0900000000000001</v>
      </c>
      <c r="DO394" s="1">
        <f t="shared" si="74"/>
        <v>0</v>
      </c>
      <c r="DP394" s="1" t="s">
        <v>471</v>
      </c>
      <c r="DQ394" s="1" t="s">
        <v>2</v>
      </c>
      <c r="DR394" s="16">
        <f t="shared" si="75"/>
        <v>110</v>
      </c>
      <c r="DS394" s="100">
        <f t="shared" si="76"/>
        <v>1.0900000000000001</v>
      </c>
      <c r="DT394" s="102">
        <f t="shared" si="77"/>
        <v>1199.0000000000002</v>
      </c>
      <c r="DV394" s="16">
        <f t="shared" si="78"/>
        <v>0</v>
      </c>
      <c r="DZ394" s="37" t="s">
        <v>2</v>
      </c>
      <c r="EA394" s="37"/>
      <c r="EM394" s="73"/>
      <c r="EN394" s="37"/>
      <c r="EO394" s="37"/>
      <c r="EP394" s="37"/>
      <c r="EQ394" s="37"/>
      <c r="ER394" s="37"/>
      <c r="ES394" s="37"/>
      <c r="ET394" s="37"/>
      <c r="EU394" s="37"/>
      <c r="EV394" s="37"/>
      <c r="EW394" s="37"/>
      <c r="EX394" s="37"/>
      <c r="EY394" s="37"/>
      <c r="EZ394" s="37"/>
      <c r="FA394" s="37"/>
      <c r="FB394" s="37"/>
      <c r="FC394" s="37"/>
      <c r="FD394" s="37"/>
      <c r="FE394" s="37"/>
      <c r="FF394" s="55"/>
      <c r="FG394" s="55"/>
      <c r="FH394" s="55"/>
      <c r="FI394" s="37"/>
      <c r="FJ394" s="55"/>
      <c r="FK394" s="55"/>
      <c r="FL394" s="45"/>
      <c r="FM394" s="37"/>
      <c r="FN394" s="37"/>
      <c r="FO394" s="37"/>
      <c r="FP394" s="55"/>
      <c r="FQ394" s="1" t="s">
        <v>2</v>
      </c>
      <c r="FR394" s="1" t="s">
        <v>31</v>
      </c>
      <c r="FS394" s="1" t="s">
        <v>205</v>
      </c>
      <c r="FT394" s="1" t="s">
        <v>205</v>
      </c>
      <c r="FV394" s="1" t="s">
        <v>2</v>
      </c>
    </row>
    <row r="395" spans="1:178" ht="16.25" customHeight="1" x14ac:dyDescent="0.2">
      <c r="A395" s="25" t="s">
        <v>190</v>
      </c>
      <c r="B395" s="1" t="s">
        <v>77</v>
      </c>
      <c r="C395" s="80" t="s">
        <v>1050</v>
      </c>
      <c r="D395" s="1" t="s">
        <v>69</v>
      </c>
      <c r="H395" s="1" t="s">
        <v>1051</v>
      </c>
      <c r="J395" s="1" t="s">
        <v>467</v>
      </c>
      <c r="K395" s="1">
        <v>12.8</v>
      </c>
      <c r="S395" s="1">
        <v>2.48</v>
      </c>
      <c r="AF395" s="1">
        <v>43.6</v>
      </c>
      <c r="AN395" s="13">
        <v>2.4</v>
      </c>
      <c r="BA395" s="1">
        <v>83</v>
      </c>
      <c r="BI395" s="1">
        <v>2.5</v>
      </c>
      <c r="BV395" s="1">
        <v>11.7</v>
      </c>
      <c r="CD395" s="1">
        <v>2.27</v>
      </c>
      <c r="CQ395" s="1">
        <v>30.1</v>
      </c>
      <c r="CY395" s="13">
        <v>2.2000000000000002</v>
      </c>
      <c r="DL395" s="18" t="s">
        <v>96</v>
      </c>
      <c r="DN395" s="1">
        <f t="shared" si="73"/>
        <v>2.4668866571018651</v>
      </c>
      <c r="DO395" s="1">
        <f t="shared" si="74"/>
        <v>0</v>
      </c>
      <c r="DP395" s="1" t="s">
        <v>67</v>
      </c>
      <c r="DQ395" s="1" t="s">
        <v>2</v>
      </c>
      <c r="DR395" s="16">
        <f t="shared" si="75"/>
        <v>139.4</v>
      </c>
      <c r="DS395" s="100">
        <f t="shared" si="76"/>
        <v>2.4668866571018651</v>
      </c>
      <c r="DT395" s="102">
        <f t="shared" si="77"/>
        <v>3438.84</v>
      </c>
      <c r="DV395" s="16">
        <f t="shared" si="78"/>
        <v>41.8</v>
      </c>
      <c r="DW395" s="100">
        <f>(BV395*CD395+CQ395*CY395)/DV395</f>
        <v>2.219593301435407</v>
      </c>
      <c r="DX395" s="101">
        <f>1000*DV395*DW395/100</f>
        <v>927.79000000000019</v>
      </c>
      <c r="DZ395" s="37" t="s">
        <v>2</v>
      </c>
      <c r="EA395" s="37" t="s">
        <v>77</v>
      </c>
      <c r="EM395" s="73" t="s">
        <v>77</v>
      </c>
      <c r="EN395" s="37"/>
      <c r="EO395" s="37"/>
      <c r="EP395" s="37"/>
      <c r="EQ395" s="37"/>
      <c r="ER395" s="37"/>
      <c r="ES395" s="37"/>
      <c r="ET395" s="37"/>
      <c r="EU395" s="37"/>
      <c r="EV395" s="37"/>
      <c r="EW395" s="37"/>
      <c r="EX395" s="37"/>
      <c r="EY395" s="37"/>
      <c r="EZ395" s="37"/>
      <c r="FA395" s="37"/>
      <c r="FB395" s="37"/>
      <c r="FC395" s="37"/>
      <c r="FD395" s="37"/>
      <c r="FE395" s="37"/>
      <c r="FF395" s="55"/>
      <c r="FG395" s="55"/>
      <c r="FH395" s="55"/>
      <c r="FI395" s="37"/>
      <c r="FJ395" s="55"/>
      <c r="FK395" s="55"/>
      <c r="FL395" s="45"/>
      <c r="FM395" s="37"/>
      <c r="FN395" s="37"/>
      <c r="FO395" s="37"/>
      <c r="FP395" s="55" t="s">
        <v>77</v>
      </c>
      <c r="FQ395" s="1" t="s">
        <v>2</v>
      </c>
      <c r="FR395" s="1" t="s">
        <v>31</v>
      </c>
      <c r="FS395" s="1" t="s">
        <v>469</v>
      </c>
      <c r="FT395" s="1" t="s">
        <v>469</v>
      </c>
      <c r="FV395" s="1" t="s">
        <v>2</v>
      </c>
    </row>
    <row r="396" spans="1:178" ht="16.25" customHeight="1" x14ac:dyDescent="0.2">
      <c r="A396" s="25" t="s">
        <v>190</v>
      </c>
      <c r="B396" s="1" t="s">
        <v>77</v>
      </c>
      <c r="C396" s="80" t="s">
        <v>736</v>
      </c>
      <c r="D396" s="1" t="s">
        <v>69</v>
      </c>
      <c r="H396" s="1" t="s">
        <v>737</v>
      </c>
      <c r="J396" s="1" t="s">
        <v>467</v>
      </c>
      <c r="K396" s="1">
        <v>39.4</v>
      </c>
      <c r="S396" s="1">
        <v>2.39</v>
      </c>
      <c r="AF396" s="1">
        <v>65.7</v>
      </c>
      <c r="AN396" s="1">
        <v>2.42</v>
      </c>
      <c r="BA396" s="1">
        <v>84.5</v>
      </c>
      <c r="BI396" s="1">
        <v>2.4300000000000002</v>
      </c>
      <c r="BV396" s="1">
        <v>17.100000000000001</v>
      </c>
      <c r="CD396" s="1">
        <v>2.61</v>
      </c>
      <c r="CQ396" s="1">
        <v>19.2</v>
      </c>
      <c r="CY396" s="1">
        <v>2.46</v>
      </c>
      <c r="DL396" s="18" t="s">
        <v>96</v>
      </c>
      <c r="DN396" s="1">
        <f t="shared" si="73"/>
        <v>2.4182225738396625</v>
      </c>
      <c r="DO396" s="1">
        <f t="shared" si="74"/>
        <v>0</v>
      </c>
      <c r="DP396" s="1" t="s">
        <v>67</v>
      </c>
      <c r="DQ396" s="1" t="s">
        <v>2</v>
      </c>
      <c r="DR396" s="16">
        <f t="shared" si="75"/>
        <v>189.6</v>
      </c>
      <c r="DS396" s="100">
        <f t="shared" si="76"/>
        <v>2.4182225738396625</v>
      </c>
      <c r="DT396" s="102">
        <f t="shared" si="77"/>
        <v>4584.95</v>
      </c>
      <c r="DV396" s="16">
        <f t="shared" si="78"/>
        <v>36.299999999999997</v>
      </c>
      <c r="DW396" s="100">
        <f>(BV396*CD396+CQ396*CY396)/DV396</f>
        <v>2.5306611570247934</v>
      </c>
      <c r="DX396" s="101">
        <f>1000*DV396*DW396/100</f>
        <v>918.63</v>
      </c>
      <c r="DZ396" s="37" t="s">
        <v>2</v>
      </c>
      <c r="EA396" s="37"/>
      <c r="EM396" s="73"/>
      <c r="EN396" s="37"/>
      <c r="EO396" s="37"/>
      <c r="EP396" s="37"/>
      <c r="EQ396" s="37"/>
      <c r="ER396" s="37"/>
      <c r="ES396" s="37"/>
      <c r="ET396" s="37"/>
      <c r="EU396" s="37"/>
      <c r="EV396" s="37"/>
      <c r="EW396" s="37"/>
      <c r="EX396" s="37"/>
      <c r="EY396" s="37"/>
      <c r="EZ396" s="37"/>
      <c r="FA396" s="37"/>
      <c r="FB396" s="37"/>
      <c r="FC396" s="37"/>
      <c r="FD396" s="37"/>
      <c r="FE396" s="37"/>
      <c r="FF396" s="55"/>
      <c r="FG396" s="55"/>
      <c r="FH396" s="55"/>
      <c r="FI396" s="37"/>
      <c r="FJ396" s="55"/>
      <c r="FK396" s="55"/>
      <c r="FL396" s="45"/>
      <c r="FM396" s="37"/>
      <c r="FN396" s="37"/>
      <c r="FO396" s="37"/>
      <c r="FP396" s="55"/>
      <c r="FQ396" s="1" t="s">
        <v>2</v>
      </c>
      <c r="FR396" s="1" t="s">
        <v>31</v>
      </c>
      <c r="FS396" s="1" t="s">
        <v>469</v>
      </c>
      <c r="FT396" s="1" t="s">
        <v>469</v>
      </c>
      <c r="FV396" s="1" t="s">
        <v>2</v>
      </c>
    </row>
    <row r="397" spans="1:178" ht="16.25" customHeight="1" x14ac:dyDescent="0.2">
      <c r="A397" s="25" t="s">
        <v>190</v>
      </c>
      <c r="B397" s="1" t="s">
        <v>77</v>
      </c>
      <c r="C397" s="80" t="s">
        <v>374</v>
      </c>
      <c r="D397" s="1" t="s">
        <v>64</v>
      </c>
      <c r="G397" s="1" t="s">
        <v>65</v>
      </c>
      <c r="H397" s="1" t="s">
        <v>373</v>
      </c>
      <c r="J397" s="1" t="s">
        <v>204</v>
      </c>
      <c r="K397" s="1">
        <v>0</v>
      </c>
      <c r="AF397" s="1">
        <v>0</v>
      </c>
      <c r="BA397" s="14">
        <f>122.3-2.561-2.919-3.03-2.62</f>
        <v>111.17</v>
      </c>
      <c r="BI397" s="13">
        <f>(1.42*122.3-1.41*2.561-1.53*2.919-1.47*3.03-1.46*2.62)/BA397</f>
        <v>1.4150366105963839</v>
      </c>
      <c r="BJ397" s="1">
        <v>0.11</v>
      </c>
      <c r="BV397" s="1">
        <v>0</v>
      </c>
      <c r="CQ397" s="1">
        <v>0</v>
      </c>
      <c r="DL397" s="18" t="s">
        <v>96</v>
      </c>
      <c r="DM397" s="1" t="s">
        <v>96</v>
      </c>
      <c r="DN397" s="1">
        <f t="shared" si="73"/>
        <v>1.4150366105963839</v>
      </c>
      <c r="DO397" s="1">
        <f t="shared" si="74"/>
        <v>0.11</v>
      </c>
      <c r="DP397" s="1" t="s">
        <v>572</v>
      </c>
      <c r="DQ397" s="1" t="s">
        <v>2</v>
      </c>
      <c r="DR397" s="101">
        <f t="shared" si="75"/>
        <v>111.17</v>
      </c>
      <c r="DS397" s="100">
        <f t="shared" si="76"/>
        <v>1.4150366105963839</v>
      </c>
      <c r="DT397" s="102">
        <f t="shared" si="77"/>
        <v>1573.0962</v>
      </c>
      <c r="DV397" s="16">
        <f t="shared" si="78"/>
        <v>0</v>
      </c>
      <c r="DZ397" s="37" t="s">
        <v>2</v>
      </c>
      <c r="EA397" s="37"/>
      <c r="EM397" s="73"/>
      <c r="EN397" s="37"/>
      <c r="EO397" s="37"/>
      <c r="EP397" s="37"/>
      <c r="EQ397" s="37"/>
      <c r="ER397" s="37"/>
      <c r="ES397" s="37"/>
      <c r="ET397" s="37"/>
      <c r="EU397" s="37"/>
      <c r="EV397" s="37"/>
      <c r="EW397" s="37"/>
      <c r="EX397" s="37"/>
      <c r="EY397" s="37"/>
      <c r="EZ397" s="37"/>
      <c r="FA397" s="37"/>
      <c r="FB397" s="37"/>
      <c r="FC397" s="37"/>
      <c r="FD397" s="37"/>
      <c r="FE397" s="37"/>
      <c r="FF397" s="55"/>
      <c r="FG397" s="55"/>
      <c r="FH397" s="55"/>
      <c r="FI397" s="37"/>
      <c r="FJ397" s="55"/>
      <c r="FK397" s="55"/>
      <c r="FL397" s="45"/>
      <c r="FM397" s="37"/>
      <c r="FN397" s="37"/>
      <c r="FO397" s="37"/>
      <c r="FP397" s="55"/>
      <c r="FQ397" s="1" t="s">
        <v>2</v>
      </c>
      <c r="FR397" s="1" t="s">
        <v>31</v>
      </c>
      <c r="FS397" s="1" t="s">
        <v>506</v>
      </c>
      <c r="FT397" s="1" t="s">
        <v>506</v>
      </c>
      <c r="FV397" s="1" t="s">
        <v>2</v>
      </c>
    </row>
    <row r="398" spans="1:178" ht="16.25" customHeight="1" x14ac:dyDescent="0.2">
      <c r="A398" s="25" t="s">
        <v>190</v>
      </c>
      <c r="B398" s="1" t="s">
        <v>77</v>
      </c>
      <c r="C398" s="21" t="s">
        <v>1029</v>
      </c>
      <c r="D398" s="1" t="s">
        <v>69</v>
      </c>
      <c r="H398" s="1" t="s">
        <v>131</v>
      </c>
      <c r="J398" s="1" t="s">
        <v>204</v>
      </c>
      <c r="K398" s="1">
        <v>0</v>
      </c>
      <c r="AF398" s="1">
        <v>0</v>
      </c>
      <c r="BA398" s="1">
        <v>150</v>
      </c>
      <c r="BI398" s="1">
        <v>1.38</v>
      </c>
      <c r="BV398" s="1">
        <v>0</v>
      </c>
      <c r="CQ398" s="1">
        <v>0</v>
      </c>
      <c r="DL398" s="18" t="s">
        <v>163</v>
      </c>
      <c r="DN398" s="1">
        <f t="shared" si="73"/>
        <v>1.38</v>
      </c>
      <c r="DO398" s="1">
        <f t="shared" si="74"/>
        <v>0</v>
      </c>
      <c r="DP398" s="1" t="s">
        <v>468</v>
      </c>
      <c r="DQ398" s="1" t="s">
        <v>2</v>
      </c>
      <c r="DR398" s="16">
        <f t="shared" si="75"/>
        <v>150</v>
      </c>
      <c r="DS398" s="100">
        <f t="shared" si="76"/>
        <v>1.38</v>
      </c>
      <c r="DT398" s="102">
        <f t="shared" si="77"/>
        <v>2069.9999999999995</v>
      </c>
      <c r="DV398" s="16">
        <f t="shared" si="78"/>
        <v>0</v>
      </c>
      <c r="DZ398" s="37" t="s">
        <v>2</v>
      </c>
      <c r="EA398" s="37"/>
      <c r="EM398" s="73"/>
      <c r="EN398" s="37"/>
      <c r="EO398" s="37"/>
      <c r="EP398" s="37"/>
      <c r="EQ398" s="37"/>
      <c r="ER398" s="37"/>
      <c r="ES398" s="37"/>
      <c r="ET398" s="37"/>
      <c r="EU398" s="37"/>
      <c r="EV398" s="37"/>
      <c r="EW398" s="37"/>
      <c r="EX398" s="37"/>
      <c r="EY398" s="37"/>
      <c r="EZ398" s="37"/>
      <c r="FA398" s="37"/>
      <c r="FB398" s="37"/>
      <c r="FC398" s="37"/>
      <c r="FD398" s="37"/>
      <c r="FE398" s="37"/>
      <c r="FF398" s="55"/>
      <c r="FG398" s="55"/>
      <c r="FH398" s="55"/>
      <c r="FI398" s="37"/>
      <c r="FJ398" s="55"/>
      <c r="FK398" s="55"/>
      <c r="FL398" s="45"/>
      <c r="FM398" s="37"/>
      <c r="FN398" s="37"/>
      <c r="FO398" s="37"/>
      <c r="FP398" s="55"/>
      <c r="FQ398" s="1" t="s">
        <v>2</v>
      </c>
      <c r="FR398" s="1" t="s">
        <v>31</v>
      </c>
      <c r="FS398" s="1" t="s">
        <v>506</v>
      </c>
      <c r="FT398" s="1" t="s">
        <v>506</v>
      </c>
      <c r="FV398" s="1" t="s">
        <v>2</v>
      </c>
    </row>
    <row r="399" spans="1:178" ht="16.25" customHeight="1" x14ac:dyDescent="0.2">
      <c r="A399" s="18" t="s">
        <v>177</v>
      </c>
      <c r="B399" s="1" t="s">
        <v>130</v>
      </c>
      <c r="C399" s="15" t="s">
        <v>1059</v>
      </c>
      <c r="D399" s="1" t="s">
        <v>69</v>
      </c>
      <c r="H399" s="1" t="s">
        <v>131</v>
      </c>
      <c r="K399" s="1">
        <v>0</v>
      </c>
      <c r="AF399" s="1">
        <v>4.625</v>
      </c>
      <c r="AG399" s="1">
        <v>0.12</v>
      </c>
      <c r="AN399" s="1">
        <v>0.28999999999999998</v>
      </c>
      <c r="AO399" s="1">
        <v>0.02</v>
      </c>
      <c r="BA399" s="1">
        <v>5.4379999999999997</v>
      </c>
      <c r="BB399" s="1">
        <v>0.11</v>
      </c>
      <c r="BI399" s="1">
        <v>0.25</v>
      </c>
      <c r="BJ399" s="1">
        <v>0.02</v>
      </c>
      <c r="BV399" s="1">
        <v>0</v>
      </c>
      <c r="CQ399" s="1">
        <v>0</v>
      </c>
      <c r="DL399" s="18" t="s">
        <v>96</v>
      </c>
      <c r="DM399" s="1" t="s">
        <v>96</v>
      </c>
      <c r="DN399" s="1">
        <f t="shared" si="73"/>
        <v>0.26838417966809103</v>
      </c>
      <c r="DO399" s="1">
        <f t="shared" si="74"/>
        <v>0.02</v>
      </c>
      <c r="DP399" s="1" t="s">
        <v>1089</v>
      </c>
      <c r="DQ399" s="1" t="s">
        <v>2</v>
      </c>
      <c r="DR399" s="100">
        <f t="shared" si="75"/>
        <v>10.062999999999999</v>
      </c>
      <c r="DS399" s="100">
        <f t="shared" si="76"/>
        <v>0.26838417966809103</v>
      </c>
      <c r="DT399" s="101">
        <f t="shared" si="77"/>
        <v>27.007499999999997</v>
      </c>
      <c r="DV399" s="16">
        <f t="shared" si="78"/>
        <v>0</v>
      </c>
      <c r="DZ399" s="37" t="s">
        <v>2</v>
      </c>
      <c r="EA399" s="37" t="s">
        <v>130</v>
      </c>
      <c r="EM399" s="73" t="s">
        <v>130</v>
      </c>
      <c r="EN399" s="37"/>
      <c r="EO399" s="37"/>
      <c r="EP399" s="37"/>
      <c r="EQ399" s="37"/>
      <c r="ER399" s="37"/>
      <c r="ES399" s="37"/>
      <c r="ET399" s="37"/>
      <c r="EU399" s="37"/>
      <c r="EV399" s="37"/>
      <c r="EW399" s="37"/>
      <c r="EX399" s="37"/>
      <c r="EY399" s="37"/>
      <c r="EZ399" s="37"/>
      <c r="FA399" s="37"/>
      <c r="FB399" s="37"/>
      <c r="FC399" s="37"/>
      <c r="FD399" s="37"/>
      <c r="FE399" s="37"/>
      <c r="FF399" s="55"/>
      <c r="FG399" s="55"/>
      <c r="FH399" s="55"/>
      <c r="FI399" s="37"/>
      <c r="FJ399" s="55"/>
      <c r="FK399" s="55"/>
      <c r="FL399" s="45"/>
      <c r="FM399" s="37"/>
      <c r="FN399" s="37"/>
      <c r="FO399" s="37"/>
      <c r="FP399" s="55" t="s">
        <v>130</v>
      </c>
      <c r="FQ399" s="1" t="s">
        <v>2</v>
      </c>
      <c r="FR399" s="1" t="s">
        <v>113</v>
      </c>
      <c r="FS399" s="1" t="s">
        <v>129</v>
      </c>
      <c r="FV399" s="1" t="s">
        <v>2</v>
      </c>
    </row>
    <row r="400" spans="1:178" ht="16.25" customHeight="1" x14ac:dyDescent="0.2">
      <c r="A400" s="18" t="s">
        <v>177</v>
      </c>
      <c r="B400" s="1" t="s">
        <v>130</v>
      </c>
      <c r="C400" s="79" t="s">
        <v>312</v>
      </c>
      <c r="D400" s="1" t="s">
        <v>69</v>
      </c>
      <c r="G400" s="1" t="s">
        <v>72</v>
      </c>
      <c r="H400" s="1" t="s">
        <v>310</v>
      </c>
      <c r="K400" s="1">
        <v>0</v>
      </c>
      <c r="AF400" s="1">
        <v>0</v>
      </c>
      <c r="BA400" s="1">
        <v>2.698</v>
      </c>
      <c r="BB400" s="1">
        <v>0.69</v>
      </c>
      <c r="BI400" s="1">
        <v>0.83</v>
      </c>
      <c r="BJ400" s="1">
        <v>0.06</v>
      </c>
      <c r="BV400" s="1">
        <v>0</v>
      </c>
      <c r="CQ400" s="1">
        <v>0</v>
      </c>
      <c r="DL400" s="18" t="s">
        <v>163</v>
      </c>
      <c r="DM400" s="1" t="s">
        <v>163</v>
      </c>
      <c r="DN400" s="1">
        <f t="shared" si="73"/>
        <v>0.83</v>
      </c>
      <c r="DO400" s="1">
        <f t="shared" si="74"/>
        <v>0.06</v>
      </c>
      <c r="DP400" s="1" t="s">
        <v>1089</v>
      </c>
      <c r="DQ400" s="1" t="s">
        <v>2</v>
      </c>
      <c r="DR400" s="16">
        <f t="shared" si="75"/>
        <v>2.698</v>
      </c>
      <c r="DS400" s="16">
        <f t="shared" si="76"/>
        <v>0.83</v>
      </c>
      <c r="DT400" s="101">
        <f t="shared" si="77"/>
        <v>22.393399999999996</v>
      </c>
      <c r="DV400" s="16">
        <f t="shared" si="78"/>
        <v>0</v>
      </c>
      <c r="DZ400" s="37" t="s">
        <v>2</v>
      </c>
      <c r="EA400" s="37"/>
      <c r="EM400" s="73"/>
      <c r="EN400" s="37"/>
      <c r="EO400" s="37"/>
      <c r="EP400" s="37"/>
      <c r="EQ400" s="37"/>
      <c r="ER400" s="37"/>
      <c r="ES400" s="37"/>
      <c r="ET400" s="37"/>
      <c r="EU400" s="37"/>
      <c r="EV400" s="37"/>
      <c r="EW400" s="37"/>
      <c r="EX400" s="37"/>
      <c r="EY400" s="37"/>
      <c r="EZ400" s="37"/>
      <c r="FA400" s="37"/>
      <c r="FB400" s="37"/>
      <c r="FC400" s="37"/>
      <c r="FD400" s="37"/>
      <c r="FE400" s="37"/>
      <c r="FF400" s="55"/>
      <c r="FG400" s="55"/>
      <c r="FH400" s="55"/>
      <c r="FI400" s="37"/>
      <c r="FJ400" s="55"/>
      <c r="FK400" s="55"/>
      <c r="FL400" s="45"/>
      <c r="FM400" s="37"/>
      <c r="FN400" s="37"/>
      <c r="FO400" s="37"/>
      <c r="FP400" s="55"/>
      <c r="FQ400" s="1" t="s">
        <v>2</v>
      </c>
      <c r="FR400" s="1" t="s">
        <v>113</v>
      </c>
      <c r="FS400" s="1" t="s">
        <v>129</v>
      </c>
      <c r="FV400" s="1" t="s">
        <v>2</v>
      </c>
    </row>
    <row r="401" spans="1:178" ht="16.25" customHeight="1" x14ac:dyDescent="0.2">
      <c r="A401" s="18" t="s">
        <v>177</v>
      </c>
      <c r="B401" s="1" t="s">
        <v>130</v>
      </c>
      <c r="C401" s="79" t="s">
        <v>309</v>
      </c>
      <c r="D401" s="1" t="s">
        <v>69</v>
      </c>
      <c r="G401" s="1" t="s">
        <v>72</v>
      </c>
      <c r="H401" s="1" t="s">
        <v>310</v>
      </c>
      <c r="K401" s="1">
        <v>0</v>
      </c>
      <c r="AF401" s="1">
        <v>0</v>
      </c>
      <c r="BA401" s="1">
        <v>1.0129999999999999</v>
      </c>
      <c r="BB401" s="1">
        <v>0.48</v>
      </c>
      <c r="BI401" s="1">
        <v>1.0900000000000001</v>
      </c>
      <c r="BJ401" s="1">
        <v>0.04</v>
      </c>
      <c r="BV401" s="1">
        <v>0</v>
      </c>
      <c r="CQ401" s="1">
        <v>0</v>
      </c>
      <c r="DL401" s="18" t="s">
        <v>96</v>
      </c>
      <c r="DM401" s="1" t="s">
        <v>96</v>
      </c>
      <c r="DN401" s="1">
        <f t="shared" si="73"/>
        <v>1.0900000000000001</v>
      </c>
      <c r="DO401" s="1">
        <f t="shared" si="74"/>
        <v>0.04</v>
      </c>
      <c r="DP401" s="1" t="s">
        <v>1089</v>
      </c>
      <c r="DQ401" s="1" t="s">
        <v>2</v>
      </c>
      <c r="DR401" s="16">
        <f t="shared" si="75"/>
        <v>1.0129999999999999</v>
      </c>
      <c r="DS401" s="16">
        <f t="shared" si="76"/>
        <v>1.0900000000000001</v>
      </c>
      <c r="DT401" s="101">
        <f t="shared" si="77"/>
        <v>11.041699999999999</v>
      </c>
      <c r="DV401" s="16">
        <f t="shared" si="78"/>
        <v>0</v>
      </c>
      <c r="DZ401" s="37" t="s">
        <v>2</v>
      </c>
      <c r="EA401" s="37"/>
      <c r="EM401" s="73"/>
      <c r="EN401" s="37"/>
      <c r="EO401" s="37"/>
      <c r="EP401" s="37"/>
      <c r="EQ401" s="37"/>
      <c r="ER401" s="37"/>
      <c r="ES401" s="37"/>
      <c r="ET401" s="37"/>
      <c r="EU401" s="37"/>
      <c r="EV401" s="37"/>
      <c r="EW401" s="37"/>
      <c r="EX401" s="37"/>
      <c r="EY401" s="37"/>
      <c r="EZ401" s="37"/>
      <c r="FA401" s="37"/>
      <c r="FB401" s="37"/>
      <c r="FC401" s="37"/>
      <c r="FD401" s="37"/>
      <c r="FE401" s="37"/>
      <c r="FF401" s="55"/>
      <c r="FG401" s="55"/>
      <c r="FH401" s="55"/>
      <c r="FI401" s="37"/>
      <c r="FJ401" s="55"/>
      <c r="FK401" s="55"/>
      <c r="FL401" s="45"/>
      <c r="FM401" s="37"/>
      <c r="FN401" s="37"/>
      <c r="FO401" s="37"/>
      <c r="FP401" s="55"/>
      <c r="FQ401" s="1" t="s">
        <v>2</v>
      </c>
      <c r="FR401" s="1" t="s">
        <v>113</v>
      </c>
      <c r="FS401" s="1" t="s">
        <v>129</v>
      </c>
      <c r="FV401" s="1" t="s">
        <v>2</v>
      </c>
    </row>
    <row r="402" spans="1:178" ht="16.25" customHeight="1" x14ac:dyDescent="0.2">
      <c r="A402" s="18" t="s">
        <v>177</v>
      </c>
      <c r="B402" s="1" t="s">
        <v>130</v>
      </c>
      <c r="C402" s="79" t="s">
        <v>481</v>
      </c>
      <c r="D402" s="1" t="s">
        <v>69</v>
      </c>
      <c r="H402" s="1" t="s">
        <v>482</v>
      </c>
      <c r="K402" s="1">
        <v>0</v>
      </c>
      <c r="AF402" s="1">
        <v>0</v>
      </c>
      <c r="BA402" s="1">
        <v>0.31</v>
      </c>
      <c r="BB402" s="1">
        <v>0.44</v>
      </c>
      <c r="BI402" s="13">
        <v>1.2</v>
      </c>
      <c r="BJ402" s="1">
        <v>3.5000000000000003E-2</v>
      </c>
      <c r="BV402" s="1">
        <v>0</v>
      </c>
      <c r="CQ402" s="1">
        <v>0</v>
      </c>
      <c r="DL402" s="18" t="s">
        <v>163</v>
      </c>
      <c r="DM402" s="1" t="s">
        <v>163</v>
      </c>
      <c r="DN402" s="1">
        <f t="shared" si="73"/>
        <v>1.2</v>
      </c>
      <c r="DO402" s="1">
        <f t="shared" si="74"/>
        <v>3.5000000000000003E-2</v>
      </c>
      <c r="DP402" s="1" t="s">
        <v>983</v>
      </c>
      <c r="DQ402" s="1" t="s">
        <v>2</v>
      </c>
      <c r="DR402" s="16">
        <f t="shared" si="75"/>
        <v>0.31</v>
      </c>
      <c r="DS402" s="16">
        <f t="shared" si="76"/>
        <v>1.2</v>
      </c>
      <c r="DT402" s="101">
        <f t="shared" si="77"/>
        <v>3.72</v>
      </c>
      <c r="DV402" s="16">
        <f t="shared" si="78"/>
        <v>0</v>
      </c>
      <c r="DZ402" s="37" t="s">
        <v>2</v>
      </c>
      <c r="EA402" s="37"/>
      <c r="EM402" s="73"/>
      <c r="EN402" s="37"/>
      <c r="EO402" s="37"/>
      <c r="EP402" s="37"/>
      <c r="EQ402" s="37"/>
      <c r="ER402" s="37"/>
      <c r="ES402" s="37"/>
      <c r="ET402" s="37"/>
      <c r="EU402" s="37"/>
      <c r="EV402" s="37"/>
      <c r="EW402" s="37"/>
      <c r="EX402" s="37"/>
      <c r="EY402" s="37"/>
      <c r="EZ402" s="37"/>
      <c r="FA402" s="37"/>
      <c r="FB402" s="37"/>
      <c r="FC402" s="37"/>
      <c r="FD402" s="37"/>
      <c r="FE402" s="37"/>
      <c r="FF402" s="55"/>
      <c r="FG402" s="55"/>
      <c r="FH402" s="55"/>
      <c r="FI402" s="37"/>
      <c r="FJ402" s="55"/>
      <c r="FK402" s="55"/>
      <c r="FL402" s="45"/>
      <c r="FM402" s="37"/>
      <c r="FN402" s="37"/>
      <c r="FO402" s="37"/>
      <c r="FP402" s="55"/>
      <c r="FQ402" s="1" t="s">
        <v>2</v>
      </c>
      <c r="FR402" s="1" t="s">
        <v>113</v>
      </c>
      <c r="FS402" s="1" t="s">
        <v>129</v>
      </c>
      <c r="FV402" s="1" t="s">
        <v>2</v>
      </c>
    </row>
    <row r="403" spans="1:178" ht="16.25" customHeight="1" x14ac:dyDescent="0.2">
      <c r="A403" s="18" t="s">
        <v>177</v>
      </c>
      <c r="B403" s="1" t="s">
        <v>130</v>
      </c>
      <c r="C403" s="16" t="s">
        <v>739</v>
      </c>
      <c r="D403" s="1" t="s">
        <v>69</v>
      </c>
      <c r="H403" s="1" t="s">
        <v>740</v>
      </c>
      <c r="K403" s="1">
        <v>0</v>
      </c>
      <c r="AF403" s="1">
        <v>0</v>
      </c>
      <c r="BA403" s="1">
        <v>2.6</v>
      </c>
      <c r="BB403" s="1">
        <v>0.47</v>
      </c>
      <c r="BI403" s="1">
        <v>0.75</v>
      </c>
      <c r="BJ403" s="1">
        <v>0.06</v>
      </c>
      <c r="BV403" s="1">
        <v>0</v>
      </c>
      <c r="CQ403" s="1">
        <v>0</v>
      </c>
      <c r="DL403" s="18" t="s">
        <v>163</v>
      </c>
      <c r="DM403" s="1" t="s">
        <v>163</v>
      </c>
      <c r="DN403" s="1">
        <f t="shared" si="73"/>
        <v>0.75</v>
      </c>
      <c r="DO403" s="1">
        <f t="shared" si="74"/>
        <v>0.06</v>
      </c>
      <c r="DP403" s="1" t="s">
        <v>983</v>
      </c>
      <c r="DQ403" s="1" t="s">
        <v>2</v>
      </c>
      <c r="DR403" s="16">
        <f t="shared" si="75"/>
        <v>2.6</v>
      </c>
      <c r="DS403" s="16">
        <f t="shared" si="76"/>
        <v>0.75</v>
      </c>
      <c r="DT403" s="101">
        <f t="shared" si="77"/>
        <v>19.5</v>
      </c>
      <c r="DV403" s="16">
        <f t="shared" si="78"/>
        <v>0</v>
      </c>
      <c r="DZ403" s="37" t="s">
        <v>2</v>
      </c>
      <c r="EA403" s="37"/>
      <c r="EM403" s="73"/>
      <c r="EN403" s="37"/>
      <c r="EO403" s="37"/>
      <c r="EP403" s="37"/>
      <c r="EQ403" s="37"/>
      <c r="ER403" s="37"/>
      <c r="ES403" s="37"/>
      <c r="ET403" s="37"/>
      <c r="EU403" s="37"/>
      <c r="EV403" s="37"/>
      <c r="EW403" s="37"/>
      <c r="EX403" s="37"/>
      <c r="EY403" s="37"/>
      <c r="EZ403" s="37"/>
      <c r="FA403" s="37"/>
      <c r="FB403" s="37"/>
      <c r="FC403" s="37"/>
      <c r="FD403" s="37"/>
      <c r="FE403" s="37"/>
      <c r="FF403" s="55"/>
      <c r="FG403" s="55"/>
      <c r="FH403" s="55"/>
      <c r="FI403" s="37"/>
      <c r="FJ403" s="55"/>
      <c r="FK403" s="55"/>
      <c r="FL403" s="45"/>
      <c r="FM403" s="37"/>
      <c r="FN403" s="37"/>
      <c r="FO403" s="37"/>
      <c r="FP403" s="55"/>
      <c r="FQ403" s="1" t="s">
        <v>2</v>
      </c>
      <c r="FR403" s="1" t="s">
        <v>113</v>
      </c>
      <c r="FS403" s="1" t="s">
        <v>129</v>
      </c>
      <c r="FV403" s="1" t="s">
        <v>2</v>
      </c>
    </row>
    <row r="404" spans="1:178" ht="16.25" customHeight="1" x14ac:dyDescent="0.2">
      <c r="A404" s="18" t="s">
        <v>177</v>
      </c>
      <c r="B404" s="1" t="s">
        <v>130</v>
      </c>
      <c r="C404" s="79" t="s">
        <v>605</v>
      </c>
      <c r="D404" s="1" t="s">
        <v>64</v>
      </c>
      <c r="H404" s="1" t="s">
        <v>466</v>
      </c>
      <c r="K404" s="1">
        <v>0</v>
      </c>
      <c r="AF404" s="1">
        <v>0</v>
      </c>
      <c r="BA404" s="1">
        <v>9.15</v>
      </c>
      <c r="BB404" s="1">
        <v>0.09</v>
      </c>
      <c r="BI404" s="1">
        <v>0.36</v>
      </c>
      <c r="BJ404" s="1">
        <v>0.01</v>
      </c>
      <c r="BV404" s="1">
        <v>0</v>
      </c>
      <c r="CQ404" s="1">
        <v>0</v>
      </c>
      <c r="DL404" s="18" t="s">
        <v>163</v>
      </c>
      <c r="DM404" s="1" t="s">
        <v>163</v>
      </c>
      <c r="DN404" s="1">
        <f t="shared" si="73"/>
        <v>0.36</v>
      </c>
      <c r="DO404" s="1">
        <f t="shared" si="74"/>
        <v>0.01</v>
      </c>
      <c r="DP404" s="1" t="s">
        <v>821</v>
      </c>
      <c r="DQ404" s="1" t="s">
        <v>2</v>
      </c>
      <c r="DR404" s="16">
        <f t="shared" si="75"/>
        <v>9.15</v>
      </c>
      <c r="DS404" s="16">
        <f t="shared" si="76"/>
        <v>0.36</v>
      </c>
      <c r="DT404" s="101">
        <f t="shared" si="77"/>
        <v>32.94</v>
      </c>
      <c r="DV404" s="16">
        <f t="shared" si="78"/>
        <v>0</v>
      </c>
      <c r="DZ404" s="37" t="s">
        <v>2</v>
      </c>
      <c r="EA404" s="37"/>
      <c r="EM404" s="73"/>
      <c r="EN404" s="37"/>
      <c r="EO404" s="37"/>
      <c r="EP404" s="37"/>
      <c r="EQ404" s="37"/>
      <c r="ER404" s="37"/>
      <c r="ES404" s="37"/>
      <c r="ET404" s="37"/>
      <c r="EU404" s="37"/>
      <c r="EV404" s="37"/>
      <c r="EW404" s="37"/>
      <c r="EX404" s="37"/>
      <c r="EY404" s="37"/>
      <c r="EZ404" s="37"/>
      <c r="FA404" s="37"/>
      <c r="FB404" s="37"/>
      <c r="FC404" s="37"/>
      <c r="FD404" s="37"/>
      <c r="FE404" s="37"/>
      <c r="FF404" s="55"/>
      <c r="FG404" s="55"/>
      <c r="FH404" s="55"/>
      <c r="FI404" s="37"/>
      <c r="FJ404" s="55"/>
      <c r="FK404" s="55"/>
      <c r="FL404" s="45"/>
      <c r="FM404" s="37"/>
      <c r="FN404" s="37"/>
      <c r="FO404" s="37"/>
      <c r="FP404" s="55"/>
      <c r="FQ404" s="1" t="s">
        <v>2</v>
      </c>
      <c r="FR404" s="1" t="s">
        <v>113</v>
      </c>
      <c r="FS404" s="1" t="s">
        <v>129</v>
      </c>
      <c r="FV404" s="1" t="s">
        <v>2</v>
      </c>
    </row>
    <row r="405" spans="1:178" ht="16.25" customHeight="1" x14ac:dyDescent="0.2">
      <c r="A405" s="25" t="s">
        <v>190</v>
      </c>
      <c r="B405" s="1" t="s">
        <v>97</v>
      </c>
      <c r="C405" s="80" t="s">
        <v>956</v>
      </c>
      <c r="D405" s="1" t="s">
        <v>69</v>
      </c>
      <c r="H405" s="1" t="s">
        <v>131</v>
      </c>
      <c r="K405" s="1">
        <v>0</v>
      </c>
      <c r="AF405" s="1">
        <v>0</v>
      </c>
      <c r="BA405" s="1">
        <v>150</v>
      </c>
      <c r="BI405" s="1">
        <v>0.7</v>
      </c>
      <c r="BV405" s="1">
        <v>0</v>
      </c>
      <c r="CQ405" s="1">
        <v>0</v>
      </c>
      <c r="DL405" s="18" t="s">
        <v>163</v>
      </c>
      <c r="DN405" s="1">
        <f t="shared" si="73"/>
        <v>0.7</v>
      </c>
      <c r="DO405" s="1">
        <f t="shared" si="74"/>
        <v>0</v>
      </c>
      <c r="DP405" s="1" t="s">
        <v>905</v>
      </c>
      <c r="DQ405" s="1" t="s">
        <v>2</v>
      </c>
      <c r="DR405" s="16">
        <f t="shared" si="75"/>
        <v>150</v>
      </c>
      <c r="DS405" s="16">
        <f t="shared" si="76"/>
        <v>0.7</v>
      </c>
      <c r="DT405" s="102">
        <f t="shared" si="77"/>
        <v>1050</v>
      </c>
      <c r="DV405" s="16">
        <f t="shared" si="78"/>
        <v>0</v>
      </c>
      <c r="DZ405" s="37" t="s">
        <v>2</v>
      </c>
      <c r="EA405" s="37" t="s">
        <v>97</v>
      </c>
      <c r="EM405" s="73" t="s">
        <v>97</v>
      </c>
      <c r="EN405" s="37"/>
      <c r="EO405" s="37"/>
      <c r="EP405" s="37"/>
      <c r="EQ405" s="37"/>
      <c r="ER405" s="37"/>
      <c r="ES405" s="37"/>
      <c r="ET405" s="37"/>
      <c r="EU405" s="37"/>
      <c r="EV405" s="37"/>
      <c r="EW405" s="37"/>
      <c r="EX405" s="37"/>
      <c r="EY405" s="37"/>
      <c r="EZ405" s="37"/>
      <c r="FA405" s="37"/>
      <c r="FB405" s="37"/>
      <c r="FC405" s="37"/>
      <c r="FD405" s="37"/>
      <c r="FE405" s="37"/>
      <c r="FF405" s="55"/>
      <c r="FG405" s="55"/>
      <c r="FH405" s="55"/>
      <c r="FI405" s="37"/>
      <c r="FJ405" s="55"/>
      <c r="FK405" s="55"/>
      <c r="FL405" s="45"/>
      <c r="FM405" s="37"/>
      <c r="FN405" s="37"/>
      <c r="FO405" s="37"/>
      <c r="FP405" s="55" t="s">
        <v>97</v>
      </c>
      <c r="FQ405" s="1" t="s">
        <v>2</v>
      </c>
      <c r="FR405" s="1" t="s">
        <v>31</v>
      </c>
      <c r="FS405" s="1" t="s">
        <v>193</v>
      </c>
      <c r="FT405" s="1" t="s">
        <v>193</v>
      </c>
      <c r="FV405" s="1" t="s">
        <v>2</v>
      </c>
    </row>
    <row r="406" spans="1:178" ht="16.25" customHeight="1" x14ac:dyDescent="0.2">
      <c r="A406" s="25" t="s">
        <v>190</v>
      </c>
      <c r="B406" s="1" t="s">
        <v>75</v>
      </c>
      <c r="C406" s="16" t="s">
        <v>957</v>
      </c>
      <c r="D406" s="1" t="s">
        <v>71</v>
      </c>
      <c r="H406" s="1" t="s">
        <v>940</v>
      </c>
      <c r="J406" s="1" t="s">
        <v>187</v>
      </c>
      <c r="K406" s="1">
        <v>0</v>
      </c>
      <c r="AF406" s="1">
        <v>0</v>
      </c>
      <c r="BA406" s="1">
        <v>9.1300000000000008</v>
      </c>
      <c r="BI406" s="1">
        <v>1.55</v>
      </c>
      <c r="BJ406" s="1">
        <v>0.08</v>
      </c>
      <c r="BV406" s="1">
        <v>0</v>
      </c>
      <c r="CQ406" s="1">
        <v>0</v>
      </c>
      <c r="DL406" s="18" t="s">
        <v>96</v>
      </c>
      <c r="DN406" s="1">
        <f t="shared" si="73"/>
        <v>1.55</v>
      </c>
      <c r="DO406" s="1">
        <f t="shared" si="74"/>
        <v>0.08</v>
      </c>
      <c r="DP406" s="1" t="s">
        <v>156</v>
      </c>
      <c r="DQ406" s="1" t="s">
        <v>2</v>
      </c>
      <c r="DR406" s="16">
        <f t="shared" si="75"/>
        <v>9.1300000000000008</v>
      </c>
      <c r="DS406" s="100">
        <f t="shared" si="76"/>
        <v>1.55</v>
      </c>
      <c r="DT406" s="101">
        <f t="shared" si="77"/>
        <v>141.51499999999999</v>
      </c>
      <c r="DV406" s="16">
        <f t="shared" si="78"/>
        <v>0</v>
      </c>
      <c r="DZ406" s="37" t="s">
        <v>2</v>
      </c>
      <c r="EA406" s="37" t="s">
        <v>75</v>
      </c>
      <c r="EM406" s="73" t="s">
        <v>75</v>
      </c>
      <c r="EN406" s="37"/>
      <c r="EO406" s="37"/>
      <c r="EP406" s="37"/>
      <c r="EQ406" s="37"/>
      <c r="ER406" s="37"/>
      <c r="ES406" s="37"/>
      <c r="ET406" s="37"/>
      <c r="EU406" s="37"/>
      <c r="EV406" s="37"/>
      <c r="EW406" s="37"/>
      <c r="EX406" s="37"/>
      <c r="EY406" s="37"/>
      <c r="EZ406" s="37"/>
      <c r="FA406" s="37"/>
      <c r="FB406" s="37"/>
      <c r="FC406" s="37"/>
      <c r="FD406" s="37"/>
      <c r="FE406" s="37"/>
      <c r="FF406" s="55"/>
      <c r="FG406" s="55"/>
      <c r="FH406" s="55"/>
      <c r="FI406" s="37"/>
      <c r="FJ406" s="55"/>
      <c r="FK406" s="55"/>
      <c r="FL406" s="45"/>
      <c r="FM406" s="37"/>
      <c r="FN406" s="37"/>
      <c r="FO406" s="37"/>
      <c r="FP406" s="55" t="s">
        <v>75</v>
      </c>
      <c r="FQ406" s="1" t="s">
        <v>2</v>
      </c>
      <c r="FR406" s="1" t="s">
        <v>31</v>
      </c>
      <c r="FS406" s="1" t="s">
        <v>500</v>
      </c>
      <c r="FT406" s="1" t="s">
        <v>469</v>
      </c>
      <c r="FV406" s="1" t="s">
        <v>2</v>
      </c>
    </row>
    <row r="407" spans="1:178" ht="16.25" customHeight="1" x14ac:dyDescent="0.2">
      <c r="A407" s="25" t="s">
        <v>190</v>
      </c>
      <c r="B407" s="1" t="s">
        <v>75</v>
      </c>
      <c r="C407" s="16" t="s">
        <v>958</v>
      </c>
      <c r="D407" s="1" t="s">
        <v>69</v>
      </c>
      <c r="H407" s="1" t="s">
        <v>940</v>
      </c>
      <c r="J407" s="1" t="s">
        <v>187</v>
      </c>
      <c r="K407" s="1">
        <v>0</v>
      </c>
      <c r="AF407" s="1">
        <v>0</v>
      </c>
      <c r="BA407" s="1">
        <v>43</v>
      </c>
      <c r="BI407" s="1">
        <v>0.8</v>
      </c>
      <c r="BV407" s="1">
        <v>0</v>
      </c>
      <c r="CQ407" s="1">
        <v>0</v>
      </c>
      <c r="DL407" s="18" t="s">
        <v>96</v>
      </c>
      <c r="DN407" s="1">
        <f t="shared" si="73"/>
        <v>0.79999999999999993</v>
      </c>
      <c r="DO407" s="1">
        <f t="shared" si="74"/>
        <v>0</v>
      </c>
      <c r="DP407" s="1" t="s">
        <v>156</v>
      </c>
      <c r="DQ407" s="1" t="s">
        <v>2</v>
      </c>
      <c r="DR407" s="16">
        <f t="shared" si="75"/>
        <v>43</v>
      </c>
      <c r="DS407" s="100">
        <f t="shared" si="76"/>
        <v>0.79999999999999993</v>
      </c>
      <c r="DT407" s="101">
        <f t="shared" si="77"/>
        <v>344</v>
      </c>
      <c r="DV407" s="16">
        <f t="shared" si="78"/>
        <v>0</v>
      </c>
      <c r="DZ407" s="37" t="s">
        <v>2</v>
      </c>
      <c r="EA407" s="37"/>
      <c r="EM407" s="73"/>
      <c r="EN407" s="37"/>
      <c r="EO407" s="37"/>
      <c r="EP407" s="37"/>
      <c r="EQ407" s="37"/>
      <c r="ER407" s="37"/>
      <c r="ES407" s="37"/>
      <c r="ET407" s="37"/>
      <c r="EU407" s="37"/>
      <c r="EV407" s="37"/>
      <c r="EW407" s="37"/>
      <c r="EX407" s="37"/>
      <c r="EY407" s="37"/>
      <c r="EZ407" s="37"/>
      <c r="FA407" s="37"/>
      <c r="FB407" s="37"/>
      <c r="FC407" s="37"/>
      <c r="FD407" s="37"/>
      <c r="FE407" s="37"/>
      <c r="FF407" s="55"/>
      <c r="FG407" s="55"/>
      <c r="FH407" s="55"/>
      <c r="FI407" s="37"/>
      <c r="FJ407" s="55"/>
      <c r="FK407" s="55"/>
      <c r="FL407" s="45"/>
      <c r="FM407" s="37"/>
      <c r="FN407" s="37"/>
      <c r="FO407" s="37"/>
      <c r="FP407" s="55"/>
      <c r="FQ407" s="1" t="s">
        <v>2</v>
      </c>
      <c r="FR407" s="1" t="s">
        <v>31</v>
      </c>
      <c r="FS407" s="1" t="s">
        <v>500</v>
      </c>
      <c r="FT407" s="1" t="s">
        <v>469</v>
      </c>
      <c r="FV407" s="1" t="s">
        <v>2</v>
      </c>
    </row>
    <row r="408" spans="1:178" ht="16.25" customHeight="1" x14ac:dyDescent="0.2">
      <c r="A408" s="25" t="s">
        <v>190</v>
      </c>
      <c r="B408" s="1" t="s">
        <v>75</v>
      </c>
      <c r="C408" s="16" t="s">
        <v>959</v>
      </c>
      <c r="D408" s="1" t="s">
        <v>69</v>
      </c>
      <c r="H408" s="1" t="s">
        <v>940</v>
      </c>
      <c r="J408" s="1" t="s">
        <v>187</v>
      </c>
      <c r="K408" s="1">
        <v>0</v>
      </c>
      <c r="AF408" s="13">
        <f>7.617+9.108</f>
        <v>16.725000000000001</v>
      </c>
      <c r="AN408" s="13">
        <f>(1.28*7.617+1.06*9.108)/AF408</f>
        <v>1.1601937219730942</v>
      </c>
      <c r="AV408" s="13">
        <f>(12.43*7.617+40.46*9.108)/AF408</f>
        <v>27.694408968609864</v>
      </c>
      <c r="AZ408" s="13">
        <f>100*((11.55+13.965)-(7.617+9.108))/(11.55+13.965)</f>
        <v>34.450323339212225</v>
      </c>
      <c r="BA408" s="13">
        <f>1.879+0.933</f>
        <v>2.8120000000000003</v>
      </c>
      <c r="BI408" s="13">
        <f>(1.24*1.879+1.13*0.933)/BA408</f>
        <v>1.2035028449502132</v>
      </c>
      <c r="BQ408" s="13">
        <f>(12.15*1.879+37.74*0.933)/BA408</f>
        <v>20.640565433854906</v>
      </c>
      <c r="BU408" s="13">
        <f>100*((2.891+1.436)-(1.879+0.933))/(2.891+1.436)</f>
        <v>35.012710885139811</v>
      </c>
      <c r="BV408" s="1">
        <v>0</v>
      </c>
      <c r="CQ408" s="13">
        <f>0.938+2.02</f>
        <v>2.9580000000000002</v>
      </c>
      <c r="CY408" s="13">
        <f>(1.5*0.938+1.09*2.02)/CQ408</f>
        <v>1.2200135226504394</v>
      </c>
      <c r="DG408" s="13">
        <f>(12.9*0.938+41.62*2.02)/CQ408</f>
        <v>32.512711291413119</v>
      </c>
      <c r="DK408" s="13">
        <f>100*((1.437+3.072)-(0.938+2.02))/(1.437+3.072)</f>
        <v>34.397870924817035</v>
      </c>
      <c r="DL408" s="18" t="s">
        <v>96</v>
      </c>
      <c r="DN408" s="1">
        <f t="shared" si="73"/>
        <v>1.1664272918052925</v>
      </c>
      <c r="DO408" s="1">
        <f t="shared" si="74"/>
        <v>0</v>
      </c>
      <c r="DP408" s="1" t="s">
        <v>67</v>
      </c>
      <c r="DQ408" s="1" t="s">
        <v>2</v>
      </c>
      <c r="DR408" s="16">
        <f t="shared" si="75"/>
        <v>19.537000000000003</v>
      </c>
      <c r="DS408" s="100">
        <f t="shared" si="76"/>
        <v>1.1664272918052925</v>
      </c>
      <c r="DT408" s="101">
        <f t="shared" si="77"/>
        <v>227.88490000000002</v>
      </c>
      <c r="DV408" s="16">
        <f t="shared" si="78"/>
        <v>2.9580000000000002</v>
      </c>
      <c r="DW408" s="100">
        <f>(BV408*CD408+CQ408*CY408)/DV408</f>
        <v>1.2200135226504394</v>
      </c>
      <c r="DX408" s="101">
        <f>1000*DV408*DW408/100</f>
        <v>36.087999999999994</v>
      </c>
      <c r="DZ408" s="37" t="s">
        <v>2</v>
      </c>
      <c r="EA408" s="37"/>
      <c r="EM408" s="73"/>
      <c r="EN408" s="37"/>
      <c r="EO408" s="37"/>
      <c r="EP408" s="37"/>
      <c r="EQ408" s="37"/>
      <c r="ER408" s="37"/>
      <c r="ES408" s="37"/>
      <c r="ET408" s="37"/>
      <c r="EU408" s="37"/>
      <c r="EV408" s="37"/>
      <c r="EW408" s="37"/>
      <c r="EX408" s="37"/>
      <c r="EY408" s="37"/>
      <c r="EZ408" s="37"/>
      <c r="FA408" s="37"/>
      <c r="FB408" s="37"/>
      <c r="FC408" s="37"/>
      <c r="FD408" s="37"/>
      <c r="FE408" s="37"/>
      <c r="FF408" s="55"/>
      <c r="FG408" s="55"/>
      <c r="FH408" s="55"/>
      <c r="FI408" s="37"/>
      <c r="FJ408" s="55"/>
      <c r="FK408" s="55"/>
      <c r="FL408" s="45"/>
      <c r="FM408" s="37"/>
      <c r="FN408" s="37"/>
      <c r="FO408" s="37"/>
      <c r="FP408" s="55"/>
      <c r="FQ408" s="1" t="s">
        <v>2</v>
      </c>
      <c r="FR408" s="1" t="s">
        <v>31</v>
      </c>
      <c r="FS408" s="1" t="s">
        <v>500</v>
      </c>
      <c r="FT408" s="1" t="s">
        <v>469</v>
      </c>
      <c r="FV408" s="1" t="s">
        <v>2</v>
      </c>
    </row>
    <row r="409" spans="1:178" ht="16.25" customHeight="1" x14ac:dyDescent="0.2">
      <c r="A409" s="25" t="s">
        <v>190</v>
      </c>
      <c r="B409" s="1" t="s">
        <v>75</v>
      </c>
      <c r="C409" s="16" t="s">
        <v>960</v>
      </c>
      <c r="D409" s="1" t="s">
        <v>69</v>
      </c>
      <c r="H409" s="1" t="s">
        <v>940</v>
      </c>
      <c r="J409" s="1" t="s">
        <v>187</v>
      </c>
      <c r="K409" s="1">
        <v>0</v>
      </c>
      <c r="AF409" s="1">
        <v>9.0670000000000002</v>
      </c>
      <c r="AN409" s="1">
        <v>1.07</v>
      </c>
      <c r="AV409" s="14">
        <f>100*3.8/9.067</f>
        <v>41.910223888827616</v>
      </c>
      <c r="BA409" s="1">
        <v>0</v>
      </c>
      <c r="BV409" s="1">
        <v>0</v>
      </c>
      <c r="CQ409" s="1">
        <v>0</v>
      </c>
      <c r="DL409" s="18" t="s">
        <v>96</v>
      </c>
      <c r="DN409" s="1">
        <f t="shared" si="73"/>
        <v>1.07</v>
      </c>
      <c r="DO409" s="1">
        <f t="shared" si="74"/>
        <v>0</v>
      </c>
      <c r="DP409" s="1" t="s">
        <v>154</v>
      </c>
      <c r="DQ409" s="1" t="s">
        <v>2</v>
      </c>
      <c r="DR409" s="16">
        <f t="shared" si="75"/>
        <v>9.0670000000000002</v>
      </c>
      <c r="DS409" s="100">
        <f t="shared" si="76"/>
        <v>1.07</v>
      </c>
      <c r="DT409" s="101">
        <f t="shared" si="77"/>
        <v>97.016900000000007</v>
      </c>
      <c r="DV409" s="16">
        <f t="shared" si="78"/>
        <v>0</v>
      </c>
      <c r="DZ409" s="37" t="s">
        <v>2</v>
      </c>
      <c r="EA409" s="37"/>
      <c r="EM409" s="73"/>
      <c r="EN409" s="37"/>
      <c r="EO409" s="37"/>
      <c r="EP409" s="37"/>
      <c r="EQ409" s="37"/>
      <c r="ER409" s="37"/>
      <c r="ES409" s="37"/>
      <c r="ET409" s="37"/>
      <c r="EU409" s="37"/>
      <c r="EV409" s="37"/>
      <c r="EW409" s="37"/>
      <c r="EX409" s="37"/>
      <c r="EY409" s="37"/>
      <c r="EZ409" s="37"/>
      <c r="FA409" s="37"/>
      <c r="FB409" s="37"/>
      <c r="FC409" s="37"/>
      <c r="FD409" s="37"/>
      <c r="FE409" s="37"/>
      <c r="FF409" s="55"/>
      <c r="FG409" s="55"/>
      <c r="FH409" s="55"/>
      <c r="FI409" s="37"/>
      <c r="FJ409" s="55"/>
      <c r="FK409" s="55"/>
      <c r="FL409" s="45"/>
      <c r="FM409" s="37"/>
      <c r="FN409" s="37"/>
      <c r="FO409" s="37"/>
      <c r="FP409" s="55"/>
      <c r="FQ409" s="1" t="s">
        <v>2</v>
      </c>
      <c r="FR409" s="1" t="s">
        <v>31</v>
      </c>
      <c r="FS409" s="1" t="s">
        <v>500</v>
      </c>
      <c r="FT409" s="1" t="s">
        <v>469</v>
      </c>
      <c r="FV409" s="1" t="s">
        <v>2</v>
      </c>
    </row>
    <row r="410" spans="1:178" ht="16.25" customHeight="1" x14ac:dyDescent="0.2">
      <c r="A410" s="25" t="s">
        <v>190</v>
      </c>
      <c r="B410" s="1" t="s">
        <v>75</v>
      </c>
      <c r="C410" s="16" t="s">
        <v>961</v>
      </c>
      <c r="D410" s="1" t="s">
        <v>69</v>
      </c>
      <c r="H410" s="1" t="s">
        <v>940</v>
      </c>
      <c r="J410" s="1" t="s">
        <v>505</v>
      </c>
      <c r="K410" s="1">
        <v>0</v>
      </c>
      <c r="AF410" s="13">
        <f>15.685+36.073</f>
        <v>51.758000000000003</v>
      </c>
      <c r="AN410" s="13">
        <f>(1.62*15.685+1.11*36.073)/AF410</f>
        <v>1.2645529193554621</v>
      </c>
      <c r="AV410" s="13">
        <f>(13.5*15.685+35.9*36.073)/AF410</f>
        <v>29.11179334595618</v>
      </c>
      <c r="AZ410" s="13">
        <f>100*((24.959+51.861)-(15.685+36.073))/(24.959+51.861)</f>
        <v>32.624316584222846</v>
      </c>
      <c r="BA410" s="13">
        <f>9.566+0.039</f>
        <v>9.6050000000000004</v>
      </c>
      <c r="BI410" s="13">
        <f>(1.64*9.566+1.26*0.039)/BA410</f>
        <v>1.6384570536179073</v>
      </c>
      <c r="BQ410" s="13">
        <f>(11.97*9.566+38.57*0.039)/BA410</f>
        <v>12.078006246746488</v>
      </c>
      <c r="BU410" s="13">
        <f>100*((15.259+0.056)-(9.566+0.039))/(15.259+0.056)</f>
        <v>37.283708782239628</v>
      </c>
      <c r="BV410" s="1">
        <v>0</v>
      </c>
      <c r="CQ410" s="13">
        <f>14.04+34.814</f>
        <v>48.853999999999999</v>
      </c>
      <c r="CY410" s="13">
        <f>(1.5*14.04+1.08*34.814)/CQ410</f>
        <v>1.2007025013304951</v>
      </c>
      <c r="DG410" s="13">
        <f>(13.71*14.04+35.47*34.814)/CQ410</f>
        <v>29.216460883448644</v>
      </c>
      <c r="DK410" s="13">
        <f>100*((21.103+49.876)-(14.04+34.814))/(21.103+49.876)</f>
        <v>31.171191479169895</v>
      </c>
      <c r="DL410" s="18" t="s">
        <v>96</v>
      </c>
      <c r="DN410" s="1">
        <f t="shared" si="73"/>
        <v>1.3230792171178074</v>
      </c>
      <c r="DO410" s="1">
        <f t="shared" si="74"/>
        <v>0</v>
      </c>
      <c r="DP410" s="1" t="s">
        <v>67</v>
      </c>
      <c r="DQ410" s="1" t="s">
        <v>2</v>
      </c>
      <c r="DR410" s="100">
        <f t="shared" si="75"/>
        <v>61.363</v>
      </c>
      <c r="DS410" s="100">
        <f t="shared" si="76"/>
        <v>1.3230792171178074</v>
      </c>
      <c r="DT410" s="101">
        <f t="shared" si="77"/>
        <v>811.88110000000017</v>
      </c>
      <c r="DV410" s="100">
        <f t="shared" si="78"/>
        <v>48.853999999999999</v>
      </c>
      <c r="DW410" s="100">
        <f>(BV410*CD410+CQ410*CY410)/DV410</f>
        <v>1.2007025013304951</v>
      </c>
      <c r="DX410" s="101">
        <f>1000*DV410*DW410/100</f>
        <v>586.59120000000007</v>
      </c>
      <c r="DZ410" s="37" t="s">
        <v>2</v>
      </c>
      <c r="EA410" s="37"/>
      <c r="EM410" s="73"/>
      <c r="EN410" s="37"/>
      <c r="EO410" s="37"/>
      <c r="EP410" s="37"/>
      <c r="EQ410" s="37"/>
      <c r="ER410" s="37"/>
      <c r="ES410" s="37"/>
      <c r="ET410" s="37"/>
      <c r="EU410" s="37"/>
      <c r="EV410" s="37"/>
      <c r="EW410" s="37"/>
      <c r="EX410" s="37"/>
      <c r="EY410" s="37"/>
      <c r="EZ410" s="37"/>
      <c r="FA410" s="37"/>
      <c r="FB410" s="37"/>
      <c r="FC410" s="37"/>
      <c r="FD410" s="37"/>
      <c r="FE410" s="37"/>
      <c r="FF410" s="55"/>
      <c r="FG410" s="55"/>
      <c r="FH410" s="55"/>
      <c r="FI410" s="37"/>
      <c r="FJ410" s="55"/>
      <c r="FK410" s="55"/>
      <c r="FL410" s="45"/>
      <c r="FM410" s="37"/>
      <c r="FN410" s="37"/>
      <c r="FO410" s="37"/>
      <c r="FP410" s="55"/>
      <c r="FQ410" s="1" t="s">
        <v>2</v>
      </c>
      <c r="FR410" s="1" t="s">
        <v>31</v>
      </c>
      <c r="FS410" s="1" t="s">
        <v>500</v>
      </c>
      <c r="FT410" s="1" t="s">
        <v>469</v>
      </c>
      <c r="FV410" s="1" t="s">
        <v>2</v>
      </c>
    </row>
    <row r="411" spans="1:178" ht="16.25" customHeight="1" x14ac:dyDescent="0.2">
      <c r="A411" s="25" t="s">
        <v>190</v>
      </c>
      <c r="B411" s="1" t="s">
        <v>75</v>
      </c>
      <c r="C411" s="16" t="s">
        <v>962</v>
      </c>
      <c r="D411" s="1" t="s">
        <v>69</v>
      </c>
      <c r="H411" s="1" t="s">
        <v>940</v>
      </c>
      <c r="J411" s="1" t="s">
        <v>204</v>
      </c>
      <c r="K411" s="1">
        <v>0.78</v>
      </c>
      <c r="S411" s="1">
        <v>1.1000000000000001</v>
      </c>
      <c r="T411" s="1">
        <v>0.06</v>
      </c>
      <c r="AA411" s="1">
        <v>23</v>
      </c>
      <c r="AB411" s="1">
        <v>30</v>
      </c>
      <c r="AF411" s="1">
        <v>42</v>
      </c>
      <c r="AN411" s="14">
        <v>1</v>
      </c>
      <c r="AO411" s="1">
        <v>0.05</v>
      </c>
      <c r="AV411" s="1">
        <v>22</v>
      </c>
      <c r="AW411" s="1">
        <v>29</v>
      </c>
      <c r="BA411" s="1">
        <v>2.4</v>
      </c>
      <c r="BI411" s="14">
        <v>1</v>
      </c>
      <c r="BJ411" s="1">
        <v>0.04</v>
      </c>
      <c r="BQ411" s="1">
        <v>20</v>
      </c>
      <c r="BR411" s="1">
        <v>33</v>
      </c>
      <c r="BV411" s="1">
        <v>0</v>
      </c>
      <c r="CQ411" s="1">
        <v>0</v>
      </c>
      <c r="DL411" s="18" t="s">
        <v>96</v>
      </c>
      <c r="DM411" s="1" t="s">
        <v>96</v>
      </c>
      <c r="DN411" s="1">
        <f t="shared" si="73"/>
        <v>1.0017264276228419</v>
      </c>
      <c r="DO411" s="1">
        <f t="shared" si="74"/>
        <v>4.9641434262948217E-2</v>
      </c>
      <c r="DP411" s="1" t="s">
        <v>542</v>
      </c>
      <c r="DQ411" s="1" t="s">
        <v>2</v>
      </c>
      <c r="DR411" s="16">
        <f t="shared" si="75"/>
        <v>45.18</v>
      </c>
      <c r="DS411" s="100">
        <f t="shared" si="76"/>
        <v>1.0017264276228419</v>
      </c>
      <c r="DT411" s="101">
        <f t="shared" si="77"/>
        <v>452.58</v>
      </c>
      <c r="DV411" s="16">
        <f t="shared" si="78"/>
        <v>0</v>
      </c>
      <c r="DZ411" s="37" t="s">
        <v>2</v>
      </c>
      <c r="EA411" s="37"/>
      <c r="EM411" s="73"/>
      <c r="EN411" s="37"/>
      <c r="EO411" s="37"/>
      <c r="EP411" s="37"/>
      <c r="EQ411" s="37"/>
      <c r="ER411" s="37"/>
      <c r="ES411" s="37"/>
      <c r="ET411" s="37"/>
      <c r="EU411" s="37"/>
      <c r="EV411" s="37"/>
      <c r="EW411" s="37"/>
      <c r="EX411" s="37"/>
      <c r="EY411" s="37"/>
      <c r="EZ411" s="37"/>
      <c r="FA411" s="37"/>
      <c r="FB411" s="37"/>
      <c r="FC411" s="37"/>
      <c r="FD411" s="37"/>
      <c r="FE411" s="37"/>
      <c r="FF411" s="55"/>
      <c r="FG411" s="55"/>
      <c r="FH411" s="55"/>
      <c r="FI411" s="37"/>
      <c r="FJ411" s="55"/>
      <c r="FK411" s="55"/>
      <c r="FL411" s="45"/>
      <c r="FM411" s="37"/>
      <c r="FN411" s="37"/>
      <c r="FO411" s="37"/>
      <c r="FP411" s="55"/>
      <c r="FQ411" s="1" t="s">
        <v>2</v>
      </c>
      <c r="FR411" s="1" t="s">
        <v>31</v>
      </c>
      <c r="FS411" s="1" t="s">
        <v>469</v>
      </c>
      <c r="FT411" s="1" t="s">
        <v>469</v>
      </c>
      <c r="FV411" s="1" t="s">
        <v>2</v>
      </c>
    </row>
    <row r="412" spans="1:178" ht="16.25" customHeight="1" x14ac:dyDescent="0.2">
      <c r="A412" s="25" t="s">
        <v>190</v>
      </c>
      <c r="B412" s="1" t="s">
        <v>75</v>
      </c>
      <c r="C412" s="16" t="s">
        <v>963</v>
      </c>
      <c r="D412" s="1" t="s">
        <v>69</v>
      </c>
      <c r="H412" s="1" t="s">
        <v>940</v>
      </c>
      <c r="J412" s="1" t="s">
        <v>187</v>
      </c>
      <c r="K412" s="1">
        <v>1.782</v>
      </c>
      <c r="S412" s="1">
        <v>1.34</v>
      </c>
      <c r="T412" s="1">
        <v>3.1E-2</v>
      </c>
      <c r="AA412" s="1">
        <v>13.7</v>
      </c>
      <c r="AF412" s="1">
        <v>0.64600000000000002</v>
      </c>
      <c r="AN412" s="1">
        <v>1.22</v>
      </c>
      <c r="AO412" s="1">
        <v>3.9E-2</v>
      </c>
      <c r="AV412" s="1">
        <v>17.600000000000001</v>
      </c>
      <c r="BA412" s="1">
        <v>0.29299999999999998</v>
      </c>
      <c r="BI412" s="1">
        <v>1.23</v>
      </c>
      <c r="BJ412" s="1">
        <v>4.3999999999999997E-2</v>
      </c>
      <c r="BQ412" s="1">
        <v>19.100000000000001</v>
      </c>
      <c r="BV412" s="1">
        <v>0</v>
      </c>
      <c r="CQ412" s="1">
        <v>0</v>
      </c>
      <c r="DL412" s="18" t="s">
        <v>96</v>
      </c>
      <c r="DM412" s="1" t="s">
        <v>96</v>
      </c>
      <c r="DN412" s="1">
        <f t="shared" si="73"/>
        <v>1.2996655641308341</v>
      </c>
      <c r="DO412" s="1">
        <f t="shared" si="74"/>
        <v>3.4299154722528487E-2</v>
      </c>
      <c r="DP412" s="1" t="s">
        <v>545</v>
      </c>
      <c r="DQ412" s="1" t="s">
        <v>2</v>
      </c>
      <c r="DR412" s="16">
        <f t="shared" si="75"/>
        <v>2.7210000000000001</v>
      </c>
      <c r="DS412" s="100">
        <f t="shared" si="76"/>
        <v>1.2996655641308341</v>
      </c>
      <c r="DT412" s="101">
        <f t="shared" si="77"/>
        <v>35.363899999999994</v>
      </c>
      <c r="DV412" s="16">
        <f t="shared" si="78"/>
        <v>0</v>
      </c>
      <c r="DZ412" s="37" t="s">
        <v>2</v>
      </c>
      <c r="EA412" s="37"/>
      <c r="EM412" s="73"/>
      <c r="EN412" s="37"/>
      <c r="EO412" s="37"/>
      <c r="EP412" s="37"/>
      <c r="EQ412" s="37"/>
      <c r="ER412" s="37"/>
      <c r="ES412" s="37"/>
      <c r="ET412" s="37"/>
      <c r="EU412" s="37"/>
      <c r="EV412" s="37"/>
      <c r="EW412" s="37"/>
      <c r="EX412" s="37"/>
      <c r="EY412" s="37"/>
      <c r="EZ412" s="37"/>
      <c r="FA412" s="37"/>
      <c r="FB412" s="37"/>
      <c r="FC412" s="37"/>
      <c r="FD412" s="37"/>
      <c r="FE412" s="37"/>
      <c r="FF412" s="55"/>
      <c r="FG412" s="55"/>
      <c r="FH412" s="55"/>
      <c r="FI412" s="37"/>
      <c r="FJ412" s="55"/>
      <c r="FK412" s="55"/>
      <c r="FL412" s="45"/>
      <c r="FM412" s="37"/>
      <c r="FN412" s="37"/>
      <c r="FO412" s="37"/>
      <c r="FP412" s="55"/>
      <c r="FQ412" s="1" t="s">
        <v>2</v>
      </c>
      <c r="FR412" s="1" t="s">
        <v>31</v>
      </c>
      <c r="FS412" s="1" t="s">
        <v>469</v>
      </c>
      <c r="FT412" s="1" t="s">
        <v>469</v>
      </c>
      <c r="FV412" s="1" t="s">
        <v>2</v>
      </c>
    </row>
    <row r="413" spans="1:178" ht="16.25" customHeight="1" x14ac:dyDescent="0.2">
      <c r="A413" s="25" t="s">
        <v>190</v>
      </c>
      <c r="B413" s="1" t="s">
        <v>75</v>
      </c>
      <c r="C413" s="80" t="s">
        <v>741</v>
      </c>
      <c r="D413" s="1" t="s">
        <v>69</v>
      </c>
      <c r="H413" s="1" t="s">
        <v>742</v>
      </c>
      <c r="J413" s="1" t="s">
        <v>187</v>
      </c>
      <c r="K413" s="1">
        <v>0</v>
      </c>
      <c r="AF413" s="2">
        <v>4.5858509999999999</v>
      </c>
      <c r="AN413" s="1">
        <v>1.05</v>
      </c>
      <c r="AO413" s="1">
        <v>0.04</v>
      </c>
      <c r="AV413" s="1">
        <v>18.329999999999998</v>
      </c>
      <c r="BA413" s="2">
        <f>1.033062+0.07425+0.124875</f>
        <v>1.2321869999999999</v>
      </c>
      <c r="BI413" s="13">
        <f>(1.1*1.033062+1.12*0.07425+1.01*0.124875)/BA413</f>
        <v>1.092084196635738</v>
      </c>
      <c r="BQ413" s="13">
        <f>(24.99*1.033062+20.25*0.07425+18.88*0.124875)/BA413</f>
        <v>24.085160677721806</v>
      </c>
      <c r="BV413" s="1">
        <v>0</v>
      </c>
      <c r="CQ413" s="1">
        <v>0</v>
      </c>
      <c r="DL413" s="18" t="s">
        <v>96</v>
      </c>
      <c r="DM413" s="1" t="s">
        <v>96</v>
      </c>
      <c r="DN413" s="1">
        <f t="shared" si="73"/>
        <v>1.0589129015657857</v>
      </c>
      <c r="DO413" s="1">
        <f t="shared" si="74"/>
        <v>3.1528504970232234E-2</v>
      </c>
      <c r="DP413" s="1" t="s">
        <v>194</v>
      </c>
      <c r="DQ413" s="1" t="s">
        <v>2</v>
      </c>
      <c r="DR413" s="103">
        <f t="shared" si="75"/>
        <v>5.8180379999999996</v>
      </c>
      <c r="DS413" s="100">
        <f t="shared" si="76"/>
        <v>1.0589129015657857</v>
      </c>
      <c r="DT413" s="101">
        <f t="shared" si="77"/>
        <v>61.607955000000004</v>
      </c>
      <c r="DV413" s="16">
        <f t="shared" si="78"/>
        <v>0</v>
      </c>
      <c r="DZ413" s="37" t="s">
        <v>2</v>
      </c>
      <c r="EA413" s="37"/>
      <c r="EM413" s="73"/>
      <c r="EN413" s="37"/>
      <c r="EO413" s="37"/>
      <c r="EP413" s="37"/>
      <c r="EQ413" s="37"/>
      <c r="ER413" s="37"/>
      <c r="ES413" s="37"/>
      <c r="ET413" s="37"/>
      <c r="EU413" s="37"/>
      <c r="EV413" s="37"/>
      <c r="EW413" s="37"/>
      <c r="EX413" s="37"/>
      <c r="EY413" s="37"/>
      <c r="EZ413" s="37"/>
      <c r="FA413" s="37"/>
      <c r="FB413" s="37"/>
      <c r="FC413" s="37"/>
      <c r="FD413" s="37"/>
      <c r="FE413" s="37"/>
      <c r="FF413" s="55"/>
      <c r="FG413" s="55"/>
      <c r="FH413" s="55"/>
      <c r="FI413" s="37"/>
      <c r="FJ413" s="55"/>
      <c r="FK413" s="55"/>
      <c r="FL413" s="45"/>
      <c r="FM413" s="37"/>
      <c r="FN413" s="37"/>
      <c r="FO413" s="37"/>
      <c r="FP413" s="55"/>
      <c r="FQ413" s="1" t="s">
        <v>2</v>
      </c>
      <c r="FR413" s="1" t="s">
        <v>31</v>
      </c>
      <c r="FS413" s="1" t="s">
        <v>469</v>
      </c>
      <c r="FV413" s="1" t="s">
        <v>2</v>
      </c>
    </row>
    <row r="414" spans="1:178" ht="16.25" customHeight="1" x14ac:dyDescent="0.2">
      <c r="A414" s="25" t="s">
        <v>190</v>
      </c>
      <c r="B414" s="1" t="s">
        <v>75</v>
      </c>
      <c r="C414" s="21" t="s">
        <v>348</v>
      </c>
      <c r="D414" s="1" t="s">
        <v>69</v>
      </c>
      <c r="G414" s="1" t="s">
        <v>72</v>
      </c>
      <c r="H414" s="1" t="s">
        <v>349</v>
      </c>
      <c r="J414" s="1" t="s">
        <v>187</v>
      </c>
      <c r="K414" s="2">
        <v>0.42720000000000002</v>
      </c>
      <c r="S414" s="1">
        <v>1.1100000000000001</v>
      </c>
      <c r="T414" s="1">
        <v>0.05</v>
      </c>
      <c r="AA414" s="13">
        <v>23</v>
      </c>
      <c r="AF414" s="2">
        <v>0.63239999999999996</v>
      </c>
      <c r="AN414" s="13">
        <v>1</v>
      </c>
      <c r="AO414" s="1">
        <v>0.04</v>
      </c>
      <c r="AV414" s="1">
        <v>22.11</v>
      </c>
      <c r="BA414" s="1">
        <v>0</v>
      </c>
      <c r="BV414" s="1">
        <v>0</v>
      </c>
      <c r="CQ414" s="1">
        <v>0</v>
      </c>
      <c r="DL414" s="18" t="s">
        <v>96</v>
      </c>
      <c r="DM414" s="1" t="s">
        <v>96</v>
      </c>
      <c r="DN414" s="1">
        <f t="shared" si="73"/>
        <v>1.0443488108720271</v>
      </c>
      <c r="DO414" s="1">
        <f t="shared" si="74"/>
        <v>4.4031710079275199E-2</v>
      </c>
      <c r="DP414" s="1" t="s">
        <v>194</v>
      </c>
      <c r="DQ414" s="1" t="s">
        <v>2</v>
      </c>
      <c r="DR414" s="103">
        <f t="shared" si="75"/>
        <v>1.0596000000000001</v>
      </c>
      <c r="DS414" s="100">
        <f t="shared" si="76"/>
        <v>1.0443488108720271</v>
      </c>
      <c r="DT414" s="101">
        <f t="shared" si="77"/>
        <v>11.06592</v>
      </c>
      <c r="DV414" s="16">
        <f t="shared" si="78"/>
        <v>0</v>
      </c>
      <c r="DZ414" s="37" t="s">
        <v>2</v>
      </c>
      <c r="EA414" s="37"/>
      <c r="EM414" s="73"/>
      <c r="EN414" s="37"/>
      <c r="EO414" s="37"/>
      <c r="EP414" s="37"/>
      <c r="EQ414" s="37"/>
      <c r="ER414" s="37"/>
      <c r="ES414" s="37"/>
      <c r="ET414" s="37"/>
      <c r="EU414" s="37"/>
      <c r="EV414" s="37"/>
      <c r="EW414" s="37"/>
      <c r="EX414" s="37"/>
      <c r="EY414" s="37"/>
      <c r="EZ414" s="37"/>
      <c r="FA414" s="37"/>
      <c r="FB414" s="37"/>
      <c r="FC414" s="37"/>
      <c r="FD414" s="37"/>
      <c r="FE414" s="37"/>
      <c r="FF414" s="55"/>
      <c r="FG414" s="55"/>
      <c r="FH414" s="55"/>
      <c r="FI414" s="37"/>
      <c r="FJ414" s="55"/>
      <c r="FK414" s="55"/>
      <c r="FL414" s="45"/>
      <c r="FM414" s="37"/>
      <c r="FN414" s="37"/>
      <c r="FO414" s="37"/>
      <c r="FP414" s="55"/>
      <c r="FQ414" s="1" t="s">
        <v>2</v>
      </c>
      <c r="FR414" s="1" t="s">
        <v>31</v>
      </c>
      <c r="FS414" s="1" t="s">
        <v>469</v>
      </c>
      <c r="FV414" s="1" t="s">
        <v>2</v>
      </c>
    </row>
    <row r="415" spans="1:178" ht="16.25" customHeight="1" x14ac:dyDescent="0.2">
      <c r="A415" s="25" t="s">
        <v>190</v>
      </c>
      <c r="B415" s="1" t="s">
        <v>75</v>
      </c>
      <c r="C415" s="21" t="s">
        <v>282</v>
      </c>
      <c r="D415" s="1" t="s">
        <v>69</v>
      </c>
      <c r="G415" s="1" t="s">
        <v>72</v>
      </c>
      <c r="H415" s="1" t="s">
        <v>151</v>
      </c>
      <c r="J415" s="1" t="s">
        <v>187</v>
      </c>
      <c r="K415" s="2">
        <v>11.217919</v>
      </c>
      <c r="S415" s="13">
        <v>1.6</v>
      </c>
      <c r="T415" s="1">
        <v>0.06</v>
      </c>
      <c r="AA415" s="1">
        <v>21.26</v>
      </c>
      <c r="AF415" s="2">
        <v>14.439299999999999</v>
      </c>
      <c r="AN415" s="1">
        <v>1.57</v>
      </c>
      <c r="AO415" s="1">
        <v>0.04</v>
      </c>
      <c r="AV415" s="1">
        <v>13.62</v>
      </c>
      <c r="BA415" s="2">
        <v>19.232123000000001</v>
      </c>
      <c r="BI415" s="1">
        <v>1.51</v>
      </c>
      <c r="BJ415" s="1">
        <v>0.03</v>
      </c>
      <c r="BQ415" s="1">
        <v>13.11</v>
      </c>
      <c r="BV415" s="1">
        <v>0</v>
      </c>
      <c r="CQ415" s="1">
        <v>0</v>
      </c>
      <c r="DL415" s="18" t="s">
        <v>96</v>
      </c>
      <c r="DM415" s="1" t="s">
        <v>96</v>
      </c>
      <c r="DN415" s="1">
        <f t="shared" si="73"/>
        <v>1.5517910048670351</v>
      </c>
      <c r="DO415" s="1">
        <f t="shared" si="74"/>
        <v>4.0713691682092372E-2</v>
      </c>
      <c r="DP415" s="1" t="s">
        <v>551</v>
      </c>
      <c r="DQ415" s="1" t="s">
        <v>2</v>
      </c>
      <c r="DR415" s="100">
        <f t="shared" si="75"/>
        <v>44.889341999999999</v>
      </c>
      <c r="DS415" s="100">
        <f t="shared" si="76"/>
        <v>1.5517910048670351</v>
      </c>
      <c r="DT415" s="101">
        <f t="shared" si="77"/>
        <v>696.58877129999996</v>
      </c>
      <c r="DV415" s="16">
        <f t="shared" si="78"/>
        <v>0</v>
      </c>
      <c r="DZ415" s="37" t="s">
        <v>2</v>
      </c>
      <c r="EA415" s="37"/>
      <c r="EM415" s="73"/>
      <c r="EN415" s="37"/>
      <c r="EO415" s="37"/>
      <c r="EP415" s="37"/>
      <c r="EQ415" s="37"/>
      <c r="ER415" s="37"/>
      <c r="ES415" s="37"/>
      <c r="ET415" s="37"/>
      <c r="EU415" s="37"/>
      <c r="EV415" s="37"/>
      <c r="EW415" s="37"/>
      <c r="EX415" s="37"/>
      <c r="EY415" s="37"/>
      <c r="EZ415" s="37"/>
      <c r="FA415" s="37"/>
      <c r="FB415" s="37"/>
      <c r="FC415" s="37"/>
      <c r="FD415" s="37"/>
      <c r="FE415" s="37"/>
      <c r="FF415" s="55"/>
      <c r="FG415" s="55"/>
      <c r="FH415" s="55"/>
      <c r="FI415" s="37"/>
      <c r="FJ415" s="55"/>
      <c r="FK415" s="55"/>
      <c r="FL415" s="45"/>
      <c r="FM415" s="37"/>
      <c r="FN415" s="37"/>
      <c r="FO415" s="37"/>
      <c r="FP415" s="55"/>
      <c r="FQ415" s="1" t="s">
        <v>2</v>
      </c>
      <c r="FR415" s="1" t="s">
        <v>31</v>
      </c>
      <c r="FS415" s="1" t="s">
        <v>500</v>
      </c>
      <c r="FT415" s="1" t="s">
        <v>469</v>
      </c>
      <c r="FV415" s="1" t="s">
        <v>2</v>
      </c>
    </row>
    <row r="416" spans="1:178" ht="16.25" customHeight="1" x14ac:dyDescent="0.2">
      <c r="A416" s="25" t="s">
        <v>190</v>
      </c>
      <c r="B416" s="1" t="s">
        <v>75</v>
      </c>
      <c r="C416" s="80" t="s">
        <v>860</v>
      </c>
      <c r="D416" s="1" t="s">
        <v>69</v>
      </c>
      <c r="H416" s="1" t="s">
        <v>131</v>
      </c>
      <c r="J416" s="1" t="s">
        <v>187</v>
      </c>
      <c r="K416" s="2">
        <v>4.6422860000000004</v>
      </c>
      <c r="S416" s="1">
        <v>1.43</v>
      </c>
      <c r="T416" s="1">
        <v>0.08</v>
      </c>
      <c r="AA416" s="1">
        <v>34.299999999999997</v>
      </c>
      <c r="AF416" s="2">
        <v>3.1234989999999998</v>
      </c>
      <c r="AN416" s="1">
        <v>1.58</v>
      </c>
      <c r="AO416" s="1">
        <v>0.06</v>
      </c>
      <c r="AV416" s="1">
        <v>21.86</v>
      </c>
      <c r="BA416" s="2">
        <v>1.8940399999999999</v>
      </c>
      <c r="BI416" s="1">
        <v>1.59</v>
      </c>
      <c r="BJ416" s="1">
        <v>0.06</v>
      </c>
      <c r="BQ416" s="1">
        <v>19.75</v>
      </c>
      <c r="BV416" s="1">
        <v>0</v>
      </c>
      <c r="CQ416" s="1">
        <v>0</v>
      </c>
      <c r="DL416" s="18" t="s">
        <v>96</v>
      </c>
      <c r="DM416" s="1" t="s">
        <v>96</v>
      </c>
      <c r="DN416" s="1">
        <f t="shared" si="73"/>
        <v>1.5098742472042714</v>
      </c>
      <c r="DO416" s="1">
        <f t="shared" si="74"/>
        <v>6.9611532300015794E-2</v>
      </c>
      <c r="DP416" s="1" t="s">
        <v>551</v>
      </c>
      <c r="DQ416" s="1" t="s">
        <v>2</v>
      </c>
      <c r="DR416" s="103">
        <f t="shared" si="75"/>
        <v>9.6598249999999997</v>
      </c>
      <c r="DS416" s="100">
        <f t="shared" si="76"/>
        <v>1.5098742472042714</v>
      </c>
      <c r="DT416" s="101">
        <f t="shared" si="77"/>
        <v>145.85120999999998</v>
      </c>
      <c r="DV416" s="16">
        <f t="shared" si="78"/>
        <v>0</v>
      </c>
      <c r="DZ416" s="37" t="s">
        <v>2</v>
      </c>
      <c r="EA416" s="37"/>
      <c r="EM416" s="73"/>
      <c r="EN416" s="37"/>
      <c r="EO416" s="37"/>
      <c r="EP416" s="37"/>
      <c r="EQ416" s="37"/>
      <c r="ER416" s="37"/>
      <c r="ES416" s="37"/>
      <c r="ET416" s="37"/>
      <c r="EU416" s="37"/>
      <c r="EV416" s="37"/>
      <c r="EW416" s="37"/>
      <c r="EX416" s="37"/>
      <c r="EY416" s="37"/>
      <c r="EZ416" s="37"/>
      <c r="FA416" s="37"/>
      <c r="FB416" s="37"/>
      <c r="FC416" s="37"/>
      <c r="FD416" s="37"/>
      <c r="FE416" s="37"/>
      <c r="FF416" s="55"/>
      <c r="FG416" s="55"/>
      <c r="FH416" s="55"/>
      <c r="FI416" s="37"/>
      <c r="FJ416" s="55"/>
      <c r="FK416" s="55"/>
      <c r="FL416" s="45"/>
      <c r="FM416" s="37"/>
      <c r="FN416" s="37"/>
      <c r="FO416" s="37"/>
      <c r="FP416" s="55"/>
      <c r="FQ416" s="1" t="s">
        <v>2</v>
      </c>
      <c r="FR416" s="1" t="s">
        <v>31</v>
      </c>
      <c r="FS416" s="1" t="s">
        <v>500</v>
      </c>
      <c r="FT416" s="1" t="s">
        <v>469</v>
      </c>
      <c r="FV416" s="1" t="s">
        <v>2</v>
      </c>
    </row>
    <row r="417" spans="1:178" ht="16.25" customHeight="1" x14ac:dyDescent="0.2">
      <c r="A417" s="25" t="s">
        <v>190</v>
      </c>
      <c r="B417" s="1" t="s">
        <v>75</v>
      </c>
      <c r="C417" s="80" t="s">
        <v>861</v>
      </c>
      <c r="D417" s="1" t="s">
        <v>69</v>
      </c>
      <c r="H417" s="1" t="s">
        <v>131</v>
      </c>
      <c r="J417" s="1" t="s">
        <v>187</v>
      </c>
      <c r="K417" s="1">
        <v>0</v>
      </c>
      <c r="AF417" s="1">
        <v>0</v>
      </c>
      <c r="BA417" s="1">
        <v>23</v>
      </c>
      <c r="BI417" s="1">
        <v>1.75</v>
      </c>
      <c r="BV417" s="1">
        <v>0</v>
      </c>
      <c r="CQ417" s="1">
        <v>0</v>
      </c>
      <c r="DL417" s="18" t="s">
        <v>163</v>
      </c>
      <c r="DN417" s="1">
        <f t="shared" si="73"/>
        <v>1.75</v>
      </c>
      <c r="DO417" s="1">
        <f t="shared" si="74"/>
        <v>0</v>
      </c>
      <c r="DP417" s="1" t="s">
        <v>502</v>
      </c>
      <c r="DQ417" s="1" t="s">
        <v>2</v>
      </c>
      <c r="DR417" s="16">
        <f t="shared" si="75"/>
        <v>23</v>
      </c>
      <c r="DS417" s="100">
        <f t="shared" si="76"/>
        <v>1.75</v>
      </c>
      <c r="DT417" s="101">
        <f t="shared" si="77"/>
        <v>402.5</v>
      </c>
      <c r="DV417" s="16">
        <f t="shared" si="78"/>
        <v>0</v>
      </c>
      <c r="DZ417" s="37" t="s">
        <v>2</v>
      </c>
      <c r="EA417" s="37"/>
      <c r="EM417" s="73"/>
      <c r="EN417" s="37"/>
      <c r="EO417" s="37"/>
      <c r="EP417" s="37"/>
      <c r="EQ417" s="37"/>
      <c r="ER417" s="37"/>
      <c r="ES417" s="37"/>
      <c r="ET417" s="37"/>
      <c r="EU417" s="37"/>
      <c r="EV417" s="37"/>
      <c r="EW417" s="37"/>
      <c r="EX417" s="37"/>
      <c r="EY417" s="37"/>
      <c r="EZ417" s="37"/>
      <c r="FA417" s="37"/>
      <c r="FB417" s="37"/>
      <c r="FC417" s="37"/>
      <c r="FD417" s="37"/>
      <c r="FE417" s="37"/>
      <c r="FF417" s="55"/>
      <c r="FG417" s="55"/>
      <c r="FH417" s="55"/>
      <c r="FI417" s="37"/>
      <c r="FJ417" s="55"/>
      <c r="FK417" s="55"/>
      <c r="FL417" s="45"/>
      <c r="FM417" s="37"/>
      <c r="FN417" s="37"/>
      <c r="FO417" s="37"/>
      <c r="FP417" s="55"/>
      <c r="FQ417" s="1" t="s">
        <v>2</v>
      </c>
      <c r="FR417" s="1" t="s">
        <v>31</v>
      </c>
      <c r="FS417" s="1" t="s">
        <v>193</v>
      </c>
      <c r="FT417" s="1" t="s">
        <v>193</v>
      </c>
      <c r="FV417" s="1" t="s">
        <v>2</v>
      </c>
    </row>
    <row r="418" spans="1:178" ht="16.25" customHeight="1" x14ac:dyDescent="0.2">
      <c r="A418" s="25" t="s">
        <v>190</v>
      </c>
      <c r="B418" s="1" t="s">
        <v>75</v>
      </c>
      <c r="C418" s="80" t="s">
        <v>1247</v>
      </c>
      <c r="H418" s="1" t="s">
        <v>669</v>
      </c>
      <c r="J418" s="1" t="s">
        <v>187</v>
      </c>
      <c r="K418" s="1">
        <v>32.774999999999999</v>
      </c>
      <c r="S418" s="1">
        <v>1.1000000000000001</v>
      </c>
      <c r="AA418" s="1">
        <v>35.200000000000003</v>
      </c>
      <c r="AF418" s="1">
        <v>21.385000000000002</v>
      </c>
      <c r="AN418" s="1">
        <v>1.2</v>
      </c>
      <c r="AV418" s="1">
        <v>25.7</v>
      </c>
      <c r="BA418" s="1">
        <v>0</v>
      </c>
      <c r="BV418" s="13">
        <v>25.081603000000001</v>
      </c>
      <c r="CD418" s="1">
        <v>1.17</v>
      </c>
      <c r="CL418" s="1">
        <v>35.46</v>
      </c>
      <c r="CQ418" s="13">
        <v>11.261068</v>
      </c>
      <c r="CY418" s="1">
        <v>1.34</v>
      </c>
      <c r="DG418" s="1">
        <v>23.37</v>
      </c>
      <c r="DL418" s="18" t="s">
        <v>96</v>
      </c>
      <c r="DN418" s="1">
        <f t="shared" si="73"/>
        <v>1.1394848596750371</v>
      </c>
      <c r="DO418" s="1">
        <f t="shared" si="74"/>
        <v>0</v>
      </c>
      <c r="DP418" s="1" t="s">
        <v>101</v>
      </c>
      <c r="DQ418" s="1" t="s">
        <v>2</v>
      </c>
      <c r="DR418" s="16">
        <f t="shared" si="75"/>
        <v>54.16</v>
      </c>
      <c r="DS418" s="100">
        <f t="shared" si="76"/>
        <v>1.1394848596750371</v>
      </c>
      <c r="DT418" s="101">
        <f t="shared" si="77"/>
        <v>617.1450000000001</v>
      </c>
      <c r="DV418" s="100">
        <f t="shared" si="78"/>
        <v>36.342671000000003</v>
      </c>
      <c r="DW418" s="100">
        <f>(BV418*CD418+CQ418*CY418)/DV418</f>
        <v>1.2226758630371444</v>
      </c>
      <c r="DX418" s="101">
        <f>1000*DV418*DW418/100</f>
        <v>444.35306629999997</v>
      </c>
      <c r="DZ418" s="37" t="s">
        <v>2</v>
      </c>
      <c r="EA418" s="37"/>
      <c r="EM418" s="73"/>
      <c r="EN418" s="37"/>
      <c r="EO418" s="37"/>
      <c r="EP418" s="37"/>
      <c r="EQ418" s="37"/>
      <c r="ER418" s="37"/>
      <c r="ES418" s="37"/>
      <c r="ET418" s="37"/>
      <c r="EU418" s="37"/>
      <c r="EV418" s="37"/>
      <c r="EW418" s="37"/>
      <c r="EX418" s="37"/>
      <c r="EY418" s="37"/>
      <c r="EZ418" s="37"/>
      <c r="FA418" s="37"/>
      <c r="FB418" s="37"/>
      <c r="FC418" s="37"/>
      <c r="FD418" s="37"/>
      <c r="FE418" s="37"/>
      <c r="FF418" s="55"/>
      <c r="FG418" s="55"/>
      <c r="FH418" s="55"/>
      <c r="FI418" s="37"/>
      <c r="FJ418" s="55"/>
      <c r="FK418" s="55"/>
      <c r="FL418" s="45"/>
      <c r="FM418" s="37"/>
      <c r="FN418" s="37"/>
      <c r="FO418" s="37"/>
      <c r="FP418" s="55"/>
      <c r="FQ418" s="1" t="s">
        <v>2</v>
      </c>
      <c r="FR418" s="1" t="s">
        <v>31</v>
      </c>
      <c r="FS418" s="1" t="s">
        <v>193</v>
      </c>
      <c r="FT418" s="1" t="s">
        <v>193</v>
      </c>
      <c r="FV418" s="1" t="s">
        <v>2</v>
      </c>
    </row>
    <row r="419" spans="1:178" ht="16.25" customHeight="1" x14ac:dyDescent="0.2">
      <c r="A419" s="25" t="s">
        <v>190</v>
      </c>
      <c r="B419" s="1" t="s">
        <v>75</v>
      </c>
      <c r="C419" s="80" t="s">
        <v>384</v>
      </c>
      <c r="D419" s="1" t="s">
        <v>69</v>
      </c>
      <c r="G419" s="1" t="s">
        <v>65</v>
      </c>
      <c r="H419" s="1" t="s">
        <v>365</v>
      </c>
      <c r="J419" s="1" t="s">
        <v>187</v>
      </c>
      <c r="K419" s="1">
        <v>0</v>
      </c>
      <c r="AF419" s="13">
        <f>18.818+12.879</f>
        <v>31.697000000000003</v>
      </c>
      <c r="AN419" s="13">
        <f>(1.36*18.818+1.21*12.879)/AF419</f>
        <v>1.2990525917279239</v>
      </c>
      <c r="AV419" s="13">
        <f>(12.85*18.818+34.25*12.879)/AF419</f>
        <v>21.545163580149541</v>
      </c>
      <c r="AZ419" s="13">
        <f>100*((28.96+19.851)-(18.818+12.879))/(28.96+19.851)</f>
        <v>35.061768863575828</v>
      </c>
      <c r="BA419" s="13">
        <f>1.916+0.567</f>
        <v>2.4829999999999997</v>
      </c>
      <c r="BI419" s="13">
        <f>(1.2*1.916+1.14*0.567)/BA419</f>
        <v>1.1862988320579944</v>
      </c>
      <c r="BQ419" s="13">
        <f>(13.73*1.916+30.99*0.567)/BA419</f>
        <v>17.671369311316955</v>
      </c>
      <c r="BU419" s="13">
        <f>100*((2.947+0.873)-(1.916+0.567))/(2.947+0.873)</f>
        <v>35.000000000000014</v>
      </c>
      <c r="BV419" s="1">
        <v>0</v>
      </c>
      <c r="CQ419" s="13">
        <f>12.82+12.395</f>
        <v>25.215</v>
      </c>
      <c r="CY419" s="13">
        <f>(1.49*12.82+1.19*12.395)/CQ419</f>
        <v>1.3425282569898869</v>
      </c>
      <c r="DG419" s="13">
        <f>(17.21*12.82+27.42*12.395)/CQ419</f>
        <v>22.228954987110846</v>
      </c>
      <c r="DK419" s="13">
        <f>100*((19.723+19.07)-(12.82+12.395))/(19.723+19.07)</f>
        <v>35.001160003093339</v>
      </c>
      <c r="DL419" s="18" t="s">
        <v>96</v>
      </c>
      <c r="DN419" s="1">
        <f t="shared" si="73"/>
        <v>1.2908616149795202</v>
      </c>
      <c r="DO419" s="1">
        <f t="shared" si="74"/>
        <v>0</v>
      </c>
      <c r="DP419" s="1" t="s">
        <v>67</v>
      </c>
      <c r="DQ419" s="1" t="s">
        <v>2</v>
      </c>
      <c r="DR419" s="100">
        <f t="shared" si="75"/>
        <v>34.18</v>
      </c>
      <c r="DS419" s="100">
        <f t="shared" si="76"/>
        <v>1.2908616149795202</v>
      </c>
      <c r="DT419" s="101">
        <f t="shared" si="77"/>
        <v>441.2165</v>
      </c>
      <c r="DV419" s="100">
        <f t="shared" si="78"/>
        <v>25.215</v>
      </c>
      <c r="DW419" s="100">
        <f>(BV419*CD419+CQ419*CY419)/DV419</f>
        <v>1.3425282569898869</v>
      </c>
      <c r="DX419" s="101">
        <f>1000*DV419*DW419/100</f>
        <v>338.51849999999996</v>
      </c>
      <c r="DZ419" s="37" t="s">
        <v>2</v>
      </c>
      <c r="EA419" s="37"/>
      <c r="EM419" s="73"/>
      <c r="EN419" s="37"/>
      <c r="EO419" s="37"/>
      <c r="EP419" s="37"/>
      <c r="EQ419" s="37"/>
      <c r="ER419" s="37"/>
      <c r="ES419" s="37"/>
      <c r="ET419" s="37"/>
      <c r="EU419" s="37"/>
      <c r="EV419" s="37"/>
      <c r="EW419" s="37"/>
      <c r="EX419" s="37"/>
      <c r="EY419" s="37"/>
      <c r="EZ419" s="37"/>
      <c r="FA419" s="37"/>
      <c r="FB419" s="37"/>
      <c r="FC419" s="37"/>
      <c r="FD419" s="37"/>
      <c r="FE419" s="37"/>
      <c r="FF419" s="55"/>
      <c r="FG419" s="55"/>
      <c r="FH419" s="55"/>
      <c r="FI419" s="37"/>
      <c r="FJ419" s="55"/>
      <c r="FK419" s="55"/>
      <c r="FL419" s="45"/>
      <c r="FM419" s="37"/>
      <c r="FN419" s="37"/>
      <c r="FO419" s="37"/>
      <c r="FP419" s="55"/>
      <c r="FQ419" s="1" t="s">
        <v>2</v>
      </c>
      <c r="FR419" s="1" t="s">
        <v>31</v>
      </c>
      <c r="FS419" s="1" t="s">
        <v>193</v>
      </c>
      <c r="FT419" s="1" t="s">
        <v>193</v>
      </c>
      <c r="FV419" s="1" t="s">
        <v>2</v>
      </c>
    </row>
    <row r="420" spans="1:178" ht="16.25" customHeight="1" x14ac:dyDescent="0.2">
      <c r="A420" s="25" t="s">
        <v>190</v>
      </c>
      <c r="B420" s="1" t="s">
        <v>75</v>
      </c>
      <c r="C420" s="80" t="s">
        <v>362</v>
      </c>
      <c r="D420" s="1" t="s">
        <v>69</v>
      </c>
      <c r="G420" s="1" t="s">
        <v>65</v>
      </c>
      <c r="H420" s="1" t="s">
        <v>363</v>
      </c>
      <c r="J420" s="1" t="s">
        <v>187</v>
      </c>
      <c r="K420" s="1">
        <v>0</v>
      </c>
      <c r="AF420" s="1">
        <v>0</v>
      </c>
      <c r="BA420" s="1">
        <v>34.31</v>
      </c>
      <c r="BI420" s="1">
        <v>1.1100000000000001</v>
      </c>
      <c r="BV420" s="1">
        <v>0</v>
      </c>
      <c r="CQ420" s="1">
        <v>0</v>
      </c>
      <c r="DL420" s="18" t="s">
        <v>163</v>
      </c>
      <c r="DN420" s="1">
        <f t="shared" si="73"/>
        <v>1.1100000000000001</v>
      </c>
      <c r="DO420" s="1">
        <f t="shared" si="74"/>
        <v>0</v>
      </c>
      <c r="DP420" s="1" t="s">
        <v>471</v>
      </c>
      <c r="DQ420" s="1" t="s">
        <v>2</v>
      </c>
      <c r="DR420" s="16">
        <f t="shared" si="75"/>
        <v>34.31</v>
      </c>
      <c r="DS420" s="100">
        <f t="shared" si="76"/>
        <v>1.1100000000000001</v>
      </c>
      <c r="DT420" s="101">
        <f t="shared" si="77"/>
        <v>380.84100000000007</v>
      </c>
      <c r="DV420" s="16">
        <f t="shared" si="78"/>
        <v>0</v>
      </c>
      <c r="DZ420" s="37" t="s">
        <v>2</v>
      </c>
      <c r="EA420" s="37"/>
      <c r="EM420" s="73"/>
      <c r="EN420" s="37"/>
      <c r="EO420" s="37"/>
      <c r="EP420" s="37"/>
      <c r="EQ420" s="37"/>
      <c r="ER420" s="37"/>
      <c r="ES420" s="37"/>
      <c r="ET420" s="37"/>
      <c r="EU420" s="37"/>
      <c r="EV420" s="37"/>
      <c r="EW420" s="37"/>
      <c r="EX420" s="37"/>
      <c r="EY420" s="37"/>
      <c r="EZ420" s="37"/>
      <c r="FA420" s="37"/>
      <c r="FB420" s="37"/>
      <c r="FC420" s="37"/>
      <c r="FD420" s="37"/>
      <c r="FE420" s="37"/>
      <c r="FF420" s="55"/>
      <c r="FG420" s="55"/>
      <c r="FH420" s="55"/>
      <c r="FI420" s="37"/>
      <c r="FJ420" s="55"/>
      <c r="FK420" s="55"/>
      <c r="FL420" s="45"/>
      <c r="FM420" s="37"/>
      <c r="FN420" s="37"/>
      <c r="FO420" s="37"/>
      <c r="FP420" s="55"/>
      <c r="FQ420" s="1" t="s">
        <v>2</v>
      </c>
      <c r="FR420" s="1" t="s">
        <v>31</v>
      </c>
      <c r="FS420" s="1" t="s">
        <v>193</v>
      </c>
      <c r="FT420" s="1" t="s">
        <v>193</v>
      </c>
      <c r="FV420" s="1" t="s">
        <v>2</v>
      </c>
    </row>
    <row r="421" spans="1:178" ht="16.25" customHeight="1" x14ac:dyDescent="0.2">
      <c r="A421" s="25" t="s">
        <v>190</v>
      </c>
      <c r="B421" s="1" t="s">
        <v>75</v>
      </c>
      <c r="C421" s="21" t="s">
        <v>300</v>
      </c>
      <c r="D421" s="1" t="s">
        <v>69</v>
      </c>
      <c r="G421" s="1" t="s">
        <v>72</v>
      </c>
      <c r="H421" s="1" t="s">
        <v>301</v>
      </c>
      <c r="J421" s="1" t="s">
        <v>216</v>
      </c>
      <c r="K421" s="1">
        <v>0</v>
      </c>
      <c r="AF421" s="1">
        <v>0</v>
      </c>
      <c r="BA421" s="1">
        <v>23.5</v>
      </c>
      <c r="BI421" s="1">
        <v>1.18</v>
      </c>
      <c r="BV421" s="1">
        <v>0</v>
      </c>
      <c r="CQ421" s="1">
        <v>0</v>
      </c>
      <c r="DL421" s="18" t="s">
        <v>96</v>
      </c>
      <c r="DN421" s="1">
        <f t="shared" si="73"/>
        <v>1.18</v>
      </c>
      <c r="DO421" s="1">
        <f t="shared" si="74"/>
        <v>0</v>
      </c>
      <c r="DP421" s="1" t="s">
        <v>161</v>
      </c>
      <c r="DQ421" s="1" t="s">
        <v>2</v>
      </c>
      <c r="DR421" s="16">
        <f t="shared" si="75"/>
        <v>23.5</v>
      </c>
      <c r="DS421" s="100">
        <f t="shared" si="76"/>
        <v>1.18</v>
      </c>
      <c r="DT421" s="101">
        <f t="shared" si="77"/>
        <v>277.3</v>
      </c>
      <c r="DV421" s="16">
        <f t="shared" si="78"/>
        <v>0</v>
      </c>
      <c r="DZ421" s="37" t="s">
        <v>2</v>
      </c>
      <c r="EA421" s="37"/>
      <c r="EM421" s="73"/>
      <c r="EN421" s="37"/>
      <c r="EO421" s="37"/>
      <c r="EP421" s="37"/>
      <c r="EQ421" s="37"/>
      <c r="ER421" s="37"/>
      <c r="ES421" s="37"/>
      <c r="ET421" s="37"/>
      <c r="EU421" s="37"/>
      <c r="EV421" s="37"/>
      <c r="EW421" s="37"/>
      <c r="EX421" s="37"/>
      <c r="EY421" s="37"/>
      <c r="EZ421" s="37"/>
      <c r="FA421" s="37"/>
      <c r="FB421" s="37"/>
      <c r="FC421" s="37"/>
      <c r="FD421" s="37"/>
      <c r="FE421" s="37"/>
      <c r="FF421" s="55"/>
      <c r="FG421" s="55"/>
      <c r="FH421" s="55"/>
      <c r="FI421" s="37"/>
      <c r="FJ421" s="55"/>
      <c r="FK421" s="55"/>
      <c r="FL421" s="45"/>
      <c r="FM421" s="37"/>
      <c r="FN421" s="37"/>
      <c r="FO421" s="37"/>
      <c r="FP421" s="55"/>
      <c r="FQ421" s="1" t="s">
        <v>2</v>
      </c>
      <c r="FR421" s="1" t="s">
        <v>31</v>
      </c>
      <c r="FS421" s="1" t="s">
        <v>193</v>
      </c>
      <c r="FT421" s="1" t="s">
        <v>193</v>
      </c>
      <c r="FV421" s="1" t="s">
        <v>2</v>
      </c>
    </row>
    <row r="422" spans="1:178" ht="16.25" customHeight="1" x14ac:dyDescent="0.2">
      <c r="A422" s="25" t="s">
        <v>190</v>
      </c>
      <c r="B422" s="1" t="s">
        <v>75</v>
      </c>
      <c r="C422" s="80" t="s">
        <v>596</v>
      </c>
      <c r="D422" s="1" t="s">
        <v>69</v>
      </c>
      <c r="H422" s="1" t="s">
        <v>597</v>
      </c>
      <c r="J422" s="1" t="s">
        <v>187</v>
      </c>
      <c r="K422" s="1">
        <v>13.475</v>
      </c>
      <c r="S422" s="1">
        <v>1.22</v>
      </c>
      <c r="AA422" s="1">
        <v>32.409999999999997</v>
      </c>
      <c r="AF422" s="1">
        <v>35.534999999999997</v>
      </c>
      <c r="AN422" s="1">
        <v>1.08</v>
      </c>
      <c r="AV422" s="1">
        <v>25.21</v>
      </c>
      <c r="BA422" s="1">
        <v>3.7360000000000002</v>
      </c>
      <c r="BI422" s="1">
        <v>1.04</v>
      </c>
      <c r="BQ422" s="1">
        <v>27.29</v>
      </c>
      <c r="BV422" s="1">
        <v>0</v>
      </c>
      <c r="CQ422" s="1">
        <v>0</v>
      </c>
      <c r="DL422" s="18" t="s">
        <v>96</v>
      </c>
      <c r="DN422" s="1">
        <f t="shared" si="73"/>
        <v>1.1129325446479357</v>
      </c>
      <c r="DO422" s="1">
        <f t="shared" si="74"/>
        <v>0</v>
      </c>
      <c r="DP422" s="1" t="s">
        <v>548</v>
      </c>
      <c r="DQ422" s="1" t="s">
        <v>2</v>
      </c>
      <c r="DR422" s="16">
        <f t="shared" si="75"/>
        <v>52.745999999999995</v>
      </c>
      <c r="DS422" s="100">
        <f t="shared" si="76"/>
        <v>1.1129325446479357</v>
      </c>
      <c r="DT422" s="101">
        <f t="shared" si="77"/>
        <v>587.02740000000006</v>
      </c>
      <c r="DV422" s="16">
        <f t="shared" si="78"/>
        <v>0</v>
      </c>
      <c r="DZ422" s="37" t="s">
        <v>2</v>
      </c>
      <c r="EA422" s="37"/>
      <c r="EM422" s="73"/>
      <c r="EN422" s="37"/>
      <c r="EO422" s="37"/>
      <c r="EP422" s="37"/>
      <c r="EQ422" s="37"/>
      <c r="ER422" s="37"/>
      <c r="ES422" s="37"/>
      <c r="ET422" s="37"/>
      <c r="EU422" s="37"/>
      <c r="EV422" s="37"/>
      <c r="EW422" s="37"/>
      <c r="EX422" s="37"/>
      <c r="EY422" s="37"/>
      <c r="EZ422" s="37"/>
      <c r="FA422" s="37"/>
      <c r="FB422" s="37"/>
      <c r="FC422" s="37"/>
      <c r="FD422" s="37"/>
      <c r="FE422" s="37"/>
      <c r="FF422" s="55"/>
      <c r="FG422" s="55"/>
      <c r="FH422" s="55"/>
      <c r="FI422" s="37"/>
      <c r="FJ422" s="55"/>
      <c r="FK422" s="55"/>
      <c r="FL422" s="45"/>
      <c r="FM422" s="37"/>
      <c r="FN422" s="37"/>
      <c r="FO422" s="37"/>
      <c r="FP422" s="55"/>
      <c r="FQ422" s="1" t="s">
        <v>2</v>
      </c>
      <c r="FR422" s="1" t="s">
        <v>31</v>
      </c>
      <c r="FS422" s="1" t="s">
        <v>193</v>
      </c>
      <c r="FT422" s="1" t="s">
        <v>506</v>
      </c>
      <c r="FV422" s="1" t="s">
        <v>2</v>
      </c>
    </row>
    <row r="423" spans="1:178" ht="16.25" customHeight="1" x14ac:dyDescent="0.2">
      <c r="A423" s="25" t="s">
        <v>190</v>
      </c>
      <c r="B423" s="1" t="s">
        <v>75</v>
      </c>
      <c r="C423" s="21" t="s">
        <v>326</v>
      </c>
      <c r="D423" s="1" t="s">
        <v>69</v>
      </c>
      <c r="G423" s="1" t="s">
        <v>72</v>
      </c>
      <c r="H423" s="1" t="s">
        <v>327</v>
      </c>
      <c r="J423" s="1" t="s">
        <v>523</v>
      </c>
      <c r="K423" s="1">
        <v>0</v>
      </c>
      <c r="AF423" s="1">
        <v>0</v>
      </c>
      <c r="BA423" s="1">
        <v>144.69999999999999</v>
      </c>
      <c r="BI423" s="1">
        <v>1.1000000000000001</v>
      </c>
      <c r="BJ423" s="1">
        <v>0.11</v>
      </c>
      <c r="BV423" s="1">
        <v>0</v>
      </c>
      <c r="CQ423" s="1">
        <v>0</v>
      </c>
      <c r="DL423" s="18" t="s">
        <v>163</v>
      </c>
      <c r="DM423" s="1" t="s">
        <v>163</v>
      </c>
      <c r="DN423" s="1">
        <f t="shared" si="73"/>
        <v>1.1000000000000001</v>
      </c>
      <c r="DO423" s="1">
        <f t="shared" si="74"/>
        <v>0.11</v>
      </c>
      <c r="DP423" s="1" t="s">
        <v>524</v>
      </c>
      <c r="DQ423" s="1" t="s">
        <v>2</v>
      </c>
      <c r="DR423" s="16">
        <f t="shared" si="75"/>
        <v>144.69999999999999</v>
      </c>
      <c r="DS423" s="100">
        <f t="shared" si="76"/>
        <v>1.1000000000000001</v>
      </c>
      <c r="DT423" s="102">
        <f t="shared" si="77"/>
        <v>1591.7</v>
      </c>
      <c r="DV423" s="16">
        <f t="shared" si="78"/>
        <v>0</v>
      </c>
      <c r="DZ423" s="37" t="s">
        <v>2</v>
      </c>
      <c r="EA423" s="37"/>
      <c r="EM423" s="73"/>
      <c r="EN423" s="37"/>
      <c r="EO423" s="37"/>
      <c r="EP423" s="37"/>
      <c r="EQ423" s="37"/>
      <c r="ER423" s="37"/>
      <c r="ES423" s="37"/>
      <c r="ET423" s="37"/>
      <c r="EU423" s="37"/>
      <c r="EV423" s="37"/>
      <c r="EW423" s="37"/>
      <c r="EX423" s="37"/>
      <c r="EY423" s="37"/>
      <c r="EZ423" s="37"/>
      <c r="FA423" s="37"/>
      <c r="FB423" s="37"/>
      <c r="FC423" s="37"/>
      <c r="FD423" s="37"/>
      <c r="FE423" s="37"/>
      <c r="FF423" s="55"/>
      <c r="FG423" s="55"/>
      <c r="FH423" s="55"/>
      <c r="FI423" s="37"/>
      <c r="FJ423" s="55"/>
      <c r="FK423" s="55"/>
      <c r="FL423" s="45"/>
      <c r="FM423" s="37"/>
      <c r="FN423" s="37"/>
      <c r="FO423" s="37"/>
      <c r="FP423" s="55"/>
      <c r="FQ423" s="1" t="s">
        <v>2</v>
      </c>
      <c r="FR423" s="1" t="s">
        <v>31</v>
      </c>
      <c r="FS423" s="1" t="s">
        <v>233</v>
      </c>
      <c r="FT423" s="1" t="s">
        <v>233</v>
      </c>
      <c r="FV423" s="1" t="s">
        <v>2</v>
      </c>
    </row>
    <row r="424" spans="1:178" ht="16.25" customHeight="1" x14ac:dyDescent="0.2">
      <c r="A424" s="25" t="s">
        <v>190</v>
      </c>
      <c r="B424" s="1" t="s">
        <v>75</v>
      </c>
      <c r="C424" s="16" t="s">
        <v>964</v>
      </c>
      <c r="D424" s="1" t="s">
        <v>69</v>
      </c>
      <c r="H424" s="1" t="s">
        <v>131</v>
      </c>
      <c r="J424" s="1" t="s">
        <v>187</v>
      </c>
      <c r="K424" s="13">
        <v>36.451190000000004</v>
      </c>
      <c r="S424" s="13">
        <v>1.0448611142736355</v>
      </c>
      <c r="AF424" s="1">
        <v>8.67</v>
      </c>
      <c r="AN424" s="1">
        <v>1.1000000000000001</v>
      </c>
      <c r="BA424" s="1">
        <v>10.71</v>
      </c>
      <c r="BI424" s="1">
        <v>1.1000000000000001</v>
      </c>
      <c r="BV424" s="1">
        <v>0</v>
      </c>
      <c r="CQ424" s="1">
        <v>0</v>
      </c>
      <c r="DL424" s="18" t="s">
        <v>96</v>
      </c>
      <c r="DN424" s="1">
        <f t="shared" si="73"/>
        <v>1.0640008031353083</v>
      </c>
      <c r="DO424" s="1">
        <f t="shared" si="74"/>
        <v>0</v>
      </c>
      <c r="DP424" s="1" t="s">
        <v>527</v>
      </c>
      <c r="DQ424" s="1" t="s">
        <v>2</v>
      </c>
      <c r="DR424" s="100">
        <f t="shared" si="75"/>
        <v>55.831190000000007</v>
      </c>
      <c r="DS424" s="100">
        <f t="shared" si="76"/>
        <v>1.0640008031353083</v>
      </c>
      <c r="DT424" s="101">
        <f t="shared" si="77"/>
        <v>594.04431</v>
      </c>
      <c r="DV424" s="16">
        <f t="shared" si="78"/>
        <v>0</v>
      </c>
      <c r="DZ424" s="37" t="s">
        <v>2</v>
      </c>
      <c r="EA424" s="37"/>
      <c r="EM424" s="73"/>
      <c r="EN424" s="37"/>
      <c r="EO424" s="37"/>
      <c r="EP424" s="37"/>
      <c r="EQ424" s="37"/>
      <c r="ER424" s="37"/>
      <c r="ES424" s="37"/>
      <c r="ET424" s="37"/>
      <c r="EU424" s="37"/>
      <c r="EV424" s="37"/>
      <c r="EW424" s="37"/>
      <c r="EX424" s="37"/>
      <c r="EY424" s="37"/>
      <c r="EZ424" s="37"/>
      <c r="FA424" s="37"/>
      <c r="FB424" s="37"/>
      <c r="FC424" s="37"/>
      <c r="FD424" s="37"/>
      <c r="FE424" s="37"/>
      <c r="FF424" s="55"/>
      <c r="FG424" s="55"/>
      <c r="FH424" s="55"/>
      <c r="FI424" s="37"/>
      <c r="FJ424" s="55"/>
      <c r="FK424" s="55"/>
      <c r="FL424" s="45"/>
      <c r="FM424" s="37"/>
      <c r="FN424" s="37"/>
      <c r="FO424" s="37"/>
      <c r="FP424" s="55"/>
      <c r="FQ424" s="1" t="s">
        <v>2</v>
      </c>
      <c r="FR424" s="1" t="s">
        <v>31</v>
      </c>
      <c r="FS424" s="1" t="s">
        <v>233</v>
      </c>
      <c r="FV424" s="1" t="s">
        <v>2</v>
      </c>
    </row>
    <row r="425" spans="1:178" ht="16.25" customHeight="1" x14ac:dyDescent="0.2">
      <c r="A425" s="25" t="s">
        <v>190</v>
      </c>
      <c r="B425" s="1" t="s">
        <v>75</v>
      </c>
      <c r="C425" s="80" t="s">
        <v>911</v>
      </c>
      <c r="D425" s="1" t="s">
        <v>71</v>
      </c>
      <c r="H425" s="1" t="s">
        <v>912</v>
      </c>
      <c r="J425" s="1" t="s">
        <v>204</v>
      </c>
      <c r="K425" s="1">
        <v>0</v>
      </c>
      <c r="AF425" s="1">
        <v>30.76</v>
      </c>
      <c r="AN425" s="1">
        <v>1.1200000000000001</v>
      </c>
      <c r="AO425" s="1">
        <v>0.05</v>
      </c>
      <c r="BA425" s="1">
        <v>0</v>
      </c>
      <c r="BV425" s="1">
        <v>0</v>
      </c>
      <c r="CQ425" s="1">
        <v>0</v>
      </c>
      <c r="DL425" s="18" t="s">
        <v>96</v>
      </c>
      <c r="DM425" s="1" t="s">
        <v>96</v>
      </c>
      <c r="DN425" s="1">
        <f t="shared" si="73"/>
        <v>1.1200000000000001</v>
      </c>
      <c r="DO425" s="1">
        <f t="shared" si="74"/>
        <v>0.05</v>
      </c>
      <c r="DP425" s="1" t="s">
        <v>156</v>
      </c>
      <c r="DQ425" s="1" t="s">
        <v>2</v>
      </c>
      <c r="DR425" s="16">
        <f t="shared" si="75"/>
        <v>30.76</v>
      </c>
      <c r="DS425" s="100">
        <f t="shared" si="76"/>
        <v>1.1200000000000001</v>
      </c>
      <c r="DT425" s="101">
        <f t="shared" si="77"/>
        <v>344.51200000000006</v>
      </c>
      <c r="DV425" s="16">
        <f t="shared" si="78"/>
        <v>0</v>
      </c>
      <c r="DZ425" s="37" t="s">
        <v>2</v>
      </c>
      <c r="EA425" s="37"/>
      <c r="EM425" s="73"/>
      <c r="EN425" s="37"/>
      <c r="EO425" s="37"/>
      <c r="EP425" s="37"/>
      <c r="EQ425" s="37"/>
      <c r="ER425" s="37"/>
      <c r="ES425" s="37"/>
      <c r="ET425" s="37"/>
      <c r="EU425" s="37"/>
      <c r="EV425" s="37"/>
      <c r="EW425" s="37"/>
      <c r="EX425" s="37"/>
      <c r="EY425" s="37"/>
      <c r="EZ425" s="37"/>
      <c r="FA425" s="37"/>
      <c r="FB425" s="37"/>
      <c r="FC425" s="37"/>
      <c r="FD425" s="37"/>
      <c r="FE425" s="37"/>
      <c r="FF425" s="55"/>
      <c r="FG425" s="55"/>
      <c r="FH425" s="55"/>
      <c r="FI425" s="37"/>
      <c r="FJ425" s="55"/>
      <c r="FK425" s="55"/>
      <c r="FL425" s="45"/>
      <c r="FM425" s="37"/>
      <c r="FN425" s="37"/>
      <c r="FO425" s="37"/>
      <c r="FP425" s="55"/>
      <c r="FQ425" s="1" t="s">
        <v>2</v>
      </c>
      <c r="FR425" s="1" t="s">
        <v>31</v>
      </c>
      <c r="FS425" s="1" t="s">
        <v>233</v>
      </c>
      <c r="FT425" s="1" t="s">
        <v>233</v>
      </c>
      <c r="FV425" s="1" t="s">
        <v>2</v>
      </c>
    </row>
    <row r="426" spans="1:178" ht="16.25" customHeight="1" x14ac:dyDescent="0.2">
      <c r="A426" s="25" t="s">
        <v>190</v>
      </c>
      <c r="B426" s="1" t="s">
        <v>75</v>
      </c>
      <c r="C426" s="80" t="s">
        <v>1003</v>
      </c>
      <c r="H426" s="1" t="s">
        <v>131</v>
      </c>
      <c r="J426" s="1" t="s">
        <v>505</v>
      </c>
      <c r="K426" s="1">
        <v>0</v>
      </c>
      <c r="AF426" s="14">
        <f>36.969+73.001</f>
        <v>109.97</v>
      </c>
      <c r="AN426" s="13">
        <f>(1.65*36.969+1.06*73.001)/AF426</f>
        <v>1.2583423660998454</v>
      </c>
      <c r="AV426" s="13">
        <f>(10.18*36.969+45.7*73.001)/AF426</f>
        <v>33.759117213785579</v>
      </c>
      <c r="AZ426" s="13">
        <f>100*((53.03+108.933)-(36.969+73.001))/(53.03+108.933)</f>
        <v>32.101776331631307</v>
      </c>
      <c r="BA426" s="13">
        <v>2.4950000000000001</v>
      </c>
      <c r="BI426" s="1">
        <v>1.56</v>
      </c>
      <c r="BQ426" s="1">
        <v>11.88</v>
      </c>
      <c r="BU426" s="13">
        <f>100*(3.607-2.495)/3.607</f>
        <v>30.828943720543389</v>
      </c>
      <c r="BV426" s="1">
        <v>0</v>
      </c>
      <c r="CQ426" s="14">
        <f>36.969+73.001</f>
        <v>109.97</v>
      </c>
      <c r="CY426" s="13">
        <f>(1.48*36.969+1.06*73.001)/CQ426</f>
        <v>1.2011928707829409</v>
      </c>
      <c r="DG426" s="13">
        <f>(10.18*36.969+45.7*73.001)/CQ426</f>
        <v>33.759117213785579</v>
      </c>
      <c r="DK426" s="13">
        <f>100*((53.03+108.933)-(36.969+73.001))/(53.03+108.933)</f>
        <v>32.101776331631307</v>
      </c>
      <c r="DL426" s="18" t="s">
        <v>96</v>
      </c>
      <c r="DN426" s="1">
        <f t="shared" si="73"/>
        <v>1.2650345440803805</v>
      </c>
      <c r="DO426" s="1">
        <f t="shared" si="74"/>
        <v>0</v>
      </c>
      <c r="DP426" s="1" t="s">
        <v>67</v>
      </c>
      <c r="DQ426" s="1" t="s">
        <v>2</v>
      </c>
      <c r="DR426" s="16">
        <f t="shared" si="75"/>
        <v>112.465</v>
      </c>
      <c r="DS426" s="100">
        <f t="shared" si="76"/>
        <v>1.2650345440803805</v>
      </c>
      <c r="DT426" s="102">
        <f t="shared" si="77"/>
        <v>1422.7210999999998</v>
      </c>
      <c r="DV426" s="100">
        <f t="shared" si="78"/>
        <v>109.97</v>
      </c>
      <c r="DW426" s="100">
        <f>(BV426*CD426+CQ426*CY426)/DV426</f>
        <v>1.2011928707829409</v>
      </c>
      <c r="DX426" s="102">
        <f>1000*DV426*DW426/100</f>
        <v>1320.9518000000003</v>
      </c>
      <c r="DZ426" s="37" t="s">
        <v>2</v>
      </c>
      <c r="EA426" s="37"/>
      <c r="EM426" s="73"/>
      <c r="EN426" s="37"/>
      <c r="EO426" s="37"/>
      <c r="EP426" s="37"/>
      <c r="EQ426" s="37"/>
      <c r="ER426" s="37"/>
      <c r="ES426" s="37"/>
      <c r="ET426" s="37"/>
      <c r="EU426" s="37"/>
      <c r="EV426" s="37"/>
      <c r="EW426" s="37"/>
      <c r="EX426" s="37"/>
      <c r="EY426" s="37"/>
      <c r="EZ426" s="37"/>
      <c r="FA426" s="37"/>
      <c r="FB426" s="37"/>
      <c r="FC426" s="37"/>
      <c r="FD426" s="37"/>
      <c r="FE426" s="37"/>
      <c r="FF426" s="55"/>
      <c r="FG426" s="55"/>
      <c r="FH426" s="55"/>
      <c r="FI426" s="37"/>
      <c r="FJ426" s="55"/>
      <c r="FK426" s="55"/>
      <c r="FL426" s="45"/>
      <c r="FM426" s="37"/>
      <c r="FN426" s="37"/>
      <c r="FO426" s="37"/>
      <c r="FP426" s="55"/>
      <c r="FQ426" s="1" t="s">
        <v>2</v>
      </c>
      <c r="FR426" s="1" t="s">
        <v>31</v>
      </c>
      <c r="FS426" s="1" t="s">
        <v>506</v>
      </c>
      <c r="FT426" s="1" t="s">
        <v>506</v>
      </c>
      <c r="FV426" s="1" t="s">
        <v>2</v>
      </c>
    </row>
    <row r="427" spans="1:178" ht="16.25" customHeight="1" x14ac:dyDescent="0.2">
      <c r="A427" s="25" t="s">
        <v>190</v>
      </c>
      <c r="B427" s="1" t="s">
        <v>75</v>
      </c>
      <c r="C427" s="21" t="s">
        <v>615</v>
      </c>
      <c r="D427" s="1" t="s">
        <v>69</v>
      </c>
      <c r="H427" s="1" t="s">
        <v>616</v>
      </c>
      <c r="J427" s="1" t="s">
        <v>187</v>
      </c>
      <c r="K427" s="1">
        <v>0</v>
      </c>
      <c r="AF427" s="1">
        <f>28.35+39.54</f>
        <v>67.89</v>
      </c>
      <c r="AN427" s="13">
        <f>(1.2*28.35+1.23*39.54)/AF427</f>
        <v>1.2174723817940787</v>
      </c>
      <c r="AV427" s="13">
        <f>(13.78*28.35+43.32*39.54)/AF427</f>
        <v>30.984471939902779</v>
      </c>
      <c r="AZ427" s="13">
        <f>100*((43.615+60.83)-(28.35+39.54))/(43.615+60.83)</f>
        <v>34.999281918713194</v>
      </c>
      <c r="BA427" s="13">
        <f>16.28+5.72</f>
        <v>22</v>
      </c>
      <c r="BI427" s="13">
        <f>(1.14*16.28+1.06*5.72)/BA427</f>
        <v>1.1192</v>
      </c>
      <c r="BQ427" s="13">
        <f>(13.95*16.28+42.33*5.72)/BA427</f>
        <v>21.328799999999998</v>
      </c>
      <c r="BU427" s="13">
        <f>100*((25.046+8.8)-(16.28+5.72))/(25.046+8.8)</f>
        <v>34.999704544111573</v>
      </c>
      <c r="BV427" s="1">
        <v>0</v>
      </c>
      <c r="CQ427" s="13">
        <f>2.819+32.875</f>
        <v>35.694000000000003</v>
      </c>
      <c r="CY427" s="13">
        <f>(1.85*2.819+1.32*32.875)/CQ427</f>
        <v>1.3618577351935899</v>
      </c>
      <c r="DG427" s="13">
        <f>(28.74*2.819+40*32.875)/CQ427</f>
        <v>39.110720569283345</v>
      </c>
      <c r="DK427" s="13">
        <f>100*((4.337+50.576)-(2.819+32.875))/(4.337+50.576)</f>
        <v>34.998998415675693</v>
      </c>
      <c r="DL427" s="18" t="s">
        <v>96</v>
      </c>
      <c r="DN427" s="1">
        <f t="shared" si="73"/>
        <v>1.1934208477027479</v>
      </c>
      <c r="DO427" s="1">
        <f t="shared" si="74"/>
        <v>0</v>
      </c>
      <c r="DP427" s="1" t="s">
        <v>67</v>
      </c>
      <c r="DQ427" s="1" t="s">
        <v>2</v>
      </c>
      <c r="DR427" s="100">
        <f t="shared" si="75"/>
        <v>89.89</v>
      </c>
      <c r="DS427" s="100">
        <f t="shared" si="76"/>
        <v>1.1934208477027479</v>
      </c>
      <c r="DT427" s="102">
        <f t="shared" si="77"/>
        <v>1072.7660000000001</v>
      </c>
      <c r="DV427" s="100">
        <f t="shared" si="78"/>
        <v>35.694000000000003</v>
      </c>
      <c r="DW427" s="100">
        <f>(BV427*CD427+CQ427*CY427)/DV427</f>
        <v>1.3618577351935899</v>
      </c>
      <c r="DX427" s="101">
        <f>1000*DV427*DW427/100</f>
        <v>486.10149999999993</v>
      </c>
      <c r="DZ427" s="37" t="s">
        <v>2</v>
      </c>
      <c r="EA427" s="37"/>
      <c r="EM427" s="73"/>
      <c r="EN427" s="37"/>
      <c r="EO427" s="37"/>
      <c r="EP427" s="37"/>
      <c r="EQ427" s="37"/>
      <c r="ER427" s="37"/>
      <c r="ES427" s="37"/>
      <c r="ET427" s="37"/>
      <c r="EU427" s="37"/>
      <c r="EV427" s="37"/>
      <c r="EW427" s="37"/>
      <c r="EX427" s="37"/>
      <c r="EY427" s="37"/>
      <c r="EZ427" s="37"/>
      <c r="FA427" s="37"/>
      <c r="FB427" s="37"/>
      <c r="FC427" s="37"/>
      <c r="FD427" s="37"/>
      <c r="FE427" s="37"/>
      <c r="FF427" s="55"/>
      <c r="FG427" s="55"/>
      <c r="FH427" s="55"/>
      <c r="FI427" s="37"/>
      <c r="FJ427" s="55"/>
      <c r="FK427" s="55"/>
      <c r="FL427" s="45"/>
      <c r="FM427" s="37"/>
      <c r="FN427" s="37"/>
      <c r="FO427" s="37"/>
      <c r="FP427" s="55"/>
      <c r="FQ427" s="1" t="s">
        <v>2</v>
      </c>
      <c r="FR427" s="1" t="s">
        <v>31</v>
      </c>
      <c r="FS427" s="1" t="s">
        <v>205</v>
      </c>
      <c r="FT427" s="1" t="s">
        <v>205</v>
      </c>
      <c r="FV427" s="1" t="s">
        <v>2</v>
      </c>
    </row>
    <row r="428" spans="1:178" ht="16.25" customHeight="1" x14ac:dyDescent="0.2">
      <c r="A428" s="25" t="s">
        <v>190</v>
      </c>
      <c r="B428" s="1" t="s">
        <v>75</v>
      </c>
      <c r="C428" s="80" t="s">
        <v>1248</v>
      </c>
      <c r="H428" s="1" t="s">
        <v>1215</v>
      </c>
      <c r="J428" s="1" t="s">
        <v>187</v>
      </c>
      <c r="K428" s="1">
        <v>0</v>
      </c>
      <c r="AF428" s="1">
        <v>9.8970000000000002</v>
      </c>
      <c r="AN428" s="1">
        <v>1.02</v>
      </c>
      <c r="AV428" s="14">
        <f>100*3.5/9.897</f>
        <v>35.364251793472768</v>
      </c>
      <c r="BA428" s="1">
        <v>0</v>
      </c>
      <c r="BV428" s="1">
        <v>0</v>
      </c>
      <c r="CQ428" s="1">
        <v>0</v>
      </c>
      <c r="DL428" s="18" t="s">
        <v>96</v>
      </c>
      <c r="DN428" s="1">
        <f t="shared" si="73"/>
        <v>1.02</v>
      </c>
      <c r="DO428" s="1">
        <f t="shared" si="74"/>
        <v>0</v>
      </c>
      <c r="DP428" s="1" t="s">
        <v>154</v>
      </c>
      <c r="DQ428" s="1" t="s">
        <v>2</v>
      </c>
      <c r="DR428" s="16">
        <f t="shared" si="75"/>
        <v>9.8970000000000002</v>
      </c>
      <c r="DS428" s="100">
        <f t="shared" si="76"/>
        <v>1.02</v>
      </c>
      <c r="DT428" s="101">
        <f t="shared" si="77"/>
        <v>100.94940000000001</v>
      </c>
      <c r="DV428" s="16">
        <f t="shared" si="78"/>
        <v>0</v>
      </c>
      <c r="DZ428" s="37" t="s">
        <v>2</v>
      </c>
      <c r="EA428" s="37"/>
      <c r="EM428" s="73"/>
      <c r="EN428" s="37"/>
      <c r="EO428" s="37"/>
      <c r="EP428" s="37"/>
      <c r="EQ428" s="37"/>
      <c r="ER428" s="37"/>
      <c r="ES428" s="37"/>
      <c r="ET428" s="37"/>
      <c r="EU428" s="37"/>
      <c r="EV428" s="37"/>
      <c r="EW428" s="37"/>
      <c r="EX428" s="37"/>
      <c r="EY428" s="37"/>
      <c r="EZ428" s="37"/>
      <c r="FA428" s="37"/>
      <c r="FB428" s="37"/>
      <c r="FC428" s="37"/>
      <c r="FD428" s="37"/>
      <c r="FE428" s="37"/>
      <c r="FF428" s="55"/>
      <c r="FG428" s="55"/>
      <c r="FH428" s="55"/>
      <c r="FI428" s="37"/>
      <c r="FJ428" s="55"/>
      <c r="FK428" s="55"/>
      <c r="FL428" s="45"/>
      <c r="FM428" s="37"/>
      <c r="FN428" s="37"/>
      <c r="FO428" s="37"/>
      <c r="FP428" s="55"/>
      <c r="FQ428" s="1" t="s">
        <v>2</v>
      </c>
      <c r="FR428" s="1" t="s">
        <v>31</v>
      </c>
      <c r="FS428" s="1" t="s">
        <v>506</v>
      </c>
      <c r="FT428" s="1" t="s">
        <v>506</v>
      </c>
      <c r="FV428" s="1" t="s">
        <v>2</v>
      </c>
    </row>
    <row r="429" spans="1:178" ht="16.25" customHeight="1" x14ac:dyDescent="0.2">
      <c r="A429" s="25" t="s">
        <v>190</v>
      </c>
      <c r="B429" s="1" t="s">
        <v>75</v>
      </c>
      <c r="C429" s="21" t="s">
        <v>1137</v>
      </c>
      <c r="D429" s="1" t="s">
        <v>69</v>
      </c>
      <c r="H429" s="1" t="s">
        <v>1138</v>
      </c>
      <c r="K429" s="1">
        <v>0</v>
      </c>
      <c r="AF429" s="1">
        <v>0</v>
      </c>
      <c r="BA429" s="1">
        <v>87</v>
      </c>
      <c r="BI429" s="1">
        <v>1.37</v>
      </c>
      <c r="BV429" s="1">
        <v>0</v>
      </c>
      <c r="CQ429" s="1">
        <v>0</v>
      </c>
      <c r="DL429" s="18" t="s">
        <v>163</v>
      </c>
      <c r="DN429" s="1">
        <f t="shared" si="73"/>
        <v>1.37</v>
      </c>
      <c r="DO429" s="1">
        <f t="shared" si="74"/>
        <v>0</v>
      </c>
      <c r="DP429" s="1" t="s">
        <v>471</v>
      </c>
      <c r="DQ429" s="1" t="s">
        <v>2</v>
      </c>
      <c r="DR429" s="16">
        <f t="shared" si="75"/>
        <v>87</v>
      </c>
      <c r="DS429" s="100">
        <f t="shared" si="76"/>
        <v>1.37</v>
      </c>
      <c r="DT429" s="102">
        <f t="shared" si="77"/>
        <v>1191.9000000000001</v>
      </c>
      <c r="DV429" s="16">
        <f t="shared" si="78"/>
        <v>0</v>
      </c>
      <c r="DZ429" s="37" t="s">
        <v>2</v>
      </c>
      <c r="EA429" s="37"/>
      <c r="EM429" s="73"/>
      <c r="EN429" s="37"/>
      <c r="EO429" s="37"/>
      <c r="EP429" s="37"/>
      <c r="EQ429" s="37"/>
      <c r="ER429" s="37"/>
      <c r="ES429" s="37"/>
      <c r="ET429" s="37"/>
      <c r="EU429" s="37"/>
      <c r="EV429" s="37"/>
      <c r="EW429" s="37"/>
      <c r="EX429" s="37"/>
      <c r="EY429" s="37"/>
      <c r="EZ429" s="37"/>
      <c r="FA429" s="37"/>
      <c r="FB429" s="37"/>
      <c r="FC429" s="37"/>
      <c r="FD429" s="37"/>
      <c r="FE429" s="37"/>
      <c r="FF429" s="55"/>
      <c r="FG429" s="55"/>
      <c r="FH429" s="55"/>
      <c r="FI429" s="37"/>
      <c r="FJ429" s="55"/>
      <c r="FK429" s="55"/>
      <c r="FL429" s="45"/>
      <c r="FM429" s="37"/>
      <c r="FN429" s="37"/>
      <c r="FO429" s="37"/>
      <c r="FP429" s="55"/>
      <c r="FQ429" s="1" t="s">
        <v>2</v>
      </c>
      <c r="FR429" s="1" t="s">
        <v>31</v>
      </c>
      <c r="FS429" s="1" t="s">
        <v>506</v>
      </c>
      <c r="FV429" s="1" t="s">
        <v>2</v>
      </c>
    </row>
    <row r="430" spans="1:178" ht="16.25" customHeight="1" x14ac:dyDescent="0.2">
      <c r="A430" s="25" t="s">
        <v>190</v>
      </c>
      <c r="B430" s="1" t="s">
        <v>75</v>
      </c>
      <c r="C430" s="21" t="s">
        <v>286</v>
      </c>
      <c r="D430" s="1" t="s">
        <v>69</v>
      </c>
      <c r="G430" s="1" t="s">
        <v>72</v>
      </c>
      <c r="H430" s="1" t="s">
        <v>151</v>
      </c>
      <c r="K430" s="1">
        <v>0</v>
      </c>
      <c r="AF430" s="1">
        <v>0</v>
      </c>
      <c r="BA430" s="1">
        <v>200</v>
      </c>
      <c r="BI430" s="1" t="s">
        <v>531</v>
      </c>
      <c r="BJ430" s="1">
        <v>0.06</v>
      </c>
      <c r="BV430" s="1">
        <v>0</v>
      </c>
      <c r="CQ430" s="1">
        <v>0</v>
      </c>
      <c r="DL430" s="18" t="s">
        <v>163</v>
      </c>
      <c r="DM430" s="1" t="s">
        <v>163</v>
      </c>
      <c r="DN430" s="1">
        <f t="shared" si="73"/>
        <v>1.3</v>
      </c>
      <c r="DO430" s="1">
        <f t="shared" si="74"/>
        <v>0.06</v>
      </c>
      <c r="DP430" s="1" t="s">
        <v>471</v>
      </c>
      <c r="DQ430" s="1" t="s">
        <v>2</v>
      </c>
      <c r="DR430" s="16">
        <f t="shared" si="75"/>
        <v>200</v>
      </c>
      <c r="DS430" s="100">
        <f t="shared" si="76"/>
        <v>1.3</v>
      </c>
      <c r="DT430" s="102">
        <f t="shared" si="77"/>
        <v>2600</v>
      </c>
      <c r="DV430" s="16">
        <f t="shared" si="78"/>
        <v>0</v>
      </c>
      <c r="DZ430" s="37" t="s">
        <v>2</v>
      </c>
      <c r="EA430" s="37"/>
      <c r="EM430" s="73"/>
      <c r="EN430" s="37"/>
      <c r="EO430" s="37"/>
      <c r="EP430" s="37"/>
      <c r="EQ430" s="37"/>
      <c r="ER430" s="37"/>
      <c r="ES430" s="37"/>
      <c r="ET430" s="37"/>
      <c r="EU430" s="37"/>
      <c r="EV430" s="37"/>
      <c r="EW430" s="37"/>
      <c r="EX430" s="37"/>
      <c r="EY430" s="37"/>
      <c r="EZ430" s="37"/>
      <c r="FA430" s="37"/>
      <c r="FB430" s="37"/>
      <c r="FC430" s="37"/>
      <c r="FD430" s="37"/>
      <c r="FE430" s="37"/>
      <c r="FF430" s="55"/>
      <c r="FG430" s="55"/>
      <c r="FH430" s="55"/>
      <c r="FI430" s="37"/>
      <c r="FJ430" s="55"/>
      <c r="FK430" s="55"/>
      <c r="FL430" s="45"/>
      <c r="FM430" s="37"/>
      <c r="FN430" s="37"/>
      <c r="FO430" s="37"/>
      <c r="FP430" s="55"/>
      <c r="FQ430" s="1" t="s">
        <v>2</v>
      </c>
      <c r="FR430" s="1" t="s">
        <v>31</v>
      </c>
      <c r="FS430" s="1" t="s">
        <v>506</v>
      </c>
      <c r="FT430" s="1" t="s">
        <v>506</v>
      </c>
      <c r="FV430" s="1" t="s">
        <v>2</v>
      </c>
    </row>
    <row r="431" spans="1:178" ht="16.25" customHeight="1" x14ac:dyDescent="0.2">
      <c r="A431" s="25" t="s">
        <v>190</v>
      </c>
      <c r="B431" s="1" t="s">
        <v>75</v>
      </c>
      <c r="C431" s="80" t="s">
        <v>1274</v>
      </c>
      <c r="D431" s="1" t="s">
        <v>69</v>
      </c>
      <c r="H431" s="1" t="s">
        <v>1275</v>
      </c>
      <c r="J431" s="1" t="s">
        <v>204</v>
      </c>
      <c r="K431" s="1">
        <v>0</v>
      </c>
      <c r="AF431" s="14">
        <v>198.863</v>
      </c>
      <c r="AN431" s="1">
        <v>0.86</v>
      </c>
      <c r="AO431" s="1">
        <v>0.05</v>
      </c>
      <c r="AU431" s="13">
        <f>2.02*(2*52/(2*52+3*16.001))</f>
        <v>1.3820779853029219</v>
      </c>
      <c r="AV431" s="14">
        <v>26</v>
      </c>
      <c r="AW431" s="1">
        <v>25.49</v>
      </c>
      <c r="BA431" s="1">
        <v>0</v>
      </c>
      <c r="BV431" s="1">
        <v>0</v>
      </c>
      <c r="CQ431" s="14">
        <v>126.27</v>
      </c>
      <c r="CY431" s="1">
        <v>0.95</v>
      </c>
      <c r="CZ431" s="1">
        <v>0.06</v>
      </c>
      <c r="DL431" s="18" t="s">
        <v>96</v>
      </c>
      <c r="DM431" s="1" t="s">
        <v>96</v>
      </c>
      <c r="DN431" s="1">
        <f t="shared" si="73"/>
        <v>0.86</v>
      </c>
      <c r="DO431" s="1">
        <f t="shared" si="74"/>
        <v>0.05</v>
      </c>
      <c r="DP431" s="1" t="s">
        <v>534</v>
      </c>
      <c r="DQ431" s="1" t="s">
        <v>2</v>
      </c>
      <c r="DR431" s="101">
        <f t="shared" si="75"/>
        <v>198.863</v>
      </c>
      <c r="DS431" s="100">
        <f t="shared" si="76"/>
        <v>0.86</v>
      </c>
      <c r="DT431" s="102">
        <f t="shared" si="77"/>
        <v>1710.2218</v>
      </c>
      <c r="DV431" s="101">
        <f t="shared" si="78"/>
        <v>126.27</v>
      </c>
      <c r="DW431" s="100">
        <f>(BV431*CD431+CQ431*CY431)/DV431</f>
        <v>0.95</v>
      </c>
      <c r="DX431" s="102">
        <f>1000*DV431*DW431/100</f>
        <v>1199.5650000000001</v>
      </c>
      <c r="DZ431" s="37" t="s">
        <v>2</v>
      </c>
      <c r="EA431" s="37"/>
      <c r="EM431" s="73"/>
      <c r="EN431" s="37"/>
      <c r="EO431" s="37"/>
      <c r="EP431" s="37"/>
      <c r="EQ431" s="37"/>
      <c r="ER431" s="37"/>
      <c r="ES431" s="37"/>
      <c r="ET431" s="37"/>
      <c r="EU431" s="37"/>
      <c r="EV431" s="37"/>
      <c r="EW431" s="37"/>
      <c r="EX431" s="37"/>
      <c r="EY431" s="37"/>
      <c r="EZ431" s="37"/>
      <c r="FA431" s="37"/>
      <c r="FB431" s="37"/>
      <c r="FC431" s="37"/>
      <c r="FD431" s="37"/>
      <c r="FE431" s="37"/>
      <c r="FF431" s="55"/>
      <c r="FG431" s="55"/>
      <c r="FH431" s="55"/>
      <c r="FI431" s="37"/>
      <c r="FJ431" s="55"/>
      <c r="FK431" s="55"/>
      <c r="FL431" s="45"/>
      <c r="FM431" s="37"/>
      <c r="FN431" s="37"/>
      <c r="FO431" s="37"/>
      <c r="FP431" s="55"/>
      <c r="FQ431" s="1" t="s">
        <v>2</v>
      </c>
      <c r="FR431" s="1" t="s">
        <v>31</v>
      </c>
      <c r="FS431" s="1" t="s">
        <v>506</v>
      </c>
      <c r="FT431" s="1" t="s">
        <v>506</v>
      </c>
      <c r="FV431" s="1" t="s">
        <v>2</v>
      </c>
    </row>
    <row r="432" spans="1:178" ht="16.25" customHeight="1" x14ac:dyDescent="0.2">
      <c r="A432" s="25" t="s">
        <v>190</v>
      </c>
      <c r="B432" s="1" t="s">
        <v>75</v>
      </c>
      <c r="C432" s="21" t="s">
        <v>483</v>
      </c>
      <c r="D432" s="1" t="s">
        <v>64</v>
      </c>
      <c r="H432" s="1" t="s">
        <v>474</v>
      </c>
      <c r="K432" s="1">
        <v>0</v>
      </c>
      <c r="AF432" s="1">
        <v>0</v>
      </c>
      <c r="BA432" s="1">
        <v>43.37</v>
      </c>
      <c r="BI432" s="13">
        <v>1.2</v>
      </c>
      <c r="BV432" s="1">
        <v>0</v>
      </c>
      <c r="CQ432" s="1">
        <v>0</v>
      </c>
      <c r="DL432" s="18" t="s">
        <v>96</v>
      </c>
      <c r="DN432" s="1">
        <f t="shared" si="73"/>
        <v>1.2</v>
      </c>
      <c r="DO432" s="1">
        <f t="shared" si="74"/>
        <v>0</v>
      </c>
      <c r="DP432" s="1" t="s">
        <v>156</v>
      </c>
      <c r="DQ432" s="1" t="s">
        <v>2</v>
      </c>
      <c r="DR432" s="16">
        <f t="shared" si="75"/>
        <v>43.37</v>
      </c>
      <c r="DS432" s="100">
        <f t="shared" si="76"/>
        <v>1.2</v>
      </c>
      <c r="DT432" s="101">
        <f t="shared" si="77"/>
        <v>520.44000000000005</v>
      </c>
      <c r="DV432" s="16">
        <f t="shared" si="78"/>
        <v>0</v>
      </c>
      <c r="DZ432" s="37" t="s">
        <v>2</v>
      </c>
      <c r="EA432" s="37"/>
      <c r="EM432" s="73"/>
      <c r="EN432" s="37"/>
      <c r="EO432" s="37"/>
      <c r="EP432" s="37"/>
      <c r="EQ432" s="37"/>
      <c r="ER432" s="37"/>
      <c r="ES432" s="37"/>
      <c r="ET432" s="37"/>
      <c r="EU432" s="37"/>
      <c r="EV432" s="37"/>
      <c r="EW432" s="37"/>
      <c r="EX432" s="37"/>
      <c r="EY432" s="37"/>
      <c r="EZ432" s="37"/>
      <c r="FA432" s="37"/>
      <c r="FB432" s="37"/>
      <c r="FC432" s="37"/>
      <c r="FD432" s="37"/>
      <c r="FE432" s="37"/>
      <c r="FF432" s="55"/>
      <c r="FG432" s="55"/>
      <c r="FH432" s="55"/>
      <c r="FI432" s="37"/>
      <c r="FJ432" s="55"/>
      <c r="FK432" s="55"/>
      <c r="FL432" s="45"/>
      <c r="FM432" s="37"/>
      <c r="FN432" s="37"/>
      <c r="FO432" s="37"/>
      <c r="FP432" s="55"/>
      <c r="FQ432" s="1" t="s">
        <v>2</v>
      </c>
      <c r="FR432" s="1" t="s">
        <v>31</v>
      </c>
      <c r="FS432" s="1" t="s">
        <v>506</v>
      </c>
      <c r="FT432" s="1" t="s">
        <v>506</v>
      </c>
      <c r="FV432" s="1" t="s">
        <v>2</v>
      </c>
    </row>
    <row r="433" spans="1:178" ht="16.25" customHeight="1" x14ac:dyDescent="0.2">
      <c r="A433" s="25" t="s">
        <v>190</v>
      </c>
      <c r="B433" s="1" t="s">
        <v>75</v>
      </c>
      <c r="C433" s="21" t="s">
        <v>484</v>
      </c>
      <c r="D433" s="1" t="s">
        <v>64</v>
      </c>
      <c r="H433" s="1" t="s">
        <v>474</v>
      </c>
      <c r="J433" s="1" t="s">
        <v>216</v>
      </c>
      <c r="K433" s="1">
        <v>0</v>
      </c>
      <c r="AF433" s="1">
        <v>0</v>
      </c>
      <c r="BA433" s="1">
        <v>24</v>
      </c>
      <c r="BI433" s="1">
        <v>1.68</v>
      </c>
      <c r="BV433" s="1">
        <v>0</v>
      </c>
      <c r="CQ433" s="1">
        <v>0</v>
      </c>
      <c r="DL433" s="18" t="s">
        <v>163</v>
      </c>
      <c r="DN433" s="1">
        <f t="shared" si="73"/>
        <v>1.68</v>
      </c>
      <c r="DO433" s="1">
        <f t="shared" si="74"/>
        <v>0</v>
      </c>
      <c r="DP433" s="1" t="s">
        <v>471</v>
      </c>
      <c r="DQ433" s="1" t="s">
        <v>2</v>
      </c>
      <c r="DR433" s="16">
        <f t="shared" si="75"/>
        <v>24</v>
      </c>
      <c r="DS433" s="100">
        <f t="shared" si="76"/>
        <v>1.68</v>
      </c>
      <c r="DT433" s="101">
        <f t="shared" si="77"/>
        <v>403.2</v>
      </c>
      <c r="DV433" s="16">
        <f t="shared" si="78"/>
        <v>0</v>
      </c>
      <c r="DZ433" s="37" t="s">
        <v>2</v>
      </c>
      <c r="EA433" s="37"/>
      <c r="EM433" s="73"/>
      <c r="EN433" s="37"/>
      <c r="EO433" s="37"/>
      <c r="EP433" s="37"/>
      <c r="EQ433" s="37"/>
      <c r="ER433" s="37"/>
      <c r="ES433" s="37"/>
      <c r="ET433" s="37"/>
      <c r="EU433" s="37"/>
      <c r="EV433" s="37"/>
      <c r="EW433" s="37"/>
      <c r="EX433" s="37"/>
      <c r="EY433" s="37"/>
      <c r="EZ433" s="37"/>
      <c r="FA433" s="37"/>
      <c r="FB433" s="37"/>
      <c r="FC433" s="37"/>
      <c r="FD433" s="37"/>
      <c r="FE433" s="37"/>
      <c r="FF433" s="55"/>
      <c r="FG433" s="55"/>
      <c r="FH433" s="55"/>
      <c r="FI433" s="37"/>
      <c r="FJ433" s="55"/>
      <c r="FK433" s="55"/>
      <c r="FL433" s="45"/>
      <c r="FM433" s="37"/>
      <c r="FN433" s="37"/>
      <c r="FO433" s="37"/>
      <c r="FP433" s="55"/>
      <c r="FQ433" s="1" t="s">
        <v>2</v>
      </c>
      <c r="FR433" s="1" t="s">
        <v>31</v>
      </c>
      <c r="FS433" s="1" t="s">
        <v>506</v>
      </c>
      <c r="FV433" s="1" t="s">
        <v>2</v>
      </c>
    </row>
    <row r="434" spans="1:178" ht="16.25" customHeight="1" x14ac:dyDescent="0.2">
      <c r="A434" s="25" t="s">
        <v>190</v>
      </c>
      <c r="B434" s="1" t="s">
        <v>75</v>
      </c>
      <c r="C434" s="21" t="s">
        <v>577</v>
      </c>
      <c r="D434" s="1" t="s">
        <v>69</v>
      </c>
      <c r="G434" s="1" t="s">
        <v>72</v>
      </c>
      <c r="H434" s="1" t="s">
        <v>466</v>
      </c>
      <c r="J434" s="1" t="s">
        <v>216</v>
      </c>
      <c r="K434" s="1">
        <v>0</v>
      </c>
      <c r="AF434" s="1">
        <v>0</v>
      </c>
      <c r="BA434" s="1">
        <v>35</v>
      </c>
      <c r="BI434" s="1">
        <v>0.65</v>
      </c>
      <c r="BV434" s="1">
        <v>0</v>
      </c>
      <c r="CQ434" s="1">
        <v>0</v>
      </c>
      <c r="DL434" s="18" t="s">
        <v>163</v>
      </c>
      <c r="DN434" s="1">
        <f t="shared" si="73"/>
        <v>0.65</v>
      </c>
      <c r="DO434" s="1">
        <f t="shared" si="74"/>
        <v>0</v>
      </c>
      <c r="DP434" s="1" t="s">
        <v>471</v>
      </c>
      <c r="DQ434" s="1" t="s">
        <v>2</v>
      </c>
      <c r="DR434" s="16">
        <f t="shared" si="75"/>
        <v>35</v>
      </c>
      <c r="DS434" s="100">
        <f t="shared" si="76"/>
        <v>0.65</v>
      </c>
      <c r="DT434" s="101">
        <f t="shared" si="77"/>
        <v>227.5</v>
      </c>
      <c r="DV434" s="16">
        <f t="shared" si="78"/>
        <v>0</v>
      </c>
      <c r="DZ434" s="37" t="s">
        <v>2</v>
      </c>
      <c r="EA434" s="37"/>
      <c r="EM434" s="73"/>
      <c r="EN434" s="37"/>
      <c r="EO434" s="37"/>
      <c r="EP434" s="37"/>
      <c r="EQ434" s="37"/>
      <c r="ER434" s="37"/>
      <c r="ES434" s="37"/>
      <c r="ET434" s="37"/>
      <c r="EU434" s="37"/>
      <c r="EV434" s="37"/>
      <c r="EW434" s="37"/>
      <c r="EX434" s="37"/>
      <c r="EY434" s="37"/>
      <c r="EZ434" s="37"/>
      <c r="FA434" s="37"/>
      <c r="FB434" s="37"/>
      <c r="FC434" s="37"/>
      <c r="FD434" s="37"/>
      <c r="FE434" s="37"/>
      <c r="FF434" s="55"/>
      <c r="FG434" s="55"/>
      <c r="FH434" s="55"/>
      <c r="FI434" s="37"/>
      <c r="FJ434" s="55"/>
      <c r="FK434" s="55"/>
      <c r="FL434" s="45"/>
      <c r="FM434" s="37"/>
      <c r="FN434" s="37"/>
      <c r="FO434" s="37"/>
      <c r="FP434" s="55"/>
      <c r="FQ434" s="1" t="s">
        <v>2</v>
      </c>
      <c r="FR434" s="1" t="s">
        <v>31</v>
      </c>
      <c r="FS434" s="1" t="s">
        <v>506</v>
      </c>
      <c r="FT434" s="1" t="s">
        <v>506</v>
      </c>
      <c r="FV434" s="1" t="s">
        <v>2</v>
      </c>
    </row>
    <row r="435" spans="1:178" ht="16.25" customHeight="1" x14ac:dyDescent="0.2">
      <c r="A435" s="25" t="s">
        <v>190</v>
      </c>
      <c r="B435" s="1" t="s">
        <v>75</v>
      </c>
      <c r="C435" s="80" t="s">
        <v>395</v>
      </c>
      <c r="D435" s="1" t="s">
        <v>69</v>
      </c>
      <c r="G435" s="1" t="s">
        <v>65</v>
      </c>
      <c r="H435" s="1" t="s">
        <v>153</v>
      </c>
      <c r="J435" s="1" t="s">
        <v>187</v>
      </c>
      <c r="K435" s="1">
        <v>0</v>
      </c>
      <c r="AF435" s="1">
        <v>0</v>
      </c>
      <c r="BA435" s="1">
        <v>42.38</v>
      </c>
      <c r="BI435" s="1">
        <v>1.1599999999999999</v>
      </c>
      <c r="BV435" s="1">
        <v>0</v>
      </c>
      <c r="CQ435" s="1">
        <v>0</v>
      </c>
      <c r="DL435" s="18" t="s">
        <v>163</v>
      </c>
      <c r="DN435" s="1">
        <f t="shared" si="73"/>
        <v>1.1599999999999999</v>
      </c>
      <c r="DO435" s="1">
        <f t="shared" si="74"/>
        <v>0</v>
      </c>
      <c r="DP435" s="1" t="s">
        <v>502</v>
      </c>
      <c r="DQ435" s="1" t="s">
        <v>2</v>
      </c>
      <c r="DR435" s="16">
        <f t="shared" si="75"/>
        <v>42.38</v>
      </c>
      <c r="DS435" s="100">
        <f t="shared" si="76"/>
        <v>1.1599999999999999</v>
      </c>
      <c r="DT435" s="101">
        <f t="shared" si="77"/>
        <v>491.60799999999995</v>
      </c>
      <c r="DV435" s="16">
        <f t="shared" si="78"/>
        <v>0</v>
      </c>
      <c r="DZ435" s="37" t="s">
        <v>2</v>
      </c>
      <c r="EA435" s="37"/>
      <c r="EM435" s="73"/>
      <c r="EN435" s="37"/>
      <c r="EO435" s="37"/>
      <c r="EP435" s="37"/>
      <c r="EQ435" s="37"/>
      <c r="ER435" s="37"/>
      <c r="ES435" s="37"/>
      <c r="ET435" s="37"/>
      <c r="EU435" s="37"/>
      <c r="EV435" s="37"/>
      <c r="EW435" s="37"/>
      <c r="EX435" s="37"/>
      <c r="EY435" s="37"/>
      <c r="EZ435" s="37"/>
      <c r="FA435" s="37"/>
      <c r="FB435" s="37"/>
      <c r="FC435" s="37"/>
      <c r="FD435" s="37"/>
      <c r="FE435" s="37"/>
      <c r="FF435" s="55"/>
      <c r="FG435" s="55"/>
      <c r="FH435" s="55"/>
      <c r="FI435" s="37"/>
      <c r="FJ435" s="55"/>
      <c r="FK435" s="55"/>
      <c r="FL435" s="45"/>
      <c r="FM435" s="37"/>
      <c r="FN435" s="37"/>
      <c r="FO435" s="37"/>
      <c r="FP435" s="55"/>
      <c r="FQ435" s="1" t="s">
        <v>2</v>
      </c>
      <c r="FR435" s="1" t="s">
        <v>31</v>
      </c>
      <c r="FS435" s="1" t="s">
        <v>506</v>
      </c>
      <c r="FT435" s="1" t="s">
        <v>506</v>
      </c>
      <c r="FV435" s="1" t="s">
        <v>2</v>
      </c>
    </row>
    <row r="436" spans="1:178" ht="16.25" customHeight="1" x14ac:dyDescent="0.2">
      <c r="A436" s="25" t="s">
        <v>190</v>
      </c>
      <c r="B436" s="1" t="s">
        <v>75</v>
      </c>
      <c r="C436" s="21" t="s">
        <v>529</v>
      </c>
      <c r="D436" s="1" t="s">
        <v>69</v>
      </c>
      <c r="G436" s="1" t="s">
        <v>72</v>
      </c>
      <c r="H436" s="1" t="s">
        <v>530</v>
      </c>
      <c r="J436" s="1" t="s">
        <v>211</v>
      </c>
      <c r="K436" s="1">
        <v>0</v>
      </c>
      <c r="AF436" s="1">
        <v>0</v>
      </c>
      <c r="BA436" s="1">
        <v>7.26</v>
      </c>
      <c r="BI436" s="1">
        <v>1.54</v>
      </c>
      <c r="BV436" s="1">
        <v>0</v>
      </c>
      <c r="CQ436" s="1">
        <v>0</v>
      </c>
      <c r="DL436" s="18" t="s">
        <v>96</v>
      </c>
      <c r="DN436" s="1">
        <f t="shared" si="73"/>
        <v>1.54</v>
      </c>
      <c r="DO436" s="1">
        <f t="shared" si="74"/>
        <v>0</v>
      </c>
      <c r="DP436" s="1" t="s">
        <v>156</v>
      </c>
      <c r="DQ436" s="1" t="s">
        <v>2</v>
      </c>
      <c r="DR436" s="16">
        <f t="shared" si="75"/>
        <v>7.26</v>
      </c>
      <c r="DS436" s="100">
        <f t="shared" si="76"/>
        <v>1.54</v>
      </c>
      <c r="DT436" s="101">
        <f t="shared" si="77"/>
        <v>111.804</v>
      </c>
      <c r="DV436" s="16">
        <f t="shared" si="78"/>
        <v>0</v>
      </c>
      <c r="DZ436" s="37" t="s">
        <v>2</v>
      </c>
      <c r="EA436" s="37"/>
      <c r="EM436" s="73"/>
      <c r="EN436" s="37"/>
      <c r="EO436" s="37"/>
      <c r="EP436" s="37"/>
      <c r="EQ436" s="37"/>
      <c r="ER436" s="37"/>
      <c r="ES436" s="37"/>
      <c r="ET436" s="37"/>
      <c r="EU436" s="37"/>
      <c r="EV436" s="37"/>
      <c r="EW436" s="37"/>
      <c r="EX436" s="37"/>
      <c r="EY436" s="37"/>
      <c r="EZ436" s="37"/>
      <c r="FA436" s="37"/>
      <c r="FB436" s="37"/>
      <c r="FC436" s="37"/>
      <c r="FD436" s="37"/>
      <c r="FE436" s="37"/>
      <c r="FF436" s="55"/>
      <c r="FG436" s="55"/>
      <c r="FH436" s="55"/>
      <c r="FI436" s="37"/>
      <c r="FJ436" s="55"/>
      <c r="FK436" s="55"/>
      <c r="FL436" s="45"/>
      <c r="FM436" s="37"/>
      <c r="FN436" s="37"/>
      <c r="FO436" s="37"/>
      <c r="FP436" s="55"/>
      <c r="FQ436" s="1" t="s">
        <v>2</v>
      </c>
      <c r="FR436" s="1" t="s">
        <v>31</v>
      </c>
      <c r="FS436" s="1" t="s">
        <v>506</v>
      </c>
      <c r="FT436" s="1" t="s">
        <v>506</v>
      </c>
      <c r="FV436" s="1" t="s">
        <v>2</v>
      </c>
    </row>
    <row r="437" spans="1:178" ht="16.25" customHeight="1" x14ac:dyDescent="0.2">
      <c r="A437" s="25" t="s">
        <v>190</v>
      </c>
      <c r="B437" s="1" t="s">
        <v>75</v>
      </c>
      <c r="C437" s="21" t="s">
        <v>485</v>
      </c>
      <c r="D437" s="1" t="s">
        <v>69</v>
      </c>
      <c r="H437" s="1" t="s">
        <v>474</v>
      </c>
      <c r="J437" s="1" t="s">
        <v>187</v>
      </c>
      <c r="K437" s="1">
        <v>0</v>
      </c>
      <c r="AF437" s="1">
        <v>0</v>
      </c>
      <c r="BA437" s="14">
        <v>21</v>
      </c>
      <c r="BI437" s="13">
        <v>1.1000000000000001</v>
      </c>
      <c r="BV437" s="1">
        <v>0</v>
      </c>
      <c r="CQ437" s="1">
        <v>0</v>
      </c>
      <c r="DL437" s="18" t="s">
        <v>163</v>
      </c>
      <c r="DN437" s="1">
        <f t="shared" si="73"/>
        <v>1.1000000000000001</v>
      </c>
      <c r="DO437" s="1">
        <f t="shared" si="74"/>
        <v>0</v>
      </c>
      <c r="DP437" s="1" t="s">
        <v>502</v>
      </c>
      <c r="DQ437" s="1" t="s">
        <v>2</v>
      </c>
      <c r="DR437" s="16">
        <f t="shared" si="75"/>
        <v>21</v>
      </c>
      <c r="DS437" s="100">
        <f t="shared" si="76"/>
        <v>1.1000000000000001</v>
      </c>
      <c r="DT437" s="101">
        <f t="shared" si="77"/>
        <v>231.00000000000003</v>
      </c>
      <c r="DV437" s="16">
        <f t="shared" si="78"/>
        <v>0</v>
      </c>
      <c r="DZ437" s="37" t="s">
        <v>2</v>
      </c>
      <c r="EA437" s="37"/>
      <c r="EM437" s="73"/>
      <c r="EN437" s="37"/>
      <c r="EO437" s="37"/>
      <c r="EP437" s="37"/>
      <c r="EQ437" s="37"/>
      <c r="ER437" s="37"/>
      <c r="ES437" s="37"/>
      <c r="ET437" s="37"/>
      <c r="EU437" s="37"/>
      <c r="EV437" s="37"/>
      <c r="EW437" s="37"/>
      <c r="EX437" s="37"/>
      <c r="EY437" s="37"/>
      <c r="EZ437" s="37"/>
      <c r="FA437" s="37"/>
      <c r="FB437" s="37"/>
      <c r="FC437" s="37"/>
      <c r="FD437" s="37"/>
      <c r="FE437" s="37"/>
      <c r="FF437" s="55"/>
      <c r="FG437" s="55"/>
      <c r="FH437" s="55"/>
      <c r="FI437" s="37"/>
      <c r="FJ437" s="55"/>
      <c r="FK437" s="55"/>
      <c r="FL437" s="45"/>
      <c r="FM437" s="37"/>
      <c r="FN437" s="37"/>
      <c r="FO437" s="37"/>
      <c r="FP437" s="55"/>
      <c r="FQ437" s="1" t="s">
        <v>2</v>
      </c>
      <c r="FR437" s="1" t="s">
        <v>31</v>
      </c>
      <c r="FS437" s="1" t="s">
        <v>506</v>
      </c>
      <c r="FV437" s="1" t="s">
        <v>2</v>
      </c>
    </row>
    <row r="438" spans="1:178" ht="16.25" customHeight="1" x14ac:dyDescent="0.2">
      <c r="A438" s="25" t="s">
        <v>190</v>
      </c>
      <c r="B438" s="1" t="s">
        <v>75</v>
      </c>
      <c r="C438" s="21" t="s">
        <v>486</v>
      </c>
      <c r="D438" s="1" t="s">
        <v>69</v>
      </c>
      <c r="H438" s="1" t="s">
        <v>474</v>
      </c>
      <c r="J438" s="1" t="s">
        <v>187</v>
      </c>
      <c r="K438" s="1">
        <v>0</v>
      </c>
      <c r="AE438" s="14">
        <f>100*(63.657-39.46734)/63.657</f>
        <v>37.999999999999993</v>
      </c>
      <c r="AF438" s="13">
        <v>39.46734</v>
      </c>
      <c r="AN438" s="1">
        <v>0.88</v>
      </c>
      <c r="AV438" s="1">
        <v>44.23</v>
      </c>
      <c r="AZ438" s="14">
        <f>100*(4.673-2.89726)/4.673</f>
        <v>37.999999999999993</v>
      </c>
      <c r="BA438" s="13">
        <v>2.8972600000000002</v>
      </c>
      <c r="BI438" s="13">
        <v>1.3</v>
      </c>
      <c r="BQ438" s="13">
        <v>12.9</v>
      </c>
      <c r="BV438" s="1">
        <v>0</v>
      </c>
      <c r="CQ438" s="1">
        <v>0</v>
      </c>
      <c r="DL438" s="18" t="s">
        <v>96</v>
      </c>
      <c r="DN438" s="1">
        <f t="shared" si="73"/>
        <v>0.90872325479291682</v>
      </c>
      <c r="DO438" s="1">
        <f t="shared" si="74"/>
        <v>0</v>
      </c>
      <c r="DP438" s="1" t="s">
        <v>561</v>
      </c>
      <c r="DQ438" s="1" t="s">
        <v>2</v>
      </c>
      <c r="DR438" s="100">
        <f t="shared" si="75"/>
        <v>42.364600000000003</v>
      </c>
      <c r="DS438" s="100">
        <f t="shared" si="76"/>
        <v>0.90872325479291682</v>
      </c>
      <c r="DT438" s="101">
        <f t="shared" si="77"/>
        <v>384.9769720000001</v>
      </c>
      <c r="DV438" s="16">
        <f t="shared" si="78"/>
        <v>0</v>
      </c>
      <c r="DZ438" s="37" t="s">
        <v>2</v>
      </c>
      <c r="EA438" s="37"/>
      <c r="EM438" s="73"/>
      <c r="EN438" s="37"/>
      <c r="EO438" s="37"/>
      <c r="EP438" s="37"/>
      <c r="EQ438" s="37"/>
      <c r="ER438" s="37"/>
      <c r="ES438" s="37"/>
      <c r="ET438" s="37"/>
      <c r="EU438" s="37"/>
      <c r="EV438" s="37"/>
      <c r="EW438" s="37"/>
      <c r="EX438" s="37"/>
      <c r="EY438" s="37"/>
      <c r="EZ438" s="37"/>
      <c r="FA438" s="37"/>
      <c r="FB438" s="37"/>
      <c r="FC438" s="37"/>
      <c r="FD438" s="37"/>
      <c r="FE438" s="37"/>
      <c r="FF438" s="55"/>
      <c r="FG438" s="55"/>
      <c r="FH438" s="55"/>
      <c r="FI438" s="37"/>
      <c r="FJ438" s="55"/>
      <c r="FK438" s="55"/>
      <c r="FL438" s="45"/>
      <c r="FM438" s="37"/>
      <c r="FN438" s="37"/>
      <c r="FO438" s="37"/>
      <c r="FP438" s="55"/>
      <c r="FQ438" s="1" t="s">
        <v>2</v>
      </c>
      <c r="FR438" s="1" t="s">
        <v>31</v>
      </c>
      <c r="FS438" s="1" t="s">
        <v>506</v>
      </c>
      <c r="FV438" s="1" t="s">
        <v>2</v>
      </c>
    </row>
    <row r="439" spans="1:178" ht="16.25" customHeight="1" x14ac:dyDescent="0.2">
      <c r="A439" s="25" t="s">
        <v>190</v>
      </c>
      <c r="B439" s="1" t="s">
        <v>75</v>
      </c>
      <c r="C439" s="21" t="s">
        <v>552</v>
      </c>
      <c r="D439" s="1" t="s">
        <v>69</v>
      </c>
      <c r="G439" s="1" t="s">
        <v>72</v>
      </c>
      <c r="H439" s="1" t="s">
        <v>550</v>
      </c>
      <c r="J439" s="1" t="s">
        <v>187</v>
      </c>
      <c r="K439" s="1">
        <v>2.823</v>
      </c>
      <c r="S439" s="1">
        <v>1.1299999999999999</v>
      </c>
      <c r="AA439" s="1">
        <v>39.49</v>
      </c>
      <c r="AE439" s="14">
        <f>100*(11.473-7.115)/11.473</f>
        <v>37.984833957988322</v>
      </c>
      <c r="AF439" s="1">
        <v>7.1150000000000002</v>
      </c>
      <c r="AN439" s="1">
        <v>1.04</v>
      </c>
      <c r="AV439" s="1">
        <v>33.19</v>
      </c>
      <c r="AZ439" s="14">
        <f>100*(5.027-3.117)/5.027</f>
        <v>37.994827929182414</v>
      </c>
      <c r="BA439" s="1">
        <v>3.117</v>
      </c>
      <c r="BI439" s="1">
        <v>0.95</v>
      </c>
      <c r="BQ439" s="1">
        <v>37.950000000000003</v>
      </c>
      <c r="BV439" s="1">
        <v>0</v>
      </c>
      <c r="CQ439" s="1">
        <v>0</v>
      </c>
      <c r="DL439" s="18" t="s">
        <v>96</v>
      </c>
      <c r="DN439" s="1">
        <f t="shared" si="73"/>
        <v>1.0379731903485254</v>
      </c>
      <c r="DO439" s="1">
        <f t="shared" si="74"/>
        <v>0</v>
      </c>
      <c r="DP439" s="1" t="s">
        <v>561</v>
      </c>
      <c r="DQ439" s="1" t="s">
        <v>2</v>
      </c>
      <c r="DR439" s="16">
        <f t="shared" si="75"/>
        <v>13.055</v>
      </c>
      <c r="DS439" s="100">
        <f t="shared" si="76"/>
        <v>1.0379731903485254</v>
      </c>
      <c r="DT439" s="101">
        <f t="shared" si="77"/>
        <v>135.50739999999999</v>
      </c>
      <c r="DV439" s="16">
        <f t="shared" si="78"/>
        <v>0</v>
      </c>
      <c r="DZ439" s="37" t="s">
        <v>2</v>
      </c>
      <c r="EA439" s="37"/>
      <c r="EM439" s="73"/>
      <c r="EN439" s="37"/>
      <c r="EO439" s="37"/>
      <c r="EP439" s="37"/>
      <c r="EQ439" s="37"/>
      <c r="ER439" s="37"/>
      <c r="ES439" s="37"/>
      <c r="ET439" s="37"/>
      <c r="EU439" s="37"/>
      <c r="EV439" s="37"/>
      <c r="EW439" s="37"/>
      <c r="EX439" s="37"/>
      <c r="EY439" s="37"/>
      <c r="EZ439" s="37"/>
      <c r="FA439" s="37"/>
      <c r="FB439" s="37"/>
      <c r="FC439" s="37"/>
      <c r="FD439" s="37"/>
      <c r="FE439" s="37"/>
      <c r="FF439" s="55"/>
      <c r="FG439" s="55"/>
      <c r="FH439" s="55"/>
      <c r="FI439" s="37"/>
      <c r="FJ439" s="55"/>
      <c r="FK439" s="55"/>
      <c r="FL439" s="45"/>
      <c r="FM439" s="37"/>
      <c r="FN439" s="37"/>
      <c r="FO439" s="37"/>
      <c r="FP439" s="55"/>
      <c r="FQ439" s="1" t="s">
        <v>2</v>
      </c>
      <c r="FR439" s="1" t="s">
        <v>31</v>
      </c>
      <c r="FS439" s="1" t="s">
        <v>506</v>
      </c>
      <c r="FV439" s="1" t="s">
        <v>2</v>
      </c>
    </row>
    <row r="440" spans="1:178" ht="16.25" customHeight="1" x14ac:dyDescent="0.2">
      <c r="A440" s="18" t="s">
        <v>190</v>
      </c>
      <c r="B440" s="1" t="s">
        <v>197</v>
      </c>
      <c r="C440" s="21" t="s">
        <v>1139</v>
      </c>
      <c r="D440" s="1" t="s">
        <v>69</v>
      </c>
      <c r="E440" s="81"/>
      <c r="F440" s="81"/>
      <c r="H440" s="1" t="s">
        <v>1138</v>
      </c>
      <c r="J440" s="1" t="s">
        <v>208</v>
      </c>
      <c r="K440" s="1">
        <v>0</v>
      </c>
      <c r="AF440" s="1">
        <v>0</v>
      </c>
      <c r="BA440" s="1">
        <v>162.5</v>
      </c>
      <c r="BI440" s="1">
        <v>0.94</v>
      </c>
      <c r="BJ440" s="1">
        <v>0.09</v>
      </c>
      <c r="BV440" s="1">
        <v>0</v>
      </c>
      <c r="CQ440" s="1">
        <v>0</v>
      </c>
      <c r="DL440" s="18" t="s">
        <v>96</v>
      </c>
      <c r="DM440" s="1" t="s">
        <v>96</v>
      </c>
      <c r="DN440" s="1">
        <f t="shared" si="73"/>
        <v>0.94</v>
      </c>
      <c r="DO440" s="1">
        <f t="shared" si="74"/>
        <v>0.09</v>
      </c>
      <c r="DP440" s="1" t="s">
        <v>67</v>
      </c>
      <c r="DQ440" s="1" t="s">
        <v>2</v>
      </c>
      <c r="DR440" s="16">
        <f t="shared" si="75"/>
        <v>162.5</v>
      </c>
      <c r="DS440" s="16">
        <f t="shared" si="76"/>
        <v>0.94</v>
      </c>
      <c r="DT440" s="102">
        <f t="shared" si="77"/>
        <v>1527.5</v>
      </c>
      <c r="DV440" s="16">
        <f t="shared" si="78"/>
        <v>0</v>
      </c>
      <c r="DZ440" s="37" t="s">
        <v>2</v>
      </c>
      <c r="EA440" s="37" t="s">
        <v>197</v>
      </c>
      <c r="EM440" s="73" t="s">
        <v>197</v>
      </c>
      <c r="EN440" s="37"/>
      <c r="EO440" s="37"/>
      <c r="EP440" s="37"/>
      <c r="EQ440" s="37"/>
      <c r="ER440" s="37"/>
      <c r="ES440" s="37"/>
      <c r="ET440" s="37"/>
      <c r="EU440" s="37"/>
      <c r="EV440" s="37"/>
      <c r="EW440" s="37"/>
      <c r="EX440" s="37"/>
      <c r="EY440" s="37"/>
      <c r="EZ440" s="37"/>
      <c r="FA440" s="37"/>
      <c r="FB440" s="37"/>
      <c r="FC440" s="37"/>
      <c r="FD440" s="37"/>
      <c r="FE440" s="37"/>
      <c r="FF440" s="55"/>
      <c r="FG440" s="55"/>
      <c r="FH440" s="55"/>
      <c r="FI440" s="37"/>
      <c r="FJ440" s="55"/>
      <c r="FK440" s="55"/>
      <c r="FL440" s="45"/>
      <c r="FM440" s="37"/>
      <c r="FN440" s="37"/>
      <c r="FO440" s="37"/>
      <c r="FP440" s="55" t="s">
        <v>197</v>
      </c>
      <c r="FQ440" s="1" t="s">
        <v>2</v>
      </c>
      <c r="FR440" s="1" t="s">
        <v>31</v>
      </c>
      <c r="FS440" s="1" t="s">
        <v>193</v>
      </c>
      <c r="FT440" s="1" t="s">
        <v>193</v>
      </c>
      <c r="FV440" s="1" t="s">
        <v>2</v>
      </c>
    </row>
    <row r="441" spans="1:178" ht="16.25" customHeight="1" x14ac:dyDescent="0.2">
      <c r="A441" s="18" t="s">
        <v>190</v>
      </c>
      <c r="B441" s="1" t="s">
        <v>197</v>
      </c>
      <c r="C441" s="80" t="s">
        <v>965</v>
      </c>
      <c r="D441" s="1" t="s">
        <v>69</v>
      </c>
      <c r="E441" s="81"/>
      <c r="F441" s="81"/>
      <c r="H441" s="1" t="s">
        <v>131</v>
      </c>
      <c r="J441" s="1" t="s">
        <v>204</v>
      </c>
      <c r="K441" s="1">
        <v>34</v>
      </c>
      <c r="S441" s="1">
        <v>0.9</v>
      </c>
      <c r="T441" s="1">
        <v>0.1</v>
      </c>
      <c r="AF441" s="1">
        <v>42</v>
      </c>
      <c r="AN441" s="1">
        <v>0.9</v>
      </c>
      <c r="AO441" s="1">
        <v>0.1</v>
      </c>
      <c r="BA441" s="1">
        <v>60</v>
      </c>
      <c r="BI441" s="14">
        <v>1</v>
      </c>
      <c r="BJ441" s="1">
        <v>0.1</v>
      </c>
      <c r="BV441" s="1">
        <v>24</v>
      </c>
      <c r="CD441" s="1">
        <v>0.9</v>
      </c>
      <c r="CE441" s="1">
        <v>0.1</v>
      </c>
      <c r="CL441" s="1">
        <v>33</v>
      </c>
      <c r="CM441" s="1">
        <v>0.9</v>
      </c>
      <c r="CQ441" s="1">
        <v>33</v>
      </c>
      <c r="CY441" s="1">
        <v>0.9</v>
      </c>
      <c r="CZ441" s="1">
        <v>0.1</v>
      </c>
      <c r="DL441" s="18" t="s">
        <v>96</v>
      </c>
      <c r="DM441" s="1" t="s">
        <v>96</v>
      </c>
      <c r="DN441" s="1">
        <f t="shared" si="73"/>
        <v>0.94411764705882362</v>
      </c>
      <c r="DO441" s="1">
        <f t="shared" si="74"/>
        <v>0.1</v>
      </c>
      <c r="DP441" s="1" t="s">
        <v>67</v>
      </c>
      <c r="DQ441" s="1" t="s">
        <v>2</v>
      </c>
      <c r="DR441" s="16">
        <f t="shared" si="75"/>
        <v>136</v>
      </c>
      <c r="DS441" s="100">
        <f t="shared" si="76"/>
        <v>0.94411764705882362</v>
      </c>
      <c r="DT441" s="102">
        <f t="shared" si="77"/>
        <v>1284.0000000000002</v>
      </c>
      <c r="DV441" s="16">
        <f t="shared" si="78"/>
        <v>57</v>
      </c>
      <c r="DW441" s="16">
        <f>(BV441*CD441+CQ441*CY441)/DV441</f>
        <v>0.89999999999999991</v>
      </c>
      <c r="DX441" s="101">
        <f>1000*DV441*DW441/100</f>
        <v>512.99999999999989</v>
      </c>
      <c r="DZ441" s="37" t="s">
        <v>2</v>
      </c>
      <c r="EA441" s="37"/>
      <c r="EM441" s="73"/>
      <c r="EN441" s="37"/>
      <c r="EO441" s="37"/>
      <c r="EP441" s="37"/>
      <c r="EQ441" s="37"/>
      <c r="ER441" s="37"/>
      <c r="ES441" s="37"/>
      <c r="ET441" s="37"/>
      <c r="EU441" s="37"/>
      <c r="EV441" s="37"/>
      <c r="EW441" s="37"/>
      <c r="EX441" s="37"/>
      <c r="EY441" s="37"/>
      <c r="EZ441" s="37"/>
      <c r="FA441" s="37"/>
      <c r="FB441" s="37"/>
      <c r="FC441" s="37"/>
      <c r="FD441" s="37"/>
      <c r="FE441" s="37"/>
      <c r="FF441" s="55"/>
      <c r="FG441" s="55"/>
      <c r="FH441" s="55"/>
      <c r="FI441" s="37"/>
      <c r="FJ441" s="55"/>
      <c r="FK441" s="55"/>
      <c r="FL441" s="45"/>
      <c r="FM441" s="37"/>
      <c r="FN441" s="37"/>
      <c r="FO441" s="37"/>
      <c r="FP441" s="55"/>
      <c r="FQ441" s="1" t="s">
        <v>2</v>
      </c>
      <c r="FR441" s="1" t="s">
        <v>31</v>
      </c>
      <c r="FS441" s="1" t="s">
        <v>205</v>
      </c>
      <c r="FT441" s="1" t="s">
        <v>205</v>
      </c>
      <c r="FV441" s="1" t="s">
        <v>2</v>
      </c>
    </row>
    <row r="442" spans="1:178" ht="16.25" customHeight="1" x14ac:dyDescent="0.2">
      <c r="A442" s="18" t="s">
        <v>190</v>
      </c>
      <c r="B442" s="1" t="s">
        <v>197</v>
      </c>
      <c r="C442" s="21" t="s">
        <v>313</v>
      </c>
      <c r="D442" s="1" t="s">
        <v>69</v>
      </c>
      <c r="E442" s="81"/>
      <c r="F442" s="81"/>
      <c r="G442" s="1" t="s">
        <v>72</v>
      </c>
      <c r="H442" s="1" t="s">
        <v>314</v>
      </c>
      <c r="J442" s="1" t="s">
        <v>211</v>
      </c>
      <c r="K442" s="1">
        <v>0</v>
      </c>
      <c r="AF442" s="1">
        <v>72</v>
      </c>
      <c r="AN442" s="1">
        <v>1.03</v>
      </c>
      <c r="AO442" s="1">
        <v>7.0000000000000007E-2</v>
      </c>
      <c r="BA442" s="1">
        <v>53</v>
      </c>
      <c r="BI442" s="1">
        <v>1.08</v>
      </c>
      <c r="BJ442" s="1">
        <v>0.06</v>
      </c>
      <c r="BV442" s="1">
        <v>0</v>
      </c>
      <c r="CQ442" s="1">
        <v>0</v>
      </c>
      <c r="DL442" s="18" t="s">
        <v>96</v>
      </c>
      <c r="DM442" s="1" t="s">
        <v>96</v>
      </c>
      <c r="DN442" s="1">
        <f t="shared" si="73"/>
        <v>1.0512000000000001</v>
      </c>
      <c r="DO442" s="1">
        <f t="shared" si="74"/>
        <v>6.5759999999999999E-2</v>
      </c>
      <c r="DP442" s="1" t="s">
        <v>67</v>
      </c>
      <c r="DQ442" s="1" t="s">
        <v>2</v>
      </c>
      <c r="DR442" s="16">
        <f t="shared" si="75"/>
        <v>125</v>
      </c>
      <c r="DS442" s="100">
        <f t="shared" si="76"/>
        <v>1.0512000000000001</v>
      </c>
      <c r="DT442" s="102">
        <f t="shared" si="77"/>
        <v>1314.0000000000002</v>
      </c>
      <c r="DV442" s="16">
        <f t="shared" si="78"/>
        <v>0</v>
      </c>
      <c r="DZ442" s="37" t="s">
        <v>2</v>
      </c>
      <c r="EA442" s="37"/>
      <c r="EM442" s="73"/>
      <c r="EN442" s="37"/>
      <c r="EO442" s="37"/>
      <c r="EP442" s="37"/>
      <c r="EQ442" s="37"/>
      <c r="ER442" s="37"/>
      <c r="ES442" s="37"/>
      <c r="ET442" s="37"/>
      <c r="EU442" s="37"/>
      <c r="EV442" s="37"/>
      <c r="EW442" s="37"/>
      <c r="EX442" s="37"/>
      <c r="EY442" s="37"/>
      <c r="EZ442" s="37"/>
      <c r="FA442" s="37"/>
      <c r="FB442" s="37"/>
      <c r="FC442" s="37"/>
      <c r="FD442" s="37"/>
      <c r="FE442" s="37"/>
      <c r="FF442" s="55"/>
      <c r="FG442" s="55"/>
      <c r="FH442" s="55"/>
      <c r="FI442" s="37"/>
      <c r="FJ442" s="55"/>
      <c r="FK442" s="55"/>
      <c r="FL442" s="45"/>
      <c r="FM442" s="37"/>
      <c r="FN442" s="37"/>
      <c r="FO442" s="37"/>
      <c r="FP442" s="55"/>
      <c r="FQ442" s="1" t="s">
        <v>2</v>
      </c>
      <c r="FR442" s="1" t="s">
        <v>31</v>
      </c>
      <c r="FS442" s="1" t="s">
        <v>205</v>
      </c>
      <c r="FT442" s="1" t="s">
        <v>205</v>
      </c>
      <c r="FV442" s="1" t="s">
        <v>2</v>
      </c>
    </row>
    <row r="443" spans="1:178" ht="16.25" customHeight="1" x14ac:dyDescent="0.2">
      <c r="A443" s="18" t="s">
        <v>190</v>
      </c>
      <c r="B443" s="1" t="s">
        <v>197</v>
      </c>
      <c r="C443" s="21" t="s">
        <v>444</v>
      </c>
      <c r="D443" s="1" t="s">
        <v>69</v>
      </c>
      <c r="E443" s="81"/>
      <c r="F443" s="81"/>
      <c r="G443" s="1" t="s">
        <v>72</v>
      </c>
      <c r="H443" s="1" t="s">
        <v>338</v>
      </c>
      <c r="J443" s="1" t="s">
        <v>211</v>
      </c>
      <c r="K443" s="1">
        <v>0</v>
      </c>
      <c r="AF443" s="1">
        <v>0</v>
      </c>
      <c r="BA443" s="1">
        <v>70</v>
      </c>
      <c r="BI443" s="1">
        <v>0.68</v>
      </c>
      <c r="BV443" s="1">
        <v>0</v>
      </c>
      <c r="CQ443" s="1">
        <v>0</v>
      </c>
      <c r="DL443" s="18" t="s">
        <v>163</v>
      </c>
      <c r="DN443" s="1">
        <f t="shared" si="73"/>
        <v>0.68</v>
      </c>
      <c r="DO443" s="1">
        <f t="shared" si="74"/>
        <v>0</v>
      </c>
      <c r="DP443" s="1" t="s">
        <v>154</v>
      </c>
      <c r="DQ443" s="1" t="s">
        <v>2</v>
      </c>
      <c r="DR443" s="16">
        <f t="shared" si="75"/>
        <v>70</v>
      </c>
      <c r="DS443" s="16">
        <f t="shared" si="76"/>
        <v>0.68</v>
      </c>
      <c r="DT443" s="101">
        <f t="shared" si="77"/>
        <v>476</v>
      </c>
      <c r="DV443" s="16">
        <f t="shared" si="78"/>
        <v>0</v>
      </c>
      <c r="DZ443" s="37" t="s">
        <v>2</v>
      </c>
      <c r="EA443" s="37"/>
      <c r="EM443" s="73"/>
      <c r="EN443" s="37"/>
      <c r="EO443" s="37"/>
      <c r="EP443" s="37"/>
      <c r="EQ443" s="37"/>
      <c r="ER443" s="37"/>
      <c r="ES443" s="37"/>
      <c r="ET443" s="37"/>
      <c r="EU443" s="37"/>
      <c r="EV443" s="37"/>
      <c r="EW443" s="37"/>
      <c r="EX443" s="37"/>
      <c r="EY443" s="37"/>
      <c r="EZ443" s="37"/>
      <c r="FA443" s="37"/>
      <c r="FB443" s="37"/>
      <c r="FC443" s="37"/>
      <c r="FD443" s="37"/>
      <c r="FE443" s="37"/>
      <c r="FF443" s="55"/>
      <c r="FG443" s="55"/>
      <c r="FH443" s="55"/>
      <c r="FI443" s="37"/>
      <c r="FJ443" s="55"/>
      <c r="FK443" s="55"/>
      <c r="FL443" s="45"/>
      <c r="FM443" s="37"/>
      <c r="FN443" s="37"/>
      <c r="FO443" s="37"/>
      <c r="FP443" s="55"/>
      <c r="FQ443" s="1" t="s">
        <v>2</v>
      </c>
      <c r="FR443" s="1" t="s">
        <v>31</v>
      </c>
      <c r="FS443" s="1" t="s">
        <v>205</v>
      </c>
      <c r="FT443" s="1" t="s">
        <v>205</v>
      </c>
      <c r="FV443" s="1" t="s">
        <v>2</v>
      </c>
    </row>
    <row r="444" spans="1:178" ht="16.25" customHeight="1" x14ac:dyDescent="0.2">
      <c r="A444" s="18" t="s">
        <v>190</v>
      </c>
      <c r="B444" s="1" t="s">
        <v>197</v>
      </c>
      <c r="C444" s="80" t="s">
        <v>381</v>
      </c>
      <c r="D444" s="1" t="s">
        <v>71</v>
      </c>
      <c r="E444" s="81"/>
      <c r="F444" s="81"/>
      <c r="G444" s="1" t="s">
        <v>72</v>
      </c>
      <c r="H444" s="1" t="s">
        <v>104</v>
      </c>
      <c r="J444" s="1" t="s">
        <v>216</v>
      </c>
      <c r="K444" s="1">
        <v>0</v>
      </c>
      <c r="AF444" s="1">
        <v>0</v>
      </c>
      <c r="BA444" s="24">
        <f>0.21/(BI444/100)</f>
        <v>23.333333333333329</v>
      </c>
      <c r="BI444" s="11">
        <v>0.9</v>
      </c>
      <c r="BV444" s="1">
        <v>0</v>
      </c>
      <c r="CQ444" s="1">
        <v>0</v>
      </c>
      <c r="DL444" s="18" t="s">
        <v>163</v>
      </c>
      <c r="DN444" s="1">
        <f t="shared" si="73"/>
        <v>0.9</v>
      </c>
      <c r="DO444" s="1">
        <f t="shared" si="74"/>
        <v>0</v>
      </c>
      <c r="DP444" s="1" t="s">
        <v>217</v>
      </c>
      <c r="DQ444" s="1" t="s">
        <v>2</v>
      </c>
      <c r="DR444" s="101">
        <f t="shared" si="75"/>
        <v>23.333333333333329</v>
      </c>
      <c r="DS444" s="16">
        <f t="shared" si="76"/>
        <v>0.9</v>
      </c>
      <c r="DT444" s="101">
        <f t="shared" si="77"/>
        <v>209.99999999999997</v>
      </c>
      <c r="DV444" s="16">
        <f t="shared" si="78"/>
        <v>0</v>
      </c>
      <c r="DZ444" s="37" t="s">
        <v>2</v>
      </c>
      <c r="EA444" s="37"/>
      <c r="EM444" s="73"/>
      <c r="EN444" s="37"/>
      <c r="EO444" s="37"/>
      <c r="EP444" s="37"/>
      <c r="EQ444" s="37"/>
      <c r="ER444" s="37"/>
      <c r="ES444" s="37"/>
      <c r="ET444" s="37"/>
      <c r="EU444" s="37"/>
      <c r="EV444" s="37"/>
      <c r="EW444" s="37"/>
      <c r="EX444" s="37"/>
      <c r="EY444" s="37"/>
      <c r="EZ444" s="37"/>
      <c r="FA444" s="37"/>
      <c r="FB444" s="37"/>
      <c r="FC444" s="37"/>
      <c r="FD444" s="37"/>
      <c r="FE444" s="37"/>
      <c r="FF444" s="55"/>
      <c r="FG444" s="55"/>
      <c r="FH444" s="55"/>
      <c r="FI444" s="37"/>
      <c r="FJ444" s="55"/>
      <c r="FK444" s="55"/>
      <c r="FL444" s="45"/>
      <c r="FM444" s="37"/>
      <c r="FN444" s="37"/>
      <c r="FO444" s="37"/>
      <c r="FP444" s="55"/>
      <c r="FQ444" s="1" t="s">
        <v>2</v>
      </c>
      <c r="FR444" s="1" t="s">
        <v>31</v>
      </c>
      <c r="FS444" s="1" t="s">
        <v>205</v>
      </c>
      <c r="FT444" s="1" t="s">
        <v>205</v>
      </c>
      <c r="FV444" s="1" t="s">
        <v>2</v>
      </c>
    </row>
    <row r="445" spans="1:178" ht="16.25" customHeight="1" x14ac:dyDescent="0.2">
      <c r="A445" s="18" t="s">
        <v>190</v>
      </c>
      <c r="B445" s="1" t="s">
        <v>197</v>
      </c>
      <c r="C445" s="80" t="s">
        <v>744</v>
      </c>
      <c r="D445" s="1" t="s">
        <v>64</v>
      </c>
      <c r="E445" s="81"/>
      <c r="F445" s="81"/>
      <c r="H445" s="1" t="s">
        <v>81</v>
      </c>
      <c r="J445" s="1" t="s">
        <v>216</v>
      </c>
      <c r="K445" s="1">
        <v>0</v>
      </c>
      <c r="AF445" s="1">
        <v>0</v>
      </c>
      <c r="BA445" s="13">
        <f>(1.112+12)*1.016</f>
        <v>13.321792</v>
      </c>
      <c r="BI445" s="13">
        <f>(0.86*1.112+0.7*12)/(1.112+12)</f>
        <v>0.71356924954240375</v>
      </c>
      <c r="BV445" s="1">
        <v>0</v>
      </c>
      <c r="CQ445" s="1">
        <v>0</v>
      </c>
      <c r="DL445" s="18" t="s">
        <v>163</v>
      </c>
      <c r="DN445" s="1">
        <f t="shared" si="73"/>
        <v>0.71356924954240375</v>
      </c>
      <c r="DO445" s="1">
        <f t="shared" si="74"/>
        <v>0</v>
      </c>
      <c r="DP445" s="1" t="s">
        <v>219</v>
      </c>
      <c r="DQ445" s="1" t="s">
        <v>2</v>
      </c>
      <c r="DR445" s="101">
        <f t="shared" si="75"/>
        <v>13.321792</v>
      </c>
      <c r="DS445" s="100">
        <f t="shared" si="76"/>
        <v>0.71356924954240375</v>
      </c>
      <c r="DT445" s="101">
        <f t="shared" si="77"/>
        <v>95.060211199999969</v>
      </c>
      <c r="DV445" s="16">
        <f t="shared" si="78"/>
        <v>0</v>
      </c>
      <c r="DZ445" s="37" t="s">
        <v>2</v>
      </c>
      <c r="EA445" s="37"/>
      <c r="EM445" s="73"/>
      <c r="EN445" s="37"/>
      <c r="EO445" s="37"/>
      <c r="EP445" s="37"/>
      <c r="EQ445" s="37"/>
      <c r="ER445" s="37"/>
      <c r="ES445" s="37"/>
      <c r="ET445" s="37"/>
      <c r="EU445" s="37"/>
      <c r="EV445" s="37"/>
      <c r="EW445" s="37"/>
      <c r="EX445" s="37"/>
      <c r="EY445" s="37"/>
      <c r="EZ445" s="37"/>
      <c r="FA445" s="37"/>
      <c r="FB445" s="37"/>
      <c r="FC445" s="37"/>
      <c r="FD445" s="37"/>
      <c r="FE445" s="37"/>
      <c r="FF445" s="55"/>
      <c r="FG445" s="55"/>
      <c r="FH445" s="55"/>
      <c r="FI445" s="37"/>
      <c r="FJ445" s="55"/>
      <c r="FK445" s="55"/>
      <c r="FL445" s="45"/>
      <c r="FM445" s="37"/>
      <c r="FN445" s="37"/>
      <c r="FO445" s="37"/>
      <c r="FP445" s="55"/>
      <c r="FQ445" s="1" t="s">
        <v>2</v>
      </c>
      <c r="FR445" s="1" t="s">
        <v>31</v>
      </c>
      <c r="FS445" s="1" t="s">
        <v>205</v>
      </c>
      <c r="FT445" s="1" t="s">
        <v>205</v>
      </c>
      <c r="FV445" s="1" t="s">
        <v>2</v>
      </c>
    </row>
    <row r="446" spans="1:178" ht="16.25" customHeight="1" x14ac:dyDescent="0.2">
      <c r="A446" s="25" t="s">
        <v>190</v>
      </c>
      <c r="B446" s="1" t="s">
        <v>100</v>
      </c>
      <c r="C446" s="80" t="s">
        <v>745</v>
      </c>
      <c r="D446" s="1" t="s">
        <v>620</v>
      </c>
      <c r="H446" s="1" t="s">
        <v>746</v>
      </c>
      <c r="K446" s="1">
        <v>0</v>
      </c>
      <c r="AF446" s="1">
        <v>0</v>
      </c>
      <c r="BA446" s="1">
        <v>16.8</v>
      </c>
      <c r="BI446" s="1">
        <v>0.6</v>
      </c>
      <c r="BV446" s="1">
        <v>0</v>
      </c>
      <c r="CQ446" s="1">
        <v>0</v>
      </c>
      <c r="DL446" s="18" t="s">
        <v>96</v>
      </c>
      <c r="DN446" s="1">
        <f t="shared" si="73"/>
        <v>0.6</v>
      </c>
      <c r="DO446" s="1">
        <f t="shared" si="74"/>
        <v>0</v>
      </c>
      <c r="DP446" s="1" t="s">
        <v>156</v>
      </c>
      <c r="DQ446" s="1" t="s">
        <v>2</v>
      </c>
      <c r="DR446" s="16">
        <f t="shared" si="75"/>
        <v>16.8</v>
      </c>
      <c r="DS446" s="16">
        <f t="shared" si="76"/>
        <v>0.6</v>
      </c>
      <c r="DT446" s="101">
        <f t="shared" si="77"/>
        <v>100.8</v>
      </c>
      <c r="DV446" s="16">
        <f t="shared" si="78"/>
        <v>0</v>
      </c>
      <c r="DZ446" s="37" t="s">
        <v>2</v>
      </c>
      <c r="EA446" s="37" t="s">
        <v>100</v>
      </c>
      <c r="EM446" s="73" t="s">
        <v>100</v>
      </c>
      <c r="EN446" s="37"/>
      <c r="EO446" s="37"/>
      <c r="EP446" s="37"/>
      <c r="EQ446" s="37"/>
      <c r="ER446" s="37"/>
      <c r="ES446" s="37"/>
      <c r="ET446" s="37"/>
      <c r="EU446" s="37"/>
      <c r="EV446" s="37"/>
      <c r="EW446" s="37"/>
      <c r="EX446" s="37"/>
      <c r="EY446" s="37"/>
      <c r="EZ446" s="37"/>
      <c r="FA446" s="37"/>
      <c r="FB446" s="37"/>
      <c r="FC446" s="37"/>
      <c r="FD446" s="37"/>
      <c r="FE446" s="37"/>
      <c r="FF446" s="55"/>
      <c r="FG446" s="55"/>
      <c r="FH446" s="55"/>
      <c r="FI446" s="37"/>
      <c r="FJ446" s="55"/>
      <c r="FK446" s="55"/>
      <c r="FL446" s="45"/>
      <c r="FM446" s="37"/>
      <c r="FN446" s="37"/>
      <c r="FO446" s="37"/>
      <c r="FP446" s="55" t="s">
        <v>100</v>
      </c>
      <c r="FQ446" s="1" t="s">
        <v>2</v>
      </c>
      <c r="FR446" s="1" t="s">
        <v>31</v>
      </c>
      <c r="FS446" s="1" t="s">
        <v>867</v>
      </c>
      <c r="FV446" s="1" t="s">
        <v>2</v>
      </c>
    </row>
    <row r="447" spans="1:178" ht="16.25" customHeight="1" x14ac:dyDescent="0.2">
      <c r="A447" s="25" t="s">
        <v>190</v>
      </c>
      <c r="B447" s="1" t="s">
        <v>86</v>
      </c>
      <c r="C447" s="80" t="s">
        <v>748</v>
      </c>
      <c r="D447" s="1" t="s">
        <v>69</v>
      </c>
      <c r="H447" s="1" t="s">
        <v>746</v>
      </c>
      <c r="K447" s="1">
        <v>0</v>
      </c>
      <c r="AF447" s="1">
        <v>0</v>
      </c>
      <c r="BA447" s="1">
        <v>44.4</v>
      </c>
      <c r="BI447" s="1" t="s">
        <v>882</v>
      </c>
      <c r="BJ447" s="1">
        <v>0.08</v>
      </c>
      <c r="BV447" s="1">
        <v>0</v>
      </c>
      <c r="CQ447" s="1">
        <v>0</v>
      </c>
      <c r="DL447" s="18" t="s">
        <v>163</v>
      </c>
      <c r="DM447" s="1" t="s">
        <v>163</v>
      </c>
      <c r="DN447" s="1">
        <f t="shared" si="73"/>
        <v>0.89</v>
      </c>
      <c r="DO447" s="1">
        <f t="shared" si="74"/>
        <v>0.08</v>
      </c>
      <c r="DP447" s="1" t="s">
        <v>471</v>
      </c>
      <c r="DQ447" s="1" t="s">
        <v>2</v>
      </c>
      <c r="DR447" s="16">
        <f t="shared" si="75"/>
        <v>44.4</v>
      </c>
      <c r="DS447" s="16">
        <f t="shared" si="76"/>
        <v>0.89</v>
      </c>
      <c r="DT447" s="101">
        <f t="shared" si="77"/>
        <v>395.16</v>
      </c>
      <c r="DV447" s="16">
        <f t="shared" si="78"/>
        <v>0</v>
      </c>
      <c r="DZ447" s="37" t="s">
        <v>2</v>
      </c>
      <c r="EA447" s="37" t="s">
        <v>86</v>
      </c>
      <c r="EM447" s="73" t="s">
        <v>86</v>
      </c>
      <c r="EN447" s="37"/>
      <c r="EO447" s="37"/>
      <c r="EP447" s="37"/>
      <c r="EQ447" s="37"/>
      <c r="ER447" s="37"/>
      <c r="ES447" s="37"/>
      <c r="ET447" s="37"/>
      <c r="EU447" s="37"/>
      <c r="EV447" s="37"/>
      <c r="EW447" s="37"/>
      <c r="EX447" s="37"/>
      <c r="EY447" s="37"/>
      <c r="EZ447" s="37"/>
      <c r="FA447" s="37"/>
      <c r="FB447" s="37"/>
      <c r="FC447" s="37"/>
      <c r="FD447" s="37"/>
      <c r="FE447" s="37"/>
      <c r="FF447" s="55"/>
      <c r="FG447" s="55"/>
      <c r="FH447" s="55"/>
      <c r="FI447" s="37"/>
      <c r="FJ447" s="55"/>
      <c r="FK447" s="55"/>
      <c r="FL447" s="45"/>
      <c r="FM447" s="37"/>
      <c r="FN447" s="37"/>
      <c r="FO447" s="37"/>
      <c r="FP447" s="55" t="s">
        <v>86</v>
      </c>
      <c r="FQ447" s="1" t="s">
        <v>2</v>
      </c>
      <c r="FR447" s="1" t="s">
        <v>31</v>
      </c>
      <c r="FS447" s="1" t="s">
        <v>205</v>
      </c>
      <c r="FT447" s="1" t="s">
        <v>205</v>
      </c>
      <c r="FV447" s="1" t="s">
        <v>2</v>
      </c>
    </row>
    <row r="448" spans="1:178" ht="16.25" customHeight="1" x14ac:dyDescent="0.2">
      <c r="A448" s="25" t="s">
        <v>190</v>
      </c>
      <c r="B448" s="1" t="s">
        <v>86</v>
      </c>
      <c r="C448" s="21" t="s">
        <v>202</v>
      </c>
      <c r="D448" s="1" t="s">
        <v>64</v>
      </c>
      <c r="E448" s="23">
        <f>-5-34.246/60</f>
        <v>-5.5707666666666666</v>
      </c>
      <c r="F448" s="23">
        <f>145+12.236/60</f>
        <v>145.20393333333334</v>
      </c>
      <c r="G448" s="1" t="s">
        <v>72</v>
      </c>
      <c r="H448" s="1" t="s">
        <v>203</v>
      </c>
      <c r="K448" s="1">
        <v>0</v>
      </c>
      <c r="AF448" s="1">
        <v>0</v>
      </c>
      <c r="BA448" s="1">
        <v>22.7</v>
      </c>
      <c r="BI448" s="1" t="s">
        <v>884</v>
      </c>
      <c r="BJ448" s="1">
        <v>0.12</v>
      </c>
      <c r="BV448" s="1">
        <v>0</v>
      </c>
      <c r="CQ448" s="1">
        <v>0</v>
      </c>
      <c r="DL448" s="18" t="s">
        <v>163</v>
      </c>
      <c r="DM448" s="1" t="s">
        <v>163</v>
      </c>
      <c r="DN448" s="1">
        <f t="shared" si="73"/>
        <v>0.81</v>
      </c>
      <c r="DO448" s="1">
        <f t="shared" si="74"/>
        <v>0.12</v>
      </c>
      <c r="DP448" s="1" t="s">
        <v>471</v>
      </c>
      <c r="DQ448" s="1" t="s">
        <v>2</v>
      </c>
      <c r="DR448" s="16">
        <f t="shared" si="75"/>
        <v>22.7</v>
      </c>
      <c r="DS448" s="16">
        <f t="shared" si="76"/>
        <v>0.81</v>
      </c>
      <c r="DT448" s="101">
        <f t="shared" si="77"/>
        <v>183.87</v>
      </c>
      <c r="DV448" s="16">
        <f t="shared" si="78"/>
        <v>0</v>
      </c>
      <c r="DZ448" s="37" t="s">
        <v>2</v>
      </c>
      <c r="EA448" s="37"/>
      <c r="EM448" s="73"/>
      <c r="EN448" s="37"/>
      <c r="EO448" s="37"/>
      <c r="EP448" s="37"/>
      <c r="EQ448" s="37"/>
      <c r="ER448" s="37"/>
      <c r="ES448" s="37"/>
      <c r="ET448" s="37"/>
      <c r="EU448" s="37"/>
      <c r="EV448" s="37"/>
      <c r="EW448" s="37"/>
      <c r="EX448" s="37"/>
      <c r="EY448" s="37"/>
      <c r="EZ448" s="37"/>
      <c r="FA448" s="37"/>
      <c r="FB448" s="37"/>
      <c r="FC448" s="37"/>
      <c r="FD448" s="37"/>
      <c r="FE448" s="37"/>
      <c r="FF448" s="55"/>
      <c r="FG448" s="55"/>
      <c r="FH448" s="55"/>
      <c r="FI448" s="37"/>
      <c r="FJ448" s="55"/>
      <c r="FK448" s="55"/>
      <c r="FL448" s="45"/>
      <c r="FM448" s="37"/>
      <c r="FN448" s="37"/>
      <c r="FO448" s="37"/>
      <c r="FP448" s="55"/>
      <c r="FQ448" s="1" t="s">
        <v>2</v>
      </c>
      <c r="FR448" s="1" t="s">
        <v>31</v>
      </c>
      <c r="FS448" s="1" t="s">
        <v>205</v>
      </c>
      <c r="FT448" s="1" t="s">
        <v>205</v>
      </c>
      <c r="FV448" s="1" t="s">
        <v>2</v>
      </c>
    </row>
    <row r="449" spans="1:178" ht="16.25" customHeight="1" x14ac:dyDescent="0.2">
      <c r="A449" s="25" t="s">
        <v>190</v>
      </c>
      <c r="B449" s="1" t="s">
        <v>86</v>
      </c>
      <c r="C449" s="21" t="s">
        <v>516</v>
      </c>
      <c r="D449" s="1" t="s">
        <v>69</v>
      </c>
      <c r="G449" s="1" t="s">
        <v>72</v>
      </c>
      <c r="H449" s="1" t="s">
        <v>515</v>
      </c>
      <c r="K449" s="1">
        <v>0</v>
      </c>
      <c r="AF449" s="1">
        <v>0</v>
      </c>
      <c r="BA449" s="14">
        <f>(4.8+1.1)*0.9072</f>
        <v>5.3524800000000008</v>
      </c>
      <c r="BI449" s="13">
        <f>(0.85*4.8+0.71*1.1)/(4.8+1.1)</f>
        <v>0.82389830508474571</v>
      </c>
      <c r="BJ449" s="13">
        <f>(0.07*4.8+0.06*1.1)/(4.8+1.1)</f>
        <v>6.8135593220338977E-2</v>
      </c>
      <c r="BP449" s="13">
        <f>(0.58*4.8+0.34*1.1)/(4.8+1.1)</f>
        <v>0.53525423728813559</v>
      </c>
      <c r="BQ449" s="13">
        <f>(20.76*4.8+12.47*1.1)/(4.8+1.1)</f>
        <v>19.214406779661019</v>
      </c>
      <c r="BV449" s="1">
        <v>0</v>
      </c>
      <c r="CQ449" s="1">
        <v>0</v>
      </c>
      <c r="DL449" s="18" t="s">
        <v>163</v>
      </c>
      <c r="DM449" s="1" t="s">
        <v>163</v>
      </c>
      <c r="DN449" s="1">
        <f t="shared" si="73"/>
        <v>0.82389830508474582</v>
      </c>
      <c r="DO449" s="1">
        <f t="shared" si="74"/>
        <v>6.8135593220338977E-2</v>
      </c>
      <c r="DP449" s="1" t="s">
        <v>886</v>
      </c>
      <c r="DQ449" s="1" t="s">
        <v>2</v>
      </c>
      <c r="DR449" s="103">
        <f t="shared" si="75"/>
        <v>5.3524800000000008</v>
      </c>
      <c r="DS449" s="100">
        <f t="shared" si="76"/>
        <v>0.82389830508474582</v>
      </c>
      <c r="DT449" s="101">
        <f t="shared" si="77"/>
        <v>44.09899200000001</v>
      </c>
      <c r="DV449" s="16">
        <f t="shared" si="78"/>
        <v>0</v>
      </c>
      <c r="DZ449" s="37" t="s">
        <v>2</v>
      </c>
      <c r="EA449" s="37"/>
      <c r="EM449" s="73"/>
      <c r="EN449" s="37"/>
      <c r="EO449" s="37"/>
      <c r="EP449" s="37"/>
      <c r="EQ449" s="37"/>
      <c r="ER449" s="37"/>
      <c r="ES449" s="37"/>
      <c r="ET449" s="37"/>
      <c r="EU449" s="37"/>
      <c r="EV449" s="37"/>
      <c r="EW449" s="37"/>
      <c r="EX449" s="37"/>
      <c r="EY449" s="37"/>
      <c r="EZ449" s="37"/>
      <c r="FA449" s="37"/>
      <c r="FB449" s="37"/>
      <c r="FC449" s="37"/>
      <c r="FD449" s="37"/>
      <c r="FE449" s="37"/>
      <c r="FF449" s="55"/>
      <c r="FG449" s="55"/>
      <c r="FH449" s="55"/>
      <c r="FI449" s="37"/>
      <c r="FJ449" s="55"/>
      <c r="FK449" s="55"/>
      <c r="FL449" s="45"/>
      <c r="FM449" s="37"/>
      <c r="FN449" s="37"/>
      <c r="FO449" s="37"/>
      <c r="FP449" s="55"/>
      <c r="FQ449" s="1" t="s">
        <v>2</v>
      </c>
      <c r="FR449" s="1" t="s">
        <v>31</v>
      </c>
      <c r="FS449" s="1" t="s">
        <v>205</v>
      </c>
      <c r="FT449" s="1" t="s">
        <v>205</v>
      </c>
      <c r="FV449" s="1" t="s">
        <v>2</v>
      </c>
    </row>
    <row r="450" spans="1:178" ht="16.25" customHeight="1" x14ac:dyDescent="0.2">
      <c r="A450" s="25" t="s">
        <v>190</v>
      </c>
      <c r="B450" s="1" t="s">
        <v>86</v>
      </c>
      <c r="C450" s="16" t="s">
        <v>966</v>
      </c>
      <c r="D450" s="1" t="s">
        <v>69</v>
      </c>
      <c r="H450" s="1" t="s">
        <v>967</v>
      </c>
      <c r="K450" s="1">
        <v>0</v>
      </c>
      <c r="AF450" s="1">
        <v>0</v>
      </c>
      <c r="BA450" s="14">
        <f>(5+5.6)*0.9072</f>
        <v>9.61632</v>
      </c>
      <c r="BI450" s="13">
        <f>(0.98*5+1.08*5.6)/(5+5.6)</f>
        <v>1.0328301886792453</v>
      </c>
      <c r="BJ450" s="13">
        <f>(0.1*5+0.11*5.6)/(5+5.6)</f>
        <v>0.10528301886792454</v>
      </c>
      <c r="BP450" s="13">
        <f>(0.59*5+0.67*5.6)/(5+5.6)</f>
        <v>0.63226415094339627</v>
      </c>
      <c r="BQ450" s="13">
        <f>(22.05*5+29.45*5.6)/(5+5.6)</f>
        <v>25.959433962264146</v>
      </c>
      <c r="BV450" s="1">
        <v>0</v>
      </c>
      <c r="CQ450" s="1">
        <v>0</v>
      </c>
      <c r="DL450" s="18" t="s">
        <v>163</v>
      </c>
      <c r="DM450" s="1" t="s">
        <v>163</v>
      </c>
      <c r="DN450" s="1">
        <f t="shared" si="73"/>
        <v>1.0328301886792453</v>
      </c>
      <c r="DO450" s="1">
        <f t="shared" si="74"/>
        <v>0.10528301886792454</v>
      </c>
      <c r="DP450" s="1" t="s">
        <v>886</v>
      </c>
      <c r="DQ450" s="1" t="s">
        <v>2</v>
      </c>
      <c r="DR450" s="103">
        <f t="shared" si="75"/>
        <v>9.61632</v>
      </c>
      <c r="DS450" s="100">
        <f t="shared" si="76"/>
        <v>1.0328301886792453</v>
      </c>
      <c r="DT450" s="101">
        <f t="shared" si="77"/>
        <v>99.320255999999986</v>
      </c>
      <c r="DV450" s="16">
        <f t="shared" si="78"/>
        <v>0</v>
      </c>
      <c r="DZ450" s="37" t="s">
        <v>2</v>
      </c>
      <c r="EA450" s="37"/>
      <c r="EM450" s="73"/>
      <c r="EN450" s="37"/>
      <c r="EO450" s="37"/>
      <c r="EP450" s="37"/>
      <c r="EQ450" s="37"/>
      <c r="ER450" s="37"/>
      <c r="ES450" s="37"/>
      <c r="ET450" s="37"/>
      <c r="EU450" s="37"/>
      <c r="EV450" s="37"/>
      <c r="EW450" s="37"/>
      <c r="EX450" s="37"/>
      <c r="EY450" s="37"/>
      <c r="EZ450" s="37"/>
      <c r="FA450" s="37"/>
      <c r="FB450" s="37"/>
      <c r="FC450" s="37"/>
      <c r="FD450" s="37"/>
      <c r="FE450" s="37"/>
      <c r="FF450" s="55"/>
      <c r="FG450" s="55"/>
      <c r="FH450" s="55"/>
      <c r="FI450" s="37"/>
      <c r="FJ450" s="55"/>
      <c r="FK450" s="55"/>
      <c r="FL450" s="45"/>
      <c r="FM450" s="37"/>
      <c r="FN450" s="37"/>
      <c r="FO450" s="37"/>
      <c r="FP450" s="55"/>
      <c r="FQ450" s="1" t="s">
        <v>2</v>
      </c>
      <c r="FR450" s="1" t="s">
        <v>31</v>
      </c>
      <c r="FS450" s="1" t="s">
        <v>205</v>
      </c>
      <c r="FT450" s="1" t="s">
        <v>205</v>
      </c>
      <c r="FV450" s="1" t="s">
        <v>2</v>
      </c>
    </row>
    <row r="451" spans="1:178" ht="16.25" customHeight="1" x14ac:dyDescent="0.2">
      <c r="A451" s="18" t="s">
        <v>177</v>
      </c>
      <c r="B451" s="1" t="s">
        <v>85</v>
      </c>
      <c r="C451" s="80" t="s">
        <v>415</v>
      </c>
      <c r="D451" s="1" t="s">
        <v>69</v>
      </c>
      <c r="G451" s="1" t="s">
        <v>65</v>
      </c>
      <c r="H451" s="1" t="s">
        <v>308</v>
      </c>
      <c r="K451" s="1">
        <v>11.2</v>
      </c>
      <c r="L451" s="1">
        <v>0.18</v>
      </c>
      <c r="S451" s="1">
        <v>0.71</v>
      </c>
      <c r="T451" s="1">
        <v>1.0999999999999999E-2</v>
      </c>
      <c r="U451" s="1">
        <v>0.23</v>
      </c>
      <c r="V451" s="1">
        <v>0.26</v>
      </c>
      <c r="AF451" s="14">
        <v>107</v>
      </c>
      <c r="AG451" s="13">
        <v>0.2</v>
      </c>
      <c r="AN451" s="1">
        <v>0.74</v>
      </c>
      <c r="AO451" s="1">
        <v>1.4999999999999999E-2</v>
      </c>
      <c r="AP451" s="1">
        <v>0.15</v>
      </c>
      <c r="AQ451" s="1">
        <v>0.15</v>
      </c>
      <c r="BA451" s="14">
        <v>37</v>
      </c>
      <c r="BB451" s="1">
        <v>0.22</v>
      </c>
      <c r="BI451" s="1">
        <v>0.79</v>
      </c>
      <c r="BJ451" s="1">
        <v>1.7000000000000001E-2</v>
      </c>
      <c r="BK451" s="1">
        <v>0.17</v>
      </c>
      <c r="BL451" s="1">
        <v>0.18</v>
      </c>
      <c r="BV451" s="1">
        <v>0</v>
      </c>
      <c r="CQ451" s="14">
        <f>44.5+31.7+12.8</f>
        <v>89</v>
      </c>
      <c r="CR451" s="13">
        <f>(0.19*44.5+0.19*31.7+0.18*12.8)/CQ451</f>
        <v>0.18856179775280899</v>
      </c>
      <c r="CY451" s="13">
        <f>(0.75*44.5+0.79*31.7+0.63*12.8)/CQ451</f>
        <v>0.74698876404494385</v>
      </c>
      <c r="CZ451" s="1">
        <v>1.4999999999999999E-2</v>
      </c>
      <c r="DA451" s="1">
        <v>0.15</v>
      </c>
      <c r="DB451" s="1">
        <v>0.15</v>
      </c>
      <c r="DL451" s="18" t="s">
        <v>96</v>
      </c>
      <c r="DM451" s="1" t="s">
        <v>96</v>
      </c>
      <c r="DN451" s="1">
        <f t="shared" ref="DN451:DN514" si="79">(S451*K451+AN451*AF451+BI451*BA451)/(K451+AF451+BA451)</f>
        <v>0.7497551546391753</v>
      </c>
      <c r="DO451" s="1">
        <f t="shared" ref="DO451:DO514" si="80">(T451*K451+AO451*AF451+BJ451*BA451)/(K451+AF451+BA451)</f>
        <v>1.5188144329896907E-2</v>
      </c>
      <c r="DP451" s="1" t="s">
        <v>67</v>
      </c>
      <c r="DQ451" s="1" t="s">
        <v>2</v>
      </c>
      <c r="DR451" s="16">
        <f t="shared" ref="DR451:DR514" si="81">K451+AF451+BA451</f>
        <v>155.19999999999999</v>
      </c>
      <c r="DS451" s="100">
        <f t="shared" ref="DS451:DS514" si="82">(K451*S451+AF451*AN451+BA451*BI451)/DR451</f>
        <v>0.7497551546391753</v>
      </c>
      <c r="DT451" s="102">
        <f t="shared" ref="DT451:DT514" si="83">1000*DR451*DS451/100</f>
        <v>1163.6199999999999</v>
      </c>
      <c r="DV451" s="16">
        <f t="shared" ref="DV451:DV514" si="84">BV451+CQ451</f>
        <v>89</v>
      </c>
      <c r="DW451" s="100">
        <f>(BV451*CD451+CQ451*CY451)/DV451</f>
        <v>0.74698876404494385</v>
      </c>
      <c r="DX451" s="101">
        <f>1000*DV451*DW451/100</f>
        <v>664.82</v>
      </c>
      <c r="DZ451" s="37" t="s">
        <v>2</v>
      </c>
      <c r="EA451" s="37" t="s">
        <v>85</v>
      </c>
      <c r="EM451" s="73" t="s">
        <v>85</v>
      </c>
      <c r="EN451" s="37"/>
      <c r="EO451" s="37"/>
      <c r="EP451" s="37"/>
      <c r="EQ451" s="37"/>
      <c r="ER451" s="37"/>
      <c r="ES451" s="37"/>
      <c r="ET451" s="37"/>
      <c r="EU451" s="37"/>
      <c r="EV451" s="37"/>
      <c r="EW451" s="37"/>
      <c r="EX451" s="37"/>
      <c r="EY451" s="37"/>
      <c r="EZ451" s="37"/>
      <c r="FA451" s="37"/>
      <c r="FB451" s="37"/>
      <c r="FC451" s="37"/>
      <c r="FD451" s="37"/>
      <c r="FE451" s="37"/>
      <c r="FF451" s="55"/>
      <c r="FG451" s="55"/>
      <c r="FH451" s="55"/>
      <c r="FI451" s="37"/>
      <c r="FJ451" s="55"/>
      <c r="FK451" s="55"/>
      <c r="FL451" s="45"/>
      <c r="FM451" s="37"/>
      <c r="FN451" s="37"/>
      <c r="FO451" s="37"/>
      <c r="FP451" s="55" t="s">
        <v>85</v>
      </c>
      <c r="FQ451" s="1" t="s">
        <v>2</v>
      </c>
      <c r="FR451" s="1" t="s">
        <v>118</v>
      </c>
      <c r="FS451" s="1" t="s">
        <v>170</v>
      </c>
      <c r="FV451" s="1" t="s">
        <v>2</v>
      </c>
    </row>
    <row r="452" spans="1:178" ht="16.25" customHeight="1" x14ac:dyDescent="0.2">
      <c r="A452" s="18" t="s">
        <v>177</v>
      </c>
      <c r="B452" s="1" t="s">
        <v>85</v>
      </c>
      <c r="C452" s="79" t="s">
        <v>262</v>
      </c>
      <c r="D452" s="1" t="s">
        <v>71</v>
      </c>
      <c r="G452" s="1" t="s">
        <v>72</v>
      </c>
      <c r="H452" s="1" t="s">
        <v>263</v>
      </c>
      <c r="K452" s="1">
        <v>0</v>
      </c>
      <c r="AF452" s="1">
        <v>0</v>
      </c>
      <c r="BA452" s="1">
        <v>1</v>
      </c>
      <c r="BB452" s="1">
        <v>6.4</v>
      </c>
      <c r="BC452" s="1">
        <v>1.4</v>
      </c>
      <c r="BD452" s="1">
        <v>5.0999999999999996</v>
      </c>
      <c r="BI452" s="1">
        <v>0.3</v>
      </c>
      <c r="BJ452" s="1">
        <v>0.2</v>
      </c>
      <c r="BK452" s="1">
        <v>1</v>
      </c>
      <c r="BV452" s="1">
        <v>0</v>
      </c>
      <c r="CQ452" s="1">
        <v>0</v>
      </c>
      <c r="DL452" s="18" t="s">
        <v>163</v>
      </c>
      <c r="DM452" s="1" t="s">
        <v>163</v>
      </c>
      <c r="DN452" s="1">
        <f t="shared" si="79"/>
        <v>0.3</v>
      </c>
      <c r="DO452" s="1">
        <f t="shared" si="80"/>
        <v>0.2</v>
      </c>
      <c r="DP452" s="1" t="s">
        <v>828</v>
      </c>
      <c r="DQ452" s="1" t="s">
        <v>2</v>
      </c>
      <c r="DR452" s="16">
        <f t="shared" si="81"/>
        <v>1</v>
      </c>
      <c r="DS452" s="16">
        <f t="shared" si="82"/>
        <v>0.3</v>
      </c>
      <c r="DT452" s="101">
        <f t="shared" si="83"/>
        <v>3</v>
      </c>
      <c r="DV452" s="16">
        <f t="shared" si="84"/>
        <v>0</v>
      </c>
      <c r="DZ452" s="37" t="s">
        <v>2</v>
      </c>
      <c r="EA452" s="37"/>
      <c r="EM452" s="73"/>
      <c r="EN452" s="37"/>
      <c r="EO452" s="37"/>
      <c r="EP452" s="37"/>
      <c r="EQ452" s="37"/>
      <c r="ER452" s="37"/>
      <c r="ES452" s="37"/>
      <c r="ET452" s="37"/>
      <c r="EU452" s="37"/>
      <c r="EV452" s="37"/>
      <c r="EW452" s="37"/>
      <c r="EX452" s="37"/>
      <c r="EY452" s="37"/>
      <c r="EZ452" s="37"/>
      <c r="FA452" s="37"/>
      <c r="FB452" s="37"/>
      <c r="FC452" s="37"/>
      <c r="FD452" s="37"/>
      <c r="FE452" s="37"/>
      <c r="FF452" s="55"/>
      <c r="FG452" s="55"/>
      <c r="FH452" s="55"/>
      <c r="FI452" s="37"/>
      <c r="FJ452" s="55"/>
      <c r="FK452" s="55"/>
      <c r="FL452" s="45"/>
      <c r="FM452" s="37"/>
      <c r="FN452" s="37"/>
      <c r="FO452" s="37"/>
      <c r="FP452" s="55"/>
      <c r="FQ452" s="1" t="s">
        <v>2</v>
      </c>
      <c r="FR452" s="1" t="s">
        <v>118</v>
      </c>
      <c r="FS452" s="1" t="s">
        <v>138</v>
      </c>
      <c r="FV452" s="1" t="s">
        <v>2</v>
      </c>
    </row>
    <row r="453" spans="1:178" ht="16.25" customHeight="1" x14ac:dyDescent="0.2">
      <c r="A453" s="25" t="s">
        <v>190</v>
      </c>
      <c r="B453" s="1" t="s">
        <v>85</v>
      </c>
      <c r="C453" s="21" t="s">
        <v>1084</v>
      </c>
      <c r="D453" s="1" t="s">
        <v>69</v>
      </c>
      <c r="H453" s="1" t="s">
        <v>131</v>
      </c>
      <c r="K453" s="1">
        <v>0</v>
      </c>
      <c r="AF453" s="1">
        <v>0</v>
      </c>
      <c r="BA453" s="1">
        <v>770</v>
      </c>
      <c r="BI453" s="1">
        <v>0.77</v>
      </c>
      <c r="BJ453" s="1">
        <v>4.2999999999999997E-2</v>
      </c>
      <c r="BL453" s="1">
        <v>1.7</v>
      </c>
      <c r="BV453" s="1">
        <v>0</v>
      </c>
      <c r="CQ453" s="1">
        <v>0</v>
      </c>
      <c r="DL453" s="18" t="s">
        <v>163</v>
      </c>
      <c r="DM453" s="1" t="s">
        <v>163</v>
      </c>
      <c r="DN453" s="1">
        <f t="shared" si="79"/>
        <v>0.77</v>
      </c>
      <c r="DO453" s="1">
        <f t="shared" si="80"/>
        <v>4.2999999999999997E-2</v>
      </c>
      <c r="DP453" s="1" t="s">
        <v>866</v>
      </c>
      <c r="DQ453" s="1" t="s">
        <v>2</v>
      </c>
      <c r="DR453" s="16">
        <f t="shared" si="81"/>
        <v>770</v>
      </c>
      <c r="DS453" s="16">
        <f t="shared" si="82"/>
        <v>0.77</v>
      </c>
      <c r="DT453" s="102">
        <f t="shared" si="83"/>
        <v>5929</v>
      </c>
      <c r="DV453" s="16">
        <f t="shared" si="84"/>
        <v>0</v>
      </c>
      <c r="DZ453" s="37" t="s">
        <v>2</v>
      </c>
      <c r="EA453" s="37"/>
      <c r="EM453" s="73"/>
      <c r="EN453" s="37"/>
      <c r="EO453" s="37"/>
      <c r="EP453" s="37"/>
      <c r="EQ453" s="37"/>
      <c r="ER453" s="37"/>
      <c r="ES453" s="37"/>
      <c r="ET453" s="37"/>
      <c r="EU453" s="37"/>
      <c r="EV453" s="37"/>
      <c r="EW453" s="37"/>
      <c r="EX453" s="37"/>
      <c r="EY453" s="37"/>
      <c r="EZ453" s="37"/>
      <c r="FA453" s="37"/>
      <c r="FB453" s="37"/>
      <c r="FC453" s="37"/>
      <c r="FD453" s="37"/>
      <c r="FE453" s="37"/>
      <c r="FF453" s="55"/>
      <c r="FG453" s="55"/>
      <c r="FH453" s="55"/>
      <c r="FI453" s="37"/>
      <c r="FJ453" s="55"/>
      <c r="FK453" s="55"/>
      <c r="FL453" s="45"/>
      <c r="FM453" s="37"/>
      <c r="FN453" s="37"/>
      <c r="FO453" s="37"/>
      <c r="FP453" s="55"/>
      <c r="FQ453" s="1" t="s">
        <v>2</v>
      </c>
      <c r="FR453" s="1" t="s">
        <v>31</v>
      </c>
      <c r="FS453" s="1" t="s">
        <v>867</v>
      </c>
      <c r="FV453" s="1" t="s">
        <v>2</v>
      </c>
    </row>
    <row r="454" spans="1:178" ht="16.25" customHeight="1" x14ac:dyDescent="0.2">
      <c r="A454" s="25" t="s">
        <v>190</v>
      </c>
      <c r="B454" s="1" t="s">
        <v>85</v>
      </c>
      <c r="C454" s="21" t="s">
        <v>1085</v>
      </c>
      <c r="D454" s="1" t="s">
        <v>69</v>
      </c>
      <c r="H454" s="1" t="s">
        <v>131</v>
      </c>
      <c r="K454" s="1">
        <v>0</v>
      </c>
      <c r="AF454" s="1">
        <v>0</v>
      </c>
      <c r="BA454" s="13">
        <f>71.4-1.0315</f>
        <v>70.368500000000012</v>
      </c>
      <c r="BI454" s="13">
        <f>(0.86*71.4-1.04*1.0315)/(71.4-1.0315)</f>
        <v>0.85736146144936998</v>
      </c>
      <c r="BJ454" s="1">
        <v>0.1</v>
      </c>
      <c r="BV454" s="1">
        <v>0</v>
      </c>
      <c r="CQ454" s="1">
        <v>0</v>
      </c>
      <c r="DL454" s="18" t="s">
        <v>163</v>
      </c>
      <c r="DM454" s="1" t="s">
        <v>163</v>
      </c>
      <c r="DN454" s="1">
        <f t="shared" si="79"/>
        <v>0.85736146144936998</v>
      </c>
      <c r="DO454" s="1">
        <f t="shared" si="80"/>
        <v>0.1</v>
      </c>
      <c r="DP454" s="1" t="s">
        <v>818</v>
      </c>
      <c r="DQ454" s="1" t="s">
        <v>2</v>
      </c>
      <c r="DR454" s="100">
        <f t="shared" si="81"/>
        <v>70.368500000000012</v>
      </c>
      <c r="DS454" s="100">
        <f t="shared" si="82"/>
        <v>0.85736146144936998</v>
      </c>
      <c r="DT454" s="101">
        <f t="shared" si="83"/>
        <v>603.31240000000003</v>
      </c>
      <c r="DV454" s="16">
        <f t="shared" si="84"/>
        <v>0</v>
      </c>
      <c r="DZ454" s="37" t="s">
        <v>2</v>
      </c>
      <c r="EA454" s="37"/>
      <c r="EM454" s="73"/>
      <c r="EN454" s="37"/>
      <c r="EO454" s="37"/>
      <c r="EP454" s="37"/>
      <c r="EQ454" s="37"/>
      <c r="ER454" s="37"/>
      <c r="ES454" s="37"/>
      <c r="ET454" s="37"/>
      <c r="EU454" s="37"/>
      <c r="EV454" s="37"/>
      <c r="EW454" s="37"/>
      <c r="EX454" s="37"/>
      <c r="EY454" s="37"/>
      <c r="EZ454" s="37"/>
      <c r="FA454" s="37"/>
      <c r="FB454" s="37"/>
      <c r="FC454" s="37"/>
      <c r="FD454" s="37"/>
      <c r="FE454" s="37"/>
      <c r="FF454" s="55"/>
      <c r="FG454" s="55"/>
      <c r="FH454" s="55"/>
      <c r="FI454" s="37"/>
      <c r="FJ454" s="55"/>
      <c r="FK454" s="55"/>
      <c r="FL454" s="45"/>
      <c r="FM454" s="37"/>
      <c r="FN454" s="37"/>
      <c r="FO454" s="37"/>
      <c r="FP454" s="55"/>
      <c r="FQ454" s="1" t="s">
        <v>2</v>
      </c>
      <c r="FR454" s="1" t="s">
        <v>31</v>
      </c>
      <c r="FS454" s="1" t="s">
        <v>500</v>
      </c>
      <c r="FV454" s="1" t="s">
        <v>2</v>
      </c>
    </row>
    <row r="455" spans="1:178" ht="16.25" customHeight="1" x14ac:dyDescent="0.2">
      <c r="A455" s="25" t="s">
        <v>190</v>
      </c>
      <c r="B455" s="1" t="s">
        <v>85</v>
      </c>
      <c r="C455" s="16" t="s">
        <v>969</v>
      </c>
      <c r="D455" s="1" t="s">
        <v>69</v>
      </c>
      <c r="H455" s="1" t="s">
        <v>131</v>
      </c>
      <c r="K455" s="1">
        <v>0</v>
      </c>
      <c r="AF455" s="1">
        <v>0</v>
      </c>
      <c r="BA455" s="1">
        <v>45</v>
      </c>
      <c r="BI455" s="1">
        <v>1.6</v>
      </c>
      <c r="BJ455" s="1">
        <v>2.4E-2</v>
      </c>
      <c r="BV455" s="1">
        <v>0</v>
      </c>
      <c r="CQ455" s="1">
        <v>0</v>
      </c>
      <c r="DL455" s="18" t="s">
        <v>163</v>
      </c>
      <c r="DM455" s="1" t="s">
        <v>163</v>
      </c>
      <c r="DN455" s="1">
        <f t="shared" si="79"/>
        <v>1.6</v>
      </c>
      <c r="DO455" s="1">
        <f t="shared" si="80"/>
        <v>2.4E-2</v>
      </c>
      <c r="DP455" s="1" t="s">
        <v>471</v>
      </c>
      <c r="DQ455" s="1" t="s">
        <v>2</v>
      </c>
      <c r="DR455" s="16">
        <f t="shared" si="81"/>
        <v>45</v>
      </c>
      <c r="DS455" s="16">
        <f t="shared" si="82"/>
        <v>1.6</v>
      </c>
      <c r="DT455" s="101">
        <f t="shared" si="83"/>
        <v>720</v>
      </c>
      <c r="DV455" s="16">
        <f t="shared" si="84"/>
        <v>0</v>
      </c>
      <c r="DZ455" s="37" t="s">
        <v>2</v>
      </c>
      <c r="EA455" s="37"/>
      <c r="EM455" s="73"/>
      <c r="EN455" s="37"/>
      <c r="EO455" s="37"/>
      <c r="EP455" s="37"/>
      <c r="EQ455" s="37"/>
      <c r="ER455" s="37"/>
      <c r="ES455" s="37"/>
      <c r="ET455" s="37"/>
      <c r="EU455" s="37"/>
      <c r="EV455" s="37"/>
      <c r="EW455" s="37"/>
      <c r="EX455" s="37"/>
      <c r="EY455" s="37"/>
      <c r="EZ455" s="37"/>
      <c r="FA455" s="37"/>
      <c r="FB455" s="37"/>
      <c r="FC455" s="37"/>
      <c r="FD455" s="37"/>
      <c r="FE455" s="37"/>
      <c r="FF455" s="55"/>
      <c r="FG455" s="55"/>
      <c r="FH455" s="55"/>
      <c r="FI455" s="37"/>
      <c r="FJ455" s="55"/>
      <c r="FK455" s="55"/>
      <c r="FL455" s="45"/>
      <c r="FM455" s="37"/>
      <c r="FN455" s="37"/>
      <c r="FO455" s="37"/>
      <c r="FP455" s="55"/>
      <c r="FQ455" s="1" t="s">
        <v>2</v>
      </c>
      <c r="FR455" s="1" t="s">
        <v>31</v>
      </c>
      <c r="FS455" s="1" t="s">
        <v>500</v>
      </c>
      <c r="FV455" s="1" t="s">
        <v>2</v>
      </c>
    </row>
    <row r="456" spans="1:178" ht="16.25" customHeight="1" x14ac:dyDescent="0.2">
      <c r="A456" s="25" t="s">
        <v>190</v>
      </c>
      <c r="B456" s="1" t="s">
        <v>85</v>
      </c>
      <c r="C456" s="21" t="s">
        <v>519</v>
      </c>
      <c r="D456" s="1" t="s">
        <v>64</v>
      </c>
      <c r="G456" s="1" t="s">
        <v>72</v>
      </c>
      <c r="H456" s="1" t="s">
        <v>520</v>
      </c>
      <c r="K456" s="1">
        <v>0</v>
      </c>
      <c r="AF456" s="1">
        <v>0</v>
      </c>
      <c r="BA456" s="1">
        <v>2.5</v>
      </c>
      <c r="BI456" s="1">
        <v>0.8</v>
      </c>
      <c r="BJ456" s="1">
        <v>0.06</v>
      </c>
      <c r="BV456" s="1">
        <v>0</v>
      </c>
      <c r="CQ456" s="1">
        <v>0</v>
      </c>
      <c r="DL456" s="18" t="s">
        <v>163</v>
      </c>
      <c r="DM456" s="1" t="s">
        <v>163</v>
      </c>
      <c r="DN456" s="1">
        <f t="shared" si="79"/>
        <v>0.8</v>
      </c>
      <c r="DO456" s="1">
        <f t="shared" si="80"/>
        <v>0.06</v>
      </c>
      <c r="DP456" s="1" t="s">
        <v>471</v>
      </c>
      <c r="DQ456" s="1" t="s">
        <v>2</v>
      </c>
      <c r="DR456" s="16">
        <f t="shared" si="81"/>
        <v>2.5</v>
      </c>
      <c r="DS456" s="16">
        <f t="shared" si="82"/>
        <v>0.8</v>
      </c>
      <c r="DT456" s="101">
        <f t="shared" si="83"/>
        <v>20</v>
      </c>
      <c r="DV456" s="16">
        <f t="shared" si="84"/>
        <v>0</v>
      </c>
      <c r="DZ456" s="37" t="s">
        <v>2</v>
      </c>
      <c r="EA456" s="37"/>
      <c r="EM456" s="73"/>
      <c r="EN456" s="37"/>
      <c r="EO456" s="37"/>
      <c r="EP456" s="37"/>
      <c r="EQ456" s="37"/>
      <c r="ER456" s="37"/>
      <c r="ES456" s="37"/>
      <c r="ET456" s="37"/>
      <c r="EU456" s="37"/>
      <c r="EV456" s="37"/>
      <c r="EW456" s="37"/>
      <c r="EX456" s="37"/>
      <c r="EY456" s="37"/>
      <c r="EZ456" s="37"/>
      <c r="FA456" s="37"/>
      <c r="FB456" s="37"/>
      <c r="FC456" s="37"/>
      <c r="FD456" s="37"/>
      <c r="FE456" s="37"/>
      <c r="FF456" s="55"/>
      <c r="FG456" s="55"/>
      <c r="FH456" s="55"/>
      <c r="FI456" s="37"/>
      <c r="FJ456" s="55"/>
      <c r="FK456" s="55"/>
      <c r="FL456" s="45"/>
      <c r="FM456" s="37"/>
      <c r="FN456" s="37"/>
      <c r="FO456" s="37"/>
      <c r="FP456" s="55"/>
      <c r="FQ456" s="1" t="s">
        <v>2</v>
      </c>
      <c r="FR456" s="1" t="s">
        <v>31</v>
      </c>
      <c r="FS456" s="1" t="s">
        <v>500</v>
      </c>
      <c r="FV456" s="1" t="s">
        <v>2</v>
      </c>
    </row>
    <row r="457" spans="1:178" ht="16.25" customHeight="1" x14ac:dyDescent="0.2">
      <c r="A457" s="25" t="s">
        <v>190</v>
      </c>
      <c r="B457" s="1" t="s">
        <v>85</v>
      </c>
      <c r="C457" s="80" t="s">
        <v>750</v>
      </c>
      <c r="D457" s="1" t="s">
        <v>69</v>
      </c>
      <c r="H457" s="1" t="s">
        <v>751</v>
      </c>
      <c r="K457" s="1">
        <v>0</v>
      </c>
      <c r="AF457" s="1">
        <v>0</v>
      </c>
      <c r="BA457" s="1">
        <v>18</v>
      </c>
      <c r="BI457" s="1">
        <v>1.07</v>
      </c>
      <c r="BJ457" s="1">
        <v>5.5E-2</v>
      </c>
      <c r="BV457" s="1">
        <v>0</v>
      </c>
      <c r="CQ457" s="1">
        <v>0</v>
      </c>
      <c r="DL457" s="18" t="s">
        <v>163</v>
      </c>
      <c r="DM457" s="1" t="s">
        <v>163</v>
      </c>
      <c r="DN457" s="1">
        <f t="shared" si="79"/>
        <v>1.07</v>
      </c>
      <c r="DO457" s="1">
        <f t="shared" si="80"/>
        <v>5.5E-2</v>
      </c>
      <c r="DP457" s="1" t="s">
        <v>471</v>
      </c>
      <c r="DQ457" s="1" t="s">
        <v>2</v>
      </c>
      <c r="DR457" s="16">
        <f t="shared" si="81"/>
        <v>18</v>
      </c>
      <c r="DS457" s="16">
        <f t="shared" si="82"/>
        <v>1.07</v>
      </c>
      <c r="DT457" s="101">
        <f t="shared" si="83"/>
        <v>192.6</v>
      </c>
      <c r="DV457" s="16">
        <f t="shared" si="84"/>
        <v>0</v>
      </c>
      <c r="DZ457" s="37" t="s">
        <v>2</v>
      </c>
      <c r="EA457" s="37"/>
      <c r="EM457" s="73"/>
      <c r="EN457" s="37"/>
      <c r="EO457" s="37"/>
      <c r="EP457" s="37"/>
      <c r="EQ457" s="37"/>
      <c r="ER457" s="37"/>
      <c r="ES457" s="37"/>
      <c r="ET457" s="37"/>
      <c r="EU457" s="37"/>
      <c r="EV457" s="37"/>
      <c r="EW457" s="37"/>
      <c r="EX457" s="37"/>
      <c r="EY457" s="37"/>
      <c r="EZ457" s="37"/>
      <c r="FA457" s="37"/>
      <c r="FB457" s="37"/>
      <c r="FC457" s="37"/>
      <c r="FD457" s="37"/>
      <c r="FE457" s="37"/>
      <c r="FF457" s="55"/>
      <c r="FG457" s="55"/>
      <c r="FH457" s="55"/>
      <c r="FI457" s="37"/>
      <c r="FJ457" s="55"/>
      <c r="FK457" s="55"/>
      <c r="FL457" s="45"/>
      <c r="FM457" s="37"/>
      <c r="FN457" s="37"/>
      <c r="FO457" s="37"/>
      <c r="FP457" s="55"/>
      <c r="FQ457" s="1" t="s">
        <v>2</v>
      </c>
      <c r="FR457" s="1" t="s">
        <v>31</v>
      </c>
      <c r="FS457" s="1" t="s">
        <v>500</v>
      </c>
      <c r="FV457" s="1" t="s">
        <v>2</v>
      </c>
    </row>
    <row r="458" spans="1:178" ht="16.25" customHeight="1" x14ac:dyDescent="0.2">
      <c r="A458" s="18" t="s">
        <v>177</v>
      </c>
      <c r="B458" s="1" t="s">
        <v>85</v>
      </c>
      <c r="C458" s="79" t="s">
        <v>335</v>
      </c>
      <c r="D458" s="1" t="s">
        <v>69</v>
      </c>
      <c r="G458" s="1" t="s">
        <v>72</v>
      </c>
      <c r="H458" s="1" t="s">
        <v>336</v>
      </c>
      <c r="K458" s="1">
        <v>0</v>
      </c>
      <c r="AF458" s="1">
        <v>0</v>
      </c>
      <c r="BA458" s="12">
        <v>2773.79</v>
      </c>
      <c r="BI458" s="1">
        <v>0.28999999999999998</v>
      </c>
      <c r="BV458" s="1">
        <v>0</v>
      </c>
      <c r="CQ458" s="1">
        <v>0</v>
      </c>
      <c r="DL458" s="18" t="s">
        <v>163</v>
      </c>
      <c r="DN458" s="1">
        <f t="shared" si="79"/>
        <v>0.28999999999999998</v>
      </c>
      <c r="DO458" s="1">
        <f t="shared" si="80"/>
        <v>0</v>
      </c>
      <c r="DP458" s="1" t="s">
        <v>812</v>
      </c>
      <c r="DQ458" s="1" t="s">
        <v>2</v>
      </c>
      <c r="DR458" s="102">
        <f t="shared" si="81"/>
        <v>2773.79</v>
      </c>
      <c r="DS458" s="16">
        <f t="shared" si="82"/>
        <v>0.28999999999999998</v>
      </c>
      <c r="DT458" s="102">
        <f t="shared" si="83"/>
        <v>8043.991</v>
      </c>
      <c r="DV458" s="16">
        <f t="shared" si="84"/>
        <v>0</v>
      </c>
      <c r="DZ458" s="37" t="s">
        <v>2</v>
      </c>
      <c r="EA458" s="37"/>
      <c r="EM458" s="73"/>
      <c r="EN458" s="37"/>
      <c r="EO458" s="37"/>
      <c r="EP458" s="37"/>
      <c r="EQ458" s="37"/>
      <c r="ER458" s="37"/>
      <c r="ES458" s="37"/>
      <c r="ET458" s="37"/>
      <c r="EU458" s="37"/>
      <c r="EV458" s="37"/>
      <c r="EW458" s="37"/>
      <c r="EX458" s="37"/>
      <c r="EY458" s="37"/>
      <c r="EZ458" s="37"/>
      <c r="FA458" s="37"/>
      <c r="FB458" s="37"/>
      <c r="FC458" s="37"/>
      <c r="FD458" s="37"/>
      <c r="FE458" s="37"/>
      <c r="FF458" s="55"/>
      <c r="FG458" s="55"/>
      <c r="FH458" s="55"/>
      <c r="FI458" s="37"/>
      <c r="FJ458" s="55"/>
      <c r="FK458" s="55"/>
      <c r="FL458" s="45"/>
      <c r="FM458" s="37"/>
      <c r="FN458" s="37"/>
      <c r="FO458" s="37"/>
      <c r="FP458" s="55"/>
      <c r="FQ458" s="1" t="s">
        <v>2</v>
      </c>
      <c r="FR458" s="1" t="s">
        <v>113</v>
      </c>
      <c r="FS458" s="1" t="s">
        <v>261</v>
      </c>
      <c r="FT458" s="1" t="s">
        <v>589</v>
      </c>
      <c r="FU458" s="1" t="s">
        <v>813</v>
      </c>
      <c r="FV458" s="1" t="s">
        <v>2</v>
      </c>
    </row>
    <row r="459" spans="1:178" ht="16.25" customHeight="1" x14ac:dyDescent="0.2">
      <c r="A459" s="18" t="s">
        <v>177</v>
      </c>
      <c r="B459" s="1" t="s">
        <v>85</v>
      </c>
      <c r="C459" s="79" t="s">
        <v>862</v>
      </c>
      <c r="D459" s="1" t="s">
        <v>69</v>
      </c>
      <c r="H459" s="1" t="s">
        <v>131</v>
      </c>
      <c r="K459" s="1">
        <v>0</v>
      </c>
      <c r="AF459" s="1">
        <v>0</v>
      </c>
      <c r="BA459" s="1">
        <v>0.3</v>
      </c>
      <c r="BB459" s="1">
        <v>0.59</v>
      </c>
      <c r="BH459" s="1">
        <v>0.7</v>
      </c>
      <c r="BI459" s="1">
        <v>0.49</v>
      </c>
      <c r="BV459" s="1">
        <v>0</v>
      </c>
      <c r="CQ459" s="1">
        <v>0</v>
      </c>
      <c r="DL459" s="18" t="s">
        <v>163</v>
      </c>
      <c r="DN459" s="1">
        <f t="shared" si="79"/>
        <v>0.49</v>
      </c>
      <c r="DO459" s="1">
        <f t="shared" si="80"/>
        <v>0</v>
      </c>
      <c r="DP459" s="1" t="s">
        <v>824</v>
      </c>
      <c r="DQ459" s="1" t="s">
        <v>2</v>
      </c>
      <c r="DR459" s="16">
        <f t="shared" si="81"/>
        <v>0.3</v>
      </c>
      <c r="DS459" s="16">
        <f t="shared" si="82"/>
        <v>0.49</v>
      </c>
      <c r="DT459" s="101">
        <f t="shared" si="83"/>
        <v>1.47</v>
      </c>
      <c r="DV459" s="16">
        <f t="shared" si="84"/>
        <v>0</v>
      </c>
      <c r="DZ459" s="37" t="s">
        <v>2</v>
      </c>
      <c r="EA459" s="37"/>
      <c r="EM459" s="73"/>
      <c r="EN459" s="37"/>
      <c r="EO459" s="37"/>
      <c r="EP459" s="37"/>
      <c r="EQ459" s="37"/>
      <c r="ER459" s="37"/>
      <c r="ES459" s="37"/>
      <c r="ET459" s="37"/>
      <c r="EU459" s="37"/>
      <c r="EV459" s="37"/>
      <c r="EW459" s="37"/>
      <c r="EX459" s="37"/>
      <c r="EY459" s="37"/>
      <c r="EZ459" s="37"/>
      <c r="FA459" s="37"/>
      <c r="FB459" s="37"/>
      <c r="FC459" s="37"/>
      <c r="FD459" s="37"/>
      <c r="FE459" s="37"/>
      <c r="FF459" s="55"/>
      <c r="FG459" s="55"/>
      <c r="FH459" s="55"/>
      <c r="FI459" s="37"/>
      <c r="FJ459" s="55"/>
      <c r="FK459" s="55"/>
      <c r="FL459" s="45"/>
      <c r="FM459" s="37"/>
      <c r="FN459" s="37"/>
      <c r="FO459" s="37"/>
      <c r="FP459" s="55"/>
      <c r="FQ459" s="1" t="s">
        <v>2</v>
      </c>
      <c r="FR459" s="1" t="s">
        <v>113</v>
      </c>
      <c r="FS459" s="1" t="s">
        <v>825</v>
      </c>
      <c r="FV459" s="1" t="s">
        <v>2</v>
      </c>
    </row>
    <row r="460" spans="1:178" ht="16.25" customHeight="1" x14ac:dyDescent="0.2">
      <c r="A460" s="18" t="s">
        <v>177</v>
      </c>
      <c r="B460" s="1" t="s">
        <v>85</v>
      </c>
      <c r="C460" s="79" t="s">
        <v>555</v>
      </c>
      <c r="D460" s="1" t="s">
        <v>69</v>
      </c>
      <c r="G460" s="1" t="s">
        <v>72</v>
      </c>
      <c r="H460" s="1" t="s">
        <v>556</v>
      </c>
      <c r="K460" s="1">
        <v>0</v>
      </c>
      <c r="AF460" s="1">
        <v>0</v>
      </c>
      <c r="BA460" s="12">
        <v>1125</v>
      </c>
      <c r="BI460" s="1">
        <v>0.4</v>
      </c>
      <c r="BV460" s="1">
        <v>0</v>
      </c>
      <c r="CQ460" s="1">
        <v>0</v>
      </c>
      <c r="DL460" s="18" t="s">
        <v>163</v>
      </c>
      <c r="DN460" s="1">
        <f t="shared" si="79"/>
        <v>0.4</v>
      </c>
      <c r="DO460" s="1">
        <f t="shared" si="80"/>
        <v>0</v>
      </c>
      <c r="DP460" s="1" t="s">
        <v>824</v>
      </c>
      <c r="DQ460" s="1" t="s">
        <v>2</v>
      </c>
      <c r="DR460" s="102">
        <f t="shared" si="81"/>
        <v>1125</v>
      </c>
      <c r="DS460" s="16">
        <f t="shared" si="82"/>
        <v>0.4</v>
      </c>
      <c r="DT460" s="102">
        <f t="shared" si="83"/>
        <v>4500</v>
      </c>
      <c r="DV460" s="16">
        <f t="shared" si="84"/>
        <v>0</v>
      </c>
      <c r="DZ460" s="37" t="s">
        <v>2</v>
      </c>
      <c r="EA460" s="37"/>
      <c r="EM460" s="73"/>
      <c r="EN460" s="37"/>
      <c r="EO460" s="37"/>
      <c r="EP460" s="37"/>
      <c r="EQ460" s="37"/>
      <c r="ER460" s="37"/>
      <c r="ES460" s="37"/>
      <c r="ET460" s="37"/>
      <c r="EU460" s="37"/>
      <c r="EV460" s="37"/>
      <c r="EW460" s="37"/>
      <c r="EX460" s="37"/>
      <c r="EY460" s="37"/>
      <c r="EZ460" s="37"/>
      <c r="FA460" s="37"/>
      <c r="FB460" s="37"/>
      <c r="FC460" s="37"/>
      <c r="FD460" s="37"/>
      <c r="FE460" s="37"/>
      <c r="FF460" s="55"/>
      <c r="FG460" s="55"/>
      <c r="FH460" s="55"/>
      <c r="FI460" s="37"/>
      <c r="FJ460" s="55"/>
      <c r="FK460" s="55"/>
      <c r="FL460" s="45"/>
      <c r="FM460" s="37"/>
      <c r="FN460" s="37"/>
      <c r="FO460" s="37"/>
      <c r="FP460" s="55"/>
      <c r="FQ460" s="1" t="s">
        <v>2</v>
      </c>
      <c r="FR460" s="1" t="s">
        <v>113</v>
      </c>
      <c r="FS460" s="1" t="s">
        <v>825</v>
      </c>
      <c r="FV460" s="1" t="s">
        <v>2</v>
      </c>
    </row>
    <row r="461" spans="1:178" ht="16.25" customHeight="1" x14ac:dyDescent="0.2">
      <c r="A461" s="18" t="s">
        <v>177</v>
      </c>
      <c r="B461" s="1" t="s">
        <v>85</v>
      </c>
      <c r="C461" s="80" t="s">
        <v>1175</v>
      </c>
      <c r="D461" s="1" t="s">
        <v>69</v>
      </c>
      <c r="H461" s="1" t="s">
        <v>1176</v>
      </c>
      <c r="K461" s="1">
        <v>0</v>
      </c>
      <c r="AF461" s="1">
        <v>0</v>
      </c>
      <c r="BA461" s="1">
        <v>4.2</v>
      </c>
      <c r="BI461" s="1">
        <v>0.38</v>
      </c>
      <c r="BV461" s="1">
        <v>0</v>
      </c>
      <c r="CQ461" s="1">
        <v>0</v>
      </c>
      <c r="DL461" s="18" t="s">
        <v>163</v>
      </c>
      <c r="DN461" s="1">
        <f t="shared" si="79"/>
        <v>0.38</v>
      </c>
      <c r="DO461" s="1">
        <f t="shared" si="80"/>
        <v>0</v>
      </c>
      <c r="DP461" s="1" t="s">
        <v>815</v>
      </c>
      <c r="DQ461" s="1" t="s">
        <v>2</v>
      </c>
      <c r="DR461" s="16">
        <f t="shared" si="81"/>
        <v>4.2</v>
      </c>
      <c r="DS461" s="16">
        <f t="shared" si="82"/>
        <v>0.38</v>
      </c>
      <c r="DT461" s="101">
        <f t="shared" si="83"/>
        <v>15.96</v>
      </c>
      <c r="DV461" s="16">
        <f t="shared" si="84"/>
        <v>0</v>
      </c>
      <c r="DZ461" s="37" t="s">
        <v>2</v>
      </c>
      <c r="EA461" s="37"/>
      <c r="EM461" s="73"/>
      <c r="EN461" s="37"/>
      <c r="EO461" s="37"/>
      <c r="EP461" s="37"/>
      <c r="EQ461" s="37"/>
      <c r="ER461" s="37"/>
      <c r="ES461" s="37"/>
      <c r="ET461" s="37"/>
      <c r="EU461" s="37"/>
      <c r="EV461" s="37"/>
      <c r="EW461" s="37"/>
      <c r="EX461" s="37"/>
      <c r="EY461" s="37"/>
      <c r="EZ461" s="37"/>
      <c r="FA461" s="37"/>
      <c r="FB461" s="37"/>
      <c r="FC461" s="37"/>
      <c r="FD461" s="37"/>
      <c r="FE461" s="37"/>
      <c r="FF461" s="55"/>
      <c r="FG461" s="55"/>
      <c r="FH461" s="55"/>
      <c r="FI461" s="37"/>
      <c r="FJ461" s="55"/>
      <c r="FK461" s="55"/>
      <c r="FL461" s="45"/>
      <c r="FM461" s="37"/>
      <c r="FN461" s="37"/>
      <c r="FO461" s="37"/>
      <c r="FP461" s="55"/>
      <c r="FQ461" s="1" t="s">
        <v>2</v>
      </c>
      <c r="FR461" s="1" t="s">
        <v>113</v>
      </c>
      <c r="FS461" s="1" t="s">
        <v>825</v>
      </c>
      <c r="FV461" s="1" t="s">
        <v>2</v>
      </c>
    </row>
    <row r="462" spans="1:178" ht="16.25" customHeight="1" x14ac:dyDescent="0.2">
      <c r="A462" s="18" t="s">
        <v>177</v>
      </c>
      <c r="B462" s="1" t="s">
        <v>85</v>
      </c>
      <c r="C462" s="15" t="s">
        <v>1249</v>
      </c>
      <c r="H462" s="1" t="s">
        <v>1250</v>
      </c>
      <c r="K462" s="1">
        <v>0</v>
      </c>
      <c r="AF462" s="1">
        <v>0</v>
      </c>
      <c r="BA462" s="1">
        <v>10.35</v>
      </c>
      <c r="BB462" s="1">
        <v>0.42</v>
      </c>
      <c r="BI462" s="1">
        <v>0.74</v>
      </c>
      <c r="BV462" s="1">
        <v>0</v>
      </c>
      <c r="CQ462" s="1">
        <v>0</v>
      </c>
      <c r="DL462" s="18" t="s">
        <v>163</v>
      </c>
      <c r="DN462" s="1">
        <f t="shared" si="79"/>
        <v>0.74</v>
      </c>
      <c r="DO462" s="1">
        <f t="shared" si="80"/>
        <v>0</v>
      </c>
      <c r="DP462" s="1" t="s">
        <v>815</v>
      </c>
      <c r="DQ462" s="1" t="s">
        <v>2</v>
      </c>
      <c r="DR462" s="16">
        <f t="shared" si="81"/>
        <v>10.35</v>
      </c>
      <c r="DS462" s="16">
        <f t="shared" si="82"/>
        <v>0.74</v>
      </c>
      <c r="DT462" s="101">
        <f t="shared" si="83"/>
        <v>76.59</v>
      </c>
      <c r="DV462" s="16">
        <f t="shared" si="84"/>
        <v>0</v>
      </c>
      <c r="DZ462" s="37" t="s">
        <v>2</v>
      </c>
      <c r="EA462" s="37"/>
      <c r="EM462" s="73"/>
      <c r="EN462" s="37"/>
      <c r="EO462" s="37"/>
      <c r="EP462" s="37"/>
      <c r="EQ462" s="37"/>
      <c r="ER462" s="37"/>
      <c r="ES462" s="37"/>
      <c r="ET462" s="37"/>
      <c r="EU462" s="37"/>
      <c r="EV462" s="37"/>
      <c r="EW462" s="37"/>
      <c r="EX462" s="37"/>
      <c r="EY462" s="37"/>
      <c r="EZ462" s="37"/>
      <c r="FA462" s="37"/>
      <c r="FB462" s="37"/>
      <c r="FC462" s="37"/>
      <c r="FD462" s="37"/>
      <c r="FE462" s="37"/>
      <c r="FF462" s="55"/>
      <c r="FG462" s="55"/>
      <c r="FH462" s="55"/>
      <c r="FI462" s="37"/>
      <c r="FJ462" s="55"/>
      <c r="FK462" s="55"/>
      <c r="FL462" s="45"/>
      <c r="FM462" s="37"/>
      <c r="FN462" s="37"/>
      <c r="FO462" s="37"/>
      <c r="FP462" s="55"/>
      <c r="FQ462" s="1" t="s">
        <v>2</v>
      </c>
      <c r="FR462" s="1" t="s">
        <v>113</v>
      </c>
      <c r="FS462" s="1" t="s">
        <v>825</v>
      </c>
      <c r="FV462" s="1" t="s">
        <v>2</v>
      </c>
    </row>
    <row r="463" spans="1:178" ht="16.25" customHeight="1" x14ac:dyDescent="0.2">
      <c r="A463" s="18" t="s">
        <v>177</v>
      </c>
      <c r="B463" s="1" t="s">
        <v>85</v>
      </c>
      <c r="C463" s="15" t="s">
        <v>1251</v>
      </c>
      <c r="H463" s="1" t="s">
        <v>1215</v>
      </c>
      <c r="K463" s="1">
        <v>0</v>
      </c>
      <c r="AF463" s="1">
        <v>0</v>
      </c>
      <c r="BA463" s="1">
        <v>2.2000000000000002</v>
      </c>
      <c r="BI463" s="1">
        <v>0.59</v>
      </c>
      <c r="BV463" s="1">
        <v>0</v>
      </c>
      <c r="CQ463" s="1">
        <v>0</v>
      </c>
      <c r="DL463" s="18" t="s">
        <v>163</v>
      </c>
      <c r="DN463" s="1">
        <f t="shared" si="79"/>
        <v>0.59</v>
      </c>
      <c r="DO463" s="1">
        <f t="shared" si="80"/>
        <v>0</v>
      </c>
      <c r="DP463" s="1" t="s">
        <v>815</v>
      </c>
      <c r="DQ463" s="1" t="s">
        <v>2</v>
      </c>
      <c r="DR463" s="16">
        <f t="shared" si="81"/>
        <v>2.2000000000000002</v>
      </c>
      <c r="DS463" s="16">
        <f t="shared" si="82"/>
        <v>0.59</v>
      </c>
      <c r="DT463" s="101">
        <f t="shared" si="83"/>
        <v>12.98</v>
      </c>
      <c r="DV463" s="16">
        <f t="shared" si="84"/>
        <v>0</v>
      </c>
      <c r="DZ463" s="37" t="s">
        <v>2</v>
      </c>
      <c r="EA463" s="37"/>
      <c r="EM463" s="73"/>
      <c r="EN463" s="37"/>
      <c r="EO463" s="37"/>
      <c r="EP463" s="37"/>
      <c r="EQ463" s="37"/>
      <c r="ER463" s="37"/>
      <c r="ES463" s="37"/>
      <c r="ET463" s="37"/>
      <c r="EU463" s="37"/>
      <c r="EV463" s="37"/>
      <c r="EW463" s="37"/>
      <c r="EX463" s="37"/>
      <c r="EY463" s="37"/>
      <c r="EZ463" s="37"/>
      <c r="FA463" s="37"/>
      <c r="FB463" s="37"/>
      <c r="FC463" s="37"/>
      <c r="FD463" s="37"/>
      <c r="FE463" s="37"/>
      <c r="FF463" s="55"/>
      <c r="FG463" s="55"/>
      <c r="FH463" s="55"/>
      <c r="FI463" s="37"/>
      <c r="FJ463" s="55"/>
      <c r="FK463" s="55"/>
      <c r="FL463" s="45"/>
      <c r="FM463" s="37"/>
      <c r="FN463" s="37"/>
      <c r="FO463" s="37"/>
      <c r="FP463" s="55"/>
      <c r="FQ463" s="1" t="s">
        <v>2</v>
      </c>
      <c r="FR463" s="1" t="s">
        <v>113</v>
      </c>
      <c r="FS463" s="1" t="s">
        <v>825</v>
      </c>
      <c r="FV463" s="1" t="s">
        <v>2</v>
      </c>
    </row>
    <row r="464" spans="1:178" ht="16.25" customHeight="1" x14ac:dyDescent="0.2">
      <c r="A464" s="18" t="s">
        <v>177</v>
      </c>
      <c r="B464" s="1" t="s">
        <v>85</v>
      </c>
      <c r="C464" s="80" t="s">
        <v>1279</v>
      </c>
      <c r="D464" s="1" t="s">
        <v>69</v>
      </c>
      <c r="H464" s="35" t="s">
        <v>131</v>
      </c>
      <c r="K464" s="1">
        <v>0</v>
      </c>
      <c r="AF464" s="1">
        <v>0</v>
      </c>
      <c r="BA464" s="1">
        <v>5.26</v>
      </c>
      <c r="BI464" s="1">
        <v>0.38</v>
      </c>
      <c r="BV464" s="1">
        <v>0</v>
      </c>
      <c r="CQ464" s="1">
        <v>0</v>
      </c>
      <c r="DL464" s="18" t="s">
        <v>163</v>
      </c>
      <c r="DN464" s="1">
        <f t="shared" si="79"/>
        <v>0.38</v>
      </c>
      <c r="DO464" s="1">
        <f t="shared" si="80"/>
        <v>0</v>
      </c>
      <c r="DP464" s="1" t="s">
        <v>815</v>
      </c>
      <c r="DQ464" s="1" t="s">
        <v>2</v>
      </c>
      <c r="DR464" s="16">
        <f t="shared" si="81"/>
        <v>5.26</v>
      </c>
      <c r="DS464" s="16">
        <f t="shared" si="82"/>
        <v>0.38</v>
      </c>
      <c r="DT464" s="101">
        <f t="shared" si="83"/>
        <v>19.988</v>
      </c>
      <c r="DV464" s="16">
        <f t="shared" si="84"/>
        <v>0</v>
      </c>
      <c r="DZ464" s="37" t="s">
        <v>2</v>
      </c>
      <c r="EA464" s="37"/>
      <c r="EM464" s="73"/>
      <c r="EN464" s="37"/>
      <c r="EO464" s="37"/>
      <c r="EP464" s="37"/>
      <c r="EQ464" s="37"/>
      <c r="ER464" s="37"/>
      <c r="ES464" s="37"/>
      <c r="ET464" s="37"/>
      <c r="EU464" s="37"/>
      <c r="EV464" s="37"/>
      <c r="EW464" s="37"/>
      <c r="EX464" s="37"/>
      <c r="EY464" s="37"/>
      <c r="EZ464" s="37"/>
      <c r="FA464" s="37"/>
      <c r="FB464" s="37"/>
      <c r="FC464" s="37"/>
      <c r="FD464" s="37"/>
      <c r="FE464" s="37"/>
      <c r="FF464" s="55"/>
      <c r="FG464" s="55"/>
      <c r="FH464" s="55"/>
      <c r="FI464" s="37"/>
      <c r="FJ464" s="55"/>
      <c r="FK464" s="55"/>
      <c r="FL464" s="45"/>
      <c r="FM464" s="37"/>
      <c r="FN464" s="37"/>
      <c r="FO464" s="37"/>
      <c r="FP464" s="55"/>
      <c r="FQ464" s="1" t="s">
        <v>2</v>
      </c>
      <c r="FR464" s="1" t="s">
        <v>113</v>
      </c>
      <c r="FS464" s="1" t="s">
        <v>825</v>
      </c>
      <c r="FV464" s="1" t="s">
        <v>2</v>
      </c>
    </row>
    <row r="465" spans="1:178" ht="16.25" customHeight="1" x14ac:dyDescent="0.2">
      <c r="A465" s="18" t="s">
        <v>177</v>
      </c>
      <c r="B465" s="1" t="s">
        <v>85</v>
      </c>
      <c r="C465" s="80" t="s">
        <v>1162</v>
      </c>
      <c r="D465" s="1" t="s">
        <v>69</v>
      </c>
      <c r="H465" s="1" t="s">
        <v>131</v>
      </c>
      <c r="K465" s="1">
        <v>0</v>
      </c>
      <c r="AF465" s="1">
        <v>0</v>
      </c>
      <c r="BA465" s="1">
        <v>8</v>
      </c>
      <c r="BI465" s="1">
        <v>0.35</v>
      </c>
      <c r="BV465" s="1">
        <v>0</v>
      </c>
      <c r="CQ465" s="1">
        <v>0</v>
      </c>
      <c r="DL465" s="18" t="s">
        <v>163</v>
      </c>
      <c r="DN465" s="1">
        <f t="shared" si="79"/>
        <v>0.35</v>
      </c>
      <c r="DO465" s="1">
        <f t="shared" si="80"/>
        <v>0</v>
      </c>
      <c r="DP465" s="1" t="s">
        <v>815</v>
      </c>
      <c r="DQ465" s="1" t="s">
        <v>2</v>
      </c>
      <c r="DR465" s="16">
        <f t="shared" si="81"/>
        <v>8</v>
      </c>
      <c r="DS465" s="16">
        <f t="shared" si="82"/>
        <v>0.35</v>
      </c>
      <c r="DT465" s="101">
        <f t="shared" si="83"/>
        <v>28</v>
      </c>
      <c r="DV465" s="16">
        <f t="shared" si="84"/>
        <v>0</v>
      </c>
      <c r="DZ465" s="37" t="s">
        <v>2</v>
      </c>
      <c r="EA465" s="37"/>
      <c r="EM465" s="73"/>
      <c r="EN465" s="37"/>
      <c r="EO465" s="37"/>
      <c r="EP465" s="37"/>
      <c r="EQ465" s="37"/>
      <c r="ER465" s="37"/>
      <c r="ES465" s="37"/>
      <c r="ET465" s="37"/>
      <c r="EU465" s="37"/>
      <c r="EV465" s="37"/>
      <c r="EW465" s="37"/>
      <c r="EX465" s="37"/>
      <c r="EY465" s="37"/>
      <c r="EZ465" s="37"/>
      <c r="FA465" s="37"/>
      <c r="FB465" s="37"/>
      <c r="FC465" s="37"/>
      <c r="FD465" s="37"/>
      <c r="FE465" s="37"/>
      <c r="FF465" s="55"/>
      <c r="FG465" s="55"/>
      <c r="FH465" s="55"/>
      <c r="FI465" s="37"/>
      <c r="FJ465" s="55"/>
      <c r="FK465" s="55"/>
      <c r="FL465" s="45"/>
      <c r="FM465" s="37"/>
      <c r="FN465" s="37"/>
      <c r="FO465" s="37"/>
      <c r="FP465" s="55"/>
      <c r="FQ465" s="1" t="s">
        <v>2</v>
      </c>
      <c r="FR465" s="1" t="s">
        <v>113</v>
      </c>
      <c r="FS465" s="1" t="s">
        <v>825</v>
      </c>
      <c r="FV465" s="1" t="s">
        <v>2</v>
      </c>
    </row>
    <row r="466" spans="1:178" ht="16.25" customHeight="1" x14ac:dyDescent="0.2">
      <c r="A466" s="18" t="s">
        <v>177</v>
      </c>
      <c r="B466" s="1" t="s">
        <v>85</v>
      </c>
      <c r="C466" s="80" t="s">
        <v>1168</v>
      </c>
      <c r="D466" s="1" t="s">
        <v>69</v>
      </c>
      <c r="H466" s="1" t="s">
        <v>131</v>
      </c>
      <c r="K466" s="1">
        <v>0</v>
      </c>
      <c r="AF466" s="1">
        <v>0</v>
      </c>
      <c r="BA466" s="1">
        <v>4.12</v>
      </c>
      <c r="BI466" s="1">
        <v>0.34</v>
      </c>
      <c r="BV466" s="1">
        <v>0</v>
      </c>
      <c r="CQ466" s="1">
        <v>0</v>
      </c>
      <c r="DL466" s="18" t="s">
        <v>163</v>
      </c>
      <c r="DN466" s="1">
        <f t="shared" si="79"/>
        <v>0.34</v>
      </c>
      <c r="DO466" s="1">
        <f t="shared" si="80"/>
        <v>0</v>
      </c>
      <c r="DP466" s="1" t="s">
        <v>815</v>
      </c>
      <c r="DQ466" s="1" t="s">
        <v>2</v>
      </c>
      <c r="DR466" s="16">
        <f t="shared" si="81"/>
        <v>4.12</v>
      </c>
      <c r="DS466" s="16">
        <f t="shared" si="82"/>
        <v>0.34</v>
      </c>
      <c r="DT466" s="101">
        <f t="shared" si="83"/>
        <v>14.008000000000003</v>
      </c>
      <c r="DV466" s="16">
        <f t="shared" si="84"/>
        <v>0</v>
      </c>
      <c r="DZ466" s="37" t="s">
        <v>2</v>
      </c>
      <c r="EA466" s="37"/>
      <c r="EM466" s="73"/>
      <c r="EN466" s="37"/>
      <c r="EO466" s="37"/>
      <c r="EP466" s="37"/>
      <c r="EQ466" s="37"/>
      <c r="ER466" s="37"/>
      <c r="ES466" s="37"/>
      <c r="ET466" s="37"/>
      <c r="EU466" s="37"/>
      <c r="EV466" s="37"/>
      <c r="EW466" s="37"/>
      <c r="EX466" s="37"/>
      <c r="EY466" s="37"/>
      <c r="EZ466" s="37"/>
      <c r="FA466" s="37"/>
      <c r="FB466" s="37"/>
      <c r="FC466" s="37"/>
      <c r="FD466" s="37"/>
      <c r="FE466" s="37"/>
      <c r="FF466" s="55"/>
      <c r="FG466" s="55"/>
      <c r="FH466" s="55"/>
      <c r="FI466" s="37"/>
      <c r="FJ466" s="55"/>
      <c r="FK466" s="55"/>
      <c r="FL466" s="45"/>
      <c r="FM466" s="37"/>
      <c r="FN466" s="37"/>
      <c r="FO466" s="37"/>
      <c r="FP466" s="55"/>
      <c r="FQ466" s="1" t="s">
        <v>2</v>
      </c>
      <c r="FR466" s="1" t="s">
        <v>113</v>
      </c>
      <c r="FS466" s="1" t="s">
        <v>825</v>
      </c>
      <c r="FV466" s="1" t="s">
        <v>2</v>
      </c>
    </row>
    <row r="467" spans="1:178" ht="16.25" customHeight="1" x14ac:dyDescent="0.2">
      <c r="A467" s="18" t="s">
        <v>177</v>
      </c>
      <c r="B467" s="1" t="s">
        <v>85</v>
      </c>
      <c r="C467" s="79" t="s">
        <v>885</v>
      </c>
      <c r="D467" s="1" t="s">
        <v>69</v>
      </c>
      <c r="H467" s="1" t="s">
        <v>131</v>
      </c>
      <c r="K467" s="1">
        <v>0</v>
      </c>
      <c r="AF467" s="1">
        <v>0</v>
      </c>
      <c r="BA467" s="1">
        <v>3.0760000000000001</v>
      </c>
      <c r="BI467" s="1">
        <v>0.52</v>
      </c>
      <c r="BV467" s="1">
        <v>0</v>
      </c>
      <c r="CQ467" s="1">
        <v>0</v>
      </c>
      <c r="DL467" s="18" t="s">
        <v>163</v>
      </c>
      <c r="DN467" s="1">
        <f t="shared" si="79"/>
        <v>0.52</v>
      </c>
      <c r="DO467" s="1">
        <f t="shared" si="80"/>
        <v>0</v>
      </c>
      <c r="DP467" s="1" t="s">
        <v>815</v>
      </c>
      <c r="DQ467" s="1" t="s">
        <v>2</v>
      </c>
      <c r="DR467" s="16">
        <f t="shared" si="81"/>
        <v>3.0760000000000001</v>
      </c>
      <c r="DS467" s="16">
        <f t="shared" si="82"/>
        <v>0.52</v>
      </c>
      <c r="DT467" s="101">
        <f t="shared" si="83"/>
        <v>15.995200000000001</v>
      </c>
      <c r="DV467" s="16">
        <f t="shared" si="84"/>
        <v>0</v>
      </c>
      <c r="DZ467" s="37" t="s">
        <v>2</v>
      </c>
      <c r="EA467" s="37"/>
      <c r="EM467" s="73"/>
      <c r="EN467" s="37"/>
      <c r="EO467" s="37"/>
      <c r="EP467" s="37"/>
      <c r="EQ467" s="37"/>
      <c r="ER467" s="37"/>
      <c r="ES467" s="37"/>
      <c r="ET467" s="37"/>
      <c r="EU467" s="37"/>
      <c r="EV467" s="37"/>
      <c r="EW467" s="37"/>
      <c r="EX467" s="37"/>
      <c r="EY467" s="37"/>
      <c r="EZ467" s="37"/>
      <c r="FA467" s="37"/>
      <c r="FB467" s="37"/>
      <c r="FC467" s="37"/>
      <c r="FD467" s="37"/>
      <c r="FE467" s="37"/>
      <c r="FF467" s="55"/>
      <c r="FG467" s="55"/>
      <c r="FH467" s="55"/>
      <c r="FI467" s="37"/>
      <c r="FJ467" s="55"/>
      <c r="FK467" s="55"/>
      <c r="FL467" s="45"/>
      <c r="FM467" s="37"/>
      <c r="FN467" s="37"/>
      <c r="FO467" s="37"/>
      <c r="FP467" s="55"/>
      <c r="FQ467" s="1" t="s">
        <v>2</v>
      </c>
      <c r="FR467" s="1" t="s">
        <v>113</v>
      </c>
      <c r="FS467" s="1" t="s">
        <v>825</v>
      </c>
      <c r="FV467" s="1" t="s">
        <v>2</v>
      </c>
    </row>
    <row r="468" spans="1:178" ht="16.25" customHeight="1" x14ac:dyDescent="0.2">
      <c r="A468" s="18" t="s">
        <v>177</v>
      </c>
      <c r="B468" s="1" t="s">
        <v>85</v>
      </c>
      <c r="C468" s="16" t="s">
        <v>752</v>
      </c>
      <c r="D468" s="1" t="s">
        <v>69</v>
      </c>
      <c r="H468" s="1" t="s">
        <v>753</v>
      </c>
      <c r="K468" s="1">
        <v>0</v>
      </c>
      <c r="AF468" s="1">
        <v>0</v>
      </c>
      <c r="BA468" s="1">
        <v>13.41</v>
      </c>
      <c r="BB468" s="1">
        <v>0.1</v>
      </c>
      <c r="BC468" s="1">
        <v>0.10100000000000001</v>
      </c>
      <c r="BD468" s="1">
        <v>2.68</v>
      </c>
      <c r="BI468" s="1">
        <v>0.37</v>
      </c>
      <c r="BJ468" s="1">
        <v>3.1E-2</v>
      </c>
      <c r="BK468" s="13">
        <f>(0.35-0.101)*0.4</f>
        <v>9.9599999999999994E-2</v>
      </c>
      <c r="BL468" s="13">
        <f>(0.35-0.101)*0.6</f>
        <v>0.14939999999999998</v>
      </c>
      <c r="BV468" s="1">
        <v>0</v>
      </c>
      <c r="CQ468" s="1">
        <v>0</v>
      </c>
      <c r="DL468" s="18" t="s">
        <v>96</v>
      </c>
      <c r="DM468" s="1" t="s">
        <v>96</v>
      </c>
      <c r="DN468" s="1">
        <f t="shared" si="79"/>
        <v>0.36999999999999994</v>
      </c>
      <c r="DO468" s="1">
        <f t="shared" si="80"/>
        <v>3.1E-2</v>
      </c>
      <c r="DP468" s="1" t="s">
        <v>812</v>
      </c>
      <c r="DQ468" s="1" t="s">
        <v>2</v>
      </c>
      <c r="DR468" s="16">
        <f t="shared" si="81"/>
        <v>13.41</v>
      </c>
      <c r="DS468" s="16">
        <f t="shared" si="82"/>
        <v>0.36999999999999994</v>
      </c>
      <c r="DT468" s="101">
        <f t="shared" si="83"/>
        <v>49.61699999999999</v>
      </c>
      <c r="DV468" s="16">
        <f t="shared" si="84"/>
        <v>0</v>
      </c>
      <c r="DZ468" s="37" t="s">
        <v>2</v>
      </c>
      <c r="EA468" s="37"/>
      <c r="EM468" s="73"/>
      <c r="EN468" s="37"/>
      <c r="EO468" s="37"/>
      <c r="EP468" s="37"/>
      <c r="EQ468" s="37"/>
      <c r="ER468" s="37"/>
      <c r="ES468" s="37"/>
      <c r="ET468" s="37"/>
      <c r="EU468" s="37"/>
      <c r="EV468" s="37"/>
      <c r="EW468" s="37"/>
      <c r="EX468" s="37"/>
      <c r="EY468" s="37"/>
      <c r="EZ468" s="37"/>
      <c r="FA468" s="37"/>
      <c r="FB468" s="37"/>
      <c r="FC468" s="37"/>
      <c r="FD468" s="37"/>
      <c r="FE468" s="37"/>
      <c r="FF468" s="55"/>
      <c r="FG468" s="55"/>
      <c r="FH468" s="55"/>
      <c r="FI468" s="37"/>
      <c r="FJ468" s="55"/>
      <c r="FK468" s="55"/>
      <c r="FL468" s="45"/>
      <c r="FM468" s="37"/>
      <c r="FN468" s="37"/>
      <c r="FO468" s="37"/>
      <c r="FP468" s="55"/>
      <c r="FQ468" s="1" t="s">
        <v>2</v>
      </c>
      <c r="FR468" s="1" t="s">
        <v>113</v>
      </c>
      <c r="FS468" s="1" t="s">
        <v>871</v>
      </c>
      <c r="FT468" s="1" t="s">
        <v>839</v>
      </c>
      <c r="FV468" s="1" t="s">
        <v>2</v>
      </c>
    </row>
    <row r="469" spans="1:178" ht="16.25" customHeight="1" x14ac:dyDescent="0.2">
      <c r="A469" s="18" t="s">
        <v>177</v>
      </c>
      <c r="B469" s="1" t="s">
        <v>85</v>
      </c>
      <c r="C469" s="79" t="s">
        <v>898</v>
      </c>
      <c r="D469" s="1" t="s">
        <v>69</v>
      </c>
      <c r="H469" s="1" t="s">
        <v>131</v>
      </c>
      <c r="K469" s="1">
        <v>0</v>
      </c>
      <c r="AF469" s="1">
        <v>0</v>
      </c>
      <c r="BA469" s="1">
        <v>143</v>
      </c>
      <c r="BB469" s="1">
        <v>0.22</v>
      </c>
      <c r="BI469" s="1">
        <v>0.28999999999999998</v>
      </c>
      <c r="BJ469" s="1">
        <v>1.4999999999999999E-2</v>
      </c>
      <c r="BV469" s="1">
        <v>0</v>
      </c>
      <c r="CQ469" s="1">
        <v>0</v>
      </c>
      <c r="DL469" s="18" t="s">
        <v>96</v>
      </c>
      <c r="DM469" s="1" t="s">
        <v>96</v>
      </c>
      <c r="DN469" s="1">
        <f t="shared" si="79"/>
        <v>0.28999999999999998</v>
      </c>
      <c r="DO469" s="1">
        <f t="shared" si="80"/>
        <v>1.4999999999999999E-2</v>
      </c>
      <c r="DP469" s="1" t="s">
        <v>821</v>
      </c>
      <c r="DQ469" s="1" t="s">
        <v>2</v>
      </c>
      <c r="DR469" s="16">
        <f t="shared" si="81"/>
        <v>143</v>
      </c>
      <c r="DS469" s="16">
        <f t="shared" si="82"/>
        <v>0.28999999999999998</v>
      </c>
      <c r="DT469" s="101">
        <f t="shared" si="83"/>
        <v>414.7</v>
      </c>
      <c r="DV469" s="16">
        <f t="shared" si="84"/>
        <v>0</v>
      </c>
      <c r="DZ469" s="37" t="s">
        <v>2</v>
      </c>
      <c r="EA469" s="37"/>
      <c r="EM469" s="73"/>
      <c r="EN469" s="37"/>
      <c r="EO469" s="37"/>
      <c r="EP469" s="37"/>
      <c r="EQ469" s="37"/>
      <c r="ER469" s="37"/>
      <c r="ES469" s="37"/>
      <c r="ET469" s="37"/>
      <c r="EU469" s="37"/>
      <c r="EV469" s="37"/>
      <c r="EW469" s="37"/>
      <c r="EX469" s="37"/>
      <c r="EY469" s="37"/>
      <c r="EZ469" s="37"/>
      <c r="FA469" s="37"/>
      <c r="FB469" s="37"/>
      <c r="FC469" s="37"/>
      <c r="FD469" s="37"/>
      <c r="FE469" s="37"/>
      <c r="FF469" s="55"/>
      <c r="FG469" s="55"/>
      <c r="FH469" s="55"/>
      <c r="FI469" s="37"/>
      <c r="FJ469" s="55"/>
      <c r="FK469" s="55"/>
      <c r="FL469" s="45"/>
      <c r="FM469" s="37"/>
      <c r="FN469" s="37"/>
      <c r="FO469" s="37"/>
      <c r="FP469" s="55"/>
      <c r="FQ469" s="1" t="s">
        <v>2</v>
      </c>
      <c r="FR469" s="1" t="s">
        <v>113</v>
      </c>
      <c r="FS469" s="1" t="s">
        <v>261</v>
      </c>
      <c r="FV469" s="1" t="s">
        <v>2</v>
      </c>
    </row>
    <row r="470" spans="1:178" ht="16.25" customHeight="1" x14ac:dyDescent="0.2">
      <c r="A470" s="18" t="s">
        <v>595</v>
      </c>
      <c r="B470" s="1" t="s">
        <v>85</v>
      </c>
      <c r="C470" s="15" t="s">
        <v>1252</v>
      </c>
      <c r="H470" s="1" t="s">
        <v>1253</v>
      </c>
      <c r="K470" s="1">
        <v>0</v>
      </c>
      <c r="AF470" s="1">
        <v>0</v>
      </c>
      <c r="BA470" s="1">
        <v>260.5</v>
      </c>
      <c r="BB470" s="1">
        <v>0.11</v>
      </c>
      <c r="BC470" s="1">
        <v>7.0999999999999994E-2</v>
      </c>
      <c r="BI470" s="1">
        <v>7.0000000000000007E-2</v>
      </c>
      <c r="BK470" s="1">
        <f>(1.371-0.071)*0.5</f>
        <v>0.65</v>
      </c>
      <c r="BL470" s="1">
        <f>(1.371-0.071)*0.5</f>
        <v>0.65</v>
      </c>
      <c r="BV470" s="1">
        <v>0</v>
      </c>
      <c r="CQ470" s="1">
        <v>0</v>
      </c>
      <c r="DL470" s="18" t="s">
        <v>96</v>
      </c>
      <c r="DN470" s="1">
        <f t="shared" si="79"/>
        <v>7.0000000000000007E-2</v>
      </c>
      <c r="DO470" s="1">
        <f t="shared" si="80"/>
        <v>0</v>
      </c>
      <c r="DP470" s="1" t="s">
        <v>812</v>
      </c>
      <c r="DQ470" s="1" t="s">
        <v>2</v>
      </c>
      <c r="DR470" s="16">
        <f t="shared" si="81"/>
        <v>260.5</v>
      </c>
      <c r="DS470" s="16">
        <f t="shared" si="82"/>
        <v>7.0000000000000007E-2</v>
      </c>
      <c r="DT470" s="101">
        <f t="shared" si="83"/>
        <v>182.35</v>
      </c>
      <c r="DV470" s="16">
        <f t="shared" si="84"/>
        <v>0</v>
      </c>
      <c r="DZ470" s="37" t="s">
        <v>2</v>
      </c>
      <c r="EA470" s="37"/>
      <c r="EM470" s="73"/>
      <c r="EN470" s="37"/>
      <c r="EO470" s="37"/>
      <c r="EP470" s="37"/>
      <c r="EQ470" s="37"/>
      <c r="ER470" s="37"/>
      <c r="ES470" s="37"/>
      <c r="ET470" s="37"/>
      <c r="EU470" s="37"/>
      <c r="EV470" s="37"/>
      <c r="EW470" s="37"/>
      <c r="EX470" s="37"/>
      <c r="EY470" s="37"/>
      <c r="EZ470" s="37"/>
      <c r="FA470" s="37"/>
      <c r="FB470" s="37"/>
      <c r="FC470" s="37"/>
      <c r="FD470" s="37"/>
      <c r="FE470" s="37"/>
      <c r="FF470" s="55"/>
      <c r="FG470" s="55"/>
      <c r="FH470" s="55"/>
      <c r="FI470" s="37"/>
      <c r="FJ470" s="55"/>
      <c r="FK470" s="55"/>
      <c r="FL470" s="45"/>
      <c r="FM470" s="37"/>
      <c r="FN470" s="37"/>
      <c r="FO470" s="37"/>
      <c r="FP470" s="55"/>
      <c r="FQ470" s="1" t="s">
        <v>2</v>
      </c>
      <c r="FR470" s="1" t="s">
        <v>113</v>
      </c>
      <c r="FS470" s="1" t="s">
        <v>261</v>
      </c>
      <c r="FV470" s="1" t="s">
        <v>2</v>
      </c>
    </row>
    <row r="471" spans="1:178" ht="16.25" customHeight="1" x14ac:dyDescent="0.2">
      <c r="A471" s="18" t="s">
        <v>177</v>
      </c>
      <c r="B471" s="1" t="s">
        <v>85</v>
      </c>
      <c r="C471" s="80" t="s">
        <v>970</v>
      </c>
      <c r="D471" s="1" t="s">
        <v>69</v>
      </c>
      <c r="H471" s="1" t="s">
        <v>967</v>
      </c>
      <c r="K471" s="1">
        <v>0</v>
      </c>
      <c r="AF471" s="1">
        <v>0</v>
      </c>
      <c r="BA471" s="1">
        <v>4</v>
      </c>
      <c r="BI471" s="1">
        <v>0.5</v>
      </c>
      <c r="BV471" s="1">
        <v>0</v>
      </c>
      <c r="CQ471" s="1">
        <v>0</v>
      </c>
      <c r="DL471" s="18" t="s">
        <v>163</v>
      </c>
      <c r="DN471" s="1">
        <f t="shared" si="79"/>
        <v>0.5</v>
      </c>
      <c r="DO471" s="1">
        <f t="shared" si="80"/>
        <v>0</v>
      </c>
      <c r="DP471" s="1" t="s">
        <v>815</v>
      </c>
      <c r="DQ471" s="1" t="s">
        <v>2</v>
      </c>
      <c r="DR471" s="16">
        <f t="shared" si="81"/>
        <v>4</v>
      </c>
      <c r="DS471" s="16">
        <f t="shared" si="82"/>
        <v>0.5</v>
      </c>
      <c r="DT471" s="101">
        <f t="shared" si="83"/>
        <v>20</v>
      </c>
      <c r="DV471" s="16">
        <f t="shared" si="84"/>
        <v>0</v>
      </c>
      <c r="DZ471" s="37" t="s">
        <v>2</v>
      </c>
      <c r="EA471" s="37"/>
      <c r="EM471" s="73"/>
      <c r="EN471" s="37"/>
      <c r="EO471" s="37"/>
      <c r="EP471" s="37"/>
      <c r="EQ471" s="37"/>
      <c r="ER471" s="37"/>
      <c r="ES471" s="37"/>
      <c r="ET471" s="37"/>
      <c r="EU471" s="37"/>
      <c r="EV471" s="37"/>
      <c r="EW471" s="37"/>
      <c r="EX471" s="37"/>
      <c r="EY471" s="37"/>
      <c r="EZ471" s="37"/>
      <c r="FA471" s="37"/>
      <c r="FB471" s="37"/>
      <c r="FC471" s="37"/>
      <c r="FD471" s="37"/>
      <c r="FE471" s="37"/>
      <c r="FF471" s="55"/>
      <c r="FG471" s="55"/>
      <c r="FH471" s="55"/>
      <c r="FI471" s="37"/>
      <c r="FJ471" s="55"/>
      <c r="FK471" s="55"/>
      <c r="FL471" s="45"/>
      <c r="FM471" s="37"/>
      <c r="FN471" s="37"/>
      <c r="FO471" s="37"/>
      <c r="FP471" s="55"/>
      <c r="FQ471" s="1" t="s">
        <v>2</v>
      </c>
      <c r="FR471" s="1" t="s">
        <v>113</v>
      </c>
      <c r="FS471" s="1" t="s">
        <v>261</v>
      </c>
      <c r="FV471" s="1" t="s">
        <v>2</v>
      </c>
    </row>
    <row r="472" spans="1:178" ht="16.25" customHeight="1" x14ac:dyDescent="0.2">
      <c r="A472" s="18" t="s">
        <v>177</v>
      </c>
      <c r="B472" s="1" t="s">
        <v>85</v>
      </c>
      <c r="C472" s="15" t="s">
        <v>863</v>
      </c>
      <c r="D472" s="1" t="s">
        <v>69</v>
      </c>
      <c r="H472" s="1" t="s">
        <v>131</v>
      </c>
      <c r="K472" s="1">
        <v>0</v>
      </c>
      <c r="AF472" s="1">
        <v>0</v>
      </c>
      <c r="BA472" s="13">
        <v>13.8407</v>
      </c>
      <c r="BB472" s="2">
        <v>0.14000000000000001</v>
      </c>
      <c r="BC472" s="1">
        <v>0.14299999999999999</v>
      </c>
      <c r="BI472" s="1">
        <v>0.121</v>
      </c>
      <c r="BK472" s="1">
        <v>0.52700000000000002</v>
      </c>
      <c r="BL472" s="1">
        <v>3.2170000000000001</v>
      </c>
      <c r="BV472" s="1">
        <v>0</v>
      </c>
      <c r="CQ472" s="1">
        <v>0</v>
      </c>
      <c r="DL472" s="18" t="s">
        <v>163</v>
      </c>
      <c r="DN472" s="1">
        <f t="shared" si="79"/>
        <v>0.12099999999999998</v>
      </c>
      <c r="DO472" s="1">
        <f t="shared" si="80"/>
        <v>0</v>
      </c>
      <c r="DP472" s="1" t="s">
        <v>851</v>
      </c>
      <c r="DQ472" s="1" t="s">
        <v>2</v>
      </c>
      <c r="DR472" s="100">
        <f t="shared" si="81"/>
        <v>13.8407</v>
      </c>
      <c r="DS472" s="100">
        <f t="shared" si="82"/>
        <v>0.12099999999999998</v>
      </c>
      <c r="DT472" s="101">
        <f t="shared" si="83"/>
        <v>16.747246999999998</v>
      </c>
      <c r="DV472" s="16">
        <f t="shared" si="84"/>
        <v>0</v>
      </c>
      <c r="DZ472" s="37" t="s">
        <v>2</v>
      </c>
      <c r="EA472" s="37"/>
      <c r="EM472" s="73"/>
      <c r="EN472" s="37"/>
      <c r="EO472" s="37"/>
      <c r="EP472" s="37"/>
      <c r="EQ472" s="37"/>
      <c r="ER472" s="37"/>
      <c r="ES472" s="37"/>
      <c r="ET472" s="37"/>
      <c r="EU472" s="37"/>
      <c r="EV472" s="37"/>
      <c r="EW472" s="37"/>
      <c r="EX472" s="37"/>
      <c r="EY472" s="37"/>
      <c r="EZ472" s="37"/>
      <c r="FA472" s="37"/>
      <c r="FB472" s="37"/>
      <c r="FC472" s="37"/>
      <c r="FD472" s="37"/>
      <c r="FE472" s="37"/>
      <c r="FF472" s="55"/>
      <c r="FG472" s="55"/>
      <c r="FH472" s="55"/>
      <c r="FI472" s="37"/>
      <c r="FJ472" s="55"/>
      <c r="FK472" s="55"/>
      <c r="FL472" s="45"/>
      <c r="FM472" s="37"/>
      <c r="FN472" s="37"/>
      <c r="FO472" s="37"/>
      <c r="FP472" s="55"/>
      <c r="FQ472" s="1" t="s">
        <v>2</v>
      </c>
      <c r="FR472" s="1" t="s">
        <v>113</v>
      </c>
      <c r="FS472" s="1" t="s">
        <v>261</v>
      </c>
      <c r="FT472" s="1" t="s">
        <v>589</v>
      </c>
      <c r="FV472" s="1" t="s">
        <v>2</v>
      </c>
    </row>
    <row r="473" spans="1:178" ht="16.25" customHeight="1" x14ac:dyDescent="0.2">
      <c r="A473" s="18" t="s">
        <v>177</v>
      </c>
      <c r="B473" s="1" t="s">
        <v>85</v>
      </c>
      <c r="C473" s="15" t="s">
        <v>1254</v>
      </c>
      <c r="H473" s="1" t="s">
        <v>685</v>
      </c>
      <c r="K473" s="1">
        <v>0</v>
      </c>
      <c r="AF473" s="1">
        <v>0</v>
      </c>
      <c r="BA473" s="1">
        <v>13.1</v>
      </c>
      <c r="BB473" s="1">
        <v>0.2</v>
      </c>
      <c r="BI473" s="1">
        <v>0.24</v>
      </c>
      <c r="BV473" s="1">
        <v>0</v>
      </c>
      <c r="CQ473" s="1">
        <v>0</v>
      </c>
      <c r="DL473" s="18" t="s">
        <v>163</v>
      </c>
      <c r="DN473" s="1">
        <f t="shared" si="79"/>
        <v>0.24</v>
      </c>
      <c r="DO473" s="1">
        <f t="shared" si="80"/>
        <v>0</v>
      </c>
      <c r="DP473" s="1" t="s">
        <v>815</v>
      </c>
      <c r="DQ473" s="1" t="s">
        <v>2</v>
      </c>
      <c r="DR473" s="16">
        <f t="shared" si="81"/>
        <v>13.1</v>
      </c>
      <c r="DS473" s="16">
        <f t="shared" si="82"/>
        <v>0.24</v>
      </c>
      <c r="DT473" s="101">
        <f t="shared" si="83"/>
        <v>31.44</v>
      </c>
      <c r="DV473" s="16">
        <f t="shared" si="84"/>
        <v>0</v>
      </c>
      <c r="DZ473" s="37" t="s">
        <v>2</v>
      </c>
      <c r="EA473" s="37"/>
      <c r="EM473" s="73"/>
      <c r="EN473" s="37"/>
      <c r="EO473" s="37"/>
      <c r="EP473" s="37"/>
      <c r="EQ473" s="37"/>
      <c r="ER473" s="37"/>
      <c r="ES473" s="37"/>
      <c r="ET473" s="37"/>
      <c r="EU473" s="37"/>
      <c r="EV473" s="37"/>
      <c r="EW473" s="37"/>
      <c r="EX473" s="37"/>
      <c r="EY473" s="37"/>
      <c r="EZ473" s="37"/>
      <c r="FA473" s="37"/>
      <c r="FB473" s="37"/>
      <c r="FC473" s="37"/>
      <c r="FD473" s="37"/>
      <c r="FE473" s="37"/>
      <c r="FF473" s="55"/>
      <c r="FG473" s="55"/>
      <c r="FH473" s="55"/>
      <c r="FI473" s="37"/>
      <c r="FJ473" s="55"/>
      <c r="FK473" s="55"/>
      <c r="FL473" s="45"/>
      <c r="FM473" s="37"/>
      <c r="FN473" s="37"/>
      <c r="FO473" s="37"/>
      <c r="FP473" s="55"/>
      <c r="FQ473" s="1" t="s">
        <v>2</v>
      </c>
      <c r="FR473" s="1" t="s">
        <v>113</v>
      </c>
      <c r="FS473" s="1" t="s">
        <v>261</v>
      </c>
      <c r="FV473" s="1" t="s">
        <v>2</v>
      </c>
    </row>
    <row r="474" spans="1:178" ht="16.25" customHeight="1" x14ac:dyDescent="0.2">
      <c r="A474" s="18" t="s">
        <v>177</v>
      </c>
      <c r="B474" s="1" t="s">
        <v>85</v>
      </c>
      <c r="C474" s="15" t="s">
        <v>424</v>
      </c>
      <c r="D474" s="1" t="s">
        <v>69</v>
      </c>
      <c r="G474" s="1" t="s">
        <v>65</v>
      </c>
      <c r="H474" s="1" t="s">
        <v>104</v>
      </c>
      <c r="K474" s="1">
        <v>0</v>
      </c>
      <c r="AF474" s="1">
        <v>0</v>
      </c>
      <c r="BA474" s="1">
        <v>8.16</v>
      </c>
      <c r="BB474" s="1">
        <v>2.9</v>
      </c>
      <c r="BC474" s="1">
        <v>2.2000000000000002</v>
      </c>
      <c r="BD474" s="1">
        <v>5.2</v>
      </c>
      <c r="BI474" s="1">
        <v>5.0999999999999996</v>
      </c>
      <c r="BJ474" s="1">
        <v>0.23</v>
      </c>
      <c r="BV474" s="1">
        <v>0</v>
      </c>
      <c r="CQ474" s="1">
        <v>0</v>
      </c>
      <c r="DL474" s="18" t="s">
        <v>163</v>
      </c>
      <c r="DM474" s="1" t="s">
        <v>163</v>
      </c>
      <c r="DN474" s="1">
        <f t="shared" si="79"/>
        <v>5.0999999999999996</v>
      </c>
      <c r="DO474" s="1">
        <f t="shared" si="80"/>
        <v>0.23</v>
      </c>
      <c r="DP474" s="1" t="s">
        <v>815</v>
      </c>
      <c r="DQ474" s="1" t="s">
        <v>2</v>
      </c>
      <c r="DR474" s="16">
        <f t="shared" si="81"/>
        <v>8.16</v>
      </c>
      <c r="DS474" s="16">
        <f t="shared" si="82"/>
        <v>5.0999999999999996</v>
      </c>
      <c r="DT474" s="101">
        <f t="shared" si="83"/>
        <v>416.16</v>
      </c>
      <c r="DV474" s="16">
        <f t="shared" si="84"/>
        <v>0</v>
      </c>
      <c r="DZ474" s="37" t="s">
        <v>2</v>
      </c>
      <c r="EA474" s="37"/>
      <c r="EM474" s="73"/>
      <c r="EN474" s="37"/>
      <c r="EO474" s="37"/>
      <c r="EP474" s="37"/>
      <c r="EQ474" s="37"/>
      <c r="ER474" s="37"/>
      <c r="ES474" s="37"/>
      <c r="ET474" s="37"/>
      <c r="EU474" s="37"/>
      <c r="EV474" s="37"/>
      <c r="EW474" s="37"/>
      <c r="EX474" s="37"/>
      <c r="EY474" s="37"/>
      <c r="EZ474" s="37"/>
      <c r="FA474" s="37"/>
      <c r="FB474" s="37"/>
      <c r="FC474" s="37"/>
      <c r="FD474" s="37"/>
      <c r="FE474" s="37"/>
      <c r="FF474" s="55"/>
      <c r="FG474" s="55"/>
      <c r="FH474" s="55"/>
      <c r="FI474" s="37"/>
      <c r="FJ474" s="55"/>
      <c r="FK474" s="55"/>
      <c r="FL474" s="45"/>
      <c r="FM474" s="37"/>
      <c r="FN474" s="37"/>
      <c r="FO474" s="37"/>
      <c r="FP474" s="55"/>
      <c r="FQ474" s="1" t="s">
        <v>2</v>
      </c>
      <c r="FR474" s="1" t="s">
        <v>113</v>
      </c>
      <c r="FS474" s="1" t="s">
        <v>261</v>
      </c>
      <c r="FV474" s="1" t="s">
        <v>2</v>
      </c>
    </row>
    <row r="475" spans="1:178" ht="16.25" customHeight="1" x14ac:dyDescent="0.2">
      <c r="A475" s="18" t="s">
        <v>177</v>
      </c>
      <c r="B475" s="1" t="s">
        <v>85</v>
      </c>
      <c r="C475" s="29" t="s">
        <v>864</v>
      </c>
      <c r="D475" s="1" t="s">
        <v>69</v>
      </c>
      <c r="H475" s="1" t="s">
        <v>131</v>
      </c>
      <c r="K475" s="1">
        <v>0</v>
      </c>
      <c r="AF475" s="1">
        <v>0</v>
      </c>
      <c r="BA475" s="1">
        <v>0.71</v>
      </c>
      <c r="BB475" s="1">
        <v>2.06</v>
      </c>
      <c r="BC475" s="1">
        <v>2.2000000000000002</v>
      </c>
      <c r="BD475" s="1">
        <v>5.2</v>
      </c>
      <c r="BI475" s="1">
        <v>3.23</v>
      </c>
      <c r="BJ475" s="1">
        <v>0.15</v>
      </c>
      <c r="BV475" s="1">
        <v>0</v>
      </c>
      <c r="CQ475" s="1">
        <v>0</v>
      </c>
      <c r="DL475" s="18" t="s">
        <v>163</v>
      </c>
      <c r="DM475" s="1" t="s">
        <v>163</v>
      </c>
      <c r="DN475" s="1">
        <f t="shared" si="79"/>
        <v>3.23</v>
      </c>
      <c r="DO475" s="1">
        <f t="shared" si="80"/>
        <v>0.15</v>
      </c>
      <c r="DP475" s="1" t="s">
        <v>815</v>
      </c>
      <c r="DQ475" s="1" t="s">
        <v>2</v>
      </c>
      <c r="DR475" s="16">
        <f t="shared" si="81"/>
        <v>0.71</v>
      </c>
      <c r="DS475" s="16">
        <f t="shared" si="82"/>
        <v>3.23</v>
      </c>
      <c r="DT475" s="101">
        <f t="shared" si="83"/>
        <v>22.933000000000003</v>
      </c>
      <c r="DV475" s="16">
        <f t="shared" si="84"/>
        <v>0</v>
      </c>
      <c r="DZ475" s="37" t="s">
        <v>2</v>
      </c>
      <c r="EA475" s="37"/>
      <c r="EM475" s="73"/>
      <c r="EN475" s="37"/>
      <c r="EO475" s="37"/>
      <c r="EP475" s="37"/>
      <c r="EQ475" s="37"/>
      <c r="ER475" s="37"/>
      <c r="ES475" s="37"/>
      <c r="ET475" s="37"/>
      <c r="EU475" s="37"/>
      <c r="EV475" s="37"/>
      <c r="EW475" s="37"/>
      <c r="EX475" s="37"/>
      <c r="EY475" s="37"/>
      <c r="EZ475" s="37"/>
      <c r="FA475" s="37"/>
      <c r="FB475" s="37"/>
      <c r="FC475" s="37"/>
      <c r="FD475" s="37"/>
      <c r="FE475" s="37"/>
      <c r="FF475" s="55"/>
      <c r="FG475" s="55"/>
      <c r="FH475" s="55"/>
      <c r="FI475" s="37"/>
      <c r="FJ475" s="55"/>
      <c r="FK475" s="55"/>
      <c r="FL475" s="45"/>
      <c r="FM475" s="37"/>
      <c r="FN475" s="37"/>
      <c r="FO475" s="37"/>
      <c r="FP475" s="55"/>
      <c r="FQ475" s="1" t="s">
        <v>2</v>
      </c>
      <c r="FR475" s="1" t="s">
        <v>113</v>
      </c>
      <c r="FS475" s="1" t="s">
        <v>261</v>
      </c>
      <c r="FV475" s="1" t="s">
        <v>2</v>
      </c>
    </row>
    <row r="476" spans="1:178" ht="16.25" customHeight="1" x14ac:dyDescent="0.2">
      <c r="A476" s="18" t="s">
        <v>177</v>
      </c>
      <c r="B476" s="1" t="s">
        <v>85</v>
      </c>
      <c r="C476" s="15" t="s">
        <v>398</v>
      </c>
      <c r="D476" s="1" t="s">
        <v>69</v>
      </c>
      <c r="G476" s="1" t="s">
        <v>65</v>
      </c>
      <c r="H476" s="1" t="s">
        <v>392</v>
      </c>
      <c r="K476" s="1">
        <v>0</v>
      </c>
      <c r="AF476" s="1">
        <v>0</v>
      </c>
      <c r="BA476" s="1">
        <v>131.19999999999999</v>
      </c>
      <c r="BB476" s="1">
        <v>0.17</v>
      </c>
      <c r="BI476" s="1">
        <v>0.33</v>
      </c>
      <c r="BJ476" s="1">
        <v>1.4E-2</v>
      </c>
      <c r="BV476" s="1">
        <v>0</v>
      </c>
      <c r="CQ476" s="1">
        <v>0</v>
      </c>
      <c r="DL476" s="18" t="s">
        <v>163</v>
      </c>
      <c r="DM476" s="1" t="s">
        <v>163</v>
      </c>
      <c r="DN476" s="1">
        <f t="shared" si="79"/>
        <v>0.33</v>
      </c>
      <c r="DO476" s="1">
        <f t="shared" si="80"/>
        <v>1.4E-2</v>
      </c>
      <c r="DP476" s="1" t="s">
        <v>815</v>
      </c>
      <c r="DQ476" s="1" t="s">
        <v>2</v>
      </c>
      <c r="DR476" s="16">
        <f t="shared" si="81"/>
        <v>131.19999999999999</v>
      </c>
      <c r="DS476" s="16">
        <f t="shared" si="82"/>
        <v>0.33</v>
      </c>
      <c r="DT476" s="101">
        <f t="shared" si="83"/>
        <v>432.96</v>
      </c>
      <c r="DV476" s="16">
        <f t="shared" si="84"/>
        <v>0</v>
      </c>
      <c r="DZ476" s="37" t="s">
        <v>2</v>
      </c>
      <c r="EA476" s="37"/>
      <c r="EM476" s="73"/>
      <c r="EN476" s="37"/>
      <c r="EO476" s="37"/>
      <c r="EP476" s="37"/>
      <c r="EQ476" s="37"/>
      <c r="ER476" s="37"/>
      <c r="ES476" s="37"/>
      <c r="ET476" s="37"/>
      <c r="EU476" s="37"/>
      <c r="EV476" s="37"/>
      <c r="EW476" s="37"/>
      <c r="EX476" s="37"/>
      <c r="EY476" s="37"/>
      <c r="EZ476" s="37"/>
      <c r="FA476" s="37"/>
      <c r="FB476" s="37"/>
      <c r="FC476" s="37"/>
      <c r="FD476" s="37"/>
      <c r="FE476" s="37"/>
      <c r="FF476" s="55"/>
      <c r="FG476" s="55"/>
      <c r="FH476" s="55"/>
      <c r="FI476" s="37"/>
      <c r="FJ476" s="55"/>
      <c r="FK476" s="55"/>
      <c r="FL476" s="45"/>
      <c r="FM476" s="37"/>
      <c r="FN476" s="37"/>
      <c r="FO476" s="37"/>
      <c r="FP476" s="55"/>
      <c r="FQ476" s="1" t="s">
        <v>2</v>
      </c>
      <c r="FR476" s="1" t="s">
        <v>113</v>
      </c>
      <c r="FS476" s="1" t="s">
        <v>261</v>
      </c>
      <c r="FV476" s="1" t="s">
        <v>2</v>
      </c>
    </row>
    <row r="477" spans="1:178" ht="16.25" customHeight="1" x14ac:dyDescent="0.2">
      <c r="A477" s="18" t="s">
        <v>177</v>
      </c>
      <c r="B477" s="1" t="s">
        <v>85</v>
      </c>
      <c r="C477" s="15" t="s">
        <v>806</v>
      </c>
      <c r="D477" s="1" t="s">
        <v>69</v>
      </c>
      <c r="H477" s="1" t="s">
        <v>807</v>
      </c>
      <c r="K477" s="1">
        <v>0</v>
      </c>
      <c r="AF477" s="1">
        <v>53.332999999999998</v>
      </c>
      <c r="AG477" s="1">
        <v>0.45500000000000002</v>
      </c>
      <c r="AN477" s="1">
        <v>0.27</v>
      </c>
      <c r="AP477" s="1">
        <v>0.2</v>
      </c>
      <c r="AQ477" s="1">
        <v>2.0499999999999998</v>
      </c>
      <c r="BA477" s="1">
        <v>0</v>
      </c>
      <c r="BV477" s="1">
        <v>0</v>
      </c>
      <c r="CQ477" s="1">
        <v>0</v>
      </c>
      <c r="DL477" s="18" t="s">
        <v>96</v>
      </c>
      <c r="DN477" s="1">
        <f t="shared" si="79"/>
        <v>0.27</v>
      </c>
      <c r="DO477" s="1">
        <f t="shared" si="80"/>
        <v>0</v>
      </c>
      <c r="DP477" s="1" t="s">
        <v>812</v>
      </c>
      <c r="DQ477" s="1" t="s">
        <v>2</v>
      </c>
      <c r="DR477" s="100">
        <f t="shared" si="81"/>
        <v>53.332999999999998</v>
      </c>
      <c r="DS477" s="16">
        <f t="shared" si="82"/>
        <v>0.27</v>
      </c>
      <c r="DT477" s="101">
        <f t="shared" si="83"/>
        <v>143.99910000000003</v>
      </c>
      <c r="DV477" s="16">
        <f t="shared" si="84"/>
        <v>0</v>
      </c>
      <c r="DZ477" s="37" t="s">
        <v>2</v>
      </c>
      <c r="EA477" s="37"/>
      <c r="EM477" s="73"/>
      <c r="EN477" s="37"/>
      <c r="EO477" s="37"/>
      <c r="EP477" s="37"/>
      <c r="EQ477" s="37"/>
      <c r="ER477" s="37"/>
      <c r="ES477" s="37"/>
      <c r="ET477" s="37"/>
      <c r="EU477" s="37"/>
      <c r="EV477" s="37"/>
      <c r="EW477" s="37"/>
      <c r="EX477" s="37"/>
      <c r="EY477" s="37"/>
      <c r="EZ477" s="37"/>
      <c r="FA477" s="37"/>
      <c r="FB477" s="37"/>
      <c r="FC477" s="37"/>
      <c r="FD477" s="37"/>
      <c r="FE477" s="37"/>
      <c r="FF477" s="55"/>
      <c r="FG477" s="55"/>
      <c r="FH477" s="55"/>
      <c r="FI477" s="37"/>
      <c r="FJ477" s="55"/>
      <c r="FK477" s="55"/>
      <c r="FL477" s="45"/>
      <c r="FM477" s="37"/>
      <c r="FN477" s="37"/>
      <c r="FO477" s="37"/>
      <c r="FP477" s="55"/>
      <c r="FQ477" s="1" t="s">
        <v>2</v>
      </c>
      <c r="FR477" s="1" t="s">
        <v>113</v>
      </c>
      <c r="FS477" s="1" t="s">
        <v>261</v>
      </c>
      <c r="FT477" s="1" t="s">
        <v>589</v>
      </c>
      <c r="FV477" s="1" t="s">
        <v>2</v>
      </c>
    </row>
    <row r="478" spans="1:178" ht="16.25" customHeight="1" x14ac:dyDescent="0.2">
      <c r="A478" s="18" t="s">
        <v>177</v>
      </c>
      <c r="B478" s="1" t="s">
        <v>85</v>
      </c>
      <c r="C478" s="15" t="s">
        <v>972</v>
      </c>
      <c r="D478" s="1" t="s">
        <v>69</v>
      </c>
      <c r="H478" s="1" t="s">
        <v>131</v>
      </c>
      <c r="K478" s="1">
        <v>1.103</v>
      </c>
      <c r="L478" s="1">
        <v>0.17</v>
      </c>
      <c r="M478" s="1">
        <v>0.26400000000000001</v>
      </c>
      <c r="S478" s="1">
        <v>0.23</v>
      </c>
      <c r="U478" s="13">
        <f>(6.685-0.264)*0.4</f>
        <v>2.5684</v>
      </c>
      <c r="V478" s="13">
        <f>(6.685-0.264)*0.6</f>
        <v>3.8525999999999994</v>
      </c>
      <c r="AF478" s="1">
        <v>0</v>
      </c>
      <c r="BA478" s="1">
        <v>0</v>
      </c>
      <c r="BV478" s="1">
        <v>1.103</v>
      </c>
      <c r="BW478" s="1">
        <v>0.17</v>
      </c>
      <c r="BX478" s="1">
        <v>0.26400000000000001</v>
      </c>
      <c r="CD478" s="1">
        <v>0.23</v>
      </c>
      <c r="CF478" s="13">
        <f>(6.685-0.264)*0.4</f>
        <v>2.5684</v>
      </c>
      <c r="CG478" s="13">
        <f>(6.685-0.264)*0.6</f>
        <v>3.8525999999999994</v>
      </c>
      <c r="CQ478" s="1">
        <v>0</v>
      </c>
      <c r="DL478" s="18" t="s">
        <v>96</v>
      </c>
      <c r="DN478" s="1">
        <f t="shared" si="79"/>
        <v>0.23000000000000004</v>
      </c>
      <c r="DO478" s="1">
        <f t="shared" si="80"/>
        <v>0</v>
      </c>
      <c r="DP478" s="1" t="s">
        <v>812</v>
      </c>
      <c r="DQ478" s="1" t="s">
        <v>2</v>
      </c>
      <c r="DR478" s="16">
        <f t="shared" si="81"/>
        <v>1.103</v>
      </c>
      <c r="DS478" s="16">
        <f t="shared" si="82"/>
        <v>0.23000000000000004</v>
      </c>
      <c r="DT478" s="101">
        <f t="shared" si="83"/>
        <v>2.5369000000000006</v>
      </c>
      <c r="DV478" s="16">
        <f t="shared" si="84"/>
        <v>1.103</v>
      </c>
      <c r="DW478" s="100">
        <f>(BV478*CD478+CQ478*CY478)/DV478</f>
        <v>0.23000000000000004</v>
      </c>
      <c r="DX478" s="101">
        <f>1000*DV478*DW478/100</f>
        <v>2.5369000000000006</v>
      </c>
      <c r="DZ478" s="37" t="s">
        <v>2</v>
      </c>
      <c r="EA478" s="37"/>
      <c r="EM478" s="73"/>
      <c r="EN478" s="37"/>
      <c r="EO478" s="37"/>
      <c r="EP478" s="37"/>
      <c r="EQ478" s="37"/>
      <c r="ER478" s="37"/>
      <c r="ES478" s="37"/>
      <c r="ET478" s="37"/>
      <c r="EU478" s="37"/>
      <c r="EV478" s="37"/>
      <c r="EW478" s="37"/>
      <c r="EX478" s="37"/>
      <c r="EY478" s="37"/>
      <c r="EZ478" s="37"/>
      <c r="FA478" s="37"/>
      <c r="FB478" s="37"/>
      <c r="FC478" s="37"/>
      <c r="FD478" s="37"/>
      <c r="FE478" s="37"/>
      <c r="FF478" s="55"/>
      <c r="FG478" s="55"/>
      <c r="FH478" s="55"/>
      <c r="FI478" s="37"/>
      <c r="FJ478" s="55"/>
      <c r="FK478" s="55"/>
      <c r="FL478" s="45"/>
      <c r="FM478" s="37"/>
      <c r="FN478" s="37"/>
      <c r="FO478" s="37"/>
      <c r="FP478" s="55"/>
      <c r="FQ478" s="1" t="s">
        <v>2</v>
      </c>
      <c r="FR478" s="1" t="s">
        <v>113</v>
      </c>
      <c r="FS478" s="1" t="s">
        <v>261</v>
      </c>
      <c r="FV478" s="1" t="s">
        <v>2</v>
      </c>
    </row>
    <row r="479" spans="1:178" ht="16.25" customHeight="1" x14ac:dyDescent="0.2">
      <c r="A479" s="18" t="s">
        <v>177</v>
      </c>
      <c r="B479" s="1" t="s">
        <v>85</v>
      </c>
      <c r="C479" s="79" t="s">
        <v>1143</v>
      </c>
      <c r="D479" s="1" t="s">
        <v>69</v>
      </c>
      <c r="H479" s="1" t="s">
        <v>1138</v>
      </c>
      <c r="K479" s="1">
        <v>12.712999999999999</v>
      </c>
      <c r="L479" s="1">
        <v>0.16</v>
      </c>
      <c r="M479" s="1">
        <v>0.14899999999999999</v>
      </c>
      <c r="S479" s="1">
        <v>0.12</v>
      </c>
      <c r="U479" s="13">
        <f>(3.652-0.149)*0.4</f>
        <v>1.4012000000000002</v>
      </c>
      <c r="V479" s="13">
        <f>(3.652-0.149)*0.6</f>
        <v>2.1017999999999999</v>
      </c>
      <c r="AF479" s="1">
        <v>0</v>
      </c>
      <c r="BA479" s="1">
        <v>0</v>
      </c>
      <c r="BV479" s="1">
        <v>12.712999999999999</v>
      </c>
      <c r="BW479" s="1">
        <v>0.16</v>
      </c>
      <c r="BX479" s="1">
        <v>0.14899999999999999</v>
      </c>
      <c r="CD479" s="1">
        <v>0.12</v>
      </c>
      <c r="CF479" s="13">
        <f>(3.652-0.149)*0.4</f>
        <v>1.4012000000000002</v>
      </c>
      <c r="CG479" s="13">
        <f>(3.652-0.149)*0.6</f>
        <v>2.1017999999999999</v>
      </c>
      <c r="CQ479" s="1">
        <v>0</v>
      </c>
      <c r="DL479" s="18" t="s">
        <v>96</v>
      </c>
      <c r="DN479" s="1">
        <f t="shared" si="79"/>
        <v>0.12</v>
      </c>
      <c r="DO479" s="1">
        <f t="shared" si="80"/>
        <v>0</v>
      </c>
      <c r="DP479" s="1" t="s">
        <v>812</v>
      </c>
      <c r="DQ479" s="1" t="s">
        <v>2</v>
      </c>
      <c r="DR479" s="100">
        <f t="shared" si="81"/>
        <v>12.712999999999999</v>
      </c>
      <c r="DS479" s="16">
        <f t="shared" si="82"/>
        <v>0.12</v>
      </c>
      <c r="DT479" s="101">
        <f t="shared" si="83"/>
        <v>15.255599999999999</v>
      </c>
      <c r="DV479" s="16">
        <f t="shared" si="84"/>
        <v>12.712999999999999</v>
      </c>
      <c r="DW479" s="100">
        <f>(BV479*CD479+CQ479*CY479)/DV479</f>
        <v>0.12</v>
      </c>
      <c r="DX479" s="101">
        <f>1000*DV479*DW479/100</f>
        <v>15.255599999999999</v>
      </c>
      <c r="DZ479" s="37" t="s">
        <v>2</v>
      </c>
      <c r="EA479" s="37"/>
      <c r="EM479" s="73"/>
      <c r="EN479" s="37"/>
      <c r="EO479" s="37"/>
      <c r="EP479" s="37"/>
      <c r="EQ479" s="37"/>
      <c r="ER479" s="37"/>
      <c r="ES479" s="37"/>
      <c r="ET479" s="37"/>
      <c r="EU479" s="37"/>
      <c r="EV479" s="37"/>
      <c r="EW479" s="37"/>
      <c r="EX479" s="37"/>
      <c r="EY479" s="37"/>
      <c r="EZ479" s="37"/>
      <c r="FA479" s="37"/>
      <c r="FB479" s="37"/>
      <c r="FC479" s="37"/>
      <c r="FD479" s="37"/>
      <c r="FE479" s="37"/>
      <c r="FF479" s="55"/>
      <c r="FG479" s="55"/>
      <c r="FH479" s="55"/>
      <c r="FI479" s="37"/>
      <c r="FJ479" s="55"/>
      <c r="FK479" s="55"/>
      <c r="FL479" s="45"/>
      <c r="FM479" s="37"/>
      <c r="FN479" s="37"/>
      <c r="FO479" s="37"/>
      <c r="FP479" s="55"/>
      <c r="FQ479" s="1" t="s">
        <v>2</v>
      </c>
      <c r="FR479" s="1" t="s">
        <v>113</v>
      </c>
      <c r="FS479" s="1" t="s">
        <v>261</v>
      </c>
      <c r="FV479" s="1" t="s">
        <v>2</v>
      </c>
    </row>
    <row r="480" spans="1:178" ht="16.25" customHeight="1" x14ac:dyDescent="0.2">
      <c r="A480" s="18" t="s">
        <v>177</v>
      </c>
      <c r="B480" s="1" t="s">
        <v>85</v>
      </c>
      <c r="C480" s="79" t="s">
        <v>525</v>
      </c>
      <c r="D480" s="1" t="s">
        <v>518</v>
      </c>
      <c r="G480" s="1" t="s">
        <v>72</v>
      </c>
      <c r="H480" s="1" t="s">
        <v>526</v>
      </c>
      <c r="K480" s="1">
        <v>0</v>
      </c>
      <c r="AF480" s="1">
        <v>0</v>
      </c>
      <c r="BA480" s="1">
        <v>5.18</v>
      </c>
      <c r="BB480" s="1">
        <v>0.2</v>
      </c>
      <c r="BI480" s="1">
        <v>0.79</v>
      </c>
      <c r="BV480" s="1">
        <v>0</v>
      </c>
      <c r="CQ480" s="1">
        <v>0</v>
      </c>
      <c r="DL480" s="18" t="s">
        <v>163</v>
      </c>
      <c r="DN480" s="1">
        <f t="shared" si="79"/>
        <v>0.79</v>
      </c>
      <c r="DO480" s="1">
        <f t="shared" si="80"/>
        <v>0</v>
      </c>
      <c r="DP480" s="1" t="s">
        <v>815</v>
      </c>
      <c r="DQ480" s="1" t="s">
        <v>2</v>
      </c>
      <c r="DR480" s="16">
        <f t="shared" si="81"/>
        <v>5.18</v>
      </c>
      <c r="DS480" s="16">
        <f t="shared" si="82"/>
        <v>0.79</v>
      </c>
      <c r="DT480" s="101">
        <f t="shared" si="83"/>
        <v>40.922000000000004</v>
      </c>
      <c r="DV480" s="16">
        <f t="shared" si="84"/>
        <v>0</v>
      </c>
      <c r="DZ480" s="37" t="s">
        <v>2</v>
      </c>
      <c r="EA480" s="37"/>
      <c r="EM480" s="73"/>
      <c r="EN480" s="37"/>
      <c r="EO480" s="37"/>
      <c r="EP480" s="37"/>
      <c r="EQ480" s="37"/>
      <c r="ER480" s="37"/>
      <c r="ES480" s="37"/>
      <c r="ET480" s="37"/>
      <c r="EU480" s="37"/>
      <c r="EV480" s="37"/>
      <c r="EW480" s="37"/>
      <c r="EX480" s="37"/>
      <c r="EY480" s="37"/>
      <c r="EZ480" s="37"/>
      <c r="FA480" s="37"/>
      <c r="FB480" s="37"/>
      <c r="FC480" s="37"/>
      <c r="FD480" s="37"/>
      <c r="FE480" s="37"/>
      <c r="FF480" s="55"/>
      <c r="FG480" s="55"/>
      <c r="FH480" s="55"/>
      <c r="FI480" s="37"/>
      <c r="FJ480" s="55"/>
      <c r="FK480" s="55"/>
      <c r="FL480" s="45"/>
      <c r="FM480" s="37"/>
      <c r="FN480" s="37"/>
      <c r="FO480" s="37"/>
      <c r="FP480" s="55"/>
      <c r="FQ480" s="1" t="s">
        <v>2</v>
      </c>
      <c r="FR480" s="1" t="s">
        <v>113</v>
      </c>
      <c r="FS480" s="1" t="s">
        <v>261</v>
      </c>
      <c r="FV480" s="1" t="s">
        <v>2</v>
      </c>
    </row>
    <row r="481" spans="1:178" ht="16.25" customHeight="1" x14ac:dyDescent="0.2">
      <c r="A481" s="18" t="s">
        <v>177</v>
      </c>
      <c r="B481" s="1" t="s">
        <v>85</v>
      </c>
      <c r="C481" s="79" t="s">
        <v>627</v>
      </c>
      <c r="D481" s="1" t="s">
        <v>69</v>
      </c>
      <c r="H481" s="1" t="s">
        <v>131</v>
      </c>
      <c r="K481" s="1">
        <v>0</v>
      </c>
      <c r="AF481" s="1">
        <v>0</v>
      </c>
      <c r="BA481" s="1">
        <v>2.6</v>
      </c>
      <c r="BB481" s="1">
        <v>0.17</v>
      </c>
      <c r="BI481" s="1">
        <v>0.47</v>
      </c>
      <c r="BV481" s="1">
        <v>0</v>
      </c>
      <c r="CQ481" s="1">
        <v>0</v>
      </c>
      <c r="DL481" s="18" t="s">
        <v>163</v>
      </c>
      <c r="DN481" s="1">
        <f t="shared" si="79"/>
        <v>0.47</v>
      </c>
      <c r="DO481" s="1">
        <f t="shared" si="80"/>
        <v>0</v>
      </c>
      <c r="DP481" s="1" t="s">
        <v>815</v>
      </c>
      <c r="DQ481" s="1" t="s">
        <v>2</v>
      </c>
      <c r="DR481" s="16">
        <f t="shared" si="81"/>
        <v>2.6</v>
      </c>
      <c r="DS481" s="16">
        <f t="shared" si="82"/>
        <v>0.47</v>
      </c>
      <c r="DT481" s="101">
        <f t="shared" si="83"/>
        <v>12.22</v>
      </c>
      <c r="DV481" s="16">
        <f t="shared" si="84"/>
        <v>0</v>
      </c>
      <c r="DZ481" s="37" t="s">
        <v>2</v>
      </c>
      <c r="EA481" s="37"/>
      <c r="EM481" s="73"/>
      <c r="EN481" s="37"/>
      <c r="EO481" s="37"/>
      <c r="EP481" s="37"/>
      <c r="EQ481" s="37"/>
      <c r="ER481" s="37"/>
      <c r="ES481" s="37"/>
      <c r="ET481" s="37"/>
      <c r="EU481" s="37"/>
      <c r="EV481" s="37"/>
      <c r="EW481" s="37"/>
      <c r="EX481" s="37"/>
      <c r="EY481" s="37"/>
      <c r="EZ481" s="37"/>
      <c r="FA481" s="37"/>
      <c r="FB481" s="37"/>
      <c r="FC481" s="37"/>
      <c r="FD481" s="37"/>
      <c r="FE481" s="37"/>
      <c r="FF481" s="55"/>
      <c r="FG481" s="55"/>
      <c r="FH481" s="55"/>
      <c r="FI481" s="37"/>
      <c r="FJ481" s="55"/>
      <c r="FK481" s="55"/>
      <c r="FL481" s="45"/>
      <c r="FM481" s="37"/>
      <c r="FN481" s="37"/>
      <c r="FO481" s="37"/>
      <c r="FP481" s="55"/>
      <c r="FQ481" s="1" t="s">
        <v>2</v>
      </c>
      <c r="FR481" s="1" t="s">
        <v>113</v>
      </c>
      <c r="FS481" s="1" t="s">
        <v>831</v>
      </c>
      <c r="FV481" s="1" t="s">
        <v>2</v>
      </c>
    </row>
    <row r="482" spans="1:178" ht="16.25" customHeight="1" x14ac:dyDescent="0.2">
      <c r="A482" s="18" t="s">
        <v>177</v>
      </c>
      <c r="B482" s="1" t="s">
        <v>85</v>
      </c>
      <c r="C482" s="15" t="s">
        <v>586</v>
      </c>
      <c r="D482" s="1" t="s">
        <v>64</v>
      </c>
      <c r="H482" s="1" t="s">
        <v>587</v>
      </c>
      <c r="K482" s="1">
        <v>0</v>
      </c>
      <c r="AF482" s="1">
        <v>327.27699999999999</v>
      </c>
      <c r="AG482" s="1">
        <v>0.33</v>
      </c>
      <c r="AH482" s="1">
        <v>0.02</v>
      </c>
      <c r="AN482" s="1">
        <v>0.69</v>
      </c>
      <c r="AO482" s="2">
        <f>(0.022*19.283+0.018*3.302+0.027*3.637+0.031*16.565+0.022*66.724+0.019*63.079+0.046*5.972+0.023*443.34)/(19.283+3.302+3.637+16.565+66.724+63.079+5.972+443.34)</f>
        <v>2.2886784412978246E-2</v>
      </c>
      <c r="AP482" s="1">
        <v>0.03</v>
      </c>
      <c r="AQ482" s="1">
        <v>0.05</v>
      </c>
      <c r="BA482" s="1">
        <v>144.21100000000001</v>
      </c>
      <c r="BB482" s="1">
        <v>0.31</v>
      </c>
      <c r="BC482" s="1">
        <v>0.01</v>
      </c>
      <c r="BI482" s="1">
        <v>0.63</v>
      </c>
      <c r="BJ482" s="2">
        <f>(0.022*19.283+0.018*3.302+0.027*3.637+0.031*16.565+0.022*66.724+0.019*63.079+0.046*5.972+0.023*443.34)/(19.283+3.302+3.637+16.565+66.724+63.079+5.972+443.34)</f>
        <v>2.2886784412978246E-2</v>
      </c>
      <c r="BK482" s="1">
        <v>0.04</v>
      </c>
      <c r="BL482" s="1">
        <v>0.03</v>
      </c>
      <c r="BV482" s="1">
        <v>45.073999999999998</v>
      </c>
      <c r="BW482" s="1">
        <v>0.25</v>
      </c>
      <c r="BX482" s="1">
        <v>0.01</v>
      </c>
      <c r="CD482" s="1">
        <v>0.57999999999999996</v>
      </c>
      <c r="CE482" s="2">
        <f>(0.022*19.283+0.018*3.302+0.027*3.637+0.031*16.565+0.022*66.724+0.019*63.079+0.046*5.972+0.023*443.34)/(19.283+3.302+3.637+16.565+66.724+63.079+5.972+443.34)</f>
        <v>2.2886784412978246E-2</v>
      </c>
      <c r="CF482" s="1">
        <v>0.03</v>
      </c>
      <c r="CG482" s="1">
        <v>0.02</v>
      </c>
      <c r="CQ482" s="1">
        <v>55.844000000000001</v>
      </c>
      <c r="CR482" s="1">
        <v>0.28000000000000003</v>
      </c>
      <c r="CS482" s="1">
        <v>0.01</v>
      </c>
      <c r="CY482" s="1">
        <v>0.56999999999999995</v>
      </c>
      <c r="CZ482" s="2">
        <f>(0.022*19.283+0.018*3.302+0.027*3.637+0.031*16.565+0.022*66.724+0.019*63.079+0.046*5.972+0.023*443.34)/(19.283+3.302+3.637+16.565+66.724+63.079+5.972+443.34)</f>
        <v>2.2886784412978246E-2</v>
      </c>
      <c r="DA482" s="1">
        <v>0.03</v>
      </c>
      <c r="DB482" s="1">
        <v>0.02</v>
      </c>
      <c r="DL482" s="18" t="s">
        <v>96</v>
      </c>
      <c r="DM482" s="1" t="s">
        <v>96</v>
      </c>
      <c r="DN482" s="1">
        <f t="shared" si="79"/>
        <v>0.67164818616804667</v>
      </c>
      <c r="DO482" s="1">
        <f t="shared" si="80"/>
        <v>2.2886784412978242E-2</v>
      </c>
      <c r="DP482" s="1" t="s">
        <v>67</v>
      </c>
      <c r="DQ482" s="1" t="s">
        <v>2</v>
      </c>
      <c r="DR482" s="101">
        <f t="shared" si="81"/>
        <v>471.488</v>
      </c>
      <c r="DS482" s="100">
        <f t="shared" si="82"/>
        <v>0.67164818616804667</v>
      </c>
      <c r="DT482" s="102">
        <f t="shared" si="83"/>
        <v>3166.7406000000001</v>
      </c>
      <c r="DV482" s="101">
        <f t="shared" si="84"/>
        <v>100.91800000000001</v>
      </c>
      <c r="DW482" s="100">
        <f>(BV482*CD482+CQ482*CY482)/DV482</f>
        <v>0.57446639846211767</v>
      </c>
      <c r="DX482" s="101">
        <f>1000*DV482*DW482/100</f>
        <v>579.7399999999999</v>
      </c>
      <c r="DZ482" s="37" t="s">
        <v>2</v>
      </c>
      <c r="EA482" s="37"/>
      <c r="EM482" s="73"/>
      <c r="EN482" s="37"/>
      <c r="EO482" s="37"/>
      <c r="EP482" s="37"/>
      <c r="EQ482" s="37"/>
      <c r="ER482" s="37"/>
      <c r="ES482" s="37"/>
      <c r="ET482" s="37"/>
      <c r="EU482" s="37"/>
      <c r="EV482" s="37"/>
      <c r="EW482" s="37"/>
      <c r="EX482" s="37"/>
      <c r="EY482" s="37"/>
      <c r="EZ482" s="37"/>
      <c r="FA482" s="37"/>
      <c r="FB482" s="37"/>
      <c r="FC482" s="37"/>
      <c r="FD482" s="37"/>
      <c r="FE482" s="37"/>
      <c r="FF482" s="55"/>
      <c r="FG482" s="55"/>
      <c r="FH482" s="55"/>
      <c r="FI482" s="37"/>
      <c r="FJ482" s="55"/>
      <c r="FK482" s="55"/>
      <c r="FL482" s="45"/>
      <c r="FM482" s="37"/>
      <c r="FN482" s="37"/>
      <c r="FO482" s="37"/>
      <c r="FP482" s="55"/>
      <c r="FQ482" s="1" t="s">
        <v>2</v>
      </c>
      <c r="FR482" s="1" t="s">
        <v>113</v>
      </c>
      <c r="FS482" s="1" t="s">
        <v>831</v>
      </c>
      <c r="FT482" s="1" t="s">
        <v>839</v>
      </c>
      <c r="FV482" s="1" t="s">
        <v>2</v>
      </c>
    </row>
    <row r="483" spans="1:178" ht="16.25" customHeight="1" x14ac:dyDescent="0.2">
      <c r="A483" s="18" t="s">
        <v>177</v>
      </c>
      <c r="B483" s="1" t="s">
        <v>85</v>
      </c>
      <c r="C483" s="79" t="s">
        <v>1153</v>
      </c>
      <c r="D483" s="1" t="s">
        <v>69</v>
      </c>
      <c r="H483" s="1" t="s">
        <v>1145</v>
      </c>
      <c r="K483" s="1">
        <v>0</v>
      </c>
      <c r="AF483" s="1">
        <v>3.1469999999999998</v>
      </c>
      <c r="AG483" s="1">
        <v>0.17</v>
      </c>
      <c r="AH483" s="1">
        <v>0.20200000000000001</v>
      </c>
      <c r="AN483" s="1">
        <v>0.13</v>
      </c>
      <c r="AP483" s="1">
        <f>(4.477-0.202)*0.4</f>
        <v>1.7100000000000002</v>
      </c>
      <c r="AQ483" s="13">
        <f>(4.477-0.202)*0.6</f>
        <v>2.5649999999999999</v>
      </c>
      <c r="BA483" s="1">
        <v>0</v>
      </c>
      <c r="BV483" s="1">
        <v>0</v>
      </c>
      <c r="CQ483" s="1">
        <v>0</v>
      </c>
      <c r="DL483" s="18" t="s">
        <v>96</v>
      </c>
      <c r="DN483" s="1">
        <f t="shared" si="79"/>
        <v>0.13</v>
      </c>
      <c r="DO483" s="1">
        <f t="shared" si="80"/>
        <v>0</v>
      </c>
      <c r="DP483" s="1" t="s">
        <v>812</v>
      </c>
      <c r="DQ483" s="1" t="s">
        <v>2</v>
      </c>
      <c r="DR483" s="16">
        <f t="shared" si="81"/>
        <v>3.1469999999999998</v>
      </c>
      <c r="DS483" s="16">
        <f t="shared" si="82"/>
        <v>0.13</v>
      </c>
      <c r="DT483" s="101">
        <f t="shared" si="83"/>
        <v>4.0911</v>
      </c>
      <c r="DV483" s="16">
        <f t="shared" si="84"/>
        <v>0</v>
      </c>
      <c r="DZ483" s="37" t="s">
        <v>2</v>
      </c>
      <c r="EA483" s="37"/>
      <c r="EM483" s="73"/>
      <c r="EN483" s="37"/>
      <c r="EO483" s="37"/>
      <c r="EP483" s="37"/>
      <c r="EQ483" s="37"/>
      <c r="ER483" s="37"/>
      <c r="ES483" s="37"/>
      <c r="ET483" s="37"/>
      <c r="EU483" s="37"/>
      <c r="EV483" s="37"/>
      <c r="EW483" s="37"/>
      <c r="EX483" s="37"/>
      <c r="EY483" s="37"/>
      <c r="EZ483" s="37"/>
      <c r="FA483" s="37"/>
      <c r="FB483" s="37"/>
      <c r="FC483" s="37"/>
      <c r="FD483" s="37"/>
      <c r="FE483" s="37"/>
      <c r="FF483" s="55"/>
      <c r="FG483" s="55"/>
      <c r="FH483" s="55"/>
      <c r="FI483" s="37"/>
      <c r="FJ483" s="55"/>
      <c r="FK483" s="55"/>
      <c r="FL483" s="45"/>
      <c r="FM483" s="37"/>
      <c r="FN483" s="37"/>
      <c r="FO483" s="37"/>
      <c r="FP483" s="55"/>
      <c r="FQ483" s="1" t="s">
        <v>2</v>
      </c>
      <c r="FR483" s="1" t="s">
        <v>113</v>
      </c>
      <c r="FS483" s="1" t="s">
        <v>831</v>
      </c>
      <c r="FT483" s="1" t="s">
        <v>839</v>
      </c>
      <c r="FV483" s="1" t="s">
        <v>2</v>
      </c>
    </row>
    <row r="484" spans="1:178" ht="16.25" customHeight="1" x14ac:dyDescent="0.2">
      <c r="A484" s="18" t="s">
        <v>177</v>
      </c>
      <c r="B484" s="1" t="s">
        <v>85</v>
      </c>
      <c r="C484" s="15" t="s">
        <v>377</v>
      </c>
      <c r="D484" s="1" t="s">
        <v>71</v>
      </c>
      <c r="G484" s="1" t="s">
        <v>65</v>
      </c>
      <c r="H484" s="1" t="s">
        <v>365</v>
      </c>
      <c r="K484" s="1">
        <v>0</v>
      </c>
      <c r="AF484" s="1">
        <v>0</v>
      </c>
      <c r="BA484" s="1">
        <v>1.75</v>
      </c>
      <c r="BB484" s="1">
        <v>0.33500000000000002</v>
      </c>
      <c r="BI484" s="1">
        <v>0.47</v>
      </c>
      <c r="BV484" s="1">
        <v>0</v>
      </c>
      <c r="CQ484" s="1">
        <v>0</v>
      </c>
      <c r="DL484" s="18" t="s">
        <v>163</v>
      </c>
      <c r="DN484" s="1">
        <f t="shared" si="79"/>
        <v>0.47000000000000003</v>
      </c>
      <c r="DO484" s="1">
        <f t="shared" si="80"/>
        <v>0</v>
      </c>
      <c r="DP484" s="1" t="s">
        <v>815</v>
      </c>
      <c r="DQ484" s="1" t="s">
        <v>2</v>
      </c>
      <c r="DR484" s="16">
        <f t="shared" si="81"/>
        <v>1.75</v>
      </c>
      <c r="DS484" s="16">
        <f t="shared" si="82"/>
        <v>0.47000000000000003</v>
      </c>
      <c r="DT484" s="101">
        <f t="shared" si="83"/>
        <v>8.2249999999999996</v>
      </c>
      <c r="DV484" s="16">
        <f t="shared" si="84"/>
        <v>0</v>
      </c>
      <c r="DZ484" s="37" t="s">
        <v>2</v>
      </c>
      <c r="EA484" s="37"/>
      <c r="EM484" s="73"/>
      <c r="EN484" s="37"/>
      <c r="EO484" s="37"/>
      <c r="EP484" s="37"/>
      <c r="EQ484" s="37"/>
      <c r="ER484" s="37"/>
      <c r="ES484" s="37"/>
      <c r="ET484" s="37"/>
      <c r="EU484" s="37"/>
      <c r="EV484" s="37"/>
      <c r="EW484" s="37"/>
      <c r="EX484" s="37"/>
      <c r="EY484" s="37"/>
      <c r="EZ484" s="37"/>
      <c r="FA484" s="37"/>
      <c r="FB484" s="37"/>
      <c r="FC484" s="37"/>
      <c r="FD484" s="37"/>
      <c r="FE484" s="37"/>
      <c r="FF484" s="55"/>
      <c r="FG484" s="55"/>
      <c r="FH484" s="55"/>
      <c r="FI484" s="37"/>
      <c r="FJ484" s="55"/>
      <c r="FK484" s="55"/>
      <c r="FL484" s="45"/>
      <c r="FM484" s="37"/>
      <c r="FN484" s="37"/>
      <c r="FO484" s="37"/>
      <c r="FP484" s="55"/>
      <c r="FQ484" s="1" t="s">
        <v>2</v>
      </c>
      <c r="FR484" s="1" t="s">
        <v>113</v>
      </c>
      <c r="FS484" s="1" t="s">
        <v>129</v>
      </c>
      <c r="FV484" s="1" t="s">
        <v>2</v>
      </c>
    </row>
    <row r="485" spans="1:178" ht="16.25" customHeight="1" x14ac:dyDescent="0.2">
      <c r="A485" s="18" t="s">
        <v>177</v>
      </c>
      <c r="B485" s="1" t="s">
        <v>85</v>
      </c>
      <c r="C485" s="79" t="s">
        <v>315</v>
      </c>
      <c r="D485" s="1" t="s">
        <v>69</v>
      </c>
      <c r="G485" s="1" t="s">
        <v>72</v>
      </c>
      <c r="H485" s="1" t="s">
        <v>316</v>
      </c>
      <c r="K485" s="1">
        <v>100.92</v>
      </c>
      <c r="L485" s="2">
        <v>0.19</v>
      </c>
      <c r="M485" s="1">
        <v>0.109</v>
      </c>
      <c r="S485" s="1">
        <v>0.443</v>
      </c>
      <c r="T485" s="1">
        <v>1.6E-2</v>
      </c>
      <c r="U485" s="1">
        <v>0.29899999999999999</v>
      </c>
      <c r="V485" s="1">
        <v>0.32500000000000001</v>
      </c>
      <c r="AF485" s="1">
        <v>126.59</v>
      </c>
      <c r="AG485" s="1">
        <v>0.14299999999999999</v>
      </c>
      <c r="AH485" s="1">
        <v>5.5E-2</v>
      </c>
      <c r="AN485" s="2">
        <v>0.35</v>
      </c>
      <c r="AO485" s="1">
        <v>1.6E-2</v>
      </c>
      <c r="AP485" s="2">
        <v>0.13</v>
      </c>
      <c r="AQ485" s="1">
        <v>0.11799999999999999</v>
      </c>
      <c r="BA485" s="1">
        <v>83.69</v>
      </c>
      <c r="BB485" s="1">
        <v>0.104</v>
      </c>
      <c r="BC485" s="1">
        <v>4.4999999999999998E-2</v>
      </c>
      <c r="BI485" s="1">
        <v>0.29899999999999999</v>
      </c>
      <c r="BJ485" s="1">
        <v>1.4999999999999999E-2</v>
      </c>
      <c r="BK485" s="1">
        <v>0.106</v>
      </c>
      <c r="BL485" s="1">
        <v>8.2000000000000003E-2</v>
      </c>
      <c r="BV485" s="1">
        <v>0</v>
      </c>
      <c r="CQ485" s="1">
        <v>0</v>
      </c>
      <c r="DL485" s="18" t="s">
        <v>96</v>
      </c>
      <c r="DM485" s="1" t="s">
        <v>96</v>
      </c>
      <c r="DN485" s="1">
        <f t="shared" si="79"/>
        <v>0.36644399100257069</v>
      </c>
      <c r="DO485" s="1">
        <f t="shared" si="80"/>
        <v>1.573107326478149E-2</v>
      </c>
      <c r="DP485" s="1" t="s">
        <v>834</v>
      </c>
      <c r="DQ485" s="1" t="s">
        <v>2</v>
      </c>
      <c r="DR485" s="16">
        <f t="shared" si="81"/>
        <v>311.2</v>
      </c>
      <c r="DS485" s="100">
        <f t="shared" si="82"/>
        <v>0.36644399100257069</v>
      </c>
      <c r="DT485" s="102">
        <f t="shared" si="83"/>
        <v>1140.3736999999999</v>
      </c>
      <c r="DV485" s="16">
        <f t="shared" si="84"/>
        <v>0</v>
      </c>
      <c r="DZ485" s="37" t="s">
        <v>2</v>
      </c>
      <c r="EA485" s="37"/>
      <c r="EM485" s="73"/>
      <c r="EN485" s="37"/>
      <c r="EO485" s="37"/>
      <c r="EP485" s="37"/>
      <c r="EQ485" s="37"/>
      <c r="ER485" s="37"/>
      <c r="ES485" s="37"/>
      <c r="ET485" s="37"/>
      <c r="EU485" s="37"/>
      <c r="EV485" s="37"/>
      <c r="EW485" s="37"/>
      <c r="EX485" s="37"/>
      <c r="EY485" s="37"/>
      <c r="EZ485" s="37"/>
      <c r="FA485" s="37"/>
      <c r="FB485" s="37"/>
      <c r="FC485" s="37"/>
      <c r="FD485" s="37"/>
      <c r="FE485" s="37"/>
      <c r="FF485" s="55"/>
      <c r="FG485" s="55"/>
      <c r="FH485" s="55"/>
      <c r="FI485" s="37"/>
      <c r="FJ485" s="55"/>
      <c r="FK485" s="55"/>
      <c r="FL485" s="45"/>
      <c r="FM485" s="37"/>
      <c r="FN485" s="37"/>
      <c r="FO485" s="37"/>
      <c r="FP485" s="55"/>
      <c r="FQ485" s="1" t="s">
        <v>2</v>
      </c>
      <c r="FR485" s="1" t="s">
        <v>113</v>
      </c>
      <c r="FS485" s="1" t="s">
        <v>129</v>
      </c>
      <c r="FT485" s="1" t="s">
        <v>835</v>
      </c>
      <c r="FV485" s="1" t="s">
        <v>2</v>
      </c>
    </row>
    <row r="486" spans="1:178" ht="16.25" customHeight="1" x14ac:dyDescent="0.2">
      <c r="A486" s="18" t="s">
        <v>177</v>
      </c>
      <c r="B486" s="1" t="s">
        <v>85</v>
      </c>
      <c r="C486" s="79" t="s">
        <v>320</v>
      </c>
      <c r="D486" s="1" t="s">
        <v>69</v>
      </c>
      <c r="G486" s="1" t="s">
        <v>72</v>
      </c>
      <c r="H486" s="1" t="s">
        <v>316</v>
      </c>
      <c r="K486" s="1">
        <v>50.99</v>
      </c>
      <c r="L486" s="1">
        <v>0.33900000000000002</v>
      </c>
      <c r="M486" s="2">
        <v>0.14000000000000001</v>
      </c>
      <c r="S486" s="1">
        <v>0.55800000000000005</v>
      </c>
      <c r="T486" s="1">
        <v>1.9E-2</v>
      </c>
      <c r="U486" s="1">
        <v>0.30199999999999999</v>
      </c>
      <c r="V486" s="1">
        <v>0.28799999999999998</v>
      </c>
      <c r="AF486" s="1">
        <v>40.08</v>
      </c>
      <c r="AG486" s="1">
        <v>0.29299999999999998</v>
      </c>
      <c r="AH486" s="1">
        <v>0.123</v>
      </c>
      <c r="AN486" s="1">
        <v>0.50800000000000001</v>
      </c>
      <c r="AO486" s="1">
        <v>1.9E-2</v>
      </c>
      <c r="AP486" s="1">
        <v>0.28299999999999997</v>
      </c>
      <c r="AQ486" s="1">
        <v>0.255</v>
      </c>
      <c r="BA486" s="1">
        <v>0</v>
      </c>
      <c r="BV486" s="1">
        <v>0</v>
      </c>
      <c r="CQ486" s="1">
        <v>0</v>
      </c>
      <c r="DL486" s="18" t="s">
        <v>96</v>
      </c>
      <c r="DM486" s="1" t="s">
        <v>96</v>
      </c>
      <c r="DN486" s="1">
        <f t="shared" si="79"/>
        <v>0.53599494894037569</v>
      </c>
      <c r="DO486" s="1">
        <f t="shared" si="80"/>
        <v>1.9E-2</v>
      </c>
      <c r="DP486" s="1" t="s">
        <v>834</v>
      </c>
      <c r="DQ486" s="1" t="s">
        <v>2</v>
      </c>
      <c r="DR486" s="16">
        <f t="shared" si="81"/>
        <v>91.07</v>
      </c>
      <c r="DS486" s="100">
        <f t="shared" si="82"/>
        <v>0.53599494894037569</v>
      </c>
      <c r="DT486" s="101">
        <f t="shared" si="83"/>
        <v>488.13060000000013</v>
      </c>
      <c r="DV486" s="16">
        <f t="shared" si="84"/>
        <v>0</v>
      </c>
      <c r="DZ486" s="37" t="s">
        <v>2</v>
      </c>
      <c r="EA486" s="37"/>
      <c r="EM486" s="73"/>
      <c r="EN486" s="37"/>
      <c r="EO486" s="37"/>
      <c r="EP486" s="37"/>
      <c r="EQ486" s="37"/>
      <c r="ER486" s="37"/>
      <c r="ES486" s="37"/>
      <c r="ET486" s="37"/>
      <c r="EU486" s="37"/>
      <c r="EV486" s="37"/>
      <c r="EW486" s="37"/>
      <c r="EX486" s="37"/>
      <c r="EY486" s="37"/>
      <c r="EZ486" s="37"/>
      <c r="FA486" s="37"/>
      <c r="FB486" s="37"/>
      <c r="FC486" s="37"/>
      <c r="FD486" s="37"/>
      <c r="FE486" s="37"/>
      <c r="FF486" s="55"/>
      <c r="FG486" s="55"/>
      <c r="FH486" s="55"/>
      <c r="FI486" s="37"/>
      <c r="FJ486" s="55"/>
      <c r="FK486" s="55"/>
      <c r="FL486" s="45"/>
      <c r="FM486" s="37"/>
      <c r="FN486" s="37"/>
      <c r="FO486" s="37"/>
      <c r="FP486" s="55"/>
      <c r="FQ486" s="1" t="s">
        <v>2</v>
      </c>
      <c r="FR486" s="1" t="s">
        <v>113</v>
      </c>
      <c r="FS486" s="1" t="s">
        <v>129</v>
      </c>
      <c r="FT486" s="1" t="s">
        <v>835</v>
      </c>
      <c r="FV486" s="1" t="s">
        <v>2</v>
      </c>
    </row>
    <row r="487" spans="1:178" ht="16.25" customHeight="1" x14ac:dyDescent="0.2">
      <c r="A487" s="18" t="s">
        <v>177</v>
      </c>
      <c r="B487" s="1" t="s">
        <v>85</v>
      </c>
      <c r="C487" s="79" t="s">
        <v>318</v>
      </c>
      <c r="D487" s="1" t="s">
        <v>69</v>
      </c>
      <c r="G487" s="1" t="s">
        <v>72</v>
      </c>
      <c r="H487" s="1" t="s">
        <v>316</v>
      </c>
      <c r="K487" s="1">
        <v>66.150000000000006</v>
      </c>
      <c r="L487" s="1">
        <v>0.191</v>
      </c>
      <c r="M487" s="1">
        <v>9.4E-2</v>
      </c>
      <c r="S487" s="1">
        <v>0.40400000000000003</v>
      </c>
      <c r="T487" s="1">
        <v>1.4999999999999999E-2</v>
      </c>
      <c r="U487" s="1">
        <v>0.38900000000000001</v>
      </c>
      <c r="V487" s="2">
        <v>0.3</v>
      </c>
      <c r="AF487" s="1">
        <v>106.86</v>
      </c>
      <c r="AG487" s="1">
        <v>0.182</v>
      </c>
      <c r="AH487" s="1">
        <v>6.4000000000000001E-2</v>
      </c>
      <c r="AN487" s="1">
        <v>0.38800000000000001</v>
      </c>
      <c r="AO487" s="1">
        <v>1.4999999999999999E-2</v>
      </c>
      <c r="AP487" s="1">
        <v>0.20799999999999999</v>
      </c>
      <c r="AQ487" s="1">
        <v>0.20200000000000001</v>
      </c>
      <c r="BA487" s="1">
        <v>17.61</v>
      </c>
      <c r="BB487" s="1">
        <v>0.161</v>
      </c>
      <c r="BC487" s="1">
        <v>5.8999999999999997E-2</v>
      </c>
      <c r="BI487" s="2">
        <v>0.34</v>
      </c>
      <c r="BJ487" s="1">
        <v>1.4E-2</v>
      </c>
      <c r="BK487" s="1">
        <v>0.20399999999999999</v>
      </c>
      <c r="BL487" s="1">
        <v>0.20599999999999999</v>
      </c>
      <c r="BV487" s="1">
        <v>0</v>
      </c>
      <c r="CQ487" s="1">
        <v>0</v>
      </c>
      <c r="DL487" s="18" t="s">
        <v>96</v>
      </c>
      <c r="DM487" s="1" t="s">
        <v>96</v>
      </c>
      <c r="DN487" s="1">
        <f t="shared" si="79"/>
        <v>0.38911803588290844</v>
      </c>
      <c r="DO487" s="1">
        <f t="shared" si="80"/>
        <v>1.4907617248977023E-2</v>
      </c>
      <c r="DP487" s="1" t="s">
        <v>834</v>
      </c>
      <c r="DQ487" s="1" t="s">
        <v>2</v>
      </c>
      <c r="DR487" s="101">
        <f t="shared" si="81"/>
        <v>190.62</v>
      </c>
      <c r="DS487" s="100">
        <f t="shared" si="82"/>
        <v>0.38911803588290844</v>
      </c>
      <c r="DT487" s="101">
        <f t="shared" si="83"/>
        <v>741.73680000000013</v>
      </c>
      <c r="DV487" s="16">
        <f t="shared" si="84"/>
        <v>0</v>
      </c>
      <c r="DZ487" s="37" t="s">
        <v>2</v>
      </c>
      <c r="EA487" s="37"/>
      <c r="EM487" s="73"/>
      <c r="EN487" s="37"/>
      <c r="EO487" s="37"/>
      <c r="EP487" s="37"/>
      <c r="EQ487" s="37"/>
      <c r="ER487" s="37"/>
      <c r="ES487" s="37"/>
      <c r="ET487" s="37"/>
      <c r="EU487" s="37"/>
      <c r="EV487" s="37"/>
      <c r="EW487" s="37"/>
      <c r="EX487" s="37"/>
      <c r="EY487" s="37"/>
      <c r="EZ487" s="37"/>
      <c r="FA487" s="37"/>
      <c r="FB487" s="37"/>
      <c r="FC487" s="37"/>
      <c r="FD487" s="37"/>
      <c r="FE487" s="37"/>
      <c r="FF487" s="55"/>
      <c r="FG487" s="55"/>
      <c r="FH487" s="55"/>
      <c r="FI487" s="37"/>
      <c r="FJ487" s="55"/>
      <c r="FK487" s="55"/>
      <c r="FL487" s="45"/>
      <c r="FM487" s="37"/>
      <c r="FN487" s="37"/>
      <c r="FO487" s="37"/>
      <c r="FP487" s="55"/>
      <c r="FQ487" s="1" t="s">
        <v>2</v>
      </c>
      <c r="FR487" s="1" t="s">
        <v>113</v>
      </c>
      <c r="FS487" s="1" t="s">
        <v>129</v>
      </c>
      <c r="FT487" s="1" t="s">
        <v>835</v>
      </c>
      <c r="FV487" s="1" t="s">
        <v>2</v>
      </c>
    </row>
    <row r="488" spans="1:178" ht="16.25" customHeight="1" x14ac:dyDescent="0.2">
      <c r="A488" s="18" t="s">
        <v>177</v>
      </c>
      <c r="B488" s="1" t="s">
        <v>85</v>
      </c>
      <c r="C488" s="79" t="s">
        <v>319</v>
      </c>
      <c r="D488" s="1" t="s">
        <v>69</v>
      </c>
      <c r="G488" s="1" t="s">
        <v>72</v>
      </c>
      <c r="H488" s="1" t="s">
        <v>316</v>
      </c>
      <c r="K488" s="1">
        <v>0</v>
      </c>
      <c r="AF488" s="1">
        <v>0</v>
      </c>
      <c r="BA488" s="1">
        <v>20.83</v>
      </c>
      <c r="BB488" s="1">
        <v>0.26</v>
      </c>
      <c r="BI488" s="1">
        <v>0.7</v>
      </c>
      <c r="BV488" s="1">
        <v>0</v>
      </c>
      <c r="CQ488" s="1">
        <v>0</v>
      </c>
      <c r="DL488" s="18" t="s">
        <v>96</v>
      </c>
      <c r="DN488" s="1">
        <f t="shared" si="79"/>
        <v>0.7</v>
      </c>
      <c r="DO488" s="1">
        <f t="shared" si="80"/>
        <v>0</v>
      </c>
      <c r="DP488" s="1" t="s">
        <v>815</v>
      </c>
      <c r="DQ488" s="1" t="s">
        <v>2</v>
      </c>
      <c r="DR488" s="16">
        <f t="shared" si="81"/>
        <v>20.83</v>
      </c>
      <c r="DS488" s="16">
        <f t="shared" si="82"/>
        <v>0.7</v>
      </c>
      <c r="DT488" s="101">
        <f t="shared" si="83"/>
        <v>145.80999999999997</v>
      </c>
      <c r="DV488" s="16">
        <f t="shared" si="84"/>
        <v>0</v>
      </c>
      <c r="DZ488" s="37" t="s">
        <v>2</v>
      </c>
      <c r="EA488" s="37"/>
      <c r="EM488" s="73"/>
      <c r="EN488" s="37"/>
      <c r="EO488" s="37"/>
      <c r="EP488" s="37"/>
      <c r="EQ488" s="37"/>
      <c r="ER488" s="37"/>
      <c r="ES488" s="37"/>
      <c r="ET488" s="37"/>
      <c r="EU488" s="37"/>
      <c r="EV488" s="37"/>
      <c r="EW488" s="37"/>
      <c r="EX488" s="37"/>
      <c r="EY488" s="37"/>
      <c r="EZ488" s="37"/>
      <c r="FA488" s="37"/>
      <c r="FB488" s="37"/>
      <c r="FC488" s="37"/>
      <c r="FD488" s="37"/>
      <c r="FE488" s="37"/>
      <c r="FF488" s="55"/>
      <c r="FG488" s="55"/>
      <c r="FH488" s="55"/>
      <c r="FI488" s="37"/>
      <c r="FJ488" s="55"/>
      <c r="FK488" s="55"/>
      <c r="FL488" s="45"/>
      <c r="FM488" s="37"/>
      <c r="FN488" s="37"/>
      <c r="FO488" s="37"/>
      <c r="FP488" s="55"/>
      <c r="FQ488" s="1" t="s">
        <v>2</v>
      </c>
      <c r="FR488" s="1" t="s">
        <v>113</v>
      </c>
      <c r="FS488" s="1" t="s">
        <v>129</v>
      </c>
      <c r="FV488" s="1" t="s">
        <v>2</v>
      </c>
    </row>
    <row r="489" spans="1:178" ht="16.25" customHeight="1" x14ac:dyDescent="0.2">
      <c r="A489" s="18" t="s">
        <v>177</v>
      </c>
      <c r="B489" s="1" t="s">
        <v>85</v>
      </c>
      <c r="C489" s="79" t="s">
        <v>321</v>
      </c>
      <c r="D489" s="1" t="s">
        <v>69</v>
      </c>
      <c r="G489" s="1" t="s">
        <v>72</v>
      </c>
      <c r="H489" s="1" t="s">
        <v>316</v>
      </c>
      <c r="K489" s="1">
        <v>0</v>
      </c>
      <c r="AF489" s="1">
        <v>0</v>
      </c>
      <c r="BA489" s="1">
        <v>1.67</v>
      </c>
      <c r="BB489" s="1">
        <v>0.3</v>
      </c>
      <c r="BI489" s="1">
        <v>0.51500000000000001</v>
      </c>
      <c r="BV489" s="1">
        <v>0</v>
      </c>
      <c r="CQ489" s="1">
        <v>0</v>
      </c>
      <c r="DL489" s="18" t="s">
        <v>163</v>
      </c>
      <c r="DN489" s="1">
        <f t="shared" si="79"/>
        <v>0.51500000000000001</v>
      </c>
      <c r="DO489" s="1">
        <f t="shared" si="80"/>
        <v>0</v>
      </c>
      <c r="DP489" s="1" t="s">
        <v>815</v>
      </c>
      <c r="DQ489" s="1" t="s">
        <v>2</v>
      </c>
      <c r="DR489" s="16">
        <f t="shared" si="81"/>
        <v>1.67</v>
      </c>
      <c r="DS489" s="100">
        <f t="shared" si="82"/>
        <v>0.51500000000000001</v>
      </c>
      <c r="DT489" s="101">
        <f t="shared" si="83"/>
        <v>8.6005000000000003</v>
      </c>
      <c r="DV489" s="16">
        <f t="shared" si="84"/>
        <v>0</v>
      </c>
      <c r="DZ489" s="37" t="s">
        <v>2</v>
      </c>
      <c r="EA489" s="37"/>
      <c r="EM489" s="73"/>
      <c r="EN489" s="37"/>
      <c r="EO489" s="37"/>
      <c r="EP489" s="37"/>
      <c r="EQ489" s="37"/>
      <c r="ER489" s="37"/>
      <c r="ES489" s="37"/>
      <c r="ET489" s="37"/>
      <c r="EU489" s="37"/>
      <c r="EV489" s="37"/>
      <c r="EW489" s="37"/>
      <c r="EX489" s="37"/>
      <c r="EY489" s="37"/>
      <c r="EZ489" s="37"/>
      <c r="FA489" s="37"/>
      <c r="FB489" s="37"/>
      <c r="FC489" s="37"/>
      <c r="FD489" s="37"/>
      <c r="FE489" s="37"/>
      <c r="FF489" s="55"/>
      <c r="FG489" s="55"/>
      <c r="FH489" s="55"/>
      <c r="FI489" s="37"/>
      <c r="FJ489" s="55"/>
      <c r="FK489" s="55"/>
      <c r="FL489" s="45"/>
      <c r="FM489" s="37"/>
      <c r="FN489" s="37"/>
      <c r="FO489" s="37"/>
      <c r="FP489" s="55"/>
      <c r="FQ489" s="1" t="s">
        <v>2</v>
      </c>
      <c r="FR489" s="1" t="s">
        <v>113</v>
      </c>
      <c r="FS489" s="1" t="s">
        <v>129</v>
      </c>
      <c r="FV489" s="1" t="s">
        <v>2</v>
      </c>
    </row>
    <row r="490" spans="1:178" ht="16.25" customHeight="1" x14ac:dyDescent="0.2">
      <c r="A490" s="18" t="s">
        <v>177</v>
      </c>
      <c r="B490" s="1" t="s">
        <v>85</v>
      </c>
      <c r="C490" s="15" t="s">
        <v>397</v>
      </c>
      <c r="D490" s="1" t="s">
        <v>71</v>
      </c>
      <c r="G490" s="1" t="s">
        <v>65</v>
      </c>
      <c r="H490" s="1" t="s">
        <v>392</v>
      </c>
      <c r="K490" s="1">
        <v>0</v>
      </c>
      <c r="AF490" s="1">
        <v>0</v>
      </c>
      <c r="BA490" s="1">
        <v>20.863</v>
      </c>
      <c r="BB490" s="1">
        <v>0.43</v>
      </c>
      <c r="BI490" s="1">
        <v>0.88</v>
      </c>
      <c r="BV490" s="1">
        <v>0</v>
      </c>
      <c r="CQ490" s="1">
        <v>0</v>
      </c>
      <c r="DL490" s="18" t="s">
        <v>163</v>
      </c>
      <c r="DN490" s="1">
        <f t="shared" si="79"/>
        <v>0.88</v>
      </c>
      <c r="DO490" s="1">
        <f t="shared" si="80"/>
        <v>0</v>
      </c>
      <c r="DP490" s="1" t="s">
        <v>815</v>
      </c>
      <c r="DQ490" s="1" t="s">
        <v>2</v>
      </c>
      <c r="DR490" s="100">
        <f t="shared" si="81"/>
        <v>20.863</v>
      </c>
      <c r="DS490" s="16">
        <f t="shared" si="82"/>
        <v>0.88</v>
      </c>
      <c r="DT490" s="101">
        <f t="shared" si="83"/>
        <v>183.59439999999998</v>
      </c>
      <c r="DV490" s="16">
        <f t="shared" si="84"/>
        <v>0</v>
      </c>
      <c r="DZ490" s="37" t="s">
        <v>2</v>
      </c>
      <c r="EA490" s="37"/>
      <c r="EM490" s="73"/>
      <c r="EN490" s="37"/>
      <c r="EO490" s="37"/>
      <c r="EP490" s="37"/>
      <c r="EQ490" s="37"/>
      <c r="ER490" s="37"/>
      <c r="ES490" s="37"/>
      <c r="ET490" s="37"/>
      <c r="EU490" s="37"/>
      <c r="EV490" s="37"/>
      <c r="EW490" s="37"/>
      <c r="EX490" s="37"/>
      <c r="EY490" s="37"/>
      <c r="EZ490" s="37"/>
      <c r="FA490" s="37"/>
      <c r="FB490" s="37"/>
      <c r="FC490" s="37"/>
      <c r="FD490" s="37"/>
      <c r="FE490" s="37"/>
      <c r="FF490" s="55"/>
      <c r="FG490" s="55"/>
      <c r="FH490" s="55"/>
      <c r="FI490" s="37"/>
      <c r="FJ490" s="55"/>
      <c r="FK490" s="55"/>
      <c r="FL490" s="45"/>
      <c r="FM490" s="37"/>
      <c r="FN490" s="37"/>
      <c r="FO490" s="37"/>
      <c r="FP490" s="55"/>
      <c r="FQ490" s="1" t="s">
        <v>2</v>
      </c>
      <c r="FR490" s="1" t="s">
        <v>113</v>
      </c>
      <c r="FS490" s="1" t="s">
        <v>129</v>
      </c>
      <c r="FV490" s="1" t="s">
        <v>2</v>
      </c>
    </row>
    <row r="491" spans="1:178" ht="16.25" customHeight="1" x14ac:dyDescent="0.2">
      <c r="A491" s="18" t="s">
        <v>177</v>
      </c>
      <c r="B491" s="1" t="s">
        <v>85</v>
      </c>
      <c r="C491" s="15" t="s">
        <v>914</v>
      </c>
      <c r="D491" s="1" t="s">
        <v>71</v>
      </c>
      <c r="H491" s="1" t="s">
        <v>912</v>
      </c>
      <c r="K491" s="1">
        <v>0</v>
      </c>
      <c r="AF491" s="1">
        <v>206.8</v>
      </c>
      <c r="AG491" s="1">
        <v>0.5</v>
      </c>
      <c r="AH491" s="1">
        <v>0.2</v>
      </c>
      <c r="AN491" s="1">
        <v>0.3</v>
      </c>
      <c r="AO491" s="1">
        <v>0.01</v>
      </c>
      <c r="AP491" s="14">
        <v>2</v>
      </c>
      <c r="AQ491" s="14">
        <v>5</v>
      </c>
      <c r="BA491" s="1">
        <v>0</v>
      </c>
      <c r="BV491" s="1">
        <v>0</v>
      </c>
      <c r="CQ491" s="1">
        <v>0</v>
      </c>
      <c r="DL491" s="18" t="s">
        <v>96</v>
      </c>
      <c r="DM491" s="1" t="s">
        <v>96</v>
      </c>
      <c r="DN491" s="1">
        <f t="shared" si="79"/>
        <v>0.3</v>
      </c>
      <c r="DO491" s="1">
        <f t="shared" si="80"/>
        <v>0.01</v>
      </c>
      <c r="DP491" s="1" t="s">
        <v>67</v>
      </c>
      <c r="DQ491" s="1" t="s">
        <v>2</v>
      </c>
      <c r="DR491" s="16">
        <f t="shared" si="81"/>
        <v>206.8</v>
      </c>
      <c r="DS491" s="16">
        <f t="shared" si="82"/>
        <v>0.3</v>
      </c>
      <c r="DT491" s="101">
        <f t="shared" si="83"/>
        <v>620.4</v>
      </c>
      <c r="DV491" s="16">
        <f t="shared" si="84"/>
        <v>0</v>
      </c>
      <c r="DZ491" s="37" t="s">
        <v>2</v>
      </c>
      <c r="EA491" s="37"/>
      <c r="EM491" s="73"/>
      <c r="EN491" s="37"/>
      <c r="EO491" s="37"/>
      <c r="EP491" s="37"/>
      <c r="EQ491" s="37"/>
      <c r="ER491" s="37"/>
      <c r="ES491" s="37"/>
      <c r="ET491" s="37"/>
      <c r="EU491" s="37"/>
      <c r="EV491" s="37"/>
      <c r="EW491" s="37"/>
      <c r="EX491" s="37"/>
      <c r="EY491" s="37"/>
      <c r="EZ491" s="37"/>
      <c r="FA491" s="37"/>
      <c r="FB491" s="37"/>
      <c r="FC491" s="37"/>
      <c r="FD491" s="37"/>
      <c r="FE491" s="37"/>
      <c r="FF491" s="55"/>
      <c r="FG491" s="55"/>
      <c r="FH491" s="55"/>
      <c r="FI491" s="37"/>
      <c r="FJ491" s="55"/>
      <c r="FK491" s="55"/>
      <c r="FL491" s="45"/>
      <c r="FM491" s="37"/>
      <c r="FN491" s="37"/>
      <c r="FO491" s="37"/>
      <c r="FP491" s="55"/>
      <c r="FQ491" s="1" t="s">
        <v>2</v>
      </c>
      <c r="FR491" s="1" t="s">
        <v>113</v>
      </c>
      <c r="FS491" s="1" t="s">
        <v>129</v>
      </c>
      <c r="FT491" s="1" t="s">
        <v>835</v>
      </c>
      <c r="FV491" s="1" t="s">
        <v>2</v>
      </c>
    </row>
    <row r="492" spans="1:178" ht="16.25" customHeight="1" x14ac:dyDescent="0.2">
      <c r="A492" s="18" t="s">
        <v>177</v>
      </c>
      <c r="B492" s="1" t="s">
        <v>85</v>
      </c>
      <c r="C492" s="15" t="s">
        <v>1255</v>
      </c>
      <c r="H492" s="1" t="s">
        <v>1256</v>
      </c>
      <c r="K492" s="1">
        <v>0</v>
      </c>
      <c r="AF492" s="1">
        <v>0</v>
      </c>
      <c r="BA492" s="1">
        <v>15.385</v>
      </c>
      <c r="BB492" s="1">
        <v>0.45</v>
      </c>
      <c r="BI492" s="1">
        <v>0.65</v>
      </c>
      <c r="BV492" s="1">
        <v>0</v>
      </c>
      <c r="CQ492" s="1">
        <v>0</v>
      </c>
      <c r="DL492" s="18" t="s">
        <v>163</v>
      </c>
      <c r="DN492" s="1">
        <f t="shared" si="79"/>
        <v>0.65</v>
      </c>
      <c r="DO492" s="1">
        <f t="shared" si="80"/>
        <v>0</v>
      </c>
      <c r="DP492" s="1" t="s">
        <v>815</v>
      </c>
      <c r="DQ492" s="1" t="s">
        <v>2</v>
      </c>
      <c r="DR492" s="100">
        <f t="shared" si="81"/>
        <v>15.385</v>
      </c>
      <c r="DS492" s="16">
        <f t="shared" si="82"/>
        <v>0.65</v>
      </c>
      <c r="DT492" s="101">
        <f t="shared" si="83"/>
        <v>100.0025</v>
      </c>
      <c r="DV492" s="16">
        <f t="shared" si="84"/>
        <v>0</v>
      </c>
      <c r="DZ492" s="37" t="s">
        <v>2</v>
      </c>
      <c r="EA492" s="37"/>
      <c r="EM492" s="73"/>
      <c r="EN492" s="37"/>
      <c r="EO492" s="37"/>
      <c r="EP492" s="37"/>
      <c r="EQ492" s="37"/>
      <c r="ER492" s="37"/>
      <c r="ES492" s="37"/>
      <c r="ET492" s="37"/>
      <c r="EU492" s="37"/>
      <c r="EV492" s="37"/>
      <c r="EW492" s="37"/>
      <c r="EX492" s="37"/>
      <c r="EY492" s="37"/>
      <c r="EZ492" s="37"/>
      <c r="FA492" s="37"/>
      <c r="FB492" s="37"/>
      <c r="FC492" s="37"/>
      <c r="FD492" s="37"/>
      <c r="FE492" s="37"/>
      <c r="FF492" s="55"/>
      <c r="FG492" s="55"/>
      <c r="FH492" s="55"/>
      <c r="FI492" s="37"/>
      <c r="FJ492" s="55"/>
      <c r="FK492" s="55"/>
      <c r="FL492" s="45"/>
      <c r="FM492" s="37"/>
      <c r="FN492" s="37"/>
      <c r="FO492" s="37"/>
      <c r="FP492" s="55"/>
      <c r="FQ492" s="1" t="s">
        <v>2</v>
      </c>
      <c r="FR492" s="1" t="s">
        <v>113</v>
      </c>
      <c r="FS492" s="1" t="s">
        <v>129</v>
      </c>
      <c r="FV492" s="1" t="s">
        <v>2</v>
      </c>
    </row>
    <row r="493" spans="1:178" ht="16.25" customHeight="1" x14ac:dyDescent="0.2">
      <c r="A493" s="18" t="s">
        <v>177</v>
      </c>
      <c r="B493" s="1" t="s">
        <v>85</v>
      </c>
      <c r="C493" s="15" t="s">
        <v>915</v>
      </c>
      <c r="D493" s="1" t="s">
        <v>71</v>
      </c>
      <c r="H493" s="1" t="s">
        <v>912</v>
      </c>
      <c r="K493" s="1">
        <v>0</v>
      </c>
      <c r="AF493" s="1">
        <v>0</v>
      </c>
      <c r="BA493" s="1">
        <v>2.25</v>
      </c>
      <c r="BB493" s="1">
        <v>0.25</v>
      </c>
      <c r="BI493" s="1">
        <v>0.3</v>
      </c>
      <c r="BV493" s="1">
        <v>0</v>
      </c>
      <c r="CQ493" s="1">
        <v>0</v>
      </c>
      <c r="DL493" s="18" t="s">
        <v>163</v>
      </c>
      <c r="DN493" s="1">
        <f t="shared" si="79"/>
        <v>0.3</v>
      </c>
      <c r="DO493" s="1">
        <f t="shared" si="80"/>
        <v>0</v>
      </c>
      <c r="DP493" s="1" t="s">
        <v>815</v>
      </c>
      <c r="DQ493" s="1" t="s">
        <v>2</v>
      </c>
      <c r="DR493" s="16">
        <f t="shared" si="81"/>
        <v>2.25</v>
      </c>
      <c r="DS493" s="16">
        <f t="shared" si="82"/>
        <v>0.3</v>
      </c>
      <c r="DT493" s="101">
        <f t="shared" si="83"/>
        <v>6.75</v>
      </c>
      <c r="DV493" s="16">
        <f t="shared" si="84"/>
        <v>0</v>
      </c>
      <c r="DZ493" s="37" t="s">
        <v>2</v>
      </c>
      <c r="EA493" s="37"/>
      <c r="EM493" s="73"/>
      <c r="EN493" s="37"/>
      <c r="EO493" s="37"/>
      <c r="EP493" s="37"/>
      <c r="EQ493" s="37"/>
      <c r="ER493" s="37"/>
      <c r="ES493" s="37"/>
      <c r="ET493" s="37"/>
      <c r="EU493" s="37"/>
      <c r="EV493" s="37"/>
      <c r="EW493" s="37"/>
      <c r="EX493" s="37"/>
      <c r="EY493" s="37"/>
      <c r="EZ493" s="37"/>
      <c r="FA493" s="37"/>
      <c r="FB493" s="37"/>
      <c r="FC493" s="37"/>
      <c r="FD493" s="37"/>
      <c r="FE493" s="37"/>
      <c r="FF493" s="55"/>
      <c r="FG493" s="55"/>
      <c r="FH493" s="55"/>
      <c r="FI493" s="37"/>
      <c r="FJ493" s="55"/>
      <c r="FK493" s="55"/>
      <c r="FL493" s="45"/>
      <c r="FM493" s="37"/>
      <c r="FN493" s="37"/>
      <c r="FO493" s="37"/>
      <c r="FP493" s="55"/>
      <c r="FQ493" s="1" t="s">
        <v>2</v>
      </c>
      <c r="FR493" s="1" t="s">
        <v>113</v>
      </c>
      <c r="FS493" s="1" t="s">
        <v>129</v>
      </c>
      <c r="FV493" s="1" t="s">
        <v>2</v>
      </c>
    </row>
    <row r="494" spans="1:178" ht="16.25" customHeight="1" x14ac:dyDescent="0.2">
      <c r="A494" s="18" t="s">
        <v>177</v>
      </c>
      <c r="B494" s="1" t="s">
        <v>85</v>
      </c>
      <c r="C494" s="15" t="s">
        <v>916</v>
      </c>
      <c r="D494" s="1" t="s">
        <v>71</v>
      </c>
      <c r="H494" s="1" t="s">
        <v>912</v>
      </c>
      <c r="K494" s="1">
        <v>0</v>
      </c>
      <c r="AF494" s="4">
        <v>1708.5650000000001</v>
      </c>
      <c r="AG494" s="1">
        <v>1.31</v>
      </c>
      <c r="AH494" s="1">
        <v>0.21</v>
      </c>
      <c r="AN494" s="13">
        <v>0.7</v>
      </c>
      <c r="AO494" s="2">
        <f>(0.036*1172.095+0.027*956.848+0*403.687+0*123.731)/(1172.095+956.848+403.687+123.731)</f>
        <v>2.5610342871319074E-2</v>
      </c>
      <c r="AP494" s="13">
        <v>1</v>
      </c>
      <c r="AQ494" s="1">
        <v>3.56</v>
      </c>
      <c r="BA494" s="1">
        <v>440.89800000000002</v>
      </c>
      <c r="BB494" s="1">
        <v>1.74</v>
      </c>
      <c r="BC494" s="1">
        <v>0.25</v>
      </c>
      <c r="BI494" s="1">
        <v>0.85</v>
      </c>
      <c r="BJ494" s="2">
        <f>(0.036*1172.095+0.027*956.848+0*403.687+0*123.731)/(1172.095+956.848+403.687+123.731)</f>
        <v>2.5610342871319074E-2</v>
      </c>
      <c r="BK494" s="1">
        <v>1.0900000000000001</v>
      </c>
      <c r="BL494" s="1">
        <v>4.22</v>
      </c>
      <c r="BV494" s="1">
        <v>328.57100000000003</v>
      </c>
      <c r="BW494" s="1">
        <v>1.55</v>
      </c>
      <c r="BX494" s="1">
        <v>0.23</v>
      </c>
      <c r="CD494" s="1">
        <v>0.79</v>
      </c>
      <c r="CE494" s="2">
        <f>(0.036*1172.095+0.027*956.848+0*403.687+0*123.731)/(1172.095+956.848+403.687+123.731)</f>
        <v>2.5610342871319074E-2</v>
      </c>
      <c r="CF494" s="1">
        <v>1.04</v>
      </c>
      <c r="CG494" s="1">
        <v>3.83</v>
      </c>
      <c r="CQ494" s="1">
        <v>311.62200000000001</v>
      </c>
      <c r="CR494" s="1">
        <v>2.11</v>
      </c>
      <c r="CS494" s="1">
        <v>0.27</v>
      </c>
      <c r="CY494" s="1">
        <v>1.1399999999999999</v>
      </c>
      <c r="CZ494" s="2">
        <f>(0.036*1172.095+0.027*956.848+0*403.687+0*123.731)/(1172.095+956.848+403.687+123.731)</f>
        <v>2.5610342871319074E-2</v>
      </c>
      <c r="DA494" s="1">
        <v>1.1299999999999999</v>
      </c>
      <c r="DB494" s="1">
        <v>4.6399999999999997</v>
      </c>
      <c r="DL494" s="18" t="s">
        <v>96</v>
      </c>
      <c r="DM494" s="1" t="s">
        <v>875</v>
      </c>
      <c r="DN494" s="1">
        <f t="shared" si="79"/>
        <v>0.73076801042865125</v>
      </c>
      <c r="DO494" s="1">
        <f t="shared" si="80"/>
        <v>2.561034287131907E-2</v>
      </c>
      <c r="DP494" s="1" t="s">
        <v>67</v>
      </c>
      <c r="DQ494" s="1" t="s">
        <v>2</v>
      </c>
      <c r="DR494" s="104">
        <f t="shared" si="81"/>
        <v>2149.4630000000002</v>
      </c>
      <c r="DS494" s="100">
        <f t="shared" si="82"/>
        <v>0.73076801042865125</v>
      </c>
      <c r="DT494" s="102">
        <f t="shared" si="83"/>
        <v>15707.588</v>
      </c>
      <c r="DV494" s="16">
        <f t="shared" si="84"/>
        <v>640.19299999999998</v>
      </c>
      <c r="DW494" s="100">
        <f>(BV494*CD494+CQ494*CY494)/DV494</f>
        <v>0.96036690498021682</v>
      </c>
      <c r="DX494" s="102">
        <f>1000*DV494*DW494/100</f>
        <v>6148.2016999999996</v>
      </c>
      <c r="DZ494" s="37" t="s">
        <v>2</v>
      </c>
      <c r="EA494" s="37"/>
      <c r="EM494" s="73"/>
      <c r="EN494" s="37"/>
      <c r="EO494" s="37"/>
      <c r="EP494" s="37"/>
      <c r="EQ494" s="37"/>
      <c r="ER494" s="37"/>
      <c r="ES494" s="37"/>
      <c r="ET494" s="37"/>
      <c r="EU494" s="37"/>
      <c r="EV494" s="37"/>
      <c r="EW494" s="37"/>
      <c r="EX494" s="37"/>
      <c r="EY494" s="37"/>
      <c r="EZ494" s="37"/>
      <c r="FA494" s="37"/>
      <c r="FB494" s="37"/>
      <c r="FC494" s="37"/>
      <c r="FD494" s="37"/>
      <c r="FE494" s="37"/>
      <c r="FF494" s="55"/>
      <c r="FG494" s="55"/>
      <c r="FH494" s="55"/>
      <c r="FI494" s="37"/>
      <c r="FJ494" s="55"/>
      <c r="FK494" s="55"/>
      <c r="FL494" s="45"/>
      <c r="FM494" s="37"/>
      <c r="FN494" s="37"/>
      <c r="FO494" s="37"/>
      <c r="FP494" s="55"/>
      <c r="FQ494" s="1" t="s">
        <v>2</v>
      </c>
      <c r="FR494" s="1" t="s">
        <v>113</v>
      </c>
      <c r="FS494" s="1" t="s">
        <v>129</v>
      </c>
      <c r="FT494" s="1" t="s">
        <v>835</v>
      </c>
      <c r="FV494" s="1" t="s">
        <v>2</v>
      </c>
    </row>
    <row r="495" spans="1:178" ht="16.25" customHeight="1" x14ac:dyDescent="0.2">
      <c r="A495" s="18" t="s">
        <v>177</v>
      </c>
      <c r="B495" s="1" t="s">
        <v>85</v>
      </c>
      <c r="C495" s="15" t="s">
        <v>917</v>
      </c>
      <c r="D495" s="1" t="s">
        <v>71</v>
      </c>
      <c r="H495" s="1" t="s">
        <v>912</v>
      </c>
      <c r="K495" s="1">
        <v>0</v>
      </c>
      <c r="AF495" s="1">
        <v>0</v>
      </c>
      <c r="BA495" s="1">
        <v>1.754</v>
      </c>
      <c r="BI495" s="1">
        <v>0.56999999999999995</v>
      </c>
      <c r="BV495" s="1">
        <v>0</v>
      </c>
      <c r="CQ495" s="1">
        <v>0</v>
      </c>
      <c r="DL495" s="18" t="s">
        <v>163</v>
      </c>
      <c r="DN495" s="1">
        <f t="shared" si="79"/>
        <v>0.56999999999999995</v>
      </c>
      <c r="DO495" s="1">
        <f t="shared" si="80"/>
        <v>0</v>
      </c>
      <c r="DP495" s="1" t="s">
        <v>815</v>
      </c>
      <c r="DQ495" s="1" t="s">
        <v>2</v>
      </c>
      <c r="DR495" s="16">
        <f t="shared" si="81"/>
        <v>1.754</v>
      </c>
      <c r="DS495" s="16">
        <f t="shared" si="82"/>
        <v>0.56999999999999995</v>
      </c>
      <c r="DT495" s="101">
        <f t="shared" si="83"/>
        <v>9.997799999999998</v>
      </c>
      <c r="DV495" s="16">
        <f t="shared" si="84"/>
        <v>0</v>
      </c>
      <c r="DZ495" s="37" t="s">
        <v>2</v>
      </c>
      <c r="EA495" s="37"/>
      <c r="EM495" s="73"/>
      <c r="EN495" s="37"/>
      <c r="EO495" s="37"/>
      <c r="EP495" s="37"/>
      <c r="EQ495" s="37"/>
      <c r="ER495" s="37"/>
      <c r="ES495" s="37"/>
      <c r="ET495" s="37"/>
      <c r="EU495" s="37"/>
      <c r="EV495" s="37"/>
      <c r="EW495" s="37"/>
      <c r="EX495" s="37"/>
      <c r="EY495" s="37"/>
      <c r="EZ495" s="37"/>
      <c r="FA495" s="37"/>
      <c r="FB495" s="37"/>
      <c r="FC495" s="37"/>
      <c r="FD495" s="37"/>
      <c r="FE495" s="37"/>
      <c r="FF495" s="55"/>
      <c r="FG495" s="55"/>
      <c r="FH495" s="55"/>
      <c r="FI495" s="37"/>
      <c r="FJ495" s="55"/>
      <c r="FK495" s="55"/>
      <c r="FL495" s="45"/>
      <c r="FM495" s="37"/>
      <c r="FN495" s="37"/>
      <c r="FO495" s="37"/>
      <c r="FP495" s="55"/>
      <c r="FQ495" s="1" t="s">
        <v>2</v>
      </c>
      <c r="FR495" s="1" t="s">
        <v>113</v>
      </c>
      <c r="FS495" s="1" t="s">
        <v>129</v>
      </c>
      <c r="FV495" s="1" t="s">
        <v>2</v>
      </c>
    </row>
    <row r="496" spans="1:178" ht="16.25" customHeight="1" x14ac:dyDescent="0.2">
      <c r="A496" s="18" t="s">
        <v>177</v>
      </c>
      <c r="B496" s="1" t="s">
        <v>85</v>
      </c>
      <c r="C496" s="79" t="s">
        <v>865</v>
      </c>
      <c r="D496" s="1" t="s">
        <v>69</v>
      </c>
      <c r="H496" s="1" t="s">
        <v>131</v>
      </c>
      <c r="K496" s="1">
        <v>0</v>
      </c>
      <c r="AF496" s="1">
        <v>0</v>
      </c>
      <c r="BA496" s="1">
        <v>0.56000000000000005</v>
      </c>
      <c r="BB496" s="1">
        <v>0.15</v>
      </c>
      <c r="BI496" s="1">
        <v>0.38</v>
      </c>
      <c r="BV496" s="1">
        <v>0</v>
      </c>
      <c r="CQ496" s="1">
        <v>0</v>
      </c>
      <c r="DL496" s="18" t="s">
        <v>163</v>
      </c>
      <c r="DN496" s="1">
        <f t="shared" si="79"/>
        <v>0.38</v>
      </c>
      <c r="DO496" s="1">
        <f t="shared" si="80"/>
        <v>0</v>
      </c>
      <c r="DP496" s="1" t="s">
        <v>824</v>
      </c>
      <c r="DQ496" s="1" t="s">
        <v>2</v>
      </c>
      <c r="DR496" s="16">
        <f t="shared" si="81"/>
        <v>0.56000000000000005</v>
      </c>
      <c r="DS496" s="16">
        <f t="shared" si="82"/>
        <v>0.38</v>
      </c>
      <c r="DT496" s="101">
        <f t="shared" si="83"/>
        <v>2.1280000000000001</v>
      </c>
      <c r="DV496" s="16">
        <f t="shared" si="84"/>
        <v>0</v>
      </c>
      <c r="DZ496" s="37" t="s">
        <v>2</v>
      </c>
      <c r="EA496" s="37"/>
      <c r="EM496" s="73"/>
      <c r="EN496" s="37"/>
      <c r="EO496" s="37"/>
      <c r="EP496" s="37"/>
      <c r="EQ496" s="37"/>
      <c r="ER496" s="37"/>
      <c r="ES496" s="37"/>
      <c r="ET496" s="37"/>
      <c r="EU496" s="37"/>
      <c r="EV496" s="37"/>
      <c r="EW496" s="37"/>
      <c r="EX496" s="37"/>
      <c r="EY496" s="37"/>
      <c r="EZ496" s="37"/>
      <c r="FA496" s="37"/>
      <c r="FB496" s="37"/>
      <c r="FC496" s="37"/>
      <c r="FD496" s="37"/>
      <c r="FE496" s="37"/>
      <c r="FF496" s="55"/>
      <c r="FG496" s="55"/>
      <c r="FH496" s="55"/>
      <c r="FI496" s="37"/>
      <c r="FJ496" s="55"/>
      <c r="FK496" s="55"/>
      <c r="FL496" s="45"/>
      <c r="FM496" s="37"/>
      <c r="FN496" s="37"/>
      <c r="FO496" s="37"/>
      <c r="FP496" s="55"/>
      <c r="FQ496" s="1" t="s">
        <v>2</v>
      </c>
      <c r="FR496" s="1" t="s">
        <v>113</v>
      </c>
      <c r="FS496" s="1" t="s">
        <v>129</v>
      </c>
      <c r="FV496" s="1" t="s">
        <v>2</v>
      </c>
    </row>
    <row r="497" spans="1:178" ht="16.25" customHeight="1" x14ac:dyDescent="0.2">
      <c r="A497" s="18" t="s">
        <v>177</v>
      </c>
      <c r="B497" s="1" t="s">
        <v>85</v>
      </c>
      <c r="C497" s="15" t="s">
        <v>1071</v>
      </c>
      <c r="D497" s="1" t="s">
        <v>69</v>
      </c>
      <c r="H497" s="1" t="s">
        <v>131</v>
      </c>
      <c r="K497" s="1">
        <v>0</v>
      </c>
      <c r="AF497" s="1">
        <v>0</v>
      </c>
      <c r="BA497" s="1">
        <v>0.56000000000000005</v>
      </c>
      <c r="BB497" s="1">
        <v>0.15</v>
      </c>
      <c r="BI497" s="1">
        <v>0.38</v>
      </c>
      <c r="BV497" s="1">
        <v>0</v>
      </c>
      <c r="CQ497" s="1">
        <v>0</v>
      </c>
      <c r="DL497" s="18" t="s">
        <v>163</v>
      </c>
      <c r="DN497" s="1">
        <f t="shared" si="79"/>
        <v>0.38</v>
      </c>
      <c r="DO497" s="1">
        <f t="shared" si="80"/>
        <v>0</v>
      </c>
      <c r="DP497" s="1" t="s">
        <v>815</v>
      </c>
      <c r="DQ497" s="1" t="s">
        <v>2</v>
      </c>
      <c r="DR497" s="16">
        <f t="shared" si="81"/>
        <v>0.56000000000000005</v>
      </c>
      <c r="DS497" s="16">
        <f t="shared" si="82"/>
        <v>0.38</v>
      </c>
      <c r="DT497" s="101">
        <f t="shared" si="83"/>
        <v>2.1280000000000001</v>
      </c>
      <c r="DV497" s="16">
        <f t="shared" si="84"/>
        <v>0</v>
      </c>
      <c r="DZ497" s="37" t="s">
        <v>2</v>
      </c>
      <c r="EA497" s="37"/>
      <c r="EM497" s="73"/>
      <c r="EN497" s="37"/>
      <c r="EO497" s="37"/>
      <c r="EP497" s="37"/>
      <c r="EQ497" s="37"/>
      <c r="ER497" s="37"/>
      <c r="ES497" s="37"/>
      <c r="ET497" s="37"/>
      <c r="EU497" s="37"/>
      <c r="EV497" s="37"/>
      <c r="EW497" s="37"/>
      <c r="EX497" s="37"/>
      <c r="EY497" s="37"/>
      <c r="EZ497" s="37"/>
      <c r="FA497" s="37"/>
      <c r="FB497" s="37"/>
      <c r="FC497" s="37"/>
      <c r="FD497" s="37"/>
      <c r="FE497" s="37"/>
      <c r="FF497" s="55"/>
      <c r="FG497" s="55"/>
      <c r="FH497" s="55"/>
      <c r="FI497" s="37"/>
      <c r="FJ497" s="55"/>
      <c r="FK497" s="55"/>
      <c r="FL497" s="45"/>
      <c r="FM497" s="37"/>
      <c r="FN497" s="37"/>
      <c r="FO497" s="37"/>
      <c r="FP497" s="55"/>
      <c r="FQ497" s="1" t="s">
        <v>2</v>
      </c>
      <c r="FR497" s="1" t="s">
        <v>113</v>
      </c>
      <c r="FS497" s="1" t="s">
        <v>129</v>
      </c>
      <c r="FV497" s="1" t="s">
        <v>2</v>
      </c>
    </row>
    <row r="498" spans="1:178" ht="16.25" customHeight="1" x14ac:dyDescent="0.2">
      <c r="A498" s="25" t="s">
        <v>190</v>
      </c>
      <c r="B498" s="1" t="s">
        <v>93</v>
      </c>
      <c r="C498" s="21" t="s">
        <v>625</v>
      </c>
      <c r="D498" s="1" t="s">
        <v>69</v>
      </c>
      <c r="H498" s="1" t="s">
        <v>131</v>
      </c>
      <c r="K498" s="1">
        <v>0</v>
      </c>
      <c r="AF498" s="1">
        <v>0</v>
      </c>
      <c r="BA498" s="1">
        <v>14</v>
      </c>
      <c r="BI498" s="1">
        <v>1.1499999999999999</v>
      </c>
      <c r="BJ498" s="1">
        <v>5.5E-2</v>
      </c>
      <c r="BV498" s="1">
        <v>0</v>
      </c>
      <c r="CQ498" s="1">
        <v>0</v>
      </c>
      <c r="DL498" s="18" t="s">
        <v>163</v>
      </c>
      <c r="DM498" s="1" t="s">
        <v>163</v>
      </c>
      <c r="DN498" s="1">
        <f t="shared" si="79"/>
        <v>1.1499999999999999</v>
      </c>
      <c r="DO498" s="1">
        <f t="shared" si="80"/>
        <v>5.5E-2</v>
      </c>
      <c r="DP498" s="1" t="s">
        <v>899</v>
      </c>
      <c r="DQ498" s="1" t="s">
        <v>2</v>
      </c>
      <c r="DR498" s="16">
        <f t="shared" si="81"/>
        <v>14</v>
      </c>
      <c r="DS498" s="16">
        <f t="shared" si="82"/>
        <v>1.1499999999999999</v>
      </c>
      <c r="DT498" s="101">
        <f t="shared" si="83"/>
        <v>160.99999999999997</v>
      </c>
      <c r="DV498" s="16">
        <f t="shared" si="84"/>
        <v>0</v>
      </c>
      <c r="DZ498" s="37" t="s">
        <v>2</v>
      </c>
      <c r="EA498" s="37" t="s">
        <v>93</v>
      </c>
      <c r="EM498" s="73" t="s">
        <v>93</v>
      </c>
      <c r="EN498" s="37"/>
      <c r="EO498" s="37"/>
      <c r="EP498" s="37"/>
      <c r="EQ498" s="37"/>
      <c r="ER498" s="37"/>
      <c r="ES498" s="37"/>
      <c r="ET498" s="37"/>
      <c r="EU498" s="37"/>
      <c r="EV498" s="37"/>
      <c r="EW498" s="37"/>
      <c r="EX498" s="37"/>
      <c r="EY498" s="37"/>
      <c r="EZ498" s="37"/>
      <c r="FA498" s="37"/>
      <c r="FB498" s="37"/>
      <c r="FC498" s="37"/>
      <c r="FD498" s="37"/>
      <c r="FE498" s="37"/>
      <c r="FF498" s="55"/>
      <c r="FG498" s="55"/>
      <c r="FH498" s="55"/>
      <c r="FI498" s="37"/>
      <c r="FJ498" s="55"/>
      <c r="FK498" s="55"/>
      <c r="FL498" s="45"/>
      <c r="FM498" s="37"/>
      <c r="FN498" s="37"/>
      <c r="FO498" s="37"/>
      <c r="FP498" s="55" t="s">
        <v>93</v>
      </c>
      <c r="FQ498" s="1" t="s">
        <v>2</v>
      </c>
      <c r="FR498" s="1" t="s">
        <v>31</v>
      </c>
      <c r="FS498" s="1" t="s">
        <v>230</v>
      </c>
      <c r="FT498" s="1" t="s">
        <v>230</v>
      </c>
      <c r="FV498" s="1" t="s">
        <v>2</v>
      </c>
    </row>
    <row r="499" spans="1:178" ht="16.25" customHeight="1" x14ac:dyDescent="0.2">
      <c r="A499" s="25" t="s">
        <v>190</v>
      </c>
      <c r="B499" s="1" t="s">
        <v>93</v>
      </c>
      <c r="C499" s="21" t="s">
        <v>584</v>
      </c>
      <c r="D499" s="1" t="s">
        <v>69</v>
      </c>
      <c r="H499" s="1" t="s">
        <v>582</v>
      </c>
      <c r="K499" s="1">
        <v>0</v>
      </c>
      <c r="AF499" s="1">
        <v>0</v>
      </c>
      <c r="BA499" s="1">
        <v>3</v>
      </c>
      <c r="BI499" s="1">
        <v>1.23</v>
      </c>
      <c r="BJ499" s="1">
        <v>0.08</v>
      </c>
      <c r="BV499" s="1">
        <v>0</v>
      </c>
      <c r="CQ499" s="1">
        <v>0</v>
      </c>
      <c r="DL499" s="18" t="s">
        <v>163</v>
      </c>
      <c r="DM499" s="1" t="s">
        <v>163</v>
      </c>
      <c r="DN499" s="1">
        <f t="shared" si="79"/>
        <v>1.23</v>
      </c>
      <c r="DO499" s="1">
        <f t="shared" si="80"/>
        <v>0.08</v>
      </c>
      <c r="DP499" s="1" t="s">
        <v>899</v>
      </c>
      <c r="DQ499" s="1" t="s">
        <v>2</v>
      </c>
      <c r="DR499" s="16">
        <f t="shared" si="81"/>
        <v>3</v>
      </c>
      <c r="DS499" s="16">
        <f t="shared" si="82"/>
        <v>1.23</v>
      </c>
      <c r="DT499" s="101">
        <f t="shared" si="83"/>
        <v>36.9</v>
      </c>
      <c r="DV499" s="16">
        <f t="shared" si="84"/>
        <v>0</v>
      </c>
      <c r="DZ499" s="37" t="s">
        <v>2</v>
      </c>
      <c r="EA499" s="37"/>
      <c r="EM499" s="73"/>
      <c r="EN499" s="37"/>
      <c r="EO499" s="37"/>
      <c r="EP499" s="37"/>
      <c r="EQ499" s="37"/>
      <c r="ER499" s="37"/>
      <c r="ES499" s="37"/>
      <c r="ET499" s="37"/>
      <c r="EU499" s="37"/>
      <c r="EV499" s="37"/>
      <c r="EW499" s="37"/>
      <c r="EX499" s="37"/>
      <c r="EY499" s="37"/>
      <c r="EZ499" s="37"/>
      <c r="FA499" s="37"/>
      <c r="FB499" s="37"/>
      <c r="FC499" s="37"/>
      <c r="FD499" s="37"/>
      <c r="FE499" s="37"/>
      <c r="FF499" s="55"/>
      <c r="FG499" s="55"/>
      <c r="FH499" s="55"/>
      <c r="FI499" s="37"/>
      <c r="FJ499" s="55"/>
      <c r="FK499" s="55"/>
      <c r="FL499" s="45"/>
      <c r="FM499" s="37"/>
      <c r="FN499" s="37"/>
      <c r="FO499" s="37"/>
      <c r="FP499" s="55"/>
      <c r="FQ499" s="1" t="s">
        <v>2</v>
      </c>
      <c r="FR499" s="1" t="s">
        <v>31</v>
      </c>
      <c r="FS499" s="1" t="s">
        <v>618</v>
      </c>
      <c r="FT499" s="1" t="s">
        <v>618</v>
      </c>
      <c r="FV499" s="1" t="s">
        <v>2</v>
      </c>
    </row>
    <row r="500" spans="1:178" ht="16.25" customHeight="1" x14ac:dyDescent="0.2">
      <c r="A500" s="25" t="s">
        <v>190</v>
      </c>
      <c r="B500" s="1" t="s">
        <v>93</v>
      </c>
      <c r="C500" s="29" t="s">
        <v>868</v>
      </c>
      <c r="D500" s="1" t="s">
        <v>69</v>
      </c>
      <c r="H500" s="1" t="s">
        <v>131</v>
      </c>
      <c r="K500" s="1">
        <v>0</v>
      </c>
      <c r="AF500" s="1">
        <v>0</v>
      </c>
      <c r="BA500" s="1">
        <v>244.6</v>
      </c>
      <c r="BI500" s="1">
        <v>0.7</v>
      </c>
      <c r="BP500" s="1">
        <v>1.1599999999999999</v>
      </c>
      <c r="BQ500" s="1">
        <v>21.47</v>
      </c>
      <c r="BV500" s="1">
        <v>0</v>
      </c>
      <c r="CQ500" s="1">
        <v>0</v>
      </c>
      <c r="DL500" s="18" t="s">
        <v>163</v>
      </c>
      <c r="DN500" s="1">
        <f t="shared" si="79"/>
        <v>0.70000000000000007</v>
      </c>
      <c r="DO500" s="1">
        <f t="shared" si="80"/>
        <v>0</v>
      </c>
      <c r="DP500" s="1" t="s">
        <v>471</v>
      </c>
      <c r="DQ500" s="1" t="s">
        <v>2</v>
      </c>
      <c r="DR500" s="16">
        <f t="shared" si="81"/>
        <v>244.6</v>
      </c>
      <c r="DS500" s="16">
        <f t="shared" si="82"/>
        <v>0.70000000000000007</v>
      </c>
      <c r="DT500" s="102">
        <f t="shared" si="83"/>
        <v>1712.2000000000003</v>
      </c>
      <c r="DV500" s="16">
        <f t="shared" si="84"/>
        <v>0</v>
      </c>
      <c r="DZ500" s="37" t="s">
        <v>2</v>
      </c>
      <c r="EA500" s="37"/>
      <c r="EM500" s="73"/>
      <c r="EN500" s="37"/>
      <c r="EO500" s="37"/>
      <c r="EP500" s="37"/>
      <c r="EQ500" s="37"/>
      <c r="ER500" s="37"/>
      <c r="ES500" s="37"/>
      <c r="ET500" s="37"/>
      <c r="EU500" s="37"/>
      <c r="EV500" s="37"/>
      <c r="EW500" s="37"/>
      <c r="EX500" s="37"/>
      <c r="EY500" s="37"/>
      <c r="EZ500" s="37"/>
      <c r="FA500" s="37"/>
      <c r="FB500" s="37"/>
      <c r="FC500" s="37"/>
      <c r="FD500" s="37"/>
      <c r="FE500" s="37"/>
      <c r="FF500" s="55"/>
      <c r="FG500" s="55"/>
      <c r="FH500" s="55"/>
      <c r="FI500" s="37"/>
      <c r="FJ500" s="55"/>
      <c r="FK500" s="55"/>
      <c r="FL500" s="45"/>
      <c r="FM500" s="37"/>
      <c r="FN500" s="37"/>
      <c r="FO500" s="37"/>
      <c r="FP500" s="55"/>
      <c r="FQ500" s="1" t="s">
        <v>2</v>
      </c>
      <c r="FR500" s="1" t="s">
        <v>31</v>
      </c>
      <c r="FS500" s="1" t="s">
        <v>205</v>
      </c>
      <c r="FT500" s="1" t="s">
        <v>205</v>
      </c>
      <c r="FV500" s="1" t="s">
        <v>2</v>
      </c>
    </row>
    <row r="501" spans="1:178" ht="16.25" customHeight="1" x14ac:dyDescent="0.2">
      <c r="A501" s="25" t="s">
        <v>190</v>
      </c>
      <c r="B501" s="1" t="s">
        <v>93</v>
      </c>
      <c r="C501" s="80" t="s">
        <v>755</v>
      </c>
      <c r="D501" s="1" t="s">
        <v>71</v>
      </c>
      <c r="H501" s="1" t="s">
        <v>756</v>
      </c>
      <c r="K501" s="1">
        <v>0</v>
      </c>
      <c r="AF501" s="1">
        <v>0</v>
      </c>
      <c r="BA501" s="1">
        <v>2.5</v>
      </c>
      <c r="BI501" s="1">
        <v>1.55</v>
      </c>
      <c r="BV501" s="1">
        <v>0</v>
      </c>
      <c r="CQ501" s="1">
        <v>0</v>
      </c>
      <c r="DL501" s="18" t="s">
        <v>163</v>
      </c>
      <c r="DN501" s="1">
        <f t="shared" si="79"/>
        <v>1.55</v>
      </c>
      <c r="DO501" s="1">
        <f t="shared" si="80"/>
        <v>0</v>
      </c>
      <c r="DP501" s="1" t="s">
        <v>899</v>
      </c>
      <c r="DQ501" s="1" t="s">
        <v>2</v>
      </c>
      <c r="DR501" s="16">
        <f t="shared" si="81"/>
        <v>2.5</v>
      </c>
      <c r="DS501" s="16">
        <f t="shared" si="82"/>
        <v>1.55</v>
      </c>
      <c r="DT501" s="101">
        <f t="shared" si="83"/>
        <v>38.75</v>
      </c>
      <c r="DV501" s="16">
        <f t="shared" si="84"/>
        <v>0</v>
      </c>
      <c r="DZ501" s="37" t="s">
        <v>2</v>
      </c>
      <c r="EA501" s="37"/>
      <c r="EM501" s="73"/>
      <c r="EN501" s="37"/>
      <c r="EO501" s="37"/>
      <c r="EP501" s="37"/>
      <c r="EQ501" s="37"/>
      <c r="ER501" s="37"/>
      <c r="ES501" s="37"/>
      <c r="ET501" s="37"/>
      <c r="EU501" s="37"/>
      <c r="EV501" s="37"/>
      <c r="EW501" s="37"/>
      <c r="EX501" s="37"/>
      <c r="EY501" s="37"/>
      <c r="EZ501" s="37"/>
      <c r="FA501" s="37"/>
      <c r="FB501" s="37"/>
      <c r="FC501" s="37"/>
      <c r="FD501" s="37"/>
      <c r="FE501" s="37"/>
      <c r="FF501" s="55"/>
      <c r="FG501" s="55"/>
      <c r="FH501" s="55"/>
      <c r="FI501" s="37"/>
      <c r="FJ501" s="55"/>
      <c r="FK501" s="55"/>
      <c r="FL501" s="45"/>
      <c r="FM501" s="37"/>
      <c r="FN501" s="37"/>
      <c r="FO501" s="37"/>
      <c r="FP501" s="55"/>
      <c r="FQ501" s="1" t="s">
        <v>2</v>
      </c>
      <c r="FR501" s="1" t="s">
        <v>31</v>
      </c>
      <c r="FS501" s="1" t="s">
        <v>490</v>
      </c>
      <c r="FV501" s="1" t="s">
        <v>2</v>
      </c>
    </row>
    <row r="502" spans="1:178" ht="16.25" customHeight="1" x14ac:dyDescent="0.2">
      <c r="A502" s="25" t="s">
        <v>190</v>
      </c>
      <c r="B502" s="1" t="s">
        <v>133</v>
      </c>
      <c r="C502" s="80" t="s">
        <v>718</v>
      </c>
      <c r="D502" s="1" t="s">
        <v>69</v>
      </c>
      <c r="H502" s="1" t="s">
        <v>719</v>
      </c>
      <c r="K502" s="1">
        <v>1.9</v>
      </c>
      <c r="S502" s="1">
        <v>1.4</v>
      </c>
      <c r="T502" s="1">
        <v>7.0000000000000007E-2</v>
      </c>
      <c r="AF502" s="1">
        <v>6.9</v>
      </c>
      <c r="AN502" s="1">
        <v>1.3</v>
      </c>
      <c r="AO502" s="1">
        <v>7.0000000000000007E-2</v>
      </c>
      <c r="BA502" s="1">
        <v>7.2</v>
      </c>
      <c r="BI502" s="1">
        <v>1.2</v>
      </c>
      <c r="BJ502" s="1">
        <v>7.0000000000000007E-2</v>
      </c>
      <c r="BV502" s="1">
        <v>0</v>
      </c>
      <c r="CQ502" s="1">
        <v>0</v>
      </c>
      <c r="DL502" s="18" t="s">
        <v>96</v>
      </c>
      <c r="DM502" s="1" t="s">
        <v>96</v>
      </c>
      <c r="DN502" s="1">
        <f t="shared" si="79"/>
        <v>1.2668750000000002</v>
      </c>
      <c r="DO502" s="1">
        <f t="shared" si="80"/>
        <v>7.0000000000000007E-2</v>
      </c>
      <c r="DP502" s="1" t="s">
        <v>1100</v>
      </c>
      <c r="DQ502" s="1" t="s">
        <v>2</v>
      </c>
      <c r="DR502" s="16">
        <f t="shared" si="81"/>
        <v>16</v>
      </c>
      <c r="DS502" s="100">
        <f t="shared" si="82"/>
        <v>1.2668750000000002</v>
      </c>
      <c r="DT502" s="101">
        <f t="shared" si="83"/>
        <v>202.70000000000005</v>
      </c>
      <c r="DV502" s="16">
        <f t="shared" si="84"/>
        <v>0</v>
      </c>
      <c r="DZ502" s="37" t="s">
        <v>2</v>
      </c>
      <c r="EA502" s="37" t="s">
        <v>133</v>
      </c>
      <c r="EM502" s="73" t="s">
        <v>133</v>
      </c>
      <c r="EN502" s="37"/>
      <c r="EO502" s="37"/>
      <c r="EP502" s="37"/>
      <c r="EQ502" s="37"/>
      <c r="ER502" s="37"/>
      <c r="ES502" s="37"/>
      <c r="ET502" s="37"/>
      <c r="EU502" s="37"/>
      <c r="EV502" s="37"/>
      <c r="EW502" s="37"/>
      <c r="EX502" s="37"/>
      <c r="EY502" s="37"/>
      <c r="EZ502" s="37"/>
      <c r="FA502" s="37"/>
      <c r="FB502" s="37"/>
      <c r="FC502" s="37"/>
      <c r="FD502" s="37"/>
      <c r="FE502" s="37"/>
      <c r="FF502" s="55"/>
      <c r="FG502" s="55"/>
      <c r="FH502" s="55"/>
      <c r="FI502" s="37"/>
      <c r="FJ502" s="55"/>
      <c r="FK502" s="55"/>
      <c r="FL502" s="45"/>
      <c r="FM502" s="37"/>
      <c r="FN502" s="37"/>
      <c r="FO502" s="37"/>
      <c r="FP502" s="55" t="s">
        <v>133</v>
      </c>
      <c r="FQ502" s="1" t="s">
        <v>2</v>
      </c>
      <c r="FR502" s="1" t="s">
        <v>31</v>
      </c>
      <c r="FS502" s="1" t="s">
        <v>205</v>
      </c>
      <c r="FT502" s="1" t="s">
        <v>205</v>
      </c>
      <c r="FV502" s="1" t="s">
        <v>2</v>
      </c>
    </row>
    <row r="503" spans="1:178" ht="16.25" customHeight="1" x14ac:dyDescent="0.2">
      <c r="A503" s="25" t="s">
        <v>190</v>
      </c>
      <c r="B503" s="1" t="s">
        <v>133</v>
      </c>
      <c r="C503" s="80" t="s">
        <v>721</v>
      </c>
      <c r="D503" s="1" t="s">
        <v>71</v>
      </c>
      <c r="H503" s="1" t="s">
        <v>719</v>
      </c>
      <c r="K503" s="1">
        <v>0</v>
      </c>
      <c r="AF503" s="1">
        <v>0</v>
      </c>
      <c r="BA503" s="1">
        <v>1.6950000000000001</v>
      </c>
      <c r="BI503" s="1">
        <v>0.6</v>
      </c>
      <c r="BJ503" s="1">
        <v>0.06</v>
      </c>
      <c r="BV503" s="1">
        <v>0</v>
      </c>
      <c r="CQ503" s="1">
        <v>0</v>
      </c>
      <c r="DL503" s="18" t="s">
        <v>163</v>
      </c>
      <c r="DM503" s="1" t="s">
        <v>163</v>
      </c>
      <c r="DN503" s="1">
        <f t="shared" si="79"/>
        <v>0.59999999999999987</v>
      </c>
      <c r="DO503" s="1">
        <f t="shared" si="80"/>
        <v>0.06</v>
      </c>
      <c r="DP503" s="1" t="s">
        <v>1102</v>
      </c>
      <c r="DQ503" s="1" t="s">
        <v>2</v>
      </c>
      <c r="DR503" s="16">
        <f t="shared" si="81"/>
        <v>1.6950000000000001</v>
      </c>
      <c r="DS503" s="16">
        <f t="shared" si="82"/>
        <v>0.59999999999999987</v>
      </c>
      <c r="DT503" s="101">
        <f t="shared" si="83"/>
        <v>10.169999999999998</v>
      </c>
      <c r="DV503" s="16">
        <f t="shared" si="84"/>
        <v>0</v>
      </c>
      <c r="DZ503" s="37" t="s">
        <v>2</v>
      </c>
      <c r="EA503" s="37"/>
      <c r="EM503" s="73"/>
      <c r="EN503" s="37"/>
      <c r="EO503" s="37"/>
      <c r="EP503" s="37"/>
      <c r="EQ503" s="37"/>
      <c r="ER503" s="37"/>
      <c r="ES503" s="37"/>
      <c r="ET503" s="37"/>
      <c r="EU503" s="37"/>
      <c r="EV503" s="37"/>
      <c r="EW503" s="37"/>
      <c r="EX503" s="37"/>
      <c r="EY503" s="37"/>
      <c r="EZ503" s="37"/>
      <c r="FA503" s="37"/>
      <c r="FB503" s="37"/>
      <c r="FC503" s="37"/>
      <c r="FD503" s="37"/>
      <c r="FE503" s="37"/>
      <c r="FF503" s="55"/>
      <c r="FG503" s="55"/>
      <c r="FH503" s="55"/>
      <c r="FI503" s="37"/>
      <c r="FJ503" s="55"/>
      <c r="FK503" s="55"/>
      <c r="FL503" s="45"/>
      <c r="FM503" s="37"/>
      <c r="FN503" s="37"/>
      <c r="FO503" s="37"/>
      <c r="FP503" s="55"/>
      <c r="FQ503" s="1" t="s">
        <v>2</v>
      </c>
      <c r="FR503" s="1" t="s">
        <v>31</v>
      </c>
      <c r="FS503" s="1" t="s">
        <v>205</v>
      </c>
      <c r="FT503" s="1" t="s">
        <v>205</v>
      </c>
      <c r="FV503" s="1" t="s">
        <v>2</v>
      </c>
    </row>
    <row r="504" spans="1:178" ht="16.25" customHeight="1" x14ac:dyDescent="0.2">
      <c r="A504" s="18" t="s">
        <v>177</v>
      </c>
      <c r="B504" s="1" t="s">
        <v>149</v>
      </c>
      <c r="C504" s="15" t="s">
        <v>722</v>
      </c>
      <c r="D504" s="1" t="s">
        <v>71</v>
      </c>
      <c r="H504" s="1" t="s">
        <v>719</v>
      </c>
      <c r="K504" s="1">
        <v>0</v>
      </c>
      <c r="AF504" s="1">
        <v>0</v>
      </c>
      <c r="BA504" s="1">
        <f>11.9+2.27+2.28+2.35+1.5</f>
        <v>20.3</v>
      </c>
      <c r="BI504" s="13">
        <f>(0.32*11.9+0.6*2.27+0.45*2.28+0.37*2.35+0.72*1.5)/BA504</f>
        <v>0.40125615763546796</v>
      </c>
      <c r="BV504" s="1">
        <v>0</v>
      </c>
      <c r="CQ504" s="1">
        <v>0</v>
      </c>
      <c r="DL504" s="18" t="s">
        <v>96</v>
      </c>
      <c r="DN504" s="1">
        <f t="shared" si="79"/>
        <v>0.40125615763546796</v>
      </c>
      <c r="DO504" s="1">
        <f t="shared" si="80"/>
        <v>0</v>
      </c>
      <c r="DP504" s="1" t="s">
        <v>1301</v>
      </c>
      <c r="DQ504" s="1" t="s">
        <v>2</v>
      </c>
      <c r="DR504" s="16">
        <f t="shared" si="81"/>
        <v>20.3</v>
      </c>
      <c r="DS504" s="100">
        <f t="shared" si="82"/>
        <v>0.40125615763546796</v>
      </c>
      <c r="DT504" s="101">
        <f t="shared" si="83"/>
        <v>81.454999999999998</v>
      </c>
      <c r="DV504" s="16">
        <f t="shared" si="84"/>
        <v>0</v>
      </c>
      <c r="DZ504" s="37" t="s">
        <v>2</v>
      </c>
      <c r="EA504" s="37" t="s">
        <v>149</v>
      </c>
      <c r="EM504" s="73" t="s">
        <v>149</v>
      </c>
      <c r="EN504" s="37"/>
      <c r="EO504" s="37"/>
      <c r="EP504" s="37"/>
      <c r="EQ504" s="37"/>
      <c r="ER504" s="37"/>
      <c r="ES504" s="37"/>
      <c r="ET504" s="37"/>
      <c r="EU504" s="37"/>
      <c r="EV504" s="37"/>
      <c r="EW504" s="37"/>
      <c r="EX504" s="37"/>
      <c r="EY504" s="37"/>
      <c r="EZ504" s="37"/>
      <c r="FA504" s="37"/>
      <c r="FB504" s="37"/>
      <c r="FC504" s="37"/>
      <c r="FD504" s="37"/>
      <c r="FE504" s="37"/>
      <c r="FF504" s="55"/>
      <c r="FG504" s="55"/>
      <c r="FH504" s="55"/>
      <c r="FI504" s="37"/>
      <c r="FJ504" s="55"/>
      <c r="FK504" s="55"/>
      <c r="FL504" s="45"/>
      <c r="FM504" s="37"/>
      <c r="FN504" s="37"/>
      <c r="FO504" s="37"/>
      <c r="FP504" s="55" t="s">
        <v>149</v>
      </c>
      <c r="FQ504" s="1" t="s">
        <v>2</v>
      </c>
      <c r="FR504" s="1" t="s">
        <v>113</v>
      </c>
      <c r="FS504" s="1" t="s">
        <v>223</v>
      </c>
      <c r="FU504" s="1" t="s">
        <v>1276</v>
      </c>
      <c r="FV504" s="1" t="s">
        <v>2</v>
      </c>
    </row>
    <row r="505" spans="1:178" ht="16.25" customHeight="1" x14ac:dyDescent="0.2">
      <c r="A505" s="18" t="s">
        <v>1183</v>
      </c>
      <c r="B505" s="1" t="s">
        <v>149</v>
      </c>
      <c r="C505" s="15" t="s">
        <v>1297</v>
      </c>
      <c r="D505" s="1" t="s">
        <v>69</v>
      </c>
      <c r="H505" s="81" t="s">
        <v>1298</v>
      </c>
      <c r="K505" s="1">
        <v>0</v>
      </c>
      <c r="AF505" s="1">
        <v>96.100000000000009</v>
      </c>
      <c r="AG505" s="13">
        <v>0.01</v>
      </c>
      <c r="AH505" s="13">
        <v>2.4090489073881373E-2</v>
      </c>
      <c r="AN505" s="13">
        <v>0.03</v>
      </c>
      <c r="AP505" s="13">
        <v>2.9450622892819975</v>
      </c>
      <c r="AQ505" s="13">
        <v>1.3189542767950051</v>
      </c>
      <c r="AR505" s="13">
        <v>0.55408124869927156</v>
      </c>
      <c r="AS505" s="13">
        <v>0.95759694068678458</v>
      </c>
      <c r="AT505" s="13">
        <v>0.22283702393340268</v>
      </c>
      <c r="BA505" s="1">
        <v>78.599999999999994</v>
      </c>
      <c r="BB505" s="13">
        <v>1.0000000000000002E-2</v>
      </c>
      <c r="BC505" s="13">
        <v>2.3151755725190841E-2</v>
      </c>
      <c r="BI505" s="13">
        <v>0.03</v>
      </c>
      <c r="BK505" s="13">
        <v>2.8303021374045803</v>
      </c>
      <c r="BL505" s="13">
        <v>1.2675586259541987</v>
      </c>
      <c r="BM505" s="13">
        <v>0.53249038167938934</v>
      </c>
      <c r="BN505" s="13">
        <v>0.920282290076336</v>
      </c>
      <c r="BO505" s="13">
        <v>0.21415374045801527</v>
      </c>
      <c r="BV505" s="1">
        <v>0</v>
      </c>
      <c r="CQ505" s="1">
        <v>0</v>
      </c>
      <c r="DL505" s="18" t="s">
        <v>96</v>
      </c>
      <c r="DN505" s="1">
        <f t="shared" si="79"/>
        <v>0.03</v>
      </c>
      <c r="DO505" s="1">
        <f t="shared" si="80"/>
        <v>0</v>
      </c>
      <c r="DP505" s="1" t="s">
        <v>1181</v>
      </c>
      <c r="DQ505" s="1" t="s">
        <v>2</v>
      </c>
      <c r="DR505" s="16">
        <f t="shared" si="81"/>
        <v>174.7</v>
      </c>
      <c r="DS505" s="100">
        <f t="shared" si="82"/>
        <v>0.03</v>
      </c>
      <c r="DT505" s="101">
        <f t="shared" si="83"/>
        <v>52.41</v>
      </c>
      <c r="DV505" s="16">
        <f t="shared" si="84"/>
        <v>0</v>
      </c>
      <c r="DZ505" s="37" t="s">
        <v>2</v>
      </c>
      <c r="EA505" s="37"/>
      <c r="EM505" s="73"/>
      <c r="EN505" s="37"/>
      <c r="EO505" s="37"/>
      <c r="EP505" s="37"/>
      <c r="EQ505" s="37"/>
      <c r="ER505" s="37"/>
      <c r="ES505" s="37"/>
      <c r="ET505" s="37"/>
      <c r="EU505" s="37"/>
      <c r="EV505" s="37"/>
      <c r="EW505" s="37"/>
      <c r="EX505" s="37"/>
      <c r="EY505" s="37"/>
      <c r="EZ505" s="37"/>
      <c r="FA505" s="37"/>
      <c r="FB505" s="37"/>
      <c r="FC505" s="37"/>
      <c r="FD505" s="37"/>
      <c r="FE505" s="37"/>
      <c r="FF505" s="55"/>
      <c r="FG505" s="55"/>
      <c r="FH505" s="55"/>
      <c r="FI505" s="37"/>
      <c r="FJ505" s="55"/>
      <c r="FK505" s="55"/>
      <c r="FL505" s="45"/>
      <c r="FM505" s="37"/>
      <c r="FN505" s="37"/>
      <c r="FO505" s="37"/>
      <c r="FP505" s="55"/>
      <c r="FQ505" s="1" t="s">
        <v>2</v>
      </c>
      <c r="FR505" s="1" t="s">
        <v>113</v>
      </c>
      <c r="FS505" s="1" t="s">
        <v>261</v>
      </c>
      <c r="FT505" s="1" t="s">
        <v>589</v>
      </c>
      <c r="FU505" s="1" t="s">
        <v>1182</v>
      </c>
      <c r="FV505" s="1" t="s">
        <v>2</v>
      </c>
    </row>
    <row r="506" spans="1:178" ht="16.25" customHeight="1" x14ac:dyDescent="0.2">
      <c r="A506" s="18" t="s">
        <v>1183</v>
      </c>
      <c r="B506" s="1" t="s">
        <v>149</v>
      </c>
      <c r="C506" s="15" t="s">
        <v>757</v>
      </c>
      <c r="D506" s="1" t="s">
        <v>69</v>
      </c>
      <c r="H506" s="1" t="s">
        <v>758</v>
      </c>
      <c r="K506" s="1">
        <v>98.4</v>
      </c>
      <c r="L506" s="1">
        <v>0.01</v>
      </c>
      <c r="M506" s="13">
        <v>5.8974502899999996E-2</v>
      </c>
      <c r="S506" s="1">
        <v>0.03</v>
      </c>
      <c r="U506" s="13">
        <v>3.1921685999999996</v>
      </c>
      <c r="V506" s="13">
        <v>1.60276134</v>
      </c>
      <c r="W506" s="13">
        <v>0.54552451999999996</v>
      </c>
      <c r="X506" s="13">
        <v>0.85477758000000004</v>
      </c>
      <c r="Y506" s="13">
        <v>0.215799086</v>
      </c>
      <c r="Z506" s="14">
        <f>31*(2*52/(2*52+3*16.001))</f>
        <v>21.210107695242861</v>
      </c>
      <c r="AF506" s="1">
        <v>10.8</v>
      </c>
      <c r="AG506" s="1">
        <v>0.01</v>
      </c>
      <c r="AN506" s="1">
        <v>0.03</v>
      </c>
      <c r="AU506" s="14">
        <f>31*(2*52/(2*52+3*16.001))</f>
        <v>21.210107695242861</v>
      </c>
      <c r="BA506" s="1">
        <v>55.9</v>
      </c>
      <c r="BB506" s="1">
        <v>0.01</v>
      </c>
      <c r="BC506" s="13">
        <v>5.5267343999999996E-2</v>
      </c>
      <c r="BI506" s="1">
        <v>0.03</v>
      </c>
      <c r="BK506" s="13">
        <v>2.9914972999999998</v>
      </c>
      <c r="BL506" s="13">
        <v>1.50200534</v>
      </c>
      <c r="BM506" s="13">
        <v>0.51123001599999995</v>
      </c>
      <c r="BN506" s="13"/>
      <c r="BO506" s="13"/>
      <c r="BP506" s="14">
        <f>31*(2*52/(2*52+3*16.001))</f>
        <v>21.210107695242861</v>
      </c>
      <c r="BV506" s="1">
        <v>0</v>
      </c>
      <c r="CQ506" s="1">
        <v>0</v>
      </c>
      <c r="DL506" s="18" t="s">
        <v>96</v>
      </c>
      <c r="DN506" s="1">
        <f t="shared" si="79"/>
        <v>0.03</v>
      </c>
      <c r="DO506" s="1">
        <f t="shared" si="80"/>
        <v>0</v>
      </c>
      <c r="DP506" s="1" t="s">
        <v>73</v>
      </c>
      <c r="DQ506" s="1" t="s">
        <v>2</v>
      </c>
      <c r="DR506" s="16">
        <f t="shared" si="81"/>
        <v>165.1</v>
      </c>
      <c r="DS506" s="100">
        <f t="shared" si="82"/>
        <v>0.03</v>
      </c>
      <c r="DT506" s="101">
        <f t="shared" si="83"/>
        <v>49.53</v>
      </c>
      <c r="DV506" s="16">
        <f t="shared" si="84"/>
        <v>0</v>
      </c>
      <c r="DZ506" s="37" t="s">
        <v>2</v>
      </c>
      <c r="EA506" s="37"/>
      <c r="EM506" s="73"/>
      <c r="EN506" s="37"/>
      <c r="EO506" s="37"/>
      <c r="EP506" s="37"/>
      <c r="EQ506" s="37"/>
      <c r="ER506" s="37"/>
      <c r="ES506" s="37"/>
      <c r="ET506" s="37"/>
      <c r="EU506" s="37"/>
      <c r="EV506" s="37"/>
      <c r="EW506" s="37"/>
      <c r="EX506" s="37"/>
      <c r="EY506" s="37"/>
      <c r="EZ506" s="37"/>
      <c r="FA506" s="37"/>
      <c r="FB506" s="37"/>
      <c r="FC506" s="37"/>
      <c r="FD506" s="37"/>
      <c r="FE506" s="37"/>
      <c r="FF506" s="55"/>
      <c r="FG506" s="55"/>
      <c r="FH506" s="55"/>
      <c r="FI506" s="37"/>
      <c r="FJ506" s="55"/>
      <c r="FK506" s="55"/>
      <c r="FL506" s="45"/>
      <c r="FM506" s="37"/>
      <c r="FN506" s="37"/>
      <c r="FO506" s="37"/>
      <c r="FP506" s="55"/>
      <c r="FQ506" s="1" t="s">
        <v>2</v>
      </c>
      <c r="FR506" s="1" t="s">
        <v>113</v>
      </c>
      <c r="FS506" s="1" t="s">
        <v>261</v>
      </c>
      <c r="FT506" s="1" t="s">
        <v>589</v>
      </c>
      <c r="FU506" s="1" t="s">
        <v>1182</v>
      </c>
      <c r="FV506" s="1" t="s">
        <v>2</v>
      </c>
    </row>
    <row r="507" spans="1:178" ht="16.25" customHeight="1" x14ac:dyDescent="0.2">
      <c r="A507" s="36" t="s">
        <v>1323</v>
      </c>
      <c r="B507" s="37" t="s">
        <v>149</v>
      </c>
      <c r="C507" s="16" t="s">
        <v>369</v>
      </c>
      <c r="D507" s="1" t="s">
        <v>69</v>
      </c>
      <c r="G507" s="1" t="s">
        <v>72</v>
      </c>
      <c r="H507" s="1" t="s">
        <v>370</v>
      </c>
      <c r="K507" s="1">
        <v>102.8</v>
      </c>
      <c r="L507" s="13">
        <v>1.9601167315175094E-2</v>
      </c>
      <c r="M507" s="13">
        <v>6.9095301556420241E-2</v>
      </c>
      <c r="S507" s="13">
        <v>0.14097276264591441</v>
      </c>
      <c r="U507" s="13">
        <v>3.3585684435797671</v>
      </c>
      <c r="V507" s="13">
        <v>1.5444746692607008</v>
      </c>
      <c r="W507" s="13">
        <v>0.56594524319066153</v>
      </c>
      <c r="Z507" s="14">
        <v>18.655150954295884</v>
      </c>
      <c r="AF507" s="1">
        <v>51.199999999999996</v>
      </c>
      <c r="AG507" s="13">
        <v>3.2421874999999996E-2</v>
      </c>
      <c r="AH507" s="13">
        <v>0.11020453124999999</v>
      </c>
      <c r="AN507" s="13">
        <v>0.15562500000000001</v>
      </c>
      <c r="AP507" s="13">
        <v>3.6535332812500001</v>
      </c>
      <c r="AQ507" s="13">
        <v>1.679052421875</v>
      </c>
      <c r="AR507" s="13">
        <v>0.53392851562499999</v>
      </c>
      <c r="AU507" s="14">
        <v>14.695269172318971</v>
      </c>
      <c r="BA507" s="1">
        <v>21.8</v>
      </c>
      <c r="BB507" s="13">
        <v>5.174311926605505E-2</v>
      </c>
      <c r="BC507" s="13">
        <v>0.16217266055045873</v>
      </c>
      <c r="BI507" s="13">
        <v>0.17770642201834863</v>
      </c>
      <c r="BK507" s="13">
        <v>3.7055919266055044</v>
      </c>
      <c r="BL507" s="13">
        <v>1.7014451376146789</v>
      </c>
      <c r="BM507" s="13">
        <v>0.42400128440366974</v>
      </c>
      <c r="BN507" s="13"/>
      <c r="BO507" s="13"/>
      <c r="BP507" s="14">
        <v>8.727592109933612</v>
      </c>
      <c r="BV507" s="1">
        <v>49.5</v>
      </c>
      <c r="BW507" s="13">
        <v>1.5656565656565657E-2</v>
      </c>
      <c r="BX507" s="13">
        <v>4.4190808080808087E-2</v>
      </c>
      <c r="CD507" s="13">
        <v>0.13646464646464646</v>
      </c>
      <c r="CF507" s="13">
        <v>2.6769670707070703</v>
      </c>
      <c r="CG507" s="13">
        <v>1.2313635353535355</v>
      </c>
      <c r="CH507" s="13">
        <v>0.47646848484848486</v>
      </c>
      <c r="CI507" s="13"/>
      <c r="CJ507" s="13"/>
      <c r="CK507" s="14">
        <v>19.873504623147728</v>
      </c>
      <c r="CQ507" s="1">
        <v>13.600000000000001</v>
      </c>
      <c r="CR507" s="13">
        <v>3.4705882352941177E-2</v>
      </c>
      <c r="CS507" s="13">
        <v>8.7374705882352924E-2</v>
      </c>
      <c r="CY507" s="13">
        <v>0.15823529411764706</v>
      </c>
      <c r="DA507" s="13">
        <v>2.8094694117647059</v>
      </c>
      <c r="DB507" s="13">
        <v>1.2910664705882351</v>
      </c>
      <c r="DC507" s="13">
        <v>0.40444235294117648</v>
      </c>
      <c r="DD507" s="13"/>
      <c r="DE507" s="13"/>
      <c r="DF507" s="14">
        <v>13.989816764452407</v>
      </c>
      <c r="DL507" s="18" t="s">
        <v>96</v>
      </c>
      <c r="DN507" s="1">
        <f t="shared" si="79"/>
        <v>0.1497952218430034</v>
      </c>
      <c r="DO507" s="1">
        <f t="shared" si="80"/>
        <v>0</v>
      </c>
      <c r="DP507" s="1" t="s">
        <v>73</v>
      </c>
      <c r="DQ507" s="1" t="s">
        <v>2</v>
      </c>
      <c r="DR507" s="16">
        <f t="shared" si="81"/>
        <v>175.8</v>
      </c>
      <c r="DS507" s="100">
        <f t="shared" si="82"/>
        <v>0.1497952218430034</v>
      </c>
      <c r="DT507" s="101">
        <f t="shared" si="83"/>
        <v>263.33999999999997</v>
      </c>
      <c r="DV507" s="16">
        <f t="shared" si="84"/>
        <v>63.1</v>
      </c>
      <c r="DW507" s="100">
        <f>(BV507*CD507+CQ507*CY507)/DV507</f>
        <v>0.14115689381933438</v>
      </c>
      <c r="DX507" s="101">
        <f>1000*DV507*DW507/100</f>
        <v>89.07</v>
      </c>
      <c r="DZ507" s="37" t="s">
        <v>2</v>
      </c>
      <c r="EA507" s="37"/>
      <c r="EM507" s="73"/>
      <c r="EN507" s="37"/>
      <c r="EO507" s="37"/>
      <c r="EP507" s="37"/>
      <c r="EQ507" s="37"/>
      <c r="ER507" s="37"/>
      <c r="ES507" s="37"/>
      <c r="ET507" s="37"/>
      <c r="EU507" s="37"/>
      <c r="EV507" s="37"/>
      <c r="EW507" s="37"/>
      <c r="EX507" s="37"/>
      <c r="EY507" s="37"/>
      <c r="EZ507" s="37"/>
      <c r="FA507" s="37"/>
      <c r="FB507" s="37"/>
      <c r="FC507" s="37"/>
      <c r="FD507" s="37"/>
      <c r="FE507" s="37"/>
      <c r="FF507" s="55"/>
      <c r="FG507" s="55"/>
      <c r="FH507" s="55"/>
      <c r="FI507" s="37"/>
      <c r="FJ507" s="55"/>
      <c r="FK507" s="55"/>
      <c r="FL507" s="45"/>
      <c r="FM507" s="37"/>
      <c r="FN507" s="37"/>
      <c r="FO507" s="37"/>
      <c r="FP507" s="55"/>
      <c r="FQ507" s="1" t="s">
        <v>2</v>
      </c>
      <c r="FR507" s="1" t="s">
        <v>113</v>
      </c>
      <c r="FS507" s="1" t="s">
        <v>261</v>
      </c>
      <c r="FT507" s="1" t="s">
        <v>589</v>
      </c>
      <c r="FU507" s="1" t="s">
        <v>1182</v>
      </c>
      <c r="FV507" s="1" t="s">
        <v>2</v>
      </c>
    </row>
    <row r="508" spans="1:178" ht="16.25" customHeight="1" x14ac:dyDescent="0.2">
      <c r="A508" s="36" t="s">
        <v>1323</v>
      </c>
      <c r="B508" s="37" t="s">
        <v>149</v>
      </c>
      <c r="C508" s="79" t="s">
        <v>1126</v>
      </c>
      <c r="D508" s="1" t="s">
        <v>71</v>
      </c>
      <c r="H508" s="1" t="s">
        <v>1127</v>
      </c>
      <c r="K508" s="1">
        <v>179.9</v>
      </c>
      <c r="L508" s="13">
        <v>1.9883268482490273E-2</v>
      </c>
      <c r="M508" s="13">
        <v>0.20146092273485267</v>
      </c>
      <c r="S508" s="13">
        <v>0.13694274596998332</v>
      </c>
      <c r="U508" s="13">
        <v>3.464008643690939</v>
      </c>
      <c r="V508" s="13">
        <v>1.6508603390772649</v>
      </c>
      <c r="W508" s="13">
        <v>0.28540297387437458</v>
      </c>
      <c r="Z508" s="14">
        <v>18.744298137206904</v>
      </c>
      <c r="AF508" s="1">
        <v>92.1</v>
      </c>
      <c r="AG508" s="13">
        <v>4.5646036916395225E-2</v>
      </c>
      <c r="AH508" s="13">
        <v>0.22676833876221494</v>
      </c>
      <c r="AN508" s="13">
        <v>0.18110749185667754</v>
      </c>
      <c r="AP508" s="13">
        <v>3.8991556026058634</v>
      </c>
      <c r="AQ508" s="13">
        <v>1.8582405537459281</v>
      </c>
      <c r="AR508" s="13">
        <v>0.32125514657980453</v>
      </c>
      <c r="AU508" s="14">
        <v>10.711509258385618</v>
      </c>
      <c r="BA508" s="1">
        <v>92.4</v>
      </c>
      <c r="BB508" s="13">
        <v>4.4318181818181812E-2</v>
      </c>
      <c r="BC508" s="13">
        <v>0.22924519480519479</v>
      </c>
      <c r="BI508" s="13">
        <v>0.17883116883116879</v>
      </c>
      <c r="BK508" s="13">
        <v>3.941743766233766</v>
      </c>
      <c r="BL508" s="13">
        <v>1.8785370129870129</v>
      </c>
      <c r="BM508" s="13">
        <v>0.32476402597402593</v>
      </c>
      <c r="BN508" s="13"/>
      <c r="BO508" s="13"/>
      <c r="BP508" s="14">
        <v>11.12553229682497</v>
      </c>
      <c r="BV508" s="1">
        <v>40.4</v>
      </c>
      <c r="BW508" s="13">
        <v>1.0173267326732674E-2</v>
      </c>
      <c r="BX508" s="13">
        <v>3.2979133663366335E-2</v>
      </c>
      <c r="CD508" s="13">
        <v>0.12029702970297029</v>
      </c>
      <c r="CF508" s="13">
        <v>2.7315577475247528</v>
      </c>
      <c r="CG508" s="13">
        <v>1.3586158415841585</v>
      </c>
      <c r="CH508" s="13">
        <v>0.52950995049504945</v>
      </c>
      <c r="CI508" s="13"/>
      <c r="CJ508" s="13"/>
      <c r="CK508" s="14">
        <v>21.772141455979018</v>
      </c>
      <c r="CQ508" s="1">
        <v>0.1</v>
      </c>
      <c r="CR508" s="13">
        <v>0.01</v>
      </c>
      <c r="CS508" s="13">
        <v>3.1220000000000001E-2</v>
      </c>
      <c r="CY508" s="13">
        <v>0.12</v>
      </c>
      <c r="DA508" s="13">
        <v>2.61802</v>
      </c>
      <c r="DB508" s="13">
        <v>1.3023199999999997</v>
      </c>
      <c r="DC508" s="13">
        <v>0.50844</v>
      </c>
      <c r="DD508" s="13"/>
      <c r="DE508" s="13"/>
      <c r="DF508" s="14">
        <v>21.825885015427328</v>
      </c>
      <c r="DL508" s="18" t="s">
        <v>96</v>
      </c>
      <c r="DN508" s="1">
        <f t="shared" si="79"/>
        <v>0.1587266739846323</v>
      </c>
      <c r="DO508" s="1">
        <f t="shared" si="80"/>
        <v>0</v>
      </c>
      <c r="DP508" s="1" t="s">
        <v>73</v>
      </c>
      <c r="DQ508" s="1" t="s">
        <v>2</v>
      </c>
      <c r="DR508" s="16">
        <f t="shared" si="81"/>
        <v>364.4</v>
      </c>
      <c r="DS508" s="100">
        <f t="shared" si="82"/>
        <v>0.1587266739846323</v>
      </c>
      <c r="DT508" s="101">
        <f t="shared" si="83"/>
        <v>578.40000000000009</v>
      </c>
      <c r="DV508" s="16">
        <f t="shared" si="84"/>
        <v>40.5</v>
      </c>
      <c r="DW508" s="100">
        <f>(BV508*CD508+CQ508*CY508)/DV508</f>
        <v>0.12029629629629628</v>
      </c>
      <c r="DX508" s="101">
        <f>1000*DV508*DW508/100</f>
        <v>48.719999999999992</v>
      </c>
      <c r="DZ508" s="37" t="s">
        <v>2</v>
      </c>
      <c r="EA508" s="37"/>
      <c r="EM508" s="73"/>
      <c r="EN508" s="37"/>
      <c r="EO508" s="37"/>
      <c r="EP508" s="37"/>
      <c r="EQ508" s="37"/>
      <c r="ER508" s="37"/>
      <c r="ES508" s="37"/>
      <c r="ET508" s="37"/>
      <c r="EU508" s="37"/>
      <c r="EV508" s="37"/>
      <c r="EW508" s="37"/>
      <c r="EX508" s="37"/>
      <c r="EY508" s="37"/>
      <c r="EZ508" s="37"/>
      <c r="FA508" s="37"/>
      <c r="FB508" s="37"/>
      <c r="FC508" s="37"/>
      <c r="FD508" s="37"/>
      <c r="FE508" s="37"/>
      <c r="FF508" s="55"/>
      <c r="FG508" s="55"/>
      <c r="FH508" s="55"/>
      <c r="FI508" s="37"/>
      <c r="FJ508" s="55"/>
      <c r="FK508" s="55"/>
      <c r="FL508" s="45"/>
      <c r="FM508" s="37"/>
      <c r="FN508" s="37"/>
      <c r="FO508" s="37"/>
      <c r="FP508" s="55"/>
      <c r="FQ508" s="1" t="s">
        <v>2</v>
      </c>
      <c r="FR508" s="1" t="s">
        <v>113</v>
      </c>
      <c r="FS508" s="1" t="s">
        <v>261</v>
      </c>
      <c r="FT508" s="1" t="s">
        <v>589</v>
      </c>
      <c r="FU508" s="1" t="s">
        <v>1182</v>
      </c>
      <c r="FV508" s="1" t="s">
        <v>2</v>
      </c>
    </row>
    <row r="509" spans="1:178" ht="16.25" customHeight="1" x14ac:dyDescent="0.2">
      <c r="A509" s="36" t="s">
        <v>1323</v>
      </c>
      <c r="B509" s="37" t="s">
        <v>149</v>
      </c>
      <c r="C509" s="15" t="s">
        <v>760</v>
      </c>
      <c r="D509" s="1" t="s">
        <v>69</v>
      </c>
      <c r="H509" s="1" t="s">
        <v>756</v>
      </c>
      <c r="K509" s="1">
        <v>169.01</v>
      </c>
      <c r="L509" s="13">
        <v>5.3973729365126316E-2</v>
      </c>
      <c r="M509" s="13">
        <v>0.15692089225489614</v>
      </c>
      <c r="S509" s="13">
        <v>0.16276847523815161</v>
      </c>
      <c r="U509" s="13">
        <v>3.8727634341163246</v>
      </c>
      <c r="V509" s="13">
        <v>1.7400606827998344</v>
      </c>
      <c r="W509" s="13">
        <v>0.46323098041536004</v>
      </c>
      <c r="AF509" s="1">
        <v>123.4</v>
      </c>
      <c r="AG509" s="13">
        <v>5.0729335494327385E-2</v>
      </c>
      <c r="AH509" s="13">
        <v>0.13868732576985413</v>
      </c>
      <c r="AN509" s="13">
        <v>0.15887520259319285</v>
      </c>
      <c r="AP509" s="13">
        <v>3.6139807666126416</v>
      </c>
      <c r="AQ509" s="13">
        <v>1.6354221977309562</v>
      </c>
      <c r="AR509" s="13">
        <v>0.44915793030794171</v>
      </c>
      <c r="BA509" s="1">
        <v>55.540000000000006</v>
      </c>
      <c r="BB509" s="13">
        <v>5.6543032048973707E-2</v>
      </c>
      <c r="BC509" s="13">
        <v>0.16773014043932299</v>
      </c>
      <c r="BI509" s="13">
        <v>0.16585163845876846</v>
      </c>
      <c r="BK509" s="13">
        <v>3.9191215700396111</v>
      </c>
      <c r="BL509" s="13">
        <v>1.7474789701116309</v>
      </c>
      <c r="BM509" s="13">
        <v>0.44931811307166003</v>
      </c>
      <c r="BN509" s="13"/>
      <c r="BO509" s="13"/>
      <c r="BV509" s="1">
        <v>60.910000000000004</v>
      </c>
      <c r="BW509" s="13">
        <v>9.7292726974224253E-2</v>
      </c>
      <c r="BX509" s="13">
        <v>0.17392956821539976</v>
      </c>
      <c r="CD509" s="13">
        <v>0.21475127236906913</v>
      </c>
      <c r="CF509" s="13">
        <v>2.9358104843211295</v>
      </c>
      <c r="CG509" s="13">
        <v>1.236532099819406</v>
      </c>
      <c r="CH509" s="13">
        <v>0.23138828763749791</v>
      </c>
      <c r="CI509" s="13"/>
      <c r="CJ509" s="13"/>
      <c r="CQ509" s="1">
        <v>64.31</v>
      </c>
      <c r="CR509" s="13">
        <v>4.4458093609081012E-2</v>
      </c>
      <c r="CS509" s="13">
        <v>7.5727631783548438E-2</v>
      </c>
      <c r="CY509" s="13">
        <v>0.1513497123308972</v>
      </c>
      <c r="DA509" s="13">
        <v>2.4107949619032807</v>
      </c>
      <c r="DB509" s="13">
        <v>1.1161566474887266</v>
      </c>
      <c r="DC509" s="13">
        <v>0.33619648577204164</v>
      </c>
      <c r="DD509" s="13"/>
      <c r="DE509" s="13"/>
      <c r="DL509" s="18" t="s">
        <v>96</v>
      </c>
      <c r="DN509" s="1">
        <f t="shared" si="79"/>
        <v>0.16187986779709729</v>
      </c>
      <c r="DO509" s="1">
        <f t="shared" si="80"/>
        <v>0</v>
      </c>
      <c r="DP509" s="1" t="s">
        <v>73</v>
      </c>
      <c r="DQ509" s="1" t="s">
        <v>2</v>
      </c>
      <c r="DR509" s="101">
        <f t="shared" si="81"/>
        <v>347.95</v>
      </c>
      <c r="DS509" s="100">
        <f t="shared" si="82"/>
        <v>0.16187986779709729</v>
      </c>
      <c r="DT509" s="101">
        <f t="shared" si="83"/>
        <v>563.26099999999997</v>
      </c>
      <c r="DV509" s="16">
        <f t="shared" si="84"/>
        <v>125.22</v>
      </c>
      <c r="DW509" s="100">
        <f>(BV509*CD509+CQ509*CY509)/DV509</f>
        <v>0.18218974604695737</v>
      </c>
      <c r="DX509" s="101">
        <f>1000*DV509*DW509/100</f>
        <v>228.13800000000003</v>
      </c>
      <c r="DZ509" s="37" t="s">
        <v>2</v>
      </c>
      <c r="EA509" s="37"/>
      <c r="EM509" s="73"/>
      <c r="EN509" s="37"/>
      <c r="EO509" s="37"/>
      <c r="EP509" s="37"/>
      <c r="EQ509" s="37"/>
      <c r="ER509" s="37"/>
      <c r="ES509" s="37"/>
      <c r="ET509" s="37"/>
      <c r="EU509" s="37"/>
      <c r="EV509" s="37"/>
      <c r="EW509" s="37"/>
      <c r="EX509" s="37"/>
      <c r="EY509" s="37"/>
      <c r="EZ509" s="37"/>
      <c r="FA509" s="37"/>
      <c r="FB509" s="37"/>
      <c r="FC509" s="37"/>
      <c r="FD509" s="37"/>
      <c r="FE509" s="37"/>
      <c r="FF509" s="55"/>
      <c r="FG509" s="55"/>
      <c r="FH509" s="55"/>
      <c r="FI509" s="37"/>
      <c r="FJ509" s="55"/>
      <c r="FK509" s="55"/>
      <c r="FL509" s="45"/>
      <c r="FM509" s="37"/>
      <c r="FN509" s="37"/>
      <c r="FO509" s="37"/>
      <c r="FP509" s="55"/>
      <c r="FQ509" s="1" t="s">
        <v>2</v>
      </c>
      <c r="FR509" s="1" t="s">
        <v>113</v>
      </c>
      <c r="FS509" s="1" t="s">
        <v>261</v>
      </c>
      <c r="FT509" s="1" t="s">
        <v>708</v>
      </c>
      <c r="FU509" s="1" t="s">
        <v>1182</v>
      </c>
      <c r="FV509" s="1" t="s">
        <v>2</v>
      </c>
    </row>
    <row r="510" spans="1:178" ht="16.25" customHeight="1" x14ac:dyDescent="0.2">
      <c r="A510" s="36" t="s">
        <v>1323</v>
      </c>
      <c r="B510" s="37" t="s">
        <v>149</v>
      </c>
      <c r="C510" s="79" t="s">
        <v>1160</v>
      </c>
      <c r="D510" s="1" t="s">
        <v>69</v>
      </c>
      <c r="H510" s="1" t="s">
        <v>131</v>
      </c>
      <c r="K510" s="1">
        <v>6.6980000000000004</v>
      </c>
      <c r="L510" s="13">
        <v>8.8627284768528908E-2</v>
      </c>
      <c r="M510" s="13">
        <v>0.23825999999999997</v>
      </c>
      <c r="S510" s="13">
        <v>0.2156295867868934</v>
      </c>
      <c r="U510" s="13">
        <v>4.0566899999999997</v>
      </c>
      <c r="V510" s="13">
        <v>1.6866300000000001</v>
      </c>
      <c r="W510" s="13">
        <v>0.28841999999999995</v>
      </c>
      <c r="AF510" s="1">
        <v>50.986999999999995</v>
      </c>
      <c r="AG510" s="13">
        <v>4.147684110533801E-2</v>
      </c>
      <c r="AH510" s="13">
        <v>9.3933818424304247E-2</v>
      </c>
      <c r="AN510" s="13">
        <v>0.14903304313763949</v>
      </c>
      <c r="AP510" s="13">
        <v>3.1791663369094088</v>
      </c>
      <c r="AQ510" s="13">
        <v>1.4525827289309041</v>
      </c>
      <c r="AR510" s="13">
        <v>0.41587007590170044</v>
      </c>
      <c r="BA510" s="1">
        <v>21.32</v>
      </c>
      <c r="BB510" s="13">
        <v>5.6084803663925431E-2</v>
      </c>
      <c r="BC510" s="13">
        <v>0.12568529080675425</v>
      </c>
      <c r="BI510" s="13">
        <v>0.15620543421284055</v>
      </c>
      <c r="BK510" s="13">
        <v>3.1799967016885553</v>
      </c>
      <c r="BL510" s="13">
        <v>1.4082384803001877</v>
      </c>
      <c r="BM510" s="13">
        <v>0.35106618386491556</v>
      </c>
      <c r="BN510" s="13"/>
      <c r="BO510" s="13"/>
      <c r="BV510" s="1">
        <v>7.0519999999999996</v>
      </c>
      <c r="BW510" s="13">
        <v>8.8627284768528908E-2</v>
      </c>
      <c r="BX510" s="13">
        <v>0.19303999999999999</v>
      </c>
      <c r="CD510" s="13">
        <v>0.2156295867868934</v>
      </c>
      <c r="CF510" s="13">
        <v>3.2867600000000001</v>
      </c>
      <c r="CG510" s="13">
        <v>1.36652</v>
      </c>
      <c r="CH510" s="13">
        <v>0.23368</v>
      </c>
      <c r="CI510" s="13"/>
      <c r="CJ510" s="13"/>
      <c r="CQ510" s="1">
        <v>54.070000000000007</v>
      </c>
      <c r="CR510" s="13">
        <v>4.1291636725162659E-2</v>
      </c>
      <c r="CS510" s="13">
        <v>7.5481501756981678E-2</v>
      </c>
      <c r="CY510" s="13">
        <v>0.1487714555335761</v>
      </c>
      <c r="DA510" s="13">
        <v>2.5560471499907522</v>
      </c>
      <c r="DB510" s="13">
        <v>1.1679334270390234</v>
      </c>
      <c r="DC510" s="13">
        <v>0.33444352136119837</v>
      </c>
      <c r="DD510" s="13"/>
      <c r="DE510" s="13"/>
      <c r="DL510" s="18" t="s">
        <v>96</v>
      </c>
      <c r="DN510" s="1">
        <f t="shared" si="79"/>
        <v>0.15661457629485723</v>
      </c>
      <c r="DO510" s="1">
        <f t="shared" si="80"/>
        <v>0</v>
      </c>
      <c r="DP510" s="1" t="s">
        <v>67</v>
      </c>
      <c r="DQ510" s="1" t="s">
        <v>2</v>
      </c>
      <c r="DR510" s="100">
        <f t="shared" si="81"/>
        <v>79.004999999999995</v>
      </c>
      <c r="DS510" s="100">
        <f t="shared" si="82"/>
        <v>0.15661457629485723</v>
      </c>
      <c r="DT510" s="101">
        <f t="shared" si="83"/>
        <v>123.73334600175195</v>
      </c>
      <c r="DV510" s="16">
        <f t="shared" si="84"/>
        <v>61.122000000000007</v>
      </c>
      <c r="DW510" s="100">
        <f>(BV510*CD510+CQ510*CY510)/DV510</f>
        <v>0.15648526629890436</v>
      </c>
      <c r="DX510" s="101">
        <f>1000*DV510*DW510/100</f>
        <v>95.646924467216337</v>
      </c>
      <c r="DZ510" s="37" t="s">
        <v>2</v>
      </c>
      <c r="EA510" s="37"/>
      <c r="EM510" s="73"/>
      <c r="EN510" s="37"/>
      <c r="EO510" s="37"/>
      <c r="EP510" s="37"/>
      <c r="EQ510" s="37"/>
      <c r="ER510" s="37"/>
      <c r="ES510" s="37"/>
      <c r="ET510" s="37"/>
      <c r="EU510" s="37"/>
      <c r="EV510" s="37"/>
      <c r="EW510" s="37"/>
      <c r="EX510" s="37"/>
      <c r="EY510" s="37"/>
      <c r="EZ510" s="37"/>
      <c r="FA510" s="37"/>
      <c r="FB510" s="37"/>
      <c r="FC510" s="37"/>
      <c r="FD510" s="37"/>
      <c r="FE510" s="37"/>
      <c r="FF510" s="55"/>
      <c r="FG510" s="55"/>
      <c r="FH510" s="55"/>
      <c r="FI510" s="37"/>
      <c r="FJ510" s="55"/>
      <c r="FK510" s="55"/>
      <c r="FL510" s="45"/>
      <c r="FM510" s="37"/>
      <c r="FN510" s="37"/>
      <c r="FO510" s="37"/>
      <c r="FP510" s="55"/>
      <c r="FQ510" s="1" t="s">
        <v>2</v>
      </c>
      <c r="FR510" s="1" t="s">
        <v>113</v>
      </c>
      <c r="FS510" s="1" t="s">
        <v>261</v>
      </c>
      <c r="FT510" s="1" t="s">
        <v>589</v>
      </c>
      <c r="FU510" s="1" t="s">
        <v>1182</v>
      </c>
      <c r="FV510" s="1" t="s">
        <v>2</v>
      </c>
    </row>
    <row r="511" spans="1:178" ht="16.25" customHeight="1" x14ac:dyDescent="0.2">
      <c r="A511" s="18" t="s">
        <v>1195</v>
      </c>
      <c r="B511" s="1" t="s">
        <v>149</v>
      </c>
      <c r="C511" s="15" t="s">
        <v>452</v>
      </c>
      <c r="D511" s="1" t="s">
        <v>69</v>
      </c>
      <c r="G511" s="1" t="s">
        <v>65</v>
      </c>
      <c r="H511" s="1" t="s">
        <v>453</v>
      </c>
      <c r="K511" s="1">
        <v>0</v>
      </c>
      <c r="AF511" s="1">
        <v>13.685</v>
      </c>
      <c r="AG511" s="13">
        <v>2.9148595329822911E-2</v>
      </c>
      <c r="AH511" s="1">
        <v>0.02</v>
      </c>
      <c r="AN511" s="13">
        <v>0.11240231217618901</v>
      </c>
      <c r="AP511" s="1">
        <v>1.32</v>
      </c>
      <c r="AQ511" s="1">
        <v>0.59</v>
      </c>
      <c r="AR511" s="1">
        <v>0.24</v>
      </c>
      <c r="BA511" s="1">
        <v>9.9450000000000003</v>
      </c>
      <c r="BB511" s="13">
        <v>2.9148595329822911E-2</v>
      </c>
      <c r="BC511" s="1">
        <v>0.03</v>
      </c>
      <c r="BI511" s="13">
        <v>0.11240231217618901</v>
      </c>
      <c r="BK511" s="1">
        <v>2.36</v>
      </c>
      <c r="BL511" s="1">
        <v>0.98</v>
      </c>
      <c r="BM511" s="1">
        <v>0.38</v>
      </c>
      <c r="BV511" s="1">
        <v>0</v>
      </c>
      <c r="CQ511" s="1">
        <v>0</v>
      </c>
      <c r="DL511" s="18" t="s">
        <v>96</v>
      </c>
      <c r="DN511" s="1">
        <f t="shared" si="79"/>
        <v>0.11240231217618898</v>
      </c>
      <c r="DO511" s="1">
        <f t="shared" si="80"/>
        <v>0</v>
      </c>
      <c r="DP511" s="1" t="s">
        <v>164</v>
      </c>
      <c r="DQ511" s="1" t="s">
        <v>2</v>
      </c>
      <c r="DR511" s="16">
        <f t="shared" si="81"/>
        <v>23.630000000000003</v>
      </c>
      <c r="DS511" s="100">
        <f t="shared" si="82"/>
        <v>0.11240231217618898</v>
      </c>
      <c r="DT511" s="101">
        <f t="shared" si="83"/>
        <v>26.560666367233463</v>
      </c>
      <c r="DV511" s="16">
        <f t="shared" si="84"/>
        <v>0</v>
      </c>
      <c r="DZ511" s="37" t="s">
        <v>2</v>
      </c>
      <c r="EA511" s="37"/>
      <c r="EM511" s="73"/>
      <c r="EN511" s="37"/>
      <c r="EO511" s="37"/>
      <c r="EP511" s="37"/>
      <c r="EQ511" s="37"/>
      <c r="ER511" s="37"/>
      <c r="ES511" s="37"/>
      <c r="ET511" s="37"/>
      <c r="EU511" s="37"/>
      <c r="EV511" s="37"/>
      <c r="EW511" s="37"/>
      <c r="EX511" s="37"/>
      <c r="EY511" s="37"/>
      <c r="EZ511" s="37"/>
      <c r="FA511" s="37"/>
      <c r="FB511" s="37"/>
      <c r="FC511" s="37"/>
      <c r="FD511" s="37"/>
      <c r="FE511" s="37"/>
      <c r="FF511" s="55"/>
      <c r="FG511" s="55"/>
      <c r="FH511" s="55"/>
      <c r="FI511" s="37"/>
      <c r="FJ511" s="55"/>
      <c r="FK511" s="55"/>
      <c r="FL511" s="45"/>
      <c r="FM511" s="37"/>
      <c r="FN511" s="37"/>
      <c r="FO511" s="37"/>
      <c r="FP511" s="55"/>
      <c r="FQ511" s="1" t="s">
        <v>2</v>
      </c>
      <c r="FR511" s="1" t="s">
        <v>113</v>
      </c>
      <c r="FS511" s="1" t="s">
        <v>261</v>
      </c>
      <c r="FT511" s="1" t="s">
        <v>589</v>
      </c>
      <c r="FU511" s="1" t="s">
        <v>1194</v>
      </c>
      <c r="FV511" s="1" t="s">
        <v>2</v>
      </c>
    </row>
    <row r="512" spans="1:178" ht="16.25" customHeight="1" x14ac:dyDescent="0.2">
      <c r="A512" s="18" t="s">
        <v>1195</v>
      </c>
      <c r="B512" s="1" t="s">
        <v>149</v>
      </c>
      <c r="C512" s="79" t="s">
        <v>1155</v>
      </c>
      <c r="D512" s="1" t="s">
        <v>69</v>
      </c>
      <c r="H512" s="1" t="s">
        <v>1145</v>
      </c>
      <c r="K512" s="1">
        <v>29.6</v>
      </c>
      <c r="L512" s="13">
        <v>2.9148595329822911E-2</v>
      </c>
      <c r="M512" s="13">
        <v>5.6096699999999999E-2</v>
      </c>
      <c r="S512" s="13">
        <v>0.11240231217618901</v>
      </c>
      <c r="U512" s="13">
        <v>1.5734069999999998</v>
      </c>
      <c r="V512" s="13">
        <v>1.387221</v>
      </c>
      <c r="W512" s="13">
        <v>0.28328520000000001</v>
      </c>
      <c r="AF512" s="1">
        <v>8.1999999999999993</v>
      </c>
      <c r="AG512" s="13">
        <v>2.9148595329822911E-2</v>
      </c>
      <c r="AH512" s="13">
        <v>5.4396800000000002E-2</v>
      </c>
      <c r="AN512" s="13">
        <v>0.11240231217618901</v>
      </c>
      <c r="AP512" s="13">
        <v>1.525728</v>
      </c>
      <c r="AQ512" s="13">
        <v>1.3451840000000002</v>
      </c>
      <c r="AR512" s="13">
        <v>0.27470080000000002</v>
      </c>
      <c r="BA512" s="1">
        <v>8.4</v>
      </c>
      <c r="BB512" s="13">
        <v>2.9148595329822911E-2</v>
      </c>
      <c r="BC512" s="13">
        <v>5.4396800000000002E-2</v>
      </c>
      <c r="BI512" s="13">
        <v>0.11240231217618901</v>
      </c>
      <c r="BK512" s="13">
        <v>1.525728</v>
      </c>
      <c r="BL512" s="13">
        <v>1.3451840000000002</v>
      </c>
      <c r="BM512" s="13">
        <v>0.27470080000000002</v>
      </c>
      <c r="BN512" s="13"/>
      <c r="BO512" s="13"/>
      <c r="BV512" s="1">
        <v>0</v>
      </c>
      <c r="CQ512" s="1">
        <v>0</v>
      </c>
      <c r="DL512" s="18" t="s">
        <v>96</v>
      </c>
      <c r="DN512" s="1">
        <f t="shared" si="79"/>
        <v>0.11240231217618903</v>
      </c>
      <c r="DO512" s="1">
        <f t="shared" si="80"/>
        <v>0</v>
      </c>
      <c r="DP512" s="1" t="s">
        <v>73</v>
      </c>
      <c r="DQ512" s="1" t="s">
        <v>2</v>
      </c>
      <c r="DR512" s="16">
        <f t="shared" si="81"/>
        <v>46.199999999999996</v>
      </c>
      <c r="DS512" s="100">
        <f t="shared" si="82"/>
        <v>0.11240231217618903</v>
      </c>
      <c r="DT512" s="101">
        <f t="shared" si="83"/>
        <v>51.929868225399325</v>
      </c>
      <c r="DV512" s="16">
        <f t="shared" si="84"/>
        <v>0</v>
      </c>
      <c r="DZ512" s="37" t="s">
        <v>2</v>
      </c>
      <c r="EA512" s="37"/>
      <c r="EM512" s="73"/>
      <c r="EN512" s="37"/>
      <c r="EO512" s="37"/>
      <c r="EP512" s="37"/>
      <c r="EQ512" s="37"/>
      <c r="ER512" s="37"/>
      <c r="ES512" s="37"/>
      <c r="ET512" s="37"/>
      <c r="EU512" s="37"/>
      <c r="EV512" s="37"/>
      <c r="EW512" s="37"/>
      <c r="EX512" s="37"/>
      <c r="EY512" s="37"/>
      <c r="EZ512" s="37"/>
      <c r="FA512" s="37"/>
      <c r="FB512" s="37"/>
      <c r="FC512" s="37"/>
      <c r="FD512" s="37"/>
      <c r="FE512" s="37"/>
      <c r="FF512" s="55"/>
      <c r="FG512" s="55"/>
      <c r="FH512" s="55"/>
      <c r="FI512" s="37"/>
      <c r="FJ512" s="55"/>
      <c r="FK512" s="55"/>
      <c r="FL512" s="45"/>
      <c r="FM512" s="37"/>
      <c r="FN512" s="37"/>
      <c r="FO512" s="37"/>
      <c r="FP512" s="55"/>
      <c r="FQ512" s="1" t="s">
        <v>2</v>
      </c>
      <c r="FR512" s="1" t="s">
        <v>113</v>
      </c>
      <c r="FS512" s="1" t="s">
        <v>261</v>
      </c>
      <c r="FT512" s="1" t="s">
        <v>589</v>
      </c>
      <c r="FU512" s="1" t="s">
        <v>1194</v>
      </c>
      <c r="FV512" s="1" t="s">
        <v>2</v>
      </c>
    </row>
    <row r="513" spans="1:178" ht="16.25" customHeight="1" x14ac:dyDescent="0.2">
      <c r="A513" s="36" t="s">
        <v>1324</v>
      </c>
      <c r="B513" s="37" t="s">
        <v>149</v>
      </c>
      <c r="C513" s="79" t="s">
        <v>869</v>
      </c>
      <c r="D513" s="1" t="s">
        <v>69</v>
      </c>
      <c r="H513" s="1" t="s">
        <v>131</v>
      </c>
      <c r="K513" s="1">
        <v>291.42857142857144</v>
      </c>
      <c r="L513" s="13">
        <v>5.9558823529411761E-2</v>
      </c>
      <c r="M513" s="13">
        <v>0.17692612745098038</v>
      </c>
      <c r="S513" s="13">
        <v>0.17955882352941177</v>
      </c>
      <c r="U513" s="13">
        <v>2.7451910294117643</v>
      </c>
      <c r="V513" s="13">
        <v>2.5891063725490189</v>
      </c>
      <c r="W513" s="13">
        <v>0.41016749999999996</v>
      </c>
      <c r="AF513" s="1">
        <v>140</v>
      </c>
      <c r="AG513" s="13">
        <v>6.0233236151603503E-2</v>
      </c>
      <c r="AH513" s="13">
        <v>0.18316626822157431</v>
      </c>
      <c r="AN513" s="13">
        <v>0.1802332361516035</v>
      </c>
      <c r="AP513" s="13">
        <v>2.7966261516034985</v>
      </c>
      <c r="AQ513" s="13">
        <v>2.5976309037900878</v>
      </c>
      <c r="AR513" s="13">
        <v>0.41020005830903788</v>
      </c>
      <c r="BA513" s="1">
        <v>380.40816326530614</v>
      </c>
      <c r="BB513" s="13">
        <v>6.6223175965665237E-2</v>
      </c>
      <c r="BC513" s="13">
        <v>0.2241422746781116</v>
      </c>
      <c r="BI513" s="13">
        <v>0.18622317596566523</v>
      </c>
      <c r="BK513" s="13">
        <v>2.935989141630901</v>
      </c>
      <c r="BL513" s="13">
        <v>2.2917212875536479</v>
      </c>
      <c r="BM513" s="13">
        <v>0.34732313304721024</v>
      </c>
      <c r="BN513" s="13"/>
      <c r="BO513" s="13"/>
      <c r="BV513" s="1">
        <v>0</v>
      </c>
      <c r="CQ513" s="1">
        <v>0</v>
      </c>
      <c r="DL513" s="18" t="s">
        <v>96</v>
      </c>
      <c r="DN513" s="1">
        <f t="shared" si="79"/>
        <v>0.18279788838612368</v>
      </c>
      <c r="DO513" s="1">
        <f t="shared" si="80"/>
        <v>0</v>
      </c>
      <c r="DP513" s="1" t="s">
        <v>73</v>
      </c>
      <c r="DQ513" s="1" t="s">
        <v>2</v>
      </c>
      <c r="DR513" s="101">
        <f t="shared" si="81"/>
        <v>811.83673469387759</v>
      </c>
      <c r="DS513" s="100">
        <f t="shared" si="82"/>
        <v>0.18279788838612368</v>
      </c>
      <c r="DT513" s="101">
        <f t="shared" si="83"/>
        <v>1484.0204081632653</v>
      </c>
      <c r="DV513" s="16">
        <f t="shared" si="84"/>
        <v>0</v>
      </c>
      <c r="DZ513" s="37" t="s">
        <v>2</v>
      </c>
      <c r="EA513" s="37"/>
      <c r="EM513" s="73"/>
      <c r="EN513" s="37"/>
      <c r="EO513" s="37"/>
      <c r="EP513" s="37"/>
      <c r="EQ513" s="37"/>
      <c r="ER513" s="37"/>
      <c r="ES513" s="37"/>
      <c r="ET513" s="37"/>
      <c r="EU513" s="37"/>
      <c r="EV513" s="37"/>
      <c r="EW513" s="37"/>
      <c r="EX513" s="37"/>
      <c r="EY513" s="37"/>
      <c r="EZ513" s="37"/>
      <c r="FA513" s="37"/>
      <c r="FB513" s="37"/>
      <c r="FC513" s="37"/>
      <c r="FD513" s="37"/>
      <c r="FE513" s="37"/>
      <c r="FF513" s="55"/>
      <c r="FG513" s="55"/>
      <c r="FH513" s="55"/>
      <c r="FI513" s="37"/>
      <c r="FJ513" s="55"/>
      <c r="FK513" s="55"/>
      <c r="FL513" s="45"/>
      <c r="FM513" s="37"/>
      <c r="FN513" s="37"/>
      <c r="FO513" s="37"/>
      <c r="FP513" s="55"/>
      <c r="FQ513" s="1" t="s">
        <v>2</v>
      </c>
      <c r="FR513" s="1" t="s">
        <v>113</v>
      </c>
      <c r="FS513" s="1" t="s">
        <v>261</v>
      </c>
      <c r="FT513" s="1" t="s">
        <v>708</v>
      </c>
      <c r="FU513" s="1" t="s">
        <v>1194</v>
      </c>
      <c r="FV513" s="1" t="s">
        <v>2</v>
      </c>
    </row>
    <row r="514" spans="1:178" ht="16.25" customHeight="1" x14ac:dyDescent="0.2">
      <c r="A514" s="36" t="s">
        <v>1324</v>
      </c>
      <c r="B514" s="37" t="s">
        <v>149</v>
      </c>
      <c r="C514" s="15" t="s">
        <v>446</v>
      </c>
      <c r="D514" s="1" t="s">
        <v>71</v>
      </c>
      <c r="G514" s="1" t="s">
        <v>65</v>
      </c>
      <c r="H514" s="1" t="s">
        <v>447</v>
      </c>
      <c r="K514" s="1">
        <v>91.08</v>
      </c>
      <c r="L514" s="13">
        <v>6.0033267457180503E-2</v>
      </c>
      <c r="M514" s="13">
        <v>0.16056313303525299</v>
      </c>
      <c r="S514" s="13">
        <v>0.16629018445322793</v>
      </c>
      <c r="U514" s="13">
        <v>2.3312439617612477</v>
      </c>
      <c r="V514" s="13">
        <v>1.2606898130769222</v>
      </c>
      <c r="W514" s="13">
        <v>0.25682076163744433</v>
      </c>
      <c r="Z514" s="14">
        <v>8.5053562510443523</v>
      </c>
      <c r="AF514" s="1">
        <v>175.98999999999998</v>
      </c>
      <c r="AG514" s="13">
        <v>0.11083436558895393</v>
      </c>
      <c r="AH514" s="13">
        <v>0.15323857521325859</v>
      </c>
      <c r="AN514" s="13">
        <v>0.1621258594238309</v>
      </c>
      <c r="AP514" s="13">
        <v>2.280886143572213</v>
      </c>
      <c r="AQ514" s="13">
        <v>1.1638219094139775</v>
      </c>
      <c r="AR514" s="13">
        <v>0.24162571721453835</v>
      </c>
      <c r="AU514" s="14">
        <v>10.222953972676045</v>
      </c>
      <c r="BA514" s="1">
        <v>455.51</v>
      </c>
      <c r="BB514" s="13">
        <v>5.2055278698601576E-2</v>
      </c>
      <c r="BC514" s="13">
        <v>3.8135265601436145E-2</v>
      </c>
      <c r="BI514" s="13">
        <v>0.15235641369014952</v>
      </c>
      <c r="BK514" s="13">
        <v>1.5250470312246296</v>
      </c>
      <c r="BL514" s="13">
        <v>0.81914405107175481</v>
      </c>
      <c r="BM514" s="13">
        <v>0.22222579144896226</v>
      </c>
      <c r="BN514" s="13"/>
      <c r="BO514" s="13"/>
      <c r="BP514" s="14">
        <v>11.13528783952847</v>
      </c>
      <c r="BV514" s="1">
        <v>144.51999999999998</v>
      </c>
      <c r="BW514" s="13">
        <v>2.5338915029061722E-2</v>
      </c>
      <c r="BX514" s="13">
        <v>7.0567549982532174E-2</v>
      </c>
      <c r="CD514" s="13">
        <v>0.10517264046498756</v>
      </c>
      <c r="CF514" s="13">
        <v>1.7151653053722211</v>
      </c>
      <c r="CG514" s="13">
        <v>0.88951044966242276</v>
      </c>
      <c r="CH514" s="13">
        <v>0.23992002393383474</v>
      </c>
      <c r="CI514" s="13"/>
      <c r="CJ514" s="13"/>
      <c r="CK514" s="14">
        <v>11.741847295069661</v>
      </c>
      <c r="CQ514" s="1">
        <v>13.7</v>
      </c>
      <c r="CR514" s="13">
        <v>8.9999999999999993E-3</v>
      </c>
      <c r="CS514" s="13">
        <v>2.6972729927007302E-2</v>
      </c>
      <c r="CY514" s="13">
        <v>8.2325547445255484E-2</v>
      </c>
      <c r="DA514" s="13">
        <v>1.7457691094890513</v>
      </c>
      <c r="DB514" s="13">
        <v>0.90375497810218985</v>
      </c>
      <c r="DC514" s="13">
        <v>0.28376590948905106</v>
      </c>
      <c r="DD514" s="13"/>
      <c r="DE514" s="13"/>
      <c r="DF514" s="14">
        <v>14.814313835815117</v>
      </c>
      <c r="DL514" s="18" t="s">
        <v>96</v>
      </c>
      <c r="DN514" s="1">
        <f t="shared" si="79"/>
        <v>0.15649216695729196</v>
      </c>
      <c r="DO514" s="1">
        <f t="shared" si="80"/>
        <v>0</v>
      </c>
      <c r="DP514" s="1" t="s">
        <v>67</v>
      </c>
      <c r="DQ514" s="1" t="s">
        <v>2</v>
      </c>
      <c r="DR514" s="101">
        <f t="shared" si="81"/>
        <v>722.57999999999993</v>
      </c>
      <c r="DS514" s="100">
        <f t="shared" si="82"/>
        <v>0.15649216695729196</v>
      </c>
      <c r="DT514" s="101">
        <f t="shared" si="83"/>
        <v>1130.7810999999999</v>
      </c>
      <c r="DV514" s="16">
        <f t="shared" si="84"/>
        <v>158.21999999999997</v>
      </c>
      <c r="DW514" s="100">
        <f>(BV514*CD514+CQ514*CY514)/DV514</f>
        <v>0.10319434963974215</v>
      </c>
      <c r="DX514" s="101">
        <f>1000*DV514*DW514/100</f>
        <v>163.2741</v>
      </c>
      <c r="DZ514" s="37" t="s">
        <v>2</v>
      </c>
      <c r="EA514" s="37"/>
      <c r="EM514" s="73"/>
      <c r="EN514" s="37"/>
      <c r="EO514" s="37"/>
      <c r="EP514" s="37"/>
      <c r="EQ514" s="37"/>
      <c r="ER514" s="37"/>
      <c r="ES514" s="37"/>
      <c r="ET514" s="37"/>
      <c r="EU514" s="37"/>
      <c r="EV514" s="37"/>
      <c r="EW514" s="37"/>
      <c r="EX514" s="37"/>
      <c r="EY514" s="37"/>
      <c r="EZ514" s="37"/>
      <c r="FA514" s="37"/>
      <c r="FB514" s="37"/>
      <c r="FC514" s="37"/>
      <c r="FD514" s="37"/>
      <c r="FE514" s="37"/>
      <c r="FF514" s="55"/>
      <c r="FG514" s="55"/>
      <c r="FH514" s="55"/>
      <c r="FI514" s="37"/>
      <c r="FJ514" s="55"/>
      <c r="FK514" s="55"/>
      <c r="FL514" s="45"/>
      <c r="FM514" s="37"/>
      <c r="FN514" s="37"/>
      <c r="FO514" s="37"/>
      <c r="FP514" s="55"/>
      <c r="FQ514" s="1" t="s">
        <v>2</v>
      </c>
      <c r="FR514" s="1" t="s">
        <v>113</v>
      </c>
      <c r="FS514" s="1" t="s">
        <v>261</v>
      </c>
      <c r="FT514" s="1" t="s">
        <v>708</v>
      </c>
      <c r="FU514" s="1" t="s">
        <v>1194</v>
      </c>
      <c r="FV514" s="1" t="s">
        <v>2</v>
      </c>
    </row>
    <row r="515" spans="1:178" ht="16.25" customHeight="1" x14ac:dyDescent="0.2">
      <c r="A515" s="36" t="s">
        <v>1324</v>
      </c>
      <c r="B515" s="37" t="s">
        <v>149</v>
      </c>
      <c r="C515" s="15" t="s">
        <v>1257</v>
      </c>
      <c r="H515" s="1" t="s">
        <v>1009</v>
      </c>
      <c r="K515" s="1">
        <v>0</v>
      </c>
      <c r="AF515" s="1">
        <v>0</v>
      </c>
      <c r="BA515" s="1">
        <v>259.81</v>
      </c>
      <c r="BB515" s="13">
        <v>5.0645766568285941E-2</v>
      </c>
      <c r="BC515" s="13">
        <v>0.19818310861591162</v>
      </c>
      <c r="BI515" s="13">
        <v>0.14062229501023565</v>
      </c>
      <c r="BK515" s="13">
        <v>3.0461057584196145</v>
      </c>
      <c r="BL515" s="13">
        <v>2.2666371761402568</v>
      </c>
      <c r="BM515" s="13">
        <v>0.40588912613171169</v>
      </c>
      <c r="BN515" s="13"/>
      <c r="BO515" s="13"/>
      <c r="BV515" s="1">
        <v>0</v>
      </c>
      <c r="CQ515" s="1">
        <v>0</v>
      </c>
      <c r="DL515" s="18" t="s">
        <v>96</v>
      </c>
      <c r="DN515" s="1">
        <f t="shared" ref="DN515:DN577" si="85">(S515*K515+AN515*AF515+BI515*BA515)/(K515+AF515+BA515)</f>
        <v>0.14062229501023565</v>
      </c>
      <c r="DO515" s="1">
        <f t="shared" ref="DO515:DO577" si="86">(T515*K515+AO515*AF515+BJ515*BA515)/(K515+AF515+BA515)</f>
        <v>0</v>
      </c>
      <c r="DP515" s="1" t="s">
        <v>220</v>
      </c>
      <c r="DQ515" s="1" t="s">
        <v>2</v>
      </c>
      <c r="DR515" s="101">
        <f t="shared" ref="DR515:DR577" si="87">K515+AF515+BA515</f>
        <v>259.81</v>
      </c>
      <c r="DS515" s="100">
        <f t="shared" ref="DS515:DS577" si="88">(K515*S515+AF515*AN515+BA515*BI515)/DR515</f>
        <v>0.14062229501023565</v>
      </c>
      <c r="DT515" s="101">
        <f t="shared" ref="DT515:DT577" si="89">1000*DR515*DS515/100</f>
        <v>365.35078466609326</v>
      </c>
      <c r="DV515" s="16">
        <f t="shared" ref="DV515:DV577" si="90">BV515+CQ515</f>
        <v>0</v>
      </c>
      <c r="DZ515" s="37" t="s">
        <v>2</v>
      </c>
      <c r="EA515" s="37"/>
      <c r="EM515" s="73"/>
      <c r="EN515" s="37"/>
      <c r="EO515" s="37"/>
      <c r="EP515" s="37"/>
      <c r="EQ515" s="37"/>
      <c r="ER515" s="37"/>
      <c r="ES515" s="37"/>
      <c r="ET515" s="37"/>
      <c r="EU515" s="37"/>
      <c r="EV515" s="37"/>
      <c r="EW515" s="37"/>
      <c r="EX515" s="37"/>
      <c r="EY515" s="37"/>
      <c r="EZ515" s="37"/>
      <c r="FA515" s="37"/>
      <c r="FB515" s="37"/>
      <c r="FC515" s="37"/>
      <c r="FD515" s="37"/>
      <c r="FE515" s="37"/>
      <c r="FF515" s="55"/>
      <c r="FG515" s="55"/>
      <c r="FH515" s="55"/>
      <c r="FI515" s="37"/>
      <c r="FJ515" s="55"/>
      <c r="FK515" s="55"/>
      <c r="FL515" s="45"/>
      <c r="FM515" s="37"/>
      <c r="FN515" s="37"/>
      <c r="FO515" s="37"/>
      <c r="FP515" s="55"/>
      <c r="FQ515" s="1" t="s">
        <v>2</v>
      </c>
      <c r="FR515" s="1" t="s">
        <v>113</v>
      </c>
      <c r="FS515" s="1" t="s">
        <v>261</v>
      </c>
      <c r="FT515" s="1" t="s">
        <v>589</v>
      </c>
      <c r="FU515" s="1" t="s">
        <v>1194</v>
      </c>
      <c r="FV515" s="1" t="s">
        <v>2</v>
      </c>
    </row>
    <row r="516" spans="1:178" ht="16.25" customHeight="1" x14ac:dyDescent="0.2">
      <c r="A516" s="18" t="s">
        <v>1183</v>
      </c>
      <c r="B516" s="1" t="s">
        <v>149</v>
      </c>
      <c r="C516" s="15" t="s">
        <v>1258</v>
      </c>
      <c r="H516" s="1" t="s">
        <v>1259</v>
      </c>
      <c r="K516" s="13">
        <v>5.5811739999999999</v>
      </c>
      <c r="L516" s="13">
        <v>1.5542233663308669E-2</v>
      </c>
      <c r="M516" s="1">
        <v>0.03</v>
      </c>
      <c r="S516" s="13">
        <v>0.11240231217618901</v>
      </c>
      <c r="U516" s="1">
        <v>2.48</v>
      </c>
      <c r="V516" s="1">
        <v>1.04</v>
      </c>
      <c r="W516" s="1">
        <v>0.41</v>
      </c>
      <c r="AF516" s="13">
        <v>28.550511</v>
      </c>
      <c r="AG516" s="13">
        <v>1.5542233663308669E-2</v>
      </c>
      <c r="AH516" s="1">
        <v>0.02</v>
      </c>
      <c r="AN516" s="13">
        <v>0.11240231217618901</v>
      </c>
      <c r="AP516" s="1">
        <v>2.5499999999999998</v>
      </c>
      <c r="AQ516" s="1">
        <v>1.05</v>
      </c>
      <c r="AR516" s="1">
        <v>0.42</v>
      </c>
      <c r="BA516" s="13">
        <v>22.069275000000001</v>
      </c>
      <c r="BB516" s="13">
        <v>1.5542233663308669E-2</v>
      </c>
      <c r="BC516" s="1">
        <v>0.03</v>
      </c>
      <c r="BI516" s="13">
        <v>0.11240231217618901</v>
      </c>
      <c r="BK516" s="1">
        <v>2.56</v>
      </c>
      <c r="BL516" s="1">
        <v>1.06</v>
      </c>
      <c r="BM516" s="1">
        <v>0.43</v>
      </c>
      <c r="BV516" s="1">
        <v>1.96</v>
      </c>
      <c r="BW516" s="13">
        <v>1.5542233663308669E-2</v>
      </c>
      <c r="BX516" s="1">
        <v>0.03</v>
      </c>
      <c r="CD516" s="13">
        <v>0.11240231217618901</v>
      </c>
      <c r="CF516" s="1">
        <v>2.58</v>
      </c>
      <c r="CG516" s="1">
        <v>1.08</v>
      </c>
      <c r="CH516" s="1">
        <v>0.43</v>
      </c>
      <c r="CQ516" s="13">
        <v>22.164999999999999</v>
      </c>
      <c r="CR516" s="13">
        <v>1.5542233663308669E-2</v>
      </c>
      <c r="CS516" s="1">
        <v>0.03</v>
      </c>
      <c r="CY516" s="13">
        <v>0.11240231217618901</v>
      </c>
      <c r="DA516" s="1">
        <v>2.54</v>
      </c>
      <c r="DB516" s="1">
        <v>1.05</v>
      </c>
      <c r="DC516" s="1">
        <v>0.42</v>
      </c>
      <c r="DL516" s="18" t="s">
        <v>96</v>
      </c>
      <c r="DN516" s="1">
        <f t="shared" si="85"/>
        <v>0.11240231217618903</v>
      </c>
      <c r="DO516" s="1">
        <f t="shared" si="86"/>
        <v>0</v>
      </c>
      <c r="DP516" s="1" t="s">
        <v>185</v>
      </c>
      <c r="DQ516" s="1" t="s">
        <v>2</v>
      </c>
      <c r="DR516" s="100">
        <f t="shared" si="87"/>
        <v>56.200959999999995</v>
      </c>
      <c r="DS516" s="100">
        <f t="shared" si="88"/>
        <v>0.11240231217618903</v>
      </c>
      <c r="DT516" s="101">
        <f t="shared" si="89"/>
        <v>63.17117850521511</v>
      </c>
      <c r="DV516" s="100">
        <f t="shared" si="90"/>
        <v>24.125</v>
      </c>
      <c r="DW516" s="100">
        <f>(BV516*CD516+CQ516*CY516)/DV516</f>
        <v>0.11240231217618901</v>
      </c>
      <c r="DX516" s="101">
        <f>1000*DV516*DW516/100</f>
        <v>27.1170578125056</v>
      </c>
      <c r="DZ516" s="37" t="s">
        <v>2</v>
      </c>
      <c r="EA516" s="37"/>
      <c r="EM516" s="73"/>
      <c r="EN516" s="37"/>
      <c r="EO516" s="37"/>
      <c r="EP516" s="37"/>
      <c r="EQ516" s="37"/>
      <c r="ER516" s="37"/>
      <c r="ES516" s="37"/>
      <c r="ET516" s="37"/>
      <c r="EU516" s="37"/>
      <c r="EV516" s="37"/>
      <c r="EW516" s="37"/>
      <c r="EX516" s="37"/>
      <c r="EY516" s="37"/>
      <c r="EZ516" s="37"/>
      <c r="FA516" s="37"/>
      <c r="FB516" s="37"/>
      <c r="FC516" s="37"/>
      <c r="FD516" s="37"/>
      <c r="FE516" s="37"/>
      <c r="FF516" s="55"/>
      <c r="FG516" s="55"/>
      <c r="FH516" s="55"/>
      <c r="FI516" s="37"/>
      <c r="FJ516" s="55"/>
      <c r="FK516" s="55"/>
      <c r="FL516" s="45"/>
      <c r="FM516" s="37"/>
      <c r="FN516" s="37"/>
      <c r="FO516" s="37"/>
      <c r="FP516" s="55"/>
      <c r="FQ516" s="1" t="s">
        <v>2</v>
      </c>
      <c r="FR516" s="1" t="s">
        <v>113</v>
      </c>
      <c r="FS516" s="1" t="s">
        <v>261</v>
      </c>
      <c r="FT516" s="1" t="s">
        <v>589</v>
      </c>
      <c r="FU516" s="1" t="s">
        <v>1182</v>
      </c>
      <c r="FV516" s="1" t="s">
        <v>2</v>
      </c>
    </row>
    <row r="517" spans="1:178" ht="16.25" customHeight="1" x14ac:dyDescent="0.2">
      <c r="A517" s="36" t="s">
        <v>1324</v>
      </c>
      <c r="B517" s="37" t="s">
        <v>149</v>
      </c>
      <c r="C517" s="15" t="s">
        <v>406</v>
      </c>
      <c r="D517" s="1" t="s">
        <v>69</v>
      </c>
      <c r="G517" s="1" t="s">
        <v>65</v>
      </c>
      <c r="H517" s="1" t="s">
        <v>407</v>
      </c>
      <c r="K517" s="1">
        <v>152.69999999999999</v>
      </c>
      <c r="L517" s="13">
        <v>3.9823182711198425E-2</v>
      </c>
      <c r="M517" s="13">
        <v>0.13637410609037329</v>
      </c>
      <c r="S517" s="13">
        <v>0.14337917485265225</v>
      </c>
      <c r="U517" s="13">
        <v>2.3226248722986247</v>
      </c>
      <c r="V517" s="13">
        <v>1.4219295088408643</v>
      </c>
      <c r="W517" s="13">
        <v>0.2932561886051081</v>
      </c>
      <c r="AF517" s="1">
        <v>214.3</v>
      </c>
      <c r="AG517" s="13">
        <v>4.0387307512832475E-2</v>
      </c>
      <c r="AH517" s="13">
        <v>0.13281717218852077</v>
      </c>
      <c r="AN517" s="13">
        <v>0.14419972001866541</v>
      </c>
      <c r="AP517" s="13">
        <v>2.2868516472235183</v>
      </c>
      <c r="AQ517" s="13">
        <v>1.4019297246850206</v>
      </c>
      <c r="AR517" s="13">
        <v>0.29033799346710215</v>
      </c>
      <c r="BA517" s="1">
        <v>200.5</v>
      </c>
      <c r="BB517" s="13">
        <v>5.0817955112219454E-2</v>
      </c>
      <c r="BC517" s="13">
        <v>0.16373889276807979</v>
      </c>
      <c r="BI517" s="13">
        <v>0.1593715710723192</v>
      </c>
      <c r="BK517" s="13">
        <v>2.3884704339152116</v>
      </c>
      <c r="BL517" s="13">
        <v>1.4315725586034911</v>
      </c>
      <c r="BM517" s="13">
        <v>0.27577921197007477</v>
      </c>
      <c r="BN517" s="13"/>
      <c r="BO517" s="13"/>
      <c r="BV517" s="1">
        <v>0</v>
      </c>
      <c r="CQ517" s="1">
        <v>0</v>
      </c>
      <c r="DL517" s="18" t="s">
        <v>96</v>
      </c>
      <c r="DN517" s="1">
        <f t="shared" si="85"/>
        <v>0.14933920704845813</v>
      </c>
      <c r="DO517" s="1">
        <f t="shared" si="86"/>
        <v>0</v>
      </c>
      <c r="DP517" s="1" t="s">
        <v>73</v>
      </c>
      <c r="DQ517" s="1" t="s">
        <v>2</v>
      </c>
      <c r="DR517" s="16">
        <f t="shared" si="87"/>
        <v>567.5</v>
      </c>
      <c r="DS517" s="100">
        <f t="shared" si="88"/>
        <v>0.14933920704845813</v>
      </c>
      <c r="DT517" s="101">
        <f t="shared" si="89"/>
        <v>847.49999999999989</v>
      </c>
      <c r="DV517" s="16">
        <f t="shared" si="90"/>
        <v>0</v>
      </c>
      <c r="DZ517" s="37" t="s">
        <v>2</v>
      </c>
      <c r="EA517" s="37"/>
      <c r="EM517" s="73"/>
      <c r="EN517" s="37"/>
      <c r="EO517" s="37"/>
      <c r="EP517" s="37"/>
      <c r="EQ517" s="37"/>
      <c r="ER517" s="37"/>
      <c r="ES517" s="37"/>
      <c r="ET517" s="37"/>
      <c r="EU517" s="37"/>
      <c r="EV517" s="37"/>
      <c r="EW517" s="37"/>
      <c r="EX517" s="37"/>
      <c r="EY517" s="37"/>
      <c r="EZ517" s="37"/>
      <c r="FA517" s="37"/>
      <c r="FB517" s="37"/>
      <c r="FC517" s="37"/>
      <c r="FD517" s="37"/>
      <c r="FE517" s="37"/>
      <c r="FF517" s="55"/>
      <c r="FG517" s="55"/>
      <c r="FH517" s="55"/>
      <c r="FI517" s="37"/>
      <c r="FJ517" s="55"/>
      <c r="FK517" s="55"/>
      <c r="FL517" s="45"/>
      <c r="FM517" s="37"/>
      <c r="FN517" s="37"/>
      <c r="FO517" s="37"/>
      <c r="FP517" s="55"/>
      <c r="FQ517" s="1" t="s">
        <v>2</v>
      </c>
      <c r="FR517" s="1" t="s">
        <v>113</v>
      </c>
      <c r="FS517" s="1" t="s">
        <v>261</v>
      </c>
      <c r="FT517" s="1" t="s">
        <v>589</v>
      </c>
      <c r="FU517" s="1" t="s">
        <v>1194</v>
      </c>
      <c r="FV517" s="1" t="s">
        <v>2</v>
      </c>
    </row>
    <row r="518" spans="1:178" ht="16.25" customHeight="1" x14ac:dyDescent="0.2">
      <c r="A518" s="18" t="s">
        <v>1183</v>
      </c>
      <c r="B518" s="1" t="s">
        <v>149</v>
      </c>
      <c r="C518" s="15" t="s">
        <v>1068</v>
      </c>
      <c r="D518" s="1" t="s">
        <v>69</v>
      </c>
      <c r="H518" s="1" t="s">
        <v>131</v>
      </c>
      <c r="K518" s="1">
        <v>32.33</v>
      </c>
      <c r="L518" s="1">
        <v>8.9999999999999993E-3</v>
      </c>
      <c r="M518" s="13">
        <v>3.5549999999999998E-2</v>
      </c>
      <c r="S518" s="1">
        <v>9.7000000000000003E-2</v>
      </c>
      <c r="U518" s="13">
        <v>2.35025</v>
      </c>
      <c r="V518" s="13">
        <v>1.1573499999999999</v>
      </c>
      <c r="W518" s="13">
        <v>0.40289999999999998</v>
      </c>
      <c r="Z518" s="14">
        <f>29.8*(2*52/(2*52+3*16.001))</f>
        <v>20.389071268330234</v>
      </c>
      <c r="AF518" s="1">
        <f>26.37+4.82</f>
        <v>31.19</v>
      </c>
      <c r="AG518" s="2">
        <f>(0.009*26.37+0.042*4.82)/AF518</f>
        <v>1.4099711445976274E-2</v>
      </c>
      <c r="AH518" s="2">
        <f>(0.03375*26.37+0.11*4.82)/AF518</f>
        <v>4.5533424174414874E-2</v>
      </c>
      <c r="AN518" s="2">
        <f>(0.097*26.37+0.104*4.82)/AF518</f>
        <v>9.8081756973388903E-2</v>
      </c>
      <c r="AP518" s="13">
        <f>(2.23125*26.37+0.58065*4.82)/AF518</f>
        <v>1.976171705674896</v>
      </c>
      <c r="AQ518" s="13">
        <f>(1.09875*26.37+0.32445*4.82)/AF518</f>
        <v>0.97909222507213844</v>
      </c>
      <c r="AR518" s="13">
        <f>(0.3825*26.37+0.0336*4.82)/AF518</f>
        <v>0.32858214171208716</v>
      </c>
      <c r="AU518" s="14">
        <f>((29.8*(2*52/(2*52+3*16.001)))*26.37+0*4.82)/AF518</f>
        <v>17.238211264696002</v>
      </c>
      <c r="BA518" s="1">
        <v>88.73</v>
      </c>
      <c r="BB518" s="1">
        <v>8.9999999999999993E-3</v>
      </c>
      <c r="BC518" s="13">
        <v>3.7440000000000001E-2</v>
      </c>
      <c r="BI518" s="1">
        <v>9.7000000000000003E-2</v>
      </c>
      <c r="BK518" s="13">
        <v>2.4752000000000001</v>
      </c>
      <c r="BL518" s="13">
        <v>1.21888</v>
      </c>
      <c r="BM518" s="13">
        <v>0.42431999999999997</v>
      </c>
      <c r="BN518" s="13"/>
      <c r="BO518" s="13"/>
      <c r="BP518" s="14">
        <f>29.8*(2*52/(2*52+3*16.001))</f>
        <v>20.389071268330234</v>
      </c>
      <c r="BV518" s="1">
        <v>0</v>
      </c>
      <c r="CQ518" s="1">
        <f>3.77+5.04</f>
        <v>8.81</v>
      </c>
      <c r="CR518" s="2">
        <f>(0.009*3.77+0.042*5.04)/CQ518</f>
        <v>2.7878547105561858E-2</v>
      </c>
      <c r="CS518" s="2">
        <f>(0.02826*3.77+0.09116*5.04)/CQ518</f>
        <v>6.4243654937570935E-2</v>
      </c>
      <c r="CY518" s="13">
        <f>(0.097*3.77+0.104*5.04)/CQ518</f>
        <v>0.10100454029511918</v>
      </c>
      <c r="DA518" s="13">
        <f>(1.8683*3.77+0.47558*5.04)/CQ518</f>
        <v>1.0715566628830873</v>
      </c>
      <c r="DB518" s="13">
        <f>(0.92002*3.77+0.26574*5.04)/CQ518</f>
        <v>0.54572133938706013</v>
      </c>
      <c r="DC518" s="13">
        <f>(0.32028*3.77+0.02752*5.04)/CQ518</f>
        <v>0.15279868331441546</v>
      </c>
      <c r="DD518" s="13"/>
      <c r="DE518" s="13"/>
      <c r="DF518" s="14">
        <f>((29.8*(2*52/(2*52+3*16.001)))*3.77+0*5.04)/CQ518</f>
        <v>8.7249487720323469</v>
      </c>
      <c r="DL518" s="18" t="s">
        <v>96</v>
      </c>
      <c r="DN518" s="1">
        <f t="shared" si="85"/>
        <v>9.7221609195402292E-2</v>
      </c>
      <c r="DO518" s="1">
        <f t="shared" si="86"/>
        <v>0</v>
      </c>
      <c r="DP518" s="1" t="s">
        <v>67</v>
      </c>
      <c r="DQ518" s="1" t="s">
        <v>2</v>
      </c>
      <c r="DR518" s="101">
        <f t="shared" si="87"/>
        <v>152.25</v>
      </c>
      <c r="DS518" s="100">
        <f t="shared" si="88"/>
        <v>9.7221609195402292E-2</v>
      </c>
      <c r="DT518" s="101">
        <f t="shared" si="89"/>
        <v>148.01990000000001</v>
      </c>
      <c r="DV518" s="16">
        <f t="shared" si="90"/>
        <v>8.81</v>
      </c>
      <c r="DW518" s="16">
        <f>(BV518*CD518+CQ518*CY518)/DV518</f>
        <v>0.10100454029511918</v>
      </c>
      <c r="DX518" s="101">
        <f>1000*DV518*DW518/100</f>
        <v>8.8985000000000003</v>
      </c>
      <c r="DZ518" s="37" t="s">
        <v>2</v>
      </c>
      <c r="EA518" s="37"/>
      <c r="EM518" s="73"/>
      <c r="EN518" s="37"/>
      <c r="EO518" s="37"/>
      <c r="EP518" s="37"/>
      <c r="EQ518" s="37"/>
      <c r="ER518" s="37"/>
      <c r="ES518" s="37"/>
      <c r="ET518" s="37"/>
      <c r="EU518" s="37"/>
      <c r="EV518" s="37"/>
      <c r="EW518" s="37"/>
      <c r="EX518" s="37"/>
      <c r="EY518" s="37"/>
      <c r="EZ518" s="37"/>
      <c r="FA518" s="37"/>
      <c r="FB518" s="37"/>
      <c r="FC518" s="37"/>
      <c r="FD518" s="37"/>
      <c r="FE518" s="37"/>
      <c r="FF518" s="55"/>
      <c r="FG518" s="55"/>
      <c r="FH518" s="55"/>
      <c r="FI518" s="37"/>
      <c r="FJ518" s="55"/>
      <c r="FK518" s="55"/>
      <c r="FL518" s="45"/>
      <c r="FM518" s="37"/>
      <c r="FN518" s="37"/>
      <c r="FO518" s="37"/>
      <c r="FP518" s="55"/>
      <c r="FQ518" s="1" t="s">
        <v>2</v>
      </c>
      <c r="FR518" s="1" t="s">
        <v>113</v>
      </c>
      <c r="FS518" s="1" t="s">
        <v>261</v>
      </c>
      <c r="FT518" s="1" t="s">
        <v>589</v>
      </c>
      <c r="FU518" s="1" t="s">
        <v>1182</v>
      </c>
      <c r="FV518" s="1" t="s">
        <v>2</v>
      </c>
    </row>
    <row r="519" spans="1:178" ht="16.25" customHeight="1" x14ac:dyDescent="0.2">
      <c r="A519" s="18" t="s">
        <v>1195</v>
      </c>
      <c r="B519" s="1" t="s">
        <v>149</v>
      </c>
      <c r="C519" s="79" t="s">
        <v>487</v>
      </c>
      <c r="D519" s="1" t="s">
        <v>64</v>
      </c>
      <c r="G519" s="1" t="s">
        <v>72</v>
      </c>
      <c r="H519" s="1" t="s">
        <v>466</v>
      </c>
      <c r="K519" s="1">
        <v>2.8</v>
      </c>
      <c r="L519" s="13">
        <v>2.9148595329822911E-2</v>
      </c>
      <c r="M519" s="13">
        <v>5.6096699999999999E-2</v>
      </c>
      <c r="S519" s="13">
        <v>0.11240231217618901</v>
      </c>
      <c r="U519" s="13">
        <v>2.4316289999999996</v>
      </c>
      <c r="V519" s="13">
        <v>2.1438869999999999</v>
      </c>
      <c r="W519" s="13">
        <v>0.43780439999999998</v>
      </c>
      <c r="AF519" s="1">
        <v>0</v>
      </c>
      <c r="BA519" s="1">
        <v>0</v>
      </c>
      <c r="BV519" s="1">
        <v>0</v>
      </c>
      <c r="CQ519" s="1">
        <v>0</v>
      </c>
      <c r="DL519" s="18" t="s">
        <v>96</v>
      </c>
      <c r="DN519" s="1">
        <f t="shared" si="85"/>
        <v>0.11240231217618901</v>
      </c>
      <c r="DO519" s="1">
        <f t="shared" si="86"/>
        <v>0</v>
      </c>
      <c r="DP519" s="1" t="s">
        <v>73</v>
      </c>
      <c r="DQ519" s="1" t="s">
        <v>2</v>
      </c>
      <c r="DR519" s="16">
        <f t="shared" si="87"/>
        <v>2.8</v>
      </c>
      <c r="DS519" s="100">
        <f t="shared" si="88"/>
        <v>0.11240231217618901</v>
      </c>
      <c r="DT519" s="101">
        <f t="shared" si="89"/>
        <v>3.1472647409332923</v>
      </c>
      <c r="DV519" s="16">
        <f t="shared" si="90"/>
        <v>0</v>
      </c>
      <c r="DZ519" s="37" t="s">
        <v>2</v>
      </c>
      <c r="EA519" s="37"/>
      <c r="EM519" s="73"/>
      <c r="EN519" s="37"/>
      <c r="EO519" s="37"/>
      <c r="EP519" s="37"/>
      <c r="EQ519" s="37"/>
      <c r="ER519" s="37"/>
      <c r="ES519" s="37"/>
      <c r="ET519" s="37"/>
      <c r="EU519" s="37"/>
      <c r="EV519" s="37"/>
      <c r="EW519" s="37"/>
      <c r="EX519" s="37"/>
      <c r="EY519" s="37"/>
      <c r="EZ519" s="37"/>
      <c r="FA519" s="37"/>
      <c r="FB519" s="37"/>
      <c r="FC519" s="37"/>
      <c r="FD519" s="37"/>
      <c r="FE519" s="37"/>
      <c r="FF519" s="55"/>
      <c r="FG519" s="55"/>
      <c r="FH519" s="55"/>
      <c r="FI519" s="37"/>
      <c r="FJ519" s="55"/>
      <c r="FK519" s="55"/>
      <c r="FL519" s="45"/>
      <c r="FM519" s="37"/>
      <c r="FN519" s="37"/>
      <c r="FO519" s="37"/>
      <c r="FP519" s="55"/>
      <c r="FQ519" s="1" t="s">
        <v>2</v>
      </c>
      <c r="FR519" s="1" t="s">
        <v>113</v>
      </c>
      <c r="FS519" s="1" t="s">
        <v>261</v>
      </c>
      <c r="FT519" s="1" t="s">
        <v>589</v>
      </c>
      <c r="FU519" s="1" t="s">
        <v>1194</v>
      </c>
      <c r="FV519" s="1" t="s">
        <v>2</v>
      </c>
    </row>
    <row r="520" spans="1:178" ht="16.25" customHeight="1" x14ac:dyDescent="0.2">
      <c r="A520" s="18" t="s">
        <v>1195</v>
      </c>
      <c r="B520" s="1" t="s">
        <v>149</v>
      </c>
      <c r="C520" s="15" t="s">
        <v>870</v>
      </c>
      <c r="D520" s="1" t="s">
        <v>69</v>
      </c>
      <c r="H520" s="1" t="s">
        <v>131</v>
      </c>
      <c r="K520" s="1">
        <v>0</v>
      </c>
      <c r="AF520" s="1">
        <v>2.71</v>
      </c>
      <c r="AG520" s="13">
        <v>2.9148595329822911E-2</v>
      </c>
      <c r="AH520" s="13">
        <v>5.3716840000000002E-2</v>
      </c>
      <c r="AN520" s="13">
        <v>0.11240231217618901</v>
      </c>
      <c r="AP520" s="13">
        <v>1.5066564</v>
      </c>
      <c r="AQ520" s="13">
        <v>1.3283692</v>
      </c>
      <c r="AR520" s="13">
        <v>0.27126704000000001</v>
      </c>
      <c r="BA520" s="1">
        <v>3.89</v>
      </c>
      <c r="BB520" s="13">
        <v>2.9148595329822911E-2</v>
      </c>
      <c r="BC520" s="2">
        <v>1.492537313432836E-2</v>
      </c>
      <c r="BI520" s="13">
        <v>0.11240231217618901</v>
      </c>
      <c r="BK520" s="2">
        <v>0.44402985074626866</v>
      </c>
      <c r="BL520" s="2">
        <v>0.44402985074626866</v>
      </c>
      <c r="BM520" s="2">
        <v>9.7014925373134345E-2</v>
      </c>
      <c r="BN520" s="2"/>
      <c r="BO520" s="2"/>
      <c r="BV520" s="1">
        <v>0</v>
      </c>
      <c r="CQ520" s="1">
        <v>0</v>
      </c>
      <c r="DL520" s="18" t="s">
        <v>96</v>
      </c>
      <c r="DN520" s="1">
        <f t="shared" si="85"/>
        <v>0.11240231217618901</v>
      </c>
      <c r="DO520" s="1">
        <f t="shared" si="86"/>
        <v>0</v>
      </c>
      <c r="DP520" s="1" t="s">
        <v>1087</v>
      </c>
      <c r="DQ520" s="1" t="s">
        <v>2</v>
      </c>
      <c r="DR520" s="16">
        <f t="shared" si="87"/>
        <v>6.6</v>
      </c>
      <c r="DS520" s="100">
        <f t="shared" si="88"/>
        <v>0.11240231217618901</v>
      </c>
      <c r="DT520" s="101">
        <f t="shared" si="89"/>
        <v>7.4185526036284752</v>
      </c>
      <c r="DV520" s="16">
        <f t="shared" si="90"/>
        <v>0</v>
      </c>
      <c r="DZ520" s="37" t="s">
        <v>2</v>
      </c>
      <c r="EA520" s="37"/>
      <c r="EM520" s="73"/>
      <c r="EN520" s="37"/>
      <c r="EO520" s="37"/>
      <c r="EP520" s="37"/>
      <c r="EQ520" s="37"/>
      <c r="ER520" s="37"/>
      <c r="ES520" s="37"/>
      <c r="ET520" s="37"/>
      <c r="EU520" s="37"/>
      <c r="EV520" s="37"/>
      <c r="EW520" s="37"/>
      <c r="EX520" s="37"/>
      <c r="EY520" s="37"/>
      <c r="EZ520" s="37"/>
      <c r="FA520" s="37"/>
      <c r="FB520" s="37"/>
      <c r="FC520" s="37"/>
      <c r="FD520" s="37"/>
      <c r="FE520" s="37"/>
      <c r="FF520" s="55"/>
      <c r="FG520" s="55"/>
      <c r="FH520" s="55"/>
      <c r="FI520" s="37"/>
      <c r="FJ520" s="55"/>
      <c r="FK520" s="55"/>
      <c r="FL520" s="45"/>
      <c r="FM520" s="37"/>
      <c r="FN520" s="37"/>
      <c r="FO520" s="37"/>
      <c r="FP520" s="55"/>
      <c r="FQ520" s="1" t="s">
        <v>2</v>
      </c>
      <c r="FR520" s="1" t="s">
        <v>113</v>
      </c>
      <c r="FS520" s="1" t="s">
        <v>261</v>
      </c>
      <c r="FT520" s="1" t="s">
        <v>589</v>
      </c>
      <c r="FU520" s="1" t="s">
        <v>1194</v>
      </c>
      <c r="FV520" s="1" t="s">
        <v>2</v>
      </c>
    </row>
    <row r="521" spans="1:178" ht="16.25" customHeight="1" x14ac:dyDescent="0.2">
      <c r="A521" s="36" t="s">
        <v>1324</v>
      </c>
      <c r="B521" s="37" t="s">
        <v>149</v>
      </c>
      <c r="C521" s="79" t="s">
        <v>488</v>
      </c>
      <c r="D521" s="1" t="s">
        <v>69</v>
      </c>
      <c r="H521" s="1" t="s">
        <v>489</v>
      </c>
      <c r="K521" s="1">
        <v>67.224999999999994</v>
      </c>
      <c r="L521" s="13">
        <v>5.4018565140117075E-2</v>
      </c>
      <c r="M521" s="13">
        <v>0.1403371335068799</v>
      </c>
      <c r="S521" s="13">
        <v>0.14504986907307207</v>
      </c>
      <c r="U521" s="13">
        <v>2.2807834912606917</v>
      </c>
      <c r="V521" s="13">
        <v>1.8898124554853106</v>
      </c>
      <c r="W521" s="13">
        <v>0.36908769535143177</v>
      </c>
      <c r="AF521" s="1">
        <v>137.98500000000001</v>
      </c>
      <c r="AG521" s="13">
        <v>8.38270200529182E-2</v>
      </c>
      <c r="AH521" s="13">
        <v>0.17986810160524694</v>
      </c>
      <c r="AN521" s="13">
        <v>0.18418032380209357</v>
      </c>
      <c r="AP521" s="13">
        <v>1.7779394861760334</v>
      </c>
      <c r="AQ521" s="13">
        <v>1.0033939921005905</v>
      </c>
      <c r="AR521" s="13">
        <v>0.15246751458491861</v>
      </c>
      <c r="BA521" s="1">
        <v>149.76300000000001</v>
      </c>
      <c r="BB521" s="13">
        <v>6.2464252950091399E-2</v>
      </c>
      <c r="BC521" s="13">
        <v>0.14772145389715749</v>
      </c>
      <c r="BI521" s="13">
        <v>0.156136777316737</v>
      </c>
      <c r="BK521" s="13">
        <v>2.0666478219586946</v>
      </c>
      <c r="BL521" s="13">
        <v>1.5917558927104825</v>
      </c>
      <c r="BM521" s="13">
        <v>0.30358544086323058</v>
      </c>
      <c r="BN521" s="13"/>
      <c r="BO521" s="13"/>
      <c r="BV521" s="1">
        <v>0</v>
      </c>
      <c r="CQ521" s="1">
        <v>0</v>
      </c>
      <c r="DL521" s="18" t="s">
        <v>96</v>
      </c>
      <c r="DN521" s="1">
        <f t="shared" si="85"/>
        <v>0.16493821110212786</v>
      </c>
      <c r="DO521" s="1">
        <f t="shared" si="86"/>
        <v>0</v>
      </c>
      <c r="DP521" s="1" t="s">
        <v>101</v>
      </c>
      <c r="DQ521" s="1" t="s">
        <v>2</v>
      </c>
      <c r="DR521" s="101">
        <f t="shared" si="87"/>
        <v>354.97300000000001</v>
      </c>
      <c r="DS521" s="100">
        <f t="shared" si="88"/>
        <v>0.16493821110212786</v>
      </c>
      <c r="DT521" s="101">
        <f t="shared" si="89"/>
        <v>585.48611609555633</v>
      </c>
      <c r="DV521" s="16">
        <f t="shared" si="90"/>
        <v>0</v>
      </c>
      <c r="DZ521" s="37" t="s">
        <v>2</v>
      </c>
      <c r="EA521" s="37"/>
      <c r="EM521" s="73"/>
      <c r="EN521" s="37"/>
      <c r="EO521" s="37"/>
      <c r="EP521" s="37"/>
      <c r="EQ521" s="37"/>
      <c r="ER521" s="37"/>
      <c r="ES521" s="37"/>
      <c r="ET521" s="37"/>
      <c r="EU521" s="37"/>
      <c r="EV521" s="37"/>
      <c r="EW521" s="37"/>
      <c r="EX521" s="37"/>
      <c r="EY521" s="37"/>
      <c r="EZ521" s="37"/>
      <c r="FA521" s="37"/>
      <c r="FB521" s="37"/>
      <c r="FC521" s="37"/>
      <c r="FD521" s="37"/>
      <c r="FE521" s="37"/>
      <c r="FF521" s="55"/>
      <c r="FG521" s="55"/>
      <c r="FH521" s="55"/>
      <c r="FI521" s="37"/>
      <c r="FJ521" s="55"/>
      <c r="FK521" s="55"/>
      <c r="FL521" s="45"/>
      <c r="FM521" s="37"/>
      <c r="FN521" s="37"/>
      <c r="FO521" s="37"/>
      <c r="FP521" s="55"/>
      <c r="FQ521" s="1" t="s">
        <v>2</v>
      </c>
      <c r="FR521" s="1" t="s">
        <v>113</v>
      </c>
      <c r="FS521" s="1" t="s">
        <v>261</v>
      </c>
      <c r="FT521" s="1" t="s">
        <v>589</v>
      </c>
      <c r="FU521" s="1" t="s">
        <v>1194</v>
      </c>
      <c r="FV521" s="1" t="s">
        <v>2</v>
      </c>
    </row>
    <row r="522" spans="1:178" ht="16.25" customHeight="1" x14ac:dyDescent="0.2">
      <c r="A522" s="36" t="s">
        <v>1324</v>
      </c>
      <c r="B522" s="37" t="s">
        <v>149</v>
      </c>
      <c r="C522" s="79" t="s">
        <v>491</v>
      </c>
      <c r="D522" s="1" t="s">
        <v>69</v>
      </c>
      <c r="H522" s="1" t="s">
        <v>466</v>
      </c>
      <c r="K522" s="1">
        <v>0</v>
      </c>
      <c r="AF522" s="1">
        <v>12.2</v>
      </c>
      <c r="AG522" s="13">
        <v>6.0789089661712092E-2</v>
      </c>
      <c r="AH522" s="13">
        <v>6.0000000000000005E-2</v>
      </c>
      <c r="AN522" s="13">
        <v>0.15393774011700964</v>
      </c>
      <c r="AP522" s="13">
        <v>2.35</v>
      </c>
      <c r="AQ522" s="13">
        <v>1.83</v>
      </c>
      <c r="AR522" s="13">
        <v>0.33999999999999997</v>
      </c>
      <c r="BA522" s="1">
        <v>0</v>
      </c>
      <c r="BV522" s="1">
        <v>0</v>
      </c>
      <c r="CQ522" s="1">
        <v>0</v>
      </c>
      <c r="DL522" s="18" t="s">
        <v>96</v>
      </c>
      <c r="DN522" s="1">
        <f t="shared" si="85"/>
        <v>0.15393774011700964</v>
      </c>
      <c r="DO522" s="1">
        <f t="shared" si="86"/>
        <v>0</v>
      </c>
      <c r="DP522" s="1" t="s">
        <v>1216</v>
      </c>
      <c r="DQ522" s="1" t="s">
        <v>2</v>
      </c>
      <c r="DR522" s="16">
        <f t="shared" si="87"/>
        <v>12.2</v>
      </c>
      <c r="DS522" s="100">
        <f t="shared" si="88"/>
        <v>0.15393774011700964</v>
      </c>
      <c r="DT522" s="101">
        <f t="shared" si="89"/>
        <v>18.780404294275176</v>
      </c>
      <c r="DV522" s="16">
        <f t="shared" si="90"/>
        <v>0</v>
      </c>
      <c r="DZ522" s="37" t="s">
        <v>2</v>
      </c>
      <c r="EA522" s="37"/>
      <c r="EM522" s="73"/>
      <c r="EN522" s="37"/>
      <c r="EO522" s="37"/>
      <c r="EP522" s="37"/>
      <c r="EQ522" s="37"/>
      <c r="ER522" s="37"/>
      <c r="ES522" s="37"/>
      <c r="ET522" s="37"/>
      <c r="EU522" s="37"/>
      <c r="EV522" s="37"/>
      <c r="EW522" s="37"/>
      <c r="EX522" s="37"/>
      <c r="EY522" s="37"/>
      <c r="EZ522" s="37"/>
      <c r="FA522" s="37"/>
      <c r="FB522" s="37"/>
      <c r="FC522" s="37"/>
      <c r="FD522" s="37"/>
      <c r="FE522" s="37"/>
      <c r="FF522" s="55"/>
      <c r="FG522" s="55"/>
      <c r="FH522" s="55"/>
      <c r="FI522" s="37"/>
      <c r="FJ522" s="55"/>
      <c r="FK522" s="55"/>
      <c r="FL522" s="45"/>
      <c r="FM522" s="37"/>
      <c r="FN522" s="37"/>
      <c r="FO522" s="37"/>
      <c r="FP522" s="55"/>
      <c r="FQ522" s="1" t="s">
        <v>2</v>
      </c>
      <c r="FR522" s="1" t="s">
        <v>113</v>
      </c>
      <c r="FS522" s="1" t="s">
        <v>261</v>
      </c>
      <c r="FT522" s="1" t="s">
        <v>589</v>
      </c>
      <c r="FU522" s="1" t="s">
        <v>1194</v>
      </c>
      <c r="FV522" s="1" t="s">
        <v>2</v>
      </c>
    </row>
    <row r="523" spans="1:178" ht="16.25" customHeight="1" x14ac:dyDescent="0.2">
      <c r="A523" s="36" t="s">
        <v>1323</v>
      </c>
      <c r="B523" s="37" t="s">
        <v>149</v>
      </c>
      <c r="C523" s="15" t="s">
        <v>1260</v>
      </c>
      <c r="H523" s="1" t="s">
        <v>1236</v>
      </c>
      <c r="K523" s="1">
        <v>0</v>
      </c>
      <c r="AF523" s="1">
        <v>37.972972972972968</v>
      </c>
      <c r="AG523" s="13">
        <v>4.8053377393388851E-2</v>
      </c>
      <c r="AH523" s="13">
        <v>0.19408784213523131</v>
      </c>
      <c r="AN523" s="13">
        <v>0.1583219183197408</v>
      </c>
      <c r="AP523" s="13">
        <v>3.2778307402135236</v>
      </c>
      <c r="AQ523" s="13">
        <v>1.6833978661921711</v>
      </c>
      <c r="AR523" s="13">
        <v>0.40021082014234877</v>
      </c>
      <c r="BA523" s="1">
        <v>6.0810810810810807</v>
      </c>
      <c r="BB523" s="13">
        <v>6.5091859431719454E-2</v>
      </c>
      <c r="BC523" s="13">
        <v>0.25794948977777776</v>
      </c>
      <c r="BI523" s="13">
        <v>0.16593686374435782</v>
      </c>
      <c r="BK523" s="13">
        <v>3.3009859555555559</v>
      </c>
      <c r="BL523" s="13">
        <v>1.7128986311111112</v>
      </c>
      <c r="BM523" s="13">
        <v>0.3281825244444444</v>
      </c>
      <c r="BN523" s="13"/>
      <c r="BO523" s="13"/>
      <c r="BV523" s="1">
        <v>0</v>
      </c>
      <c r="CQ523" s="1">
        <v>0</v>
      </c>
      <c r="DL523" s="18" t="s">
        <v>96</v>
      </c>
      <c r="DN523" s="1">
        <f t="shared" si="85"/>
        <v>0.1593730610930775</v>
      </c>
      <c r="DO523" s="1">
        <f t="shared" si="86"/>
        <v>0</v>
      </c>
      <c r="DP523" s="1" t="s">
        <v>67</v>
      </c>
      <c r="DQ523" s="1" t="s">
        <v>2</v>
      </c>
      <c r="DR523" s="100">
        <f t="shared" si="87"/>
        <v>44.054054054054049</v>
      </c>
      <c r="DS523" s="100">
        <f t="shared" si="88"/>
        <v>0.1593730610930775</v>
      </c>
      <c r="DT523" s="101">
        <f t="shared" si="89"/>
        <v>70.210294481544949</v>
      </c>
      <c r="DV523" s="16">
        <f t="shared" si="90"/>
        <v>0</v>
      </c>
      <c r="DZ523" s="37" t="s">
        <v>2</v>
      </c>
      <c r="EA523" s="37"/>
      <c r="EM523" s="73"/>
      <c r="EN523" s="37"/>
      <c r="EO523" s="37"/>
      <c r="EP523" s="37"/>
      <c r="EQ523" s="37"/>
      <c r="ER523" s="37"/>
      <c r="ES523" s="37"/>
      <c r="ET523" s="37"/>
      <c r="EU523" s="37"/>
      <c r="EV523" s="37"/>
      <c r="EW523" s="37"/>
      <c r="EX523" s="37"/>
      <c r="EY523" s="37"/>
      <c r="EZ523" s="37"/>
      <c r="FA523" s="37"/>
      <c r="FB523" s="37"/>
      <c r="FC523" s="37"/>
      <c r="FD523" s="37"/>
      <c r="FE523" s="37"/>
      <c r="FF523" s="55"/>
      <c r="FG523" s="55"/>
      <c r="FH523" s="55"/>
      <c r="FI523" s="37"/>
      <c r="FJ523" s="55"/>
      <c r="FK523" s="55"/>
      <c r="FL523" s="45"/>
      <c r="FM523" s="37"/>
      <c r="FN523" s="37"/>
      <c r="FO523" s="37"/>
      <c r="FP523" s="55"/>
      <c r="FQ523" s="1" t="s">
        <v>2</v>
      </c>
      <c r="FR523" s="1" t="s">
        <v>113</v>
      </c>
      <c r="FS523" s="1" t="s">
        <v>261</v>
      </c>
      <c r="FT523" s="1" t="s">
        <v>589</v>
      </c>
      <c r="FU523" s="1" t="s">
        <v>1182</v>
      </c>
      <c r="FV523" s="1" t="s">
        <v>2</v>
      </c>
    </row>
    <row r="524" spans="1:178" ht="16.25" customHeight="1" x14ac:dyDescent="0.2">
      <c r="A524" s="36" t="s">
        <v>1323</v>
      </c>
      <c r="B524" s="37" t="s">
        <v>149</v>
      </c>
      <c r="C524" s="15" t="s">
        <v>368</v>
      </c>
      <c r="D524" s="1" t="s">
        <v>64</v>
      </c>
      <c r="G524" s="1" t="s">
        <v>65</v>
      </c>
      <c r="H524" s="1" t="s">
        <v>356</v>
      </c>
      <c r="K524" s="1">
        <v>289.39999999999998</v>
      </c>
      <c r="L524" s="13">
        <v>4.5936420179682101E-2</v>
      </c>
      <c r="M524" s="13">
        <v>0.12238103662750519</v>
      </c>
      <c r="S524" s="13">
        <v>9.390463026952317E-2</v>
      </c>
      <c r="U524" s="13">
        <v>3.4919625224602631</v>
      </c>
      <c r="V524" s="13">
        <v>1.7102224326192124</v>
      </c>
      <c r="W524" s="13">
        <v>0.47217055286800286</v>
      </c>
      <c r="Z524" s="14">
        <v>12.436120170599516</v>
      </c>
      <c r="AF524" s="1">
        <v>138.1</v>
      </c>
      <c r="AG524" s="13">
        <v>4.8870383779869658E-2</v>
      </c>
      <c r="AH524" s="13">
        <v>0.12790955829109341</v>
      </c>
      <c r="AN524" s="13">
        <v>0.1083055756698045</v>
      </c>
      <c r="AP524" s="13">
        <v>3.5147593772628536</v>
      </c>
      <c r="AQ524" s="13">
        <v>1.7094128023171615</v>
      </c>
      <c r="AR524" s="13">
        <v>0.46352657494569155</v>
      </c>
      <c r="AU524" s="14">
        <v>11.608063892446808</v>
      </c>
      <c r="BA524" s="1">
        <v>25.299999999999997</v>
      </c>
      <c r="BB524" s="13">
        <v>5.0158102766798413E-2</v>
      </c>
      <c r="BC524" s="13">
        <v>0.12696735177865615</v>
      </c>
      <c r="BI524" s="13">
        <v>2.0724110671936762</v>
      </c>
      <c r="BK524" s="13">
        <v>3.4321509090909093</v>
      </c>
      <c r="BL524" s="13">
        <v>1.6640099604743084</v>
      </c>
      <c r="BM524" s="13">
        <v>0.44751446640316206</v>
      </c>
      <c r="BN524" s="13"/>
      <c r="BO524" s="13"/>
      <c r="BP524" s="14">
        <v>11.244629325107715</v>
      </c>
      <c r="BV524" s="1">
        <v>21.200000000000003</v>
      </c>
      <c r="BW524" s="13">
        <v>4.6981132075471693E-2</v>
      </c>
      <c r="BX524" s="13">
        <v>7.751320754716981E-2</v>
      </c>
      <c r="CD524" s="13">
        <v>9.5471698113207534E-2</v>
      </c>
      <c r="CF524" s="13">
        <v>2.2227316037735849</v>
      </c>
      <c r="CG524" s="13">
        <v>1.0895809433962265</v>
      </c>
      <c r="CH524" s="13">
        <v>0.30150613207547167</v>
      </c>
      <c r="CI524" s="13"/>
      <c r="CJ524" s="13"/>
      <c r="CK524" s="14">
        <v>12.141269803637194</v>
      </c>
      <c r="CQ524" s="1">
        <v>85.7</v>
      </c>
      <c r="CR524" s="13">
        <v>5.3407234539089847E-2</v>
      </c>
      <c r="CS524" s="13">
        <v>8.8882380396732796E-2</v>
      </c>
      <c r="CY524" s="13">
        <v>6.0851808634772471E-2</v>
      </c>
      <c r="DA524" s="13">
        <v>2.3342361726954493</v>
      </c>
      <c r="DB524" s="13">
        <v>1.1253003500583432</v>
      </c>
      <c r="DC524" s="13">
        <v>0.29808378063010499</v>
      </c>
      <c r="DD524" s="13"/>
      <c r="DE524" s="13"/>
      <c r="DF524" s="14">
        <v>10.327622732926624</v>
      </c>
      <c r="DL524" s="18" t="s">
        <v>96</v>
      </c>
      <c r="DN524" s="1">
        <f t="shared" si="85"/>
        <v>0.20884496466431093</v>
      </c>
      <c r="DO524" s="1">
        <f t="shared" si="86"/>
        <v>0</v>
      </c>
      <c r="DP524" s="1" t="s">
        <v>73</v>
      </c>
      <c r="DQ524" s="1" t="s">
        <v>2</v>
      </c>
      <c r="DR524" s="16">
        <f t="shared" si="87"/>
        <v>452.8</v>
      </c>
      <c r="DS524" s="100">
        <f t="shared" si="88"/>
        <v>0.20884496466431093</v>
      </c>
      <c r="DT524" s="101">
        <f t="shared" si="89"/>
        <v>945.64999999999986</v>
      </c>
      <c r="DV524" s="16">
        <f t="shared" si="90"/>
        <v>106.9</v>
      </c>
      <c r="DW524" s="103">
        <f>(BV524*CD524+CQ524*CY524)/DV524</f>
        <v>6.7717492984097294E-2</v>
      </c>
      <c r="DX524" s="101">
        <f>1000*DV524*DW524/100</f>
        <v>72.390000000000015</v>
      </c>
      <c r="DZ524" s="37" t="s">
        <v>2</v>
      </c>
      <c r="EA524" s="37"/>
      <c r="EM524" s="73"/>
      <c r="EN524" s="37"/>
      <c r="EO524" s="37"/>
      <c r="EP524" s="37"/>
      <c r="EQ524" s="37"/>
      <c r="ER524" s="37"/>
      <c r="ES524" s="37"/>
      <c r="ET524" s="37"/>
      <c r="EU524" s="37"/>
      <c r="EV524" s="37"/>
      <c r="EW524" s="37"/>
      <c r="EX524" s="37"/>
      <c r="EY524" s="37"/>
      <c r="EZ524" s="37"/>
      <c r="FA524" s="37"/>
      <c r="FB524" s="37"/>
      <c r="FC524" s="37"/>
      <c r="FD524" s="37"/>
      <c r="FE524" s="37"/>
      <c r="FF524" s="55"/>
      <c r="FG524" s="55"/>
      <c r="FH524" s="55"/>
      <c r="FI524" s="37"/>
      <c r="FJ524" s="55"/>
      <c r="FK524" s="55"/>
      <c r="FL524" s="45"/>
      <c r="FM524" s="37"/>
      <c r="FN524" s="37"/>
      <c r="FO524" s="37"/>
      <c r="FP524" s="55"/>
      <c r="FQ524" s="1" t="s">
        <v>2</v>
      </c>
      <c r="FR524" s="1" t="s">
        <v>113</v>
      </c>
      <c r="FS524" s="1" t="s">
        <v>261</v>
      </c>
      <c r="FT524" s="1" t="s">
        <v>589</v>
      </c>
      <c r="FU524" s="1" t="s">
        <v>1182</v>
      </c>
      <c r="FV524" s="1" t="s">
        <v>2</v>
      </c>
    </row>
    <row r="525" spans="1:178" ht="16.25" customHeight="1" x14ac:dyDescent="0.2">
      <c r="A525" s="36" t="s">
        <v>1323</v>
      </c>
      <c r="B525" s="37" t="s">
        <v>149</v>
      </c>
      <c r="C525" s="15" t="s">
        <v>1066</v>
      </c>
      <c r="D525" s="1" t="s">
        <v>69</v>
      </c>
      <c r="H525" s="1" t="s">
        <v>1042</v>
      </c>
      <c r="K525" s="1">
        <v>3.8</v>
      </c>
      <c r="L525" s="13">
        <v>6.5547794945827784E-2</v>
      </c>
      <c r="M525" s="13">
        <v>0.33273793650526318</v>
      </c>
      <c r="S525" s="13">
        <v>0.18303150006772359</v>
      </c>
      <c r="U525" s="13">
        <v>3.8078104547368419</v>
      </c>
      <c r="V525" s="13">
        <v>1.9858089715789475</v>
      </c>
      <c r="W525" s="13">
        <v>0.33642534631578946</v>
      </c>
      <c r="X525" s="13">
        <v>0.57867076368421055</v>
      </c>
      <c r="Y525" s="13">
        <v>0.12118811863157895</v>
      </c>
      <c r="AF525" s="1">
        <v>4.4000000000000004</v>
      </c>
      <c r="AG525" s="13">
        <v>5.872885477093881E-2</v>
      </c>
      <c r="AH525" s="13">
        <v>0.31589743374090906</v>
      </c>
      <c r="AN525" s="13">
        <v>0.17340024717342339</v>
      </c>
      <c r="AP525" s="13">
        <v>4.0876368709090904</v>
      </c>
      <c r="AQ525" s="13">
        <v>2.1201052127272724</v>
      </c>
      <c r="AR525" s="13">
        <v>0.41061160636363636</v>
      </c>
      <c r="AS525" s="13">
        <v>0.69059013045454543</v>
      </c>
      <c r="AT525" s="13">
        <v>0.15153261145454544</v>
      </c>
      <c r="BA525" s="1">
        <v>3.2</v>
      </c>
      <c r="BB525" s="13">
        <v>5.6652574909995049E-2</v>
      </c>
      <c r="BC525" s="13">
        <v>0.32884145944999998</v>
      </c>
      <c r="BI525" s="13">
        <v>0.17046765414471021</v>
      </c>
      <c r="BK525" s="13">
        <v>4.4112322799999992</v>
      </c>
      <c r="BL525" s="13">
        <v>2.2845426449999997</v>
      </c>
      <c r="BM525" s="13">
        <v>0.45756833499999994</v>
      </c>
      <c r="BN525" s="13">
        <v>0.76553415749999987</v>
      </c>
      <c r="BO525" s="13">
        <v>0.16979201049999998</v>
      </c>
      <c r="BV525" s="1">
        <v>0</v>
      </c>
      <c r="CQ525" s="1">
        <v>0</v>
      </c>
      <c r="DL525" s="18" t="s">
        <v>96</v>
      </c>
      <c r="DN525" s="1">
        <f t="shared" si="85"/>
        <v>0.17578748079679699</v>
      </c>
      <c r="DO525" s="1">
        <f t="shared" si="86"/>
        <v>0</v>
      </c>
      <c r="DP525" s="1" t="s">
        <v>1181</v>
      </c>
      <c r="DQ525" s="1" t="s">
        <v>2</v>
      </c>
      <c r="DR525" s="16">
        <f t="shared" si="87"/>
        <v>11.399999999999999</v>
      </c>
      <c r="DS525" s="100">
        <f t="shared" si="88"/>
        <v>0.17578748079679699</v>
      </c>
      <c r="DT525" s="101">
        <f t="shared" si="89"/>
        <v>20.039772810834855</v>
      </c>
      <c r="DV525" s="16">
        <f t="shared" si="90"/>
        <v>0</v>
      </c>
      <c r="DZ525" s="37" t="s">
        <v>2</v>
      </c>
      <c r="EA525" s="37"/>
      <c r="EM525" s="73"/>
      <c r="EN525" s="37"/>
      <c r="EO525" s="37"/>
      <c r="EP525" s="37"/>
      <c r="EQ525" s="37"/>
      <c r="ER525" s="37"/>
      <c r="ES525" s="37"/>
      <c r="ET525" s="37"/>
      <c r="EU525" s="37"/>
      <c r="EV525" s="37"/>
      <c r="EW525" s="37"/>
      <c r="EX525" s="37"/>
      <c r="EY525" s="37"/>
      <c r="EZ525" s="37"/>
      <c r="FA525" s="37"/>
      <c r="FB525" s="37"/>
      <c r="FC525" s="37"/>
      <c r="FD525" s="37"/>
      <c r="FE525" s="37"/>
      <c r="FF525" s="55"/>
      <c r="FG525" s="55"/>
      <c r="FH525" s="55"/>
      <c r="FI525" s="37"/>
      <c r="FJ525" s="55"/>
      <c r="FK525" s="55"/>
      <c r="FL525" s="45"/>
      <c r="FM525" s="37"/>
      <c r="FN525" s="37"/>
      <c r="FO525" s="37"/>
      <c r="FP525" s="55"/>
      <c r="FQ525" s="1" t="s">
        <v>2</v>
      </c>
      <c r="FR525" s="1" t="s">
        <v>113</v>
      </c>
      <c r="FS525" s="1" t="s">
        <v>261</v>
      </c>
      <c r="FT525" s="1" t="s">
        <v>589</v>
      </c>
      <c r="FU525" s="1" t="s">
        <v>1182</v>
      </c>
      <c r="FV525" s="1" t="s">
        <v>2</v>
      </c>
    </row>
    <row r="526" spans="1:178" ht="16.25" customHeight="1" x14ac:dyDescent="0.2">
      <c r="A526" s="18" t="s">
        <v>1195</v>
      </c>
      <c r="B526" s="1" t="s">
        <v>149</v>
      </c>
      <c r="C526" s="16" t="s">
        <v>174</v>
      </c>
      <c r="D526" s="1" t="s">
        <v>69</v>
      </c>
      <c r="G526" s="98" t="s">
        <v>72</v>
      </c>
      <c r="H526" s="81" t="s">
        <v>175</v>
      </c>
      <c r="K526" s="1">
        <v>0</v>
      </c>
      <c r="AF526" s="1">
        <v>0</v>
      </c>
      <c r="BA526" s="1">
        <v>109.6</v>
      </c>
      <c r="BB526" s="13">
        <v>2.9148595329822911E-2</v>
      </c>
      <c r="BC526" s="13">
        <v>3.9097699999999999E-2</v>
      </c>
      <c r="BI526" s="13">
        <v>0.11240231217618901</v>
      </c>
      <c r="BK526" s="13">
        <v>1.096617</v>
      </c>
      <c r="BL526" s="13">
        <v>0.96685100000000002</v>
      </c>
      <c r="BM526" s="13">
        <v>0.19744119999999998</v>
      </c>
      <c r="BV526" s="1">
        <v>0</v>
      </c>
      <c r="CQ526" s="1">
        <v>0</v>
      </c>
      <c r="DL526" s="18" t="s">
        <v>96</v>
      </c>
      <c r="DN526" s="1">
        <f t="shared" si="85"/>
        <v>0.11240231217618903</v>
      </c>
      <c r="DO526" s="1">
        <f t="shared" si="86"/>
        <v>0</v>
      </c>
      <c r="DP526" s="1" t="s">
        <v>1222</v>
      </c>
      <c r="DQ526" s="1" t="s">
        <v>2</v>
      </c>
      <c r="DR526" s="16">
        <f t="shared" si="87"/>
        <v>109.6</v>
      </c>
      <c r="DS526" s="100">
        <f t="shared" si="88"/>
        <v>0.11240231217618903</v>
      </c>
      <c r="DT526" s="101">
        <f t="shared" si="89"/>
        <v>123.19293414510317</v>
      </c>
      <c r="DV526" s="16">
        <f t="shared" si="90"/>
        <v>0</v>
      </c>
      <c r="DZ526" s="37" t="s">
        <v>2</v>
      </c>
      <c r="EA526" s="37"/>
      <c r="EM526" s="73"/>
      <c r="EN526" s="37"/>
      <c r="EO526" s="37"/>
      <c r="EP526" s="37"/>
      <c r="EQ526" s="37"/>
      <c r="ER526" s="37"/>
      <c r="ES526" s="37"/>
      <c r="ET526" s="37"/>
      <c r="EU526" s="37"/>
      <c r="EV526" s="37"/>
      <c r="EW526" s="37"/>
      <c r="EX526" s="37"/>
      <c r="EY526" s="37"/>
      <c r="EZ526" s="37"/>
      <c r="FA526" s="37"/>
      <c r="FB526" s="37"/>
      <c r="FC526" s="37"/>
      <c r="FD526" s="37"/>
      <c r="FE526" s="37"/>
      <c r="FF526" s="55"/>
      <c r="FG526" s="55"/>
      <c r="FH526" s="55"/>
      <c r="FI526" s="37"/>
      <c r="FJ526" s="55"/>
      <c r="FK526" s="55"/>
      <c r="FL526" s="45"/>
      <c r="FM526" s="37"/>
      <c r="FN526" s="37"/>
      <c r="FO526" s="37"/>
      <c r="FP526" s="55"/>
      <c r="FQ526" s="1" t="s">
        <v>2</v>
      </c>
      <c r="FR526" s="1" t="s">
        <v>113</v>
      </c>
      <c r="FS526" s="1" t="s">
        <v>261</v>
      </c>
      <c r="FT526" s="1" t="s">
        <v>589</v>
      </c>
      <c r="FU526" s="1" t="s">
        <v>1194</v>
      </c>
      <c r="FV526" s="1" t="s">
        <v>2</v>
      </c>
    </row>
    <row r="527" spans="1:178" ht="16.25" customHeight="1" x14ac:dyDescent="0.2">
      <c r="A527" s="18" t="s">
        <v>1183</v>
      </c>
      <c r="B527" s="1" t="s">
        <v>149</v>
      </c>
      <c r="C527" s="79" t="s">
        <v>287</v>
      </c>
      <c r="D527" s="1" t="s">
        <v>69</v>
      </c>
      <c r="G527" s="1" t="s">
        <v>72</v>
      </c>
      <c r="H527" s="1" t="s">
        <v>151</v>
      </c>
      <c r="K527" s="1">
        <v>38.6</v>
      </c>
      <c r="L527" s="1">
        <v>0.14000000000000001</v>
      </c>
      <c r="M527" s="13">
        <v>2.1090000000000001E-2</v>
      </c>
      <c r="S527" s="1">
        <v>0.05</v>
      </c>
      <c r="T527" s="1">
        <v>7.0000000000000007E-2</v>
      </c>
      <c r="U527" s="13">
        <v>1.8381600000000002</v>
      </c>
      <c r="V527" s="13">
        <v>1.0089900000000001</v>
      </c>
      <c r="W527" s="13">
        <v>0.31486999999999998</v>
      </c>
      <c r="X527" s="13">
        <v>0.40515000000000001</v>
      </c>
      <c r="Y527" s="13">
        <v>0.11174000000000001</v>
      </c>
      <c r="AF527" s="1">
        <v>4.9000000000000004</v>
      </c>
      <c r="AG527" s="1">
        <v>0.14000000000000001</v>
      </c>
      <c r="AH527" s="13">
        <v>2.5080000000000002E-2</v>
      </c>
      <c r="AN527" s="1">
        <v>0.05</v>
      </c>
      <c r="AO527" s="1">
        <v>7.0000000000000007E-2</v>
      </c>
      <c r="AP527" s="13">
        <v>2.1859200000000003</v>
      </c>
      <c r="AQ527" s="13">
        <v>1.1998800000000001</v>
      </c>
      <c r="AR527" s="13">
        <v>0.37444</v>
      </c>
      <c r="AS527" s="13">
        <v>0.48180000000000006</v>
      </c>
      <c r="AT527" s="13">
        <v>0.13288000000000003</v>
      </c>
      <c r="BA527" s="1">
        <v>0</v>
      </c>
      <c r="BV527" s="14">
        <v>16</v>
      </c>
      <c r="BW527" s="1">
        <v>0.14000000000000001</v>
      </c>
      <c r="BX527" s="13">
        <v>1.8283846153846154E-2</v>
      </c>
      <c r="CD527" s="1">
        <v>0.05</v>
      </c>
      <c r="CE527" s="1">
        <v>7.0000000000000007E-2</v>
      </c>
      <c r="CF527" s="13">
        <v>1.5935815384615384</v>
      </c>
      <c r="CG527" s="13">
        <v>0.87473769230769227</v>
      </c>
      <c r="CH527" s="13">
        <v>0.27297461538461537</v>
      </c>
      <c r="CI527" s="13">
        <v>0.35124230769230769</v>
      </c>
      <c r="CJ527" s="13">
        <v>9.6872307692307688E-2</v>
      </c>
      <c r="CQ527" s="1">
        <v>0</v>
      </c>
      <c r="DL527" s="18" t="s">
        <v>96</v>
      </c>
      <c r="DM527" s="1" t="s">
        <v>96</v>
      </c>
      <c r="DN527" s="1">
        <f t="shared" si="85"/>
        <v>0.05</v>
      </c>
      <c r="DO527" s="1">
        <f t="shared" si="86"/>
        <v>7.0000000000000007E-2</v>
      </c>
      <c r="DP527" s="1" t="s">
        <v>73</v>
      </c>
      <c r="DQ527" s="1" t="s">
        <v>2</v>
      </c>
      <c r="DR527" s="16">
        <f t="shared" si="87"/>
        <v>43.5</v>
      </c>
      <c r="DS527" s="100">
        <f t="shared" si="88"/>
        <v>0.05</v>
      </c>
      <c r="DT527" s="101">
        <f t="shared" si="89"/>
        <v>21.75</v>
      </c>
      <c r="DV527" s="16">
        <f t="shared" si="90"/>
        <v>16</v>
      </c>
      <c r="DW527" s="16">
        <f>(BV527*CD527+CQ527*CY527)/DV527</f>
        <v>0.05</v>
      </c>
      <c r="DX527" s="101">
        <f>1000*DV527*DW527/100</f>
        <v>8</v>
      </c>
      <c r="DZ527" s="37" t="s">
        <v>2</v>
      </c>
      <c r="EA527" s="37"/>
      <c r="EM527" s="73"/>
      <c r="EN527" s="37"/>
      <c r="EO527" s="37"/>
      <c r="EP527" s="37"/>
      <c r="EQ527" s="37"/>
      <c r="ER527" s="37"/>
      <c r="ES527" s="37"/>
      <c r="ET527" s="37"/>
      <c r="EU527" s="37"/>
      <c r="EV527" s="37"/>
      <c r="EW527" s="37"/>
      <c r="EX527" s="37"/>
      <c r="EY527" s="37"/>
      <c r="EZ527" s="37"/>
      <c r="FA527" s="37"/>
      <c r="FB527" s="37"/>
      <c r="FC527" s="37"/>
      <c r="FD527" s="37"/>
      <c r="FE527" s="37"/>
      <c r="FF527" s="55"/>
      <c r="FG527" s="55"/>
      <c r="FH527" s="55"/>
      <c r="FI527" s="37"/>
      <c r="FJ527" s="55"/>
      <c r="FK527" s="55"/>
      <c r="FL527" s="45"/>
      <c r="FM527" s="37"/>
      <c r="FN527" s="37"/>
      <c r="FO527" s="37"/>
      <c r="FP527" s="55"/>
      <c r="FQ527" s="1" t="s">
        <v>2</v>
      </c>
      <c r="FR527" s="1" t="s">
        <v>113</v>
      </c>
      <c r="FS527" s="1" t="s">
        <v>261</v>
      </c>
      <c r="FT527" s="1" t="s">
        <v>589</v>
      </c>
      <c r="FU527" s="1" t="s">
        <v>1182</v>
      </c>
      <c r="FV527" s="1" t="s">
        <v>2</v>
      </c>
    </row>
    <row r="528" spans="1:178" ht="16.25" customHeight="1" x14ac:dyDescent="0.2">
      <c r="A528" s="36" t="s">
        <v>1323</v>
      </c>
      <c r="B528" s="37" t="s">
        <v>149</v>
      </c>
      <c r="C528" s="15" t="s">
        <v>1054</v>
      </c>
      <c r="D528" s="1" t="s">
        <v>64</v>
      </c>
      <c r="H528" s="1" t="s">
        <v>685</v>
      </c>
      <c r="K528" s="1">
        <v>0</v>
      </c>
      <c r="AF528" s="1">
        <v>0</v>
      </c>
      <c r="BA528" s="1">
        <v>148.80000000000001</v>
      </c>
      <c r="BB528" s="13">
        <v>3.2000000000000001E-2</v>
      </c>
      <c r="BC528" s="13">
        <v>0.14000000000000001</v>
      </c>
      <c r="BI528" s="13">
        <v>0.13200000000000001</v>
      </c>
      <c r="BK528" s="13">
        <v>4.1100000000000003</v>
      </c>
      <c r="BL528" s="13">
        <v>1.72</v>
      </c>
      <c r="BM528" s="13">
        <v>0.56000000000000005</v>
      </c>
      <c r="BV528" s="1">
        <v>0</v>
      </c>
      <c r="CQ528" s="1">
        <v>0</v>
      </c>
      <c r="DL528" s="18" t="s">
        <v>96</v>
      </c>
      <c r="DN528" s="1">
        <f t="shared" si="85"/>
        <v>0.13200000000000001</v>
      </c>
      <c r="DO528" s="1">
        <f t="shared" si="86"/>
        <v>0</v>
      </c>
      <c r="DP528" s="1" t="s">
        <v>1216</v>
      </c>
      <c r="DQ528" s="1" t="s">
        <v>2</v>
      </c>
      <c r="DR528" s="16">
        <f t="shared" si="87"/>
        <v>148.80000000000001</v>
      </c>
      <c r="DS528" s="100">
        <f t="shared" si="88"/>
        <v>0.13200000000000001</v>
      </c>
      <c r="DT528" s="101">
        <f t="shared" si="89"/>
        <v>196.41600000000003</v>
      </c>
      <c r="DV528" s="16">
        <f t="shared" si="90"/>
        <v>0</v>
      </c>
      <c r="DZ528" s="37" t="s">
        <v>2</v>
      </c>
      <c r="EA528" s="37"/>
      <c r="EM528" s="73"/>
      <c r="EN528" s="37"/>
      <c r="EO528" s="37"/>
      <c r="EP528" s="37"/>
      <c r="EQ528" s="37"/>
      <c r="ER528" s="37"/>
      <c r="ES528" s="37"/>
      <c r="ET528" s="37"/>
      <c r="EU528" s="37"/>
      <c r="EV528" s="37"/>
      <c r="EW528" s="37"/>
      <c r="EX528" s="37"/>
      <c r="EY528" s="37"/>
      <c r="EZ528" s="37"/>
      <c r="FA528" s="37"/>
      <c r="FB528" s="37"/>
      <c r="FC528" s="37"/>
      <c r="FD528" s="37"/>
      <c r="FE528" s="37"/>
      <c r="FF528" s="55"/>
      <c r="FG528" s="55"/>
      <c r="FH528" s="55"/>
      <c r="FI528" s="37"/>
      <c r="FJ528" s="55"/>
      <c r="FK528" s="55"/>
      <c r="FL528" s="45"/>
      <c r="FM528" s="37"/>
      <c r="FN528" s="37"/>
      <c r="FO528" s="37"/>
      <c r="FP528" s="55"/>
      <c r="FQ528" s="1" t="s">
        <v>2</v>
      </c>
      <c r="FR528" s="1" t="s">
        <v>113</v>
      </c>
      <c r="FS528" s="1" t="s">
        <v>261</v>
      </c>
      <c r="FT528" s="1" t="s">
        <v>589</v>
      </c>
      <c r="FU528" s="1" t="s">
        <v>1182</v>
      </c>
      <c r="FV528" s="1" t="s">
        <v>2</v>
      </c>
    </row>
    <row r="529" spans="1:178" ht="16.25" customHeight="1" x14ac:dyDescent="0.2">
      <c r="A529" s="36" t="s">
        <v>1324</v>
      </c>
      <c r="B529" s="37" t="s">
        <v>149</v>
      </c>
      <c r="C529" s="15" t="s">
        <v>1091</v>
      </c>
      <c r="D529" s="1" t="s">
        <v>69</v>
      </c>
      <c r="H529" s="1" t="s">
        <v>131</v>
      </c>
      <c r="K529" s="1">
        <v>40.39</v>
      </c>
      <c r="L529" s="13">
        <v>6.3800445654865076E-2</v>
      </c>
      <c r="M529" s="13">
        <v>0.13392820252537757</v>
      </c>
      <c r="S529" s="13">
        <v>0.1807006684822976</v>
      </c>
      <c r="U529" s="13">
        <v>2.2807774696707104</v>
      </c>
      <c r="V529" s="13">
        <v>1.939513226046051</v>
      </c>
      <c r="W529" s="13">
        <v>0.31708340430799703</v>
      </c>
      <c r="AF529" s="1">
        <v>128.85</v>
      </c>
      <c r="AG529" s="13">
        <v>7.9450523864959252E-2</v>
      </c>
      <c r="AH529" s="13">
        <v>0.19727657741559956</v>
      </c>
      <c r="AN529" s="13">
        <v>0.19786495925494763</v>
      </c>
      <c r="AP529" s="13">
        <v>2.8239773504074503</v>
      </c>
      <c r="AQ529" s="13">
        <v>2.193101839348079</v>
      </c>
      <c r="AR529" s="13">
        <v>0.33253596740395808</v>
      </c>
      <c r="BA529" s="1">
        <v>110.55000000000001</v>
      </c>
      <c r="BB529" s="13">
        <v>7.9213025780189947E-2</v>
      </c>
      <c r="BC529" s="13">
        <v>0.17888024423337853</v>
      </c>
      <c r="BI529" s="13">
        <v>0.19561736770691995</v>
      </c>
      <c r="BK529" s="13">
        <v>2.8650871370420621</v>
      </c>
      <c r="BL529" s="13">
        <v>2.365907978290366</v>
      </c>
      <c r="BM529" s="13">
        <v>0.37799438263229318</v>
      </c>
      <c r="BV529" s="1">
        <v>0</v>
      </c>
      <c r="CQ529" s="1">
        <v>0</v>
      </c>
      <c r="DL529" s="18" t="s">
        <v>96</v>
      </c>
      <c r="DN529" s="1">
        <f t="shared" si="85"/>
        <v>0.19449908860216589</v>
      </c>
      <c r="DO529" s="1">
        <f t="shared" si="86"/>
        <v>0</v>
      </c>
      <c r="DP529" s="1" t="s">
        <v>1216</v>
      </c>
      <c r="DQ529" s="1" t="s">
        <v>2</v>
      </c>
      <c r="DR529" s="101">
        <f t="shared" si="87"/>
        <v>279.79000000000002</v>
      </c>
      <c r="DS529" s="100">
        <f t="shared" si="88"/>
        <v>0.19449908860216589</v>
      </c>
      <c r="DT529" s="101">
        <f t="shared" si="89"/>
        <v>544.18899999999996</v>
      </c>
      <c r="DV529" s="16">
        <f t="shared" si="90"/>
        <v>0</v>
      </c>
      <c r="DZ529" s="37" t="s">
        <v>2</v>
      </c>
      <c r="EA529" s="37"/>
      <c r="EM529" s="73"/>
      <c r="EN529" s="37"/>
      <c r="EO529" s="37"/>
      <c r="EP529" s="37"/>
      <c r="EQ529" s="37"/>
      <c r="ER529" s="37"/>
      <c r="ES529" s="37"/>
      <c r="ET529" s="37"/>
      <c r="EU529" s="37"/>
      <c r="EV529" s="37"/>
      <c r="EW529" s="37"/>
      <c r="EX529" s="37"/>
      <c r="EY529" s="37"/>
      <c r="EZ529" s="37"/>
      <c r="FA529" s="37"/>
      <c r="FB529" s="37"/>
      <c r="FC529" s="37"/>
      <c r="FD529" s="37"/>
      <c r="FE529" s="37"/>
      <c r="FF529" s="55"/>
      <c r="FG529" s="55"/>
      <c r="FH529" s="55"/>
      <c r="FI529" s="37"/>
      <c r="FJ529" s="55"/>
      <c r="FK529" s="55"/>
      <c r="FL529" s="45"/>
      <c r="FM529" s="37"/>
      <c r="FN529" s="37"/>
      <c r="FO529" s="37"/>
      <c r="FP529" s="55"/>
      <c r="FQ529" s="1" t="s">
        <v>2</v>
      </c>
      <c r="FR529" s="1" t="s">
        <v>113</v>
      </c>
      <c r="FS529" s="1" t="s">
        <v>261</v>
      </c>
      <c r="FT529" s="1" t="s">
        <v>589</v>
      </c>
      <c r="FU529" s="1" t="s">
        <v>1194</v>
      </c>
      <c r="FV529" s="1" t="s">
        <v>2</v>
      </c>
    </row>
    <row r="530" spans="1:178" ht="16.25" customHeight="1" x14ac:dyDescent="0.2">
      <c r="A530" s="36" t="s">
        <v>1324</v>
      </c>
      <c r="B530" s="37" t="s">
        <v>149</v>
      </c>
      <c r="C530" s="15" t="s">
        <v>766</v>
      </c>
      <c r="D530" s="1" t="s">
        <v>64</v>
      </c>
      <c r="E530" s="27">
        <f>46+(34+(51.72/60))/60</f>
        <v>46.58103333333333</v>
      </c>
      <c r="F530" s="27">
        <f>-80-(47+(59.46/60))/60</f>
        <v>-80.799850000000006</v>
      </c>
      <c r="H530" s="1" t="s">
        <v>81</v>
      </c>
      <c r="K530" s="1">
        <v>0</v>
      </c>
      <c r="AF530" s="1">
        <v>0</v>
      </c>
      <c r="BA530" s="1">
        <v>9.5519999999999996</v>
      </c>
      <c r="BB530" s="13">
        <v>6.6691870325387398E-2</v>
      </c>
      <c r="BC530" s="13">
        <v>0.30951319095477386</v>
      </c>
      <c r="BI530" s="13">
        <v>0.16168649771652202</v>
      </c>
      <c r="BK530" s="13">
        <v>2.514808417085427</v>
      </c>
      <c r="BL530" s="13">
        <v>1.6989572864321607</v>
      </c>
      <c r="BM530" s="13">
        <v>0.22727701005025125</v>
      </c>
      <c r="BV530" s="1">
        <v>0</v>
      </c>
      <c r="CQ530" s="1">
        <v>0</v>
      </c>
      <c r="DL530" s="18" t="s">
        <v>96</v>
      </c>
      <c r="DN530" s="1">
        <f t="shared" si="85"/>
        <v>0.16168649771652202</v>
      </c>
      <c r="DO530" s="1">
        <f t="shared" si="86"/>
        <v>0</v>
      </c>
      <c r="DP530" s="1" t="s">
        <v>164</v>
      </c>
      <c r="DQ530" s="1" t="s">
        <v>2</v>
      </c>
      <c r="DR530" s="100">
        <f t="shared" si="87"/>
        <v>9.5519999999999996</v>
      </c>
      <c r="DS530" s="100">
        <f t="shared" si="88"/>
        <v>0.16168649771652202</v>
      </c>
      <c r="DT530" s="101">
        <f t="shared" si="89"/>
        <v>15.444294261882183</v>
      </c>
      <c r="DV530" s="16">
        <f t="shared" si="90"/>
        <v>0</v>
      </c>
      <c r="DZ530" s="37" t="s">
        <v>2</v>
      </c>
      <c r="EA530" s="37"/>
      <c r="EM530" s="73"/>
      <c r="EN530" s="37"/>
      <c r="EO530" s="37"/>
      <c r="EP530" s="37"/>
      <c r="EQ530" s="37"/>
      <c r="ER530" s="37"/>
      <c r="ES530" s="37"/>
      <c r="ET530" s="37"/>
      <c r="EU530" s="37"/>
      <c r="EV530" s="37"/>
      <c r="EW530" s="37"/>
      <c r="EX530" s="37"/>
      <c r="EY530" s="37"/>
      <c r="EZ530" s="37"/>
      <c r="FA530" s="37"/>
      <c r="FB530" s="37"/>
      <c r="FC530" s="37"/>
      <c r="FD530" s="37"/>
      <c r="FE530" s="37"/>
      <c r="FF530" s="55"/>
      <c r="FG530" s="55"/>
      <c r="FH530" s="55"/>
      <c r="FI530" s="37"/>
      <c r="FJ530" s="55"/>
      <c r="FK530" s="55"/>
      <c r="FL530" s="45"/>
      <c r="FM530" s="37"/>
      <c r="FN530" s="37"/>
      <c r="FO530" s="37"/>
      <c r="FP530" s="55"/>
      <c r="FQ530" s="1" t="s">
        <v>2</v>
      </c>
      <c r="FR530" s="1" t="s">
        <v>113</v>
      </c>
      <c r="FS530" s="1" t="s">
        <v>261</v>
      </c>
      <c r="FT530" s="1" t="s">
        <v>589</v>
      </c>
      <c r="FU530" s="1" t="s">
        <v>1194</v>
      </c>
      <c r="FV530" s="1" t="s">
        <v>2</v>
      </c>
    </row>
    <row r="531" spans="1:178" ht="16.25" customHeight="1" x14ac:dyDescent="0.2">
      <c r="A531" s="36" t="s">
        <v>1324</v>
      </c>
      <c r="B531" s="37" t="s">
        <v>149</v>
      </c>
      <c r="C531" s="15" t="s">
        <v>767</v>
      </c>
      <c r="D531" s="1" t="s">
        <v>64</v>
      </c>
      <c r="E531" s="27">
        <f>46+(29+(32.28/60))/60</f>
        <v>46.4923</v>
      </c>
      <c r="F531" s="27">
        <f>-81-(4+(3.93/60))/60</f>
        <v>-81.06775833333333</v>
      </c>
      <c r="H531" s="1" t="s">
        <v>466</v>
      </c>
      <c r="K531" s="1">
        <v>1.8</v>
      </c>
      <c r="L531" s="13">
        <v>9.9999999999999992E-2</v>
      </c>
      <c r="M531" s="13">
        <v>0.25641949999999997</v>
      </c>
      <c r="S531" s="13">
        <v>0.155</v>
      </c>
      <c r="U531" s="13">
        <v>2.1433679999999997</v>
      </c>
      <c r="V531" s="13">
        <v>1.5691869999999999</v>
      </c>
      <c r="W531" s="13">
        <v>0.18602549999999998</v>
      </c>
      <c r="AF531" s="1">
        <v>83.6</v>
      </c>
      <c r="AG531" s="13">
        <v>9.7033492822966513E-2</v>
      </c>
      <c r="AH531" s="13">
        <v>0.29550673205741629</v>
      </c>
      <c r="AN531" s="13">
        <v>0.1505502392344498</v>
      </c>
      <c r="AP531" s="13">
        <v>2.2980283397129191</v>
      </c>
      <c r="AQ531" s="13">
        <v>1.7584097703349286</v>
      </c>
      <c r="AR531" s="13">
        <v>0.18169152153110046</v>
      </c>
      <c r="BA531" s="1">
        <v>89.4</v>
      </c>
      <c r="BB531" s="13">
        <v>9.7852348993288582E-2</v>
      </c>
      <c r="BC531" s="13">
        <v>0.26753500671140934</v>
      </c>
      <c r="BI531" s="13">
        <v>0.1517785234899329</v>
      </c>
      <c r="BK531" s="13">
        <v>2.0486345302013418</v>
      </c>
      <c r="BL531" s="13">
        <v>1.5827077315436242</v>
      </c>
      <c r="BM531" s="13">
        <v>0.15843816778523487</v>
      </c>
      <c r="BV531" s="1">
        <v>0</v>
      </c>
      <c r="CQ531" s="1">
        <v>0</v>
      </c>
      <c r="DL531" s="18" t="s">
        <v>96</v>
      </c>
      <c r="DN531" s="1">
        <f t="shared" si="85"/>
        <v>0.1512242562929062</v>
      </c>
      <c r="DO531" s="1">
        <f t="shared" si="86"/>
        <v>0</v>
      </c>
      <c r="DP531" s="1" t="s">
        <v>73</v>
      </c>
      <c r="DQ531" s="1" t="s">
        <v>2</v>
      </c>
      <c r="DR531" s="16">
        <f t="shared" si="87"/>
        <v>174.8</v>
      </c>
      <c r="DS531" s="100">
        <f t="shared" si="88"/>
        <v>0.1512242562929062</v>
      </c>
      <c r="DT531" s="101">
        <f t="shared" si="89"/>
        <v>264.34000000000003</v>
      </c>
      <c r="DV531" s="16">
        <f t="shared" si="90"/>
        <v>0</v>
      </c>
      <c r="DZ531" s="37" t="s">
        <v>2</v>
      </c>
      <c r="EA531" s="37"/>
      <c r="EM531" s="73"/>
      <c r="EN531" s="37"/>
      <c r="EO531" s="37"/>
      <c r="EP531" s="37"/>
      <c r="EQ531" s="37"/>
      <c r="ER531" s="37"/>
      <c r="ES531" s="37"/>
      <c r="ET531" s="37"/>
      <c r="EU531" s="37"/>
      <c r="EV531" s="37"/>
      <c r="EW531" s="37"/>
      <c r="EX531" s="37"/>
      <c r="EY531" s="37"/>
      <c r="EZ531" s="37"/>
      <c r="FA531" s="37"/>
      <c r="FB531" s="37"/>
      <c r="FC531" s="37"/>
      <c r="FD531" s="37"/>
      <c r="FE531" s="37"/>
      <c r="FF531" s="55"/>
      <c r="FG531" s="55"/>
      <c r="FH531" s="55"/>
      <c r="FI531" s="37"/>
      <c r="FJ531" s="55"/>
      <c r="FK531" s="55"/>
      <c r="FL531" s="45"/>
      <c r="FM531" s="37"/>
      <c r="FN531" s="37"/>
      <c r="FO531" s="37"/>
      <c r="FP531" s="55"/>
      <c r="FQ531" s="1" t="s">
        <v>2</v>
      </c>
      <c r="FR531" s="1" t="s">
        <v>113</v>
      </c>
      <c r="FS531" s="1" t="s">
        <v>261</v>
      </c>
      <c r="FT531" s="1" t="s">
        <v>1232</v>
      </c>
      <c r="FU531" s="1" t="s">
        <v>1194</v>
      </c>
      <c r="FV531" s="1" t="s">
        <v>2</v>
      </c>
    </row>
    <row r="532" spans="1:178" ht="16.25" customHeight="1" x14ac:dyDescent="0.2">
      <c r="A532" s="36" t="s">
        <v>1323</v>
      </c>
      <c r="B532" s="37" t="s">
        <v>149</v>
      </c>
      <c r="C532" s="15" t="s">
        <v>768</v>
      </c>
      <c r="D532" s="1" t="s">
        <v>69</v>
      </c>
      <c r="E532" s="27">
        <f>46+(23+(51.34/60))/60</f>
        <v>46.397594444444444</v>
      </c>
      <c r="F532" s="27">
        <f>-81-(25+(36.92/60))/60</f>
        <v>-81.426922222222217</v>
      </c>
      <c r="H532" s="1" t="s">
        <v>742</v>
      </c>
      <c r="K532" s="1">
        <v>11.7</v>
      </c>
      <c r="L532" s="13">
        <v>4.0000000000000001E-3</v>
      </c>
      <c r="M532" s="13">
        <v>0.02</v>
      </c>
      <c r="S532" s="13">
        <v>1.4999999999999999E-2</v>
      </c>
      <c r="U532" s="13">
        <v>3.3700000000000006</v>
      </c>
      <c r="V532" s="13">
        <v>1.52</v>
      </c>
      <c r="W532" s="13">
        <v>0.68</v>
      </c>
      <c r="AF532" s="1">
        <v>71.7</v>
      </c>
      <c r="AG532" s="13">
        <v>2.7E-2</v>
      </c>
      <c r="AH532" s="13">
        <v>0.08</v>
      </c>
      <c r="AN532" s="13">
        <v>0.08</v>
      </c>
      <c r="AP532" s="13">
        <v>2.57</v>
      </c>
      <c r="AQ532" s="13">
        <v>1.1499999999999999</v>
      </c>
      <c r="AR532" s="13">
        <v>0.37</v>
      </c>
      <c r="BA532" s="1">
        <v>97.9</v>
      </c>
      <c r="BB532" s="13">
        <v>2.5000000000000001E-2</v>
      </c>
      <c r="BC532" s="13">
        <v>0.08</v>
      </c>
      <c r="BI532" s="13">
        <v>8.1000000000000003E-2</v>
      </c>
      <c r="BK532" s="13">
        <v>2.83</v>
      </c>
      <c r="BL532" s="13">
        <v>1.26</v>
      </c>
      <c r="BM532" s="13">
        <v>0.4</v>
      </c>
      <c r="BV532" s="1">
        <v>0</v>
      </c>
      <c r="CQ532" s="1">
        <v>28.5</v>
      </c>
      <c r="CR532" s="2">
        <v>4.0000000000000001E-3</v>
      </c>
      <c r="CS532" s="13">
        <v>2.0160000000000001E-2</v>
      </c>
      <c r="CY532" s="2">
        <v>1.4999999999999999E-2</v>
      </c>
      <c r="DA532" s="13">
        <v>3.03912</v>
      </c>
      <c r="DB532" s="13">
        <v>1.3708800000000001</v>
      </c>
      <c r="DC532" s="13">
        <v>0.61487999999999987</v>
      </c>
      <c r="DD532" s="13"/>
      <c r="DE532" s="13"/>
      <c r="DL532" s="18" t="s">
        <v>96</v>
      </c>
      <c r="DN532" s="1">
        <f t="shared" si="85"/>
        <v>7.6345284059569765E-2</v>
      </c>
      <c r="DO532" s="1">
        <f t="shared" si="86"/>
        <v>0</v>
      </c>
      <c r="DP532" s="1" t="s">
        <v>1216</v>
      </c>
      <c r="DQ532" s="1" t="s">
        <v>2</v>
      </c>
      <c r="DR532" s="16">
        <f t="shared" si="87"/>
        <v>181.3</v>
      </c>
      <c r="DS532" s="100">
        <f t="shared" si="88"/>
        <v>7.6345284059569765E-2</v>
      </c>
      <c r="DT532" s="101">
        <f t="shared" si="89"/>
        <v>138.41399999999999</v>
      </c>
      <c r="DV532" s="16">
        <f t="shared" si="90"/>
        <v>28.5</v>
      </c>
      <c r="DW532" s="16">
        <f>(BV532*CD532+CQ532*CY532)/DV532</f>
        <v>1.4999999999999999E-2</v>
      </c>
      <c r="DX532" s="101">
        <f>1000*DV532*DW532/100</f>
        <v>4.2750000000000004</v>
      </c>
      <c r="DZ532" s="37" t="s">
        <v>2</v>
      </c>
      <c r="EA532" s="37"/>
      <c r="EM532" s="73"/>
      <c r="EN532" s="37"/>
      <c r="EO532" s="37"/>
      <c r="EP532" s="37"/>
      <c r="EQ532" s="37"/>
      <c r="ER532" s="37"/>
      <c r="ES532" s="37"/>
      <c r="ET532" s="37"/>
      <c r="EU532" s="37"/>
      <c r="EV532" s="37"/>
      <c r="EW532" s="37"/>
      <c r="EX532" s="37"/>
      <c r="EY532" s="37"/>
      <c r="EZ532" s="37"/>
      <c r="FA532" s="37"/>
      <c r="FB532" s="37"/>
      <c r="FC532" s="37"/>
      <c r="FD532" s="37"/>
      <c r="FE532" s="37"/>
      <c r="FF532" s="55"/>
      <c r="FG532" s="55"/>
      <c r="FH532" s="55"/>
      <c r="FI532" s="37"/>
      <c r="FJ532" s="55"/>
      <c r="FK532" s="55"/>
      <c r="FL532" s="45"/>
      <c r="FM532" s="37"/>
      <c r="FN532" s="37"/>
      <c r="FO532" s="37"/>
      <c r="FP532" s="55"/>
      <c r="FQ532" s="1" t="s">
        <v>2</v>
      </c>
      <c r="FR532" s="1" t="s">
        <v>113</v>
      </c>
      <c r="FS532" s="1" t="s">
        <v>261</v>
      </c>
      <c r="FT532" s="1" t="s">
        <v>589</v>
      </c>
      <c r="FU532" s="1" t="s">
        <v>1182</v>
      </c>
      <c r="FV532" s="1" t="s">
        <v>2</v>
      </c>
    </row>
    <row r="533" spans="1:178" ht="16.25" customHeight="1" x14ac:dyDescent="0.2">
      <c r="A533" s="18" t="s">
        <v>1195</v>
      </c>
      <c r="B533" s="1" t="s">
        <v>149</v>
      </c>
      <c r="C533" s="15" t="s">
        <v>783</v>
      </c>
      <c r="D533" s="1" t="s">
        <v>69</v>
      </c>
      <c r="E533" s="27">
        <f>46+(34+(1.28/60))/60</f>
        <v>46.567022222222221</v>
      </c>
      <c r="F533" s="27">
        <f>-80-(53+(52.29/60))/60</f>
        <v>-80.897858333333332</v>
      </c>
      <c r="H533" s="1" t="s">
        <v>775</v>
      </c>
      <c r="K533" s="1">
        <v>8.94</v>
      </c>
      <c r="L533" s="1">
        <v>3.5000000000000003E-2</v>
      </c>
      <c r="M533" s="13">
        <v>8.9414739999999993E-2</v>
      </c>
      <c r="S533" s="1">
        <v>8.2000000000000003E-2</v>
      </c>
      <c r="U533" s="13">
        <v>2.5079153999999999</v>
      </c>
      <c r="V533" s="13">
        <v>2.2111462</v>
      </c>
      <c r="W533" s="13">
        <v>0.45153944000000001</v>
      </c>
      <c r="AF533" s="1">
        <v>6.95</v>
      </c>
      <c r="AG533" s="1">
        <v>1.4999999999999999E-2</v>
      </c>
      <c r="AH533" s="13">
        <v>3.722781E-2</v>
      </c>
      <c r="AN533" s="1">
        <v>5.6000000000000001E-2</v>
      </c>
      <c r="AP533" s="13">
        <v>1.0441700999999999</v>
      </c>
      <c r="AQ533" s="13">
        <v>0.92061029999999999</v>
      </c>
      <c r="AR533" s="13">
        <v>0.18799836</v>
      </c>
      <c r="BA533" s="1">
        <v>0</v>
      </c>
      <c r="BV533" s="1">
        <v>0</v>
      </c>
      <c r="CQ533" s="13">
        <v>4.5578099999999999</v>
      </c>
      <c r="CR533" s="13">
        <v>2.9148595329822911E-2</v>
      </c>
      <c r="CS533" s="13">
        <v>6.7996000000000001E-2</v>
      </c>
      <c r="CY533" s="13">
        <v>0.11240231217618901</v>
      </c>
      <c r="DA533" s="13">
        <v>1.90716</v>
      </c>
      <c r="DB533" s="13">
        <v>1.6814800000000001</v>
      </c>
      <c r="DC533" s="13">
        <v>0.34337600000000001</v>
      </c>
      <c r="DD533" s="13"/>
      <c r="DE533" s="13"/>
      <c r="DL533" s="18" t="s">
        <v>96</v>
      </c>
      <c r="DN533" s="1">
        <f t="shared" si="85"/>
        <v>7.0628067967275013E-2</v>
      </c>
      <c r="DO533" s="1">
        <f t="shared" si="86"/>
        <v>0</v>
      </c>
      <c r="DP533" s="1" t="s">
        <v>185</v>
      </c>
      <c r="DQ533" s="1" t="s">
        <v>2</v>
      </c>
      <c r="DR533" s="16">
        <f t="shared" si="87"/>
        <v>15.89</v>
      </c>
      <c r="DS533" s="100">
        <f t="shared" si="88"/>
        <v>7.0628067967275013E-2</v>
      </c>
      <c r="DT533" s="101">
        <f t="shared" si="89"/>
        <v>11.222799999999999</v>
      </c>
      <c r="DV533" s="100">
        <f t="shared" si="90"/>
        <v>4.5578099999999999</v>
      </c>
      <c r="DW533" s="100">
        <f>(BV533*CD533+CQ533*CY533)/DV533</f>
        <v>0.11240231217618903</v>
      </c>
      <c r="DX533" s="101">
        <f>1000*DV533*DW533/100</f>
        <v>5.1230838245975612</v>
      </c>
      <c r="DZ533" s="37" t="s">
        <v>2</v>
      </c>
      <c r="EA533" s="37"/>
      <c r="EM533" s="73"/>
      <c r="EN533" s="37"/>
      <c r="EO533" s="37"/>
      <c r="EP533" s="37"/>
      <c r="EQ533" s="37"/>
      <c r="ER533" s="37"/>
      <c r="ES533" s="37"/>
      <c r="ET533" s="37"/>
      <c r="EU533" s="37"/>
      <c r="EV533" s="37"/>
      <c r="EW533" s="37"/>
      <c r="EX533" s="37"/>
      <c r="EY533" s="37"/>
      <c r="EZ533" s="37"/>
      <c r="FA533" s="37"/>
      <c r="FB533" s="37"/>
      <c r="FC533" s="37"/>
      <c r="FD533" s="37"/>
      <c r="FE533" s="37"/>
      <c r="FF533" s="55"/>
      <c r="FG533" s="55"/>
      <c r="FH533" s="55"/>
      <c r="FI533" s="37"/>
      <c r="FJ533" s="55"/>
      <c r="FK533" s="55"/>
      <c r="FL533" s="45"/>
      <c r="FM533" s="37"/>
      <c r="FN533" s="37"/>
      <c r="FO533" s="37"/>
      <c r="FP533" s="55"/>
      <c r="FQ533" s="1" t="s">
        <v>2</v>
      </c>
      <c r="FR533" s="1" t="s">
        <v>113</v>
      </c>
      <c r="FS533" s="1" t="s">
        <v>261</v>
      </c>
      <c r="FT533" s="1" t="s">
        <v>589</v>
      </c>
      <c r="FU533" s="1" t="s">
        <v>1194</v>
      </c>
      <c r="FV533" s="1" t="s">
        <v>2</v>
      </c>
    </row>
    <row r="534" spans="1:178" ht="16.25" customHeight="1" x14ac:dyDescent="0.2">
      <c r="A534" s="36" t="s">
        <v>1323</v>
      </c>
      <c r="B534" s="37" t="s">
        <v>149</v>
      </c>
      <c r="C534" s="15" t="s">
        <v>770</v>
      </c>
      <c r="D534" s="1" t="s">
        <v>71</v>
      </c>
      <c r="E534" s="27">
        <f>46+(25+(25.67/60))/60</f>
        <v>46.42379722222222</v>
      </c>
      <c r="F534" s="27">
        <f>-81-(23+(15.04/60))/60</f>
        <v>-81.38751111111111</v>
      </c>
      <c r="H534" s="1" t="s">
        <v>695</v>
      </c>
      <c r="K534" s="1">
        <v>41.219512195121951</v>
      </c>
      <c r="L534" s="13">
        <v>4.1922045008979877E-2</v>
      </c>
      <c r="M534" s="13">
        <v>0.11830024688183685</v>
      </c>
      <c r="S534" s="13">
        <v>0.14966186100017109</v>
      </c>
      <c r="U534" s="13">
        <v>2.9807424278466153</v>
      </c>
      <c r="V534" s="13">
        <v>1.3451946547541811</v>
      </c>
      <c r="W534" s="13">
        <v>0.41246986798309898</v>
      </c>
      <c r="X534" s="13">
        <v>0.71239310651893939</v>
      </c>
      <c r="Y534" s="13">
        <v>0.16511935921815282</v>
      </c>
      <c r="AF534" s="1">
        <v>448.17073170731715</v>
      </c>
      <c r="AG534" s="13">
        <v>4.7858752859494494E-2</v>
      </c>
      <c r="AH534" s="13">
        <v>0.13637585901501129</v>
      </c>
      <c r="AN534" s="13">
        <v>0.15804702543942561</v>
      </c>
      <c r="AP534" s="13">
        <v>3.0244988103390766</v>
      </c>
      <c r="AQ534" s="13">
        <v>1.3588634576408731</v>
      </c>
      <c r="AR534" s="13">
        <v>0.38528676780752713</v>
      </c>
      <c r="AS534" s="13">
        <v>0.68211025831433703</v>
      </c>
      <c r="AT534" s="13">
        <v>0.15242641278390434</v>
      </c>
      <c r="BA534" s="1">
        <v>174.8780487804878</v>
      </c>
      <c r="BB534" s="13">
        <v>4.6050533759498698E-2</v>
      </c>
      <c r="BC534" s="13">
        <v>0.1344426792077984</v>
      </c>
      <c r="BI534" s="13">
        <v>0.14536417897999226</v>
      </c>
      <c r="BK534" s="13">
        <v>2.9999942299113873</v>
      </c>
      <c r="BL534" s="13">
        <v>1.3460010755739806</v>
      </c>
      <c r="BM534" s="13">
        <v>0.39759064686851359</v>
      </c>
      <c r="BN534" s="13">
        <v>0.69063700184573018</v>
      </c>
      <c r="BO534" s="13">
        <v>0.15356300629004638</v>
      </c>
      <c r="BV534" s="1">
        <v>18.780487804878049</v>
      </c>
      <c r="BW534" s="13">
        <v>3.974572461373875E-2</v>
      </c>
      <c r="BX534" s="13">
        <v>8.5354036883116893E-2</v>
      </c>
      <c r="CD534" s="13">
        <v>0.14658796805375993</v>
      </c>
      <c r="CF534" s="13">
        <v>2.4069101681818181</v>
      </c>
      <c r="CG534" s="13">
        <v>1.0970836370129871</v>
      </c>
      <c r="CH534" s="13">
        <v>0.35463405246753255</v>
      </c>
      <c r="CI534" s="13">
        <v>0.60876095642857142</v>
      </c>
      <c r="CJ534" s="13">
        <v>0.14019707064935064</v>
      </c>
      <c r="CQ534" s="1">
        <v>264.75609756097566</v>
      </c>
      <c r="CR534" s="13">
        <v>3.4326876001730081E-2</v>
      </c>
      <c r="CS534" s="13">
        <v>8.3690077088564338E-2</v>
      </c>
      <c r="CY534" s="13">
        <v>0.13893424180897254</v>
      </c>
      <c r="DA534" s="13">
        <v>2.4052624669237512</v>
      </c>
      <c r="DB534" s="13">
        <v>1.1512607897369789</v>
      </c>
      <c r="DC534" s="13">
        <v>0.35214145811532527</v>
      </c>
      <c r="DD534" s="13">
        <v>0.56599523489674441</v>
      </c>
      <c r="DE534" s="13">
        <v>0.13766484105959487</v>
      </c>
      <c r="DL534" s="18" t="s">
        <v>96</v>
      </c>
      <c r="DN534" s="1">
        <f t="shared" si="85"/>
        <v>0.15418776577294949</v>
      </c>
      <c r="DO534" s="1">
        <f t="shared" si="86"/>
        <v>0</v>
      </c>
      <c r="DP534" s="1" t="s">
        <v>73</v>
      </c>
      <c r="DQ534" s="1" t="s">
        <v>2</v>
      </c>
      <c r="DR534" s="101">
        <f t="shared" si="87"/>
        <v>664.26829268292693</v>
      </c>
      <c r="DS534" s="100">
        <f t="shared" si="88"/>
        <v>0.15418776577294949</v>
      </c>
      <c r="DT534" s="101">
        <f t="shared" si="89"/>
        <v>1024.2204392259218</v>
      </c>
      <c r="DV534" s="101">
        <f t="shared" si="90"/>
        <v>283.53658536585374</v>
      </c>
      <c r="DW534" s="16">
        <f>(BV534*CD534+CQ534*CY534)/DV534</f>
        <v>0.1394411983000251</v>
      </c>
      <c r="DX534" s="101">
        <f>1000*DV534*DW534/100</f>
        <v>395.36681225312009</v>
      </c>
      <c r="DZ534" s="37" t="s">
        <v>2</v>
      </c>
      <c r="EA534" s="37"/>
      <c r="EM534" s="73"/>
      <c r="EN534" s="37"/>
      <c r="EO534" s="37"/>
      <c r="EP534" s="37"/>
      <c r="EQ534" s="37"/>
      <c r="ER534" s="37"/>
      <c r="ES534" s="37"/>
      <c r="ET534" s="37"/>
      <c r="EU534" s="37"/>
      <c r="EV534" s="37"/>
      <c r="EW534" s="37"/>
      <c r="EX534" s="37"/>
      <c r="EY534" s="37"/>
      <c r="EZ534" s="37"/>
      <c r="FA534" s="37"/>
      <c r="FB534" s="37"/>
      <c r="FC534" s="37"/>
      <c r="FD534" s="37"/>
      <c r="FE534" s="37"/>
      <c r="FF534" s="55"/>
      <c r="FG534" s="55"/>
      <c r="FH534" s="55"/>
      <c r="FI534" s="37"/>
      <c r="FJ534" s="55"/>
      <c r="FK534" s="55"/>
      <c r="FL534" s="45"/>
      <c r="FM534" s="37"/>
      <c r="FN534" s="37"/>
      <c r="FO534" s="37"/>
      <c r="FP534" s="55"/>
      <c r="FQ534" s="1" t="s">
        <v>2</v>
      </c>
      <c r="FR534" s="1" t="s">
        <v>113</v>
      </c>
      <c r="FS534" s="1" t="s">
        <v>261</v>
      </c>
      <c r="FT534" s="1" t="s">
        <v>589</v>
      </c>
      <c r="FU534" s="1" t="s">
        <v>1182</v>
      </c>
      <c r="FV534" s="1" t="s">
        <v>2</v>
      </c>
    </row>
    <row r="535" spans="1:178" ht="16.25" customHeight="1" x14ac:dyDescent="0.2">
      <c r="A535" s="18" t="s">
        <v>1183</v>
      </c>
      <c r="B535" s="1" t="s">
        <v>149</v>
      </c>
      <c r="C535" s="15" t="s">
        <v>777</v>
      </c>
      <c r="D535" s="1" t="s">
        <v>69</v>
      </c>
      <c r="E535" s="27">
        <f>46+(25+(25.67/60))/60</f>
        <v>46.42379722222222</v>
      </c>
      <c r="F535" s="27">
        <f>-81-(23+(15.04/60))/60</f>
        <v>-81.38751111111111</v>
      </c>
      <c r="H535" s="1" t="s">
        <v>742</v>
      </c>
      <c r="K535" s="1">
        <v>27.2</v>
      </c>
      <c r="L535" s="13">
        <v>1.5542233663308669E-2</v>
      </c>
      <c r="M535" s="13">
        <v>3.5934696000000002E-2</v>
      </c>
      <c r="S535" s="13">
        <v>0.11240231217618901</v>
      </c>
      <c r="U535" s="13">
        <v>1.9450644500000001</v>
      </c>
      <c r="V535" s="13">
        <v>0.97660031000000003</v>
      </c>
      <c r="W535" s="13">
        <v>0.33240054400000002</v>
      </c>
      <c r="AF535" s="1">
        <v>9.4</v>
      </c>
      <c r="AG535" s="13">
        <v>1.5542233663308669E-2</v>
      </c>
      <c r="AH535" s="13">
        <v>4.0959000000000002E-2</v>
      </c>
      <c r="AN535" s="13">
        <v>0.11240231217618901</v>
      </c>
      <c r="AP535" s="13">
        <v>2.2170187499999998</v>
      </c>
      <c r="AQ535" s="13">
        <v>1.11314625</v>
      </c>
      <c r="AR535" s="13">
        <v>0.37887599999999999</v>
      </c>
      <c r="BA535" s="14">
        <v>5</v>
      </c>
      <c r="BB535" s="13">
        <v>1.5542233663308669E-2</v>
      </c>
      <c r="BC535" s="13">
        <v>3.2221080000000006E-2</v>
      </c>
      <c r="BI535" s="13">
        <v>0.11240231217618901</v>
      </c>
      <c r="BK535" s="13">
        <v>1.7440547500000001</v>
      </c>
      <c r="BL535" s="13">
        <v>0.87567505000000012</v>
      </c>
      <c r="BM535" s="13">
        <v>0.29804912</v>
      </c>
      <c r="BV535" s="1">
        <v>0</v>
      </c>
      <c r="CQ535" s="1">
        <v>0</v>
      </c>
      <c r="DL535" s="18" t="s">
        <v>96</v>
      </c>
      <c r="DN535" s="1">
        <f t="shared" si="85"/>
        <v>0.11240231217618901</v>
      </c>
      <c r="DO535" s="1">
        <f t="shared" si="86"/>
        <v>0</v>
      </c>
      <c r="DP535" s="1" t="s">
        <v>73</v>
      </c>
      <c r="DQ535" s="1" t="s">
        <v>2</v>
      </c>
      <c r="DR535" s="16">
        <f t="shared" si="87"/>
        <v>41.6</v>
      </c>
      <c r="DS535" s="100">
        <f t="shared" si="88"/>
        <v>0.11240231217618901</v>
      </c>
      <c r="DT535" s="101">
        <f t="shared" si="89"/>
        <v>46.759361865294629</v>
      </c>
      <c r="DV535" s="16">
        <f t="shared" si="90"/>
        <v>0</v>
      </c>
      <c r="DZ535" s="37" t="s">
        <v>2</v>
      </c>
      <c r="EA535" s="37"/>
      <c r="EM535" s="73"/>
      <c r="EN535" s="37"/>
      <c r="EO535" s="37"/>
      <c r="EP535" s="37"/>
      <c r="EQ535" s="37"/>
      <c r="ER535" s="37"/>
      <c r="ES535" s="37"/>
      <c r="ET535" s="37"/>
      <c r="EU535" s="37"/>
      <c r="EV535" s="37"/>
      <c r="EW535" s="37"/>
      <c r="EX535" s="37"/>
      <c r="EY535" s="37"/>
      <c r="EZ535" s="37"/>
      <c r="FA535" s="37"/>
      <c r="FB535" s="37"/>
      <c r="FC535" s="37"/>
      <c r="FD535" s="37"/>
      <c r="FE535" s="37"/>
      <c r="FF535" s="55"/>
      <c r="FG535" s="55"/>
      <c r="FH535" s="55"/>
      <c r="FI535" s="37"/>
      <c r="FJ535" s="55"/>
      <c r="FK535" s="55"/>
      <c r="FL535" s="45"/>
      <c r="FM535" s="37"/>
      <c r="FN535" s="37"/>
      <c r="FO535" s="37"/>
      <c r="FP535" s="55"/>
      <c r="FQ535" s="1" t="s">
        <v>2</v>
      </c>
      <c r="FR535" s="1" t="s">
        <v>113</v>
      </c>
      <c r="FS535" s="1" t="s">
        <v>261</v>
      </c>
      <c r="FT535" s="1" t="s">
        <v>589</v>
      </c>
      <c r="FU535" s="1" t="s">
        <v>1182</v>
      </c>
      <c r="FV535" s="1" t="s">
        <v>2</v>
      </c>
    </row>
    <row r="536" spans="1:178" ht="16.25" customHeight="1" x14ac:dyDescent="0.2">
      <c r="A536" s="36" t="s">
        <v>1324</v>
      </c>
      <c r="B536" s="37" t="s">
        <v>149</v>
      </c>
      <c r="C536" s="15" t="s">
        <v>778</v>
      </c>
      <c r="D536" s="1" t="s">
        <v>69</v>
      </c>
      <c r="E536" s="27">
        <f>46+(44+(27.74/60))/60</f>
        <v>46.741038888888887</v>
      </c>
      <c r="F536" s="27">
        <f>-81-(7+(57.94/60))/60</f>
        <v>-81.132761111111108</v>
      </c>
      <c r="H536" s="1" t="s">
        <v>779</v>
      </c>
      <c r="K536" s="1">
        <v>84.3</v>
      </c>
      <c r="L536" s="13">
        <v>5.6619217081850533E-2</v>
      </c>
      <c r="M536" s="13">
        <v>0.17425822064056937</v>
      </c>
      <c r="S536" s="13">
        <v>0.10510083036773428</v>
      </c>
      <c r="U536" s="13">
        <v>2.6258794306049822</v>
      </c>
      <c r="V536" s="13">
        <v>2.1737101779359431</v>
      </c>
      <c r="W536" s="13">
        <v>0.39030861209964413</v>
      </c>
      <c r="X536" s="13">
        <v>0.582597153024911</v>
      </c>
      <c r="Y536" s="13">
        <v>0.1655417793594306</v>
      </c>
      <c r="AF536" s="1">
        <v>30</v>
      </c>
      <c r="AG536" s="13">
        <v>4.2799999999999991E-2</v>
      </c>
      <c r="AH536" s="13">
        <v>0.1350733333333333</v>
      </c>
      <c r="AN536" s="13">
        <v>8.5466666666666663E-2</v>
      </c>
      <c r="AP536" s="13">
        <v>2.6803599999999999</v>
      </c>
      <c r="AQ536" s="13">
        <v>2.4053333333333331</v>
      </c>
      <c r="AR536" s="13">
        <v>0.46384666666666663</v>
      </c>
      <c r="AS536" s="13">
        <v>0.6744066666666666</v>
      </c>
      <c r="AT536" s="13">
        <v>0.19972666666666669</v>
      </c>
      <c r="BA536" s="1">
        <v>11.600000000000001</v>
      </c>
      <c r="BB536" s="13">
        <v>6.0344827586206892E-2</v>
      </c>
      <c r="BC536" s="13">
        <v>0.1709896551724138</v>
      </c>
      <c r="BI536" s="13">
        <v>0.11724137931034483</v>
      </c>
      <c r="BK536" s="13">
        <v>2.5390772413793101</v>
      </c>
      <c r="BL536" s="13">
        <v>2.0909958620689655</v>
      </c>
      <c r="BM536" s="13">
        <v>0.37359655172413792</v>
      </c>
      <c r="BN536" s="13">
        <v>0.55869724137931032</v>
      </c>
      <c r="BO536" s="13">
        <v>0.15827931034482759</v>
      </c>
      <c r="BV536" s="1">
        <v>2.8</v>
      </c>
      <c r="BW536" s="13">
        <v>0.02</v>
      </c>
      <c r="BX536" s="13">
        <v>5.28E-2</v>
      </c>
      <c r="CD536" s="13">
        <v>0.04</v>
      </c>
      <c r="CF536" s="13">
        <v>2.0116800000000001</v>
      </c>
      <c r="CG536" s="13">
        <v>2.0169600000000001</v>
      </c>
      <c r="CH536" s="13">
        <v>0.4224</v>
      </c>
      <c r="CI536" s="13">
        <v>0.59664000000000006</v>
      </c>
      <c r="CJ536" s="13">
        <v>0.18480000000000002</v>
      </c>
      <c r="CQ536" s="1">
        <v>19.5</v>
      </c>
      <c r="CR536" s="13">
        <v>0.02</v>
      </c>
      <c r="CS536" s="13">
        <v>4.8300000000000003E-2</v>
      </c>
      <c r="CY536" s="13">
        <v>0.05</v>
      </c>
      <c r="DA536" s="13">
        <v>1.8402299999999998</v>
      </c>
      <c r="DB536" s="13">
        <v>1.8450600000000001</v>
      </c>
      <c r="DC536" s="13">
        <v>0.38640000000000002</v>
      </c>
      <c r="DD536" s="13">
        <v>0.54579</v>
      </c>
      <c r="DE536" s="13">
        <v>0.16905000000000001</v>
      </c>
      <c r="DL536" s="18" t="s">
        <v>96</v>
      </c>
      <c r="DN536" s="1">
        <f t="shared" si="85"/>
        <v>0.10154090548054009</v>
      </c>
      <c r="DO536" s="1">
        <f t="shared" si="86"/>
        <v>0</v>
      </c>
      <c r="DP536" s="1" t="s">
        <v>73</v>
      </c>
      <c r="DQ536" s="1" t="s">
        <v>2</v>
      </c>
      <c r="DR536" s="16">
        <f t="shared" si="87"/>
        <v>125.9</v>
      </c>
      <c r="DS536" s="100">
        <f t="shared" si="88"/>
        <v>0.10154090548054009</v>
      </c>
      <c r="DT536" s="101">
        <f t="shared" si="89"/>
        <v>127.83999999999997</v>
      </c>
      <c r="DV536" s="16">
        <f t="shared" si="90"/>
        <v>22.3</v>
      </c>
      <c r="DW536" s="103">
        <f>(BV536*CD536+CQ536*CY536)/DV536</f>
        <v>4.8744394618834085E-2</v>
      </c>
      <c r="DX536" s="101">
        <f>1000*DV536*DW536/100</f>
        <v>10.87</v>
      </c>
      <c r="DZ536" s="37" t="s">
        <v>2</v>
      </c>
      <c r="EA536" s="37"/>
      <c r="EM536" s="73"/>
      <c r="EN536" s="37"/>
      <c r="EO536" s="37"/>
      <c r="EP536" s="37"/>
      <c r="EQ536" s="37"/>
      <c r="ER536" s="37"/>
      <c r="ES536" s="37"/>
      <c r="ET536" s="37"/>
      <c r="EU536" s="37"/>
      <c r="EV536" s="37"/>
      <c r="EW536" s="37"/>
      <c r="EX536" s="37"/>
      <c r="EY536" s="37"/>
      <c r="EZ536" s="37"/>
      <c r="FA536" s="37"/>
      <c r="FB536" s="37"/>
      <c r="FC536" s="37"/>
      <c r="FD536" s="37"/>
      <c r="FE536" s="37"/>
      <c r="FF536" s="55"/>
      <c r="FG536" s="55"/>
      <c r="FH536" s="55"/>
      <c r="FI536" s="37"/>
      <c r="FJ536" s="55"/>
      <c r="FK536" s="55"/>
      <c r="FL536" s="45"/>
      <c r="FM536" s="37"/>
      <c r="FN536" s="37"/>
      <c r="FO536" s="37"/>
      <c r="FP536" s="55"/>
      <c r="FQ536" s="1" t="s">
        <v>2</v>
      </c>
      <c r="FR536" s="1" t="s">
        <v>113</v>
      </c>
      <c r="FS536" s="1" t="s">
        <v>261</v>
      </c>
      <c r="FT536" s="1" t="s">
        <v>589</v>
      </c>
      <c r="FU536" s="1" t="s">
        <v>1194</v>
      </c>
      <c r="FV536" s="1" t="s">
        <v>2</v>
      </c>
    </row>
    <row r="537" spans="1:178" ht="16.25" customHeight="1" x14ac:dyDescent="0.2">
      <c r="A537" s="36" t="s">
        <v>1323</v>
      </c>
      <c r="B537" s="37" t="s">
        <v>149</v>
      </c>
      <c r="C537" s="15" t="s">
        <v>772</v>
      </c>
      <c r="D537" s="1" t="s">
        <v>69</v>
      </c>
      <c r="E537" s="27">
        <f>46+(48+(18/60))/60</f>
        <v>46.805</v>
      </c>
      <c r="F537" s="27">
        <f>-80-(52+(41.03/60))/60</f>
        <v>-80.878063888888889</v>
      </c>
      <c r="H537" s="1" t="s">
        <v>773</v>
      </c>
      <c r="K537" s="1">
        <v>158.05847953216374</v>
      </c>
      <c r="L537" s="13">
        <v>4.0597956748293522E-2</v>
      </c>
      <c r="M537" s="13">
        <v>0.14943690360130235</v>
      </c>
      <c r="S537" s="13">
        <v>0.1477916834409066</v>
      </c>
      <c r="U537" s="13">
        <v>2.7918750695093979</v>
      </c>
      <c r="V537" s="13">
        <v>1.4293515323464554</v>
      </c>
      <c r="W537" s="13">
        <v>0.3598952825193133</v>
      </c>
      <c r="AF537" s="1">
        <v>191.12280701754383</v>
      </c>
      <c r="AG537" s="13">
        <v>4.3611616243099526E-2</v>
      </c>
      <c r="AH537" s="13">
        <v>0.14836226488980137</v>
      </c>
      <c r="AN537" s="13">
        <v>0.15204825645479994</v>
      </c>
      <c r="AP537" s="13">
        <v>1.5520134426094139</v>
      </c>
      <c r="AQ537" s="13">
        <v>0.81297937432676814</v>
      </c>
      <c r="AR537" s="13">
        <v>0.12185858504972867</v>
      </c>
      <c r="AS537" s="13"/>
      <c r="AT537" s="13"/>
      <c r="BA537" s="1">
        <v>33.89473684210526</v>
      </c>
      <c r="BB537" s="13">
        <v>9.242958399360128E-2</v>
      </c>
      <c r="BC537" s="13">
        <v>6.3006893782608694E-2</v>
      </c>
      <c r="BI537" s="13">
        <v>0.19547316805783027</v>
      </c>
      <c r="BK537" s="13">
        <v>0.56653257434782611</v>
      </c>
      <c r="BL537" s="13">
        <v>0.29925627198260873</v>
      </c>
      <c r="BM537" s="13">
        <v>3.3880862092000003E-2</v>
      </c>
      <c r="BV537" s="1">
        <v>0</v>
      </c>
      <c r="CQ537" s="1">
        <v>0</v>
      </c>
      <c r="DL537" s="18" t="s">
        <v>96</v>
      </c>
      <c r="DN537" s="1">
        <f t="shared" si="85"/>
        <v>0.15413423533050072</v>
      </c>
      <c r="DO537" s="1">
        <f t="shared" si="86"/>
        <v>0</v>
      </c>
      <c r="DP537" s="1" t="s">
        <v>101</v>
      </c>
      <c r="DQ537" s="1" t="s">
        <v>2</v>
      </c>
      <c r="DR537" s="101">
        <f t="shared" si="87"/>
        <v>383.07602339181284</v>
      </c>
      <c r="DS537" s="100">
        <f t="shared" si="88"/>
        <v>0.15413423533050072</v>
      </c>
      <c r="DT537" s="101">
        <f t="shared" si="89"/>
        <v>590.45129938946081</v>
      </c>
      <c r="DV537" s="16">
        <f t="shared" si="90"/>
        <v>0</v>
      </c>
      <c r="DZ537" s="37" t="s">
        <v>2</v>
      </c>
      <c r="EA537" s="37"/>
      <c r="EM537" s="73"/>
      <c r="EN537" s="37"/>
      <c r="EO537" s="37"/>
      <c r="EP537" s="37"/>
      <c r="EQ537" s="37"/>
      <c r="ER537" s="37"/>
      <c r="ES537" s="37"/>
      <c r="ET537" s="37"/>
      <c r="EU537" s="37"/>
      <c r="EV537" s="37"/>
      <c r="EW537" s="37"/>
      <c r="EX537" s="37"/>
      <c r="EY537" s="37"/>
      <c r="EZ537" s="37"/>
      <c r="FA537" s="37"/>
      <c r="FB537" s="37"/>
      <c r="FC537" s="37"/>
      <c r="FD537" s="37"/>
      <c r="FE537" s="37"/>
      <c r="FF537" s="55"/>
      <c r="FG537" s="55"/>
      <c r="FH537" s="55"/>
      <c r="FI537" s="37"/>
      <c r="FJ537" s="55"/>
      <c r="FK537" s="55"/>
      <c r="FL537" s="45"/>
      <c r="FM537" s="37"/>
      <c r="FN537" s="37"/>
      <c r="FO537" s="37"/>
      <c r="FP537" s="55"/>
      <c r="FQ537" s="1" t="s">
        <v>2</v>
      </c>
      <c r="FR537" s="1" t="s">
        <v>113</v>
      </c>
      <c r="FS537" s="1" t="s">
        <v>261</v>
      </c>
      <c r="FT537" s="1" t="s">
        <v>589</v>
      </c>
      <c r="FU537" s="1" t="s">
        <v>1182</v>
      </c>
      <c r="FV537" s="1" t="s">
        <v>2</v>
      </c>
    </row>
    <row r="538" spans="1:178" ht="16.25" customHeight="1" x14ac:dyDescent="0.2">
      <c r="A538" s="18" t="s">
        <v>1195</v>
      </c>
      <c r="B538" s="1" t="s">
        <v>149</v>
      </c>
      <c r="C538" s="15" t="s">
        <v>774</v>
      </c>
      <c r="D538" s="1" t="s">
        <v>71</v>
      </c>
      <c r="E538" s="27">
        <f>46+(46+(41.16/60))/60</f>
        <v>46.778100000000002</v>
      </c>
      <c r="F538" s="27">
        <f>-80-(52+(32.52/60))/60</f>
        <v>-80.875699999999995</v>
      </c>
      <c r="H538" s="1" t="s">
        <v>775</v>
      </c>
      <c r="K538" s="1">
        <v>0</v>
      </c>
      <c r="AF538" s="1">
        <v>14.51</v>
      </c>
      <c r="AG538" s="13">
        <v>2.9148595329822911E-2</v>
      </c>
      <c r="AH538" s="13">
        <v>5.2186929999999999E-2</v>
      </c>
      <c r="AN538" s="13">
        <v>0.11240231217618901</v>
      </c>
      <c r="AP538" s="13">
        <v>1.4637452999999998</v>
      </c>
      <c r="AQ538" s="13">
        <v>1.2905359000000001</v>
      </c>
      <c r="AR538" s="13">
        <v>0.26354107999999998</v>
      </c>
      <c r="AS538" s="13"/>
      <c r="AT538" s="13"/>
      <c r="BA538" s="1">
        <v>2.96</v>
      </c>
      <c r="BB538" s="13">
        <v>2.9148595329822911E-2</v>
      </c>
      <c r="BC538" s="13">
        <v>5.2186929999999999E-2</v>
      </c>
      <c r="BI538" s="13">
        <v>0.11240231217618901</v>
      </c>
      <c r="BK538" s="13">
        <v>1.4637452999999998</v>
      </c>
      <c r="BL538" s="13">
        <v>1.2905359000000001</v>
      </c>
      <c r="BM538" s="13">
        <v>0.26354107999999998</v>
      </c>
      <c r="BV538" s="1">
        <v>0</v>
      </c>
      <c r="CQ538" s="1">
        <v>0</v>
      </c>
      <c r="DL538" s="18" t="s">
        <v>96</v>
      </c>
      <c r="DN538" s="1">
        <f t="shared" si="85"/>
        <v>0.11240231217618901</v>
      </c>
      <c r="DO538" s="1">
        <f t="shared" si="86"/>
        <v>0</v>
      </c>
      <c r="DP538" s="1" t="s">
        <v>1087</v>
      </c>
      <c r="DQ538" s="1" t="s">
        <v>2</v>
      </c>
      <c r="DR538" s="16">
        <f t="shared" si="87"/>
        <v>17.47</v>
      </c>
      <c r="DS538" s="100">
        <f t="shared" si="88"/>
        <v>0.11240231217618901</v>
      </c>
      <c r="DT538" s="101">
        <f t="shared" si="89"/>
        <v>19.636683937180223</v>
      </c>
      <c r="DV538" s="16">
        <f t="shared" si="90"/>
        <v>0</v>
      </c>
      <c r="DZ538" s="37" t="s">
        <v>2</v>
      </c>
      <c r="EA538" s="37"/>
      <c r="EM538" s="73"/>
      <c r="EN538" s="37"/>
      <c r="EO538" s="37"/>
      <c r="EP538" s="37"/>
      <c r="EQ538" s="37"/>
      <c r="ER538" s="37"/>
      <c r="ES538" s="37"/>
      <c r="ET538" s="37"/>
      <c r="EU538" s="37"/>
      <c r="EV538" s="37"/>
      <c r="EW538" s="37"/>
      <c r="EX538" s="37"/>
      <c r="EY538" s="37"/>
      <c r="EZ538" s="37"/>
      <c r="FA538" s="37"/>
      <c r="FB538" s="37"/>
      <c r="FC538" s="37"/>
      <c r="FD538" s="37"/>
      <c r="FE538" s="37"/>
      <c r="FF538" s="55"/>
      <c r="FG538" s="55"/>
      <c r="FH538" s="55"/>
      <c r="FI538" s="37"/>
      <c r="FJ538" s="55"/>
      <c r="FK538" s="55"/>
      <c r="FL538" s="45"/>
      <c r="FM538" s="37"/>
      <c r="FN538" s="37"/>
      <c r="FO538" s="37"/>
      <c r="FP538" s="55"/>
      <c r="FQ538" s="1" t="s">
        <v>2</v>
      </c>
      <c r="FR538" s="1" t="s">
        <v>113</v>
      </c>
      <c r="FS538" s="1" t="s">
        <v>261</v>
      </c>
      <c r="FT538" s="1" t="s">
        <v>589</v>
      </c>
      <c r="FU538" s="1" t="s">
        <v>1194</v>
      </c>
      <c r="FV538" s="1" t="s">
        <v>2</v>
      </c>
    </row>
    <row r="539" spans="1:178" ht="16.25" customHeight="1" x14ac:dyDescent="0.2">
      <c r="A539" s="36" t="s">
        <v>1324</v>
      </c>
      <c r="B539" s="37" t="s">
        <v>149</v>
      </c>
      <c r="C539" s="15" t="s">
        <v>781</v>
      </c>
      <c r="D539" s="1" t="s">
        <v>71</v>
      </c>
      <c r="E539" s="27">
        <f>46+(25+(25.67/60))/60</f>
        <v>46.42379722222222</v>
      </c>
      <c r="F539" s="27">
        <f>-81-(23+(15.04/60))/60</f>
        <v>-81.38751111111111</v>
      </c>
      <c r="H539" s="1" t="s">
        <v>775</v>
      </c>
      <c r="K539" s="1">
        <v>105.4</v>
      </c>
      <c r="L539" s="13">
        <v>3.3529411764705877E-2</v>
      </c>
      <c r="M539" s="13">
        <v>0.10157647058823531</v>
      </c>
      <c r="S539" s="13">
        <v>0.13176470588235295</v>
      </c>
      <c r="U539" s="13">
        <v>2.4494876470588234</v>
      </c>
      <c r="V539" s="13">
        <v>2.4063635294117645</v>
      </c>
      <c r="W539" s="13">
        <v>0.45139588235294115</v>
      </c>
      <c r="AF539" s="1">
        <v>158.19999999999999</v>
      </c>
      <c r="AG539" s="13">
        <v>3.7054361567635904E-2</v>
      </c>
      <c r="AH539" s="13">
        <v>0.11504788874841972</v>
      </c>
      <c r="AN539" s="13">
        <v>0.13352718078381798</v>
      </c>
      <c r="AP539" s="13">
        <v>2.2530583059418459</v>
      </c>
      <c r="AQ539" s="13">
        <v>2.0524148672566374</v>
      </c>
      <c r="AR539" s="13">
        <v>0.37078108723135278</v>
      </c>
      <c r="AS539" s="13"/>
      <c r="AT539" s="13"/>
      <c r="BA539" s="1">
        <v>215.8</v>
      </c>
      <c r="BB539" s="13">
        <v>4.2845227062094524E-2</v>
      </c>
      <c r="BC539" s="13">
        <v>0.14017957367933273</v>
      </c>
      <c r="BI539" s="13">
        <v>0.13642261353104726</v>
      </c>
      <c r="BK539" s="13">
        <v>2.0018118906394808</v>
      </c>
      <c r="BL539" s="13">
        <v>1.5408547729379054</v>
      </c>
      <c r="BM539" s="13">
        <v>0.25143550509731233</v>
      </c>
      <c r="BV539" s="1">
        <v>15.8</v>
      </c>
      <c r="BW539" s="13">
        <v>0.03</v>
      </c>
      <c r="BX539" s="13">
        <v>6.2859999999999999E-2</v>
      </c>
      <c r="CD539" s="13">
        <v>0.13</v>
      </c>
      <c r="CF539" s="13">
        <v>1.9621300000000002</v>
      </c>
      <c r="CG539" s="13">
        <v>2.0654000000000003</v>
      </c>
      <c r="CH539" s="13">
        <v>0.39961000000000002</v>
      </c>
      <c r="CQ539" s="1">
        <v>31.8</v>
      </c>
      <c r="CR539" s="13">
        <v>0.03</v>
      </c>
      <c r="CS539" s="13">
        <v>5.9779999999999993E-2</v>
      </c>
      <c r="CY539" s="13">
        <v>0.13</v>
      </c>
      <c r="DA539" s="13">
        <v>1.8659899999999998</v>
      </c>
      <c r="DB539" s="13">
        <v>1.9641999999999999</v>
      </c>
      <c r="DC539" s="13">
        <v>0.38002999999999992</v>
      </c>
      <c r="DL539" s="18" t="s">
        <v>96</v>
      </c>
      <c r="DN539" s="1">
        <f t="shared" si="85"/>
        <v>0.13444305381727156</v>
      </c>
      <c r="DO539" s="1">
        <f t="shared" si="86"/>
        <v>0</v>
      </c>
      <c r="DP539" s="1" t="s">
        <v>73</v>
      </c>
      <c r="DQ539" s="1" t="s">
        <v>2</v>
      </c>
      <c r="DR539" s="16">
        <f t="shared" si="87"/>
        <v>479.40000000000003</v>
      </c>
      <c r="DS539" s="100">
        <f t="shared" si="88"/>
        <v>0.13444305381727156</v>
      </c>
      <c r="DT539" s="101">
        <f t="shared" si="89"/>
        <v>644.52</v>
      </c>
      <c r="DV539" s="16">
        <f t="shared" si="90"/>
        <v>47.6</v>
      </c>
      <c r="DW539" s="16">
        <f>(BV539*CD539+CQ539*CY539)/DV539</f>
        <v>0.13</v>
      </c>
      <c r="DX539" s="101">
        <f>1000*DV539*DW539/100</f>
        <v>61.88</v>
      </c>
      <c r="DZ539" s="37" t="s">
        <v>2</v>
      </c>
      <c r="EA539" s="37"/>
      <c r="EM539" s="73"/>
      <c r="EN539" s="37"/>
      <c r="EO539" s="37"/>
      <c r="EP539" s="37"/>
      <c r="EQ539" s="37"/>
      <c r="ER539" s="37"/>
      <c r="ES539" s="37"/>
      <c r="ET539" s="37"/>
      <c r="EU539" s="37"/>
      <c r="EV539" s="37"/>
      <c r="EW539" s="37"/>
      <c r="EX539" s="37"/>
      <c r="EY539" s="37"/>
      <c r="EZ539" s="37"/>
      <c r="FA539" s="37"/>
      <c r="FB539" s="37"/>
      <c r="FC539" s="37"/>
      <c r="FD539" s="37"/>
      <c r="FE539" s="37"/>
      <c r="FF539" s="55"/>
      <c r="FG539" s="55"/>
      <c r="FH539" s="55"/>
      <c r="FI539" s="37"/>
      <c r="FJ539" s="55"/>
      <c r="FK539" s="55"/>
      <c r="FL539" s="45"/>
      <c r="FM539" s="37"/>
      <c r="FN539" s="37"/>
      <c r="FO539" s="37"/>
      <c r="FP539" s="55"/>
      <c r="FQ539" s="1" t="s">
        <v>2</v>
      </c>
      <c r="FR539" s="1" t="s">
        <v>113</v>
      </c>
      <c r="FS539" s="1" t="s">
        <v>261</v>
      </c>
      <c r="FT539" s="1" t="s">
        <v>589</v>
      </c>
      <c r="FU539" s="1" t="s">
        <v>1194</v>
      </c>
      <c r="FV539" s="1" t="s">
        <v>2</v>
      </c>
    </row>
    <row r="540" spans="1:178" ht="16.25" customHeight="1" x14ac:dyDescent="0.2">
      <c r="A540" s="18" t="s">
        <v>1195</v>
      </c>
      <c r="B540" s="1" t="s">
        <v>149</v>
      </c>
      <c r="C540" s="15" t="s">
        <v>784</v>
      </c>
      <c r="D540" s="1" t="s">
        <v>69</v>
      </c>
      <c r="E540" s="27">
        <f>46+(25+(4.7/60))/60</f>
        <v>46.417972222222225</v>
      </c>
      <c r="F540" s="27">
        <f>-81-(18+(46.3/60))/60</f>
        <v>-81.312861111111104</v>
      </c>
      <c r="H540" s="1" t="s">
        <v>785</v>
      </c>
      <c r="K540" s="1">
        <v>21.2</v>
      </c>
      <c r="L540" s="13">
        <v>2.9148595329822911E-2</v>
      </c>
      <c r="M540" s="13">
        <v>5.6096699999999999E-2</v>
      </c>
      <c r="S540" s="13">
        <v>0.11240231217618901</v>
      </c>
      <c r="U540" s="13">
        <v>1.9977501000000002</v>
      </c>
      <c r="V540" s="13">
        <v>1.7613503000000001</v>
      </c>
      <c r="W540" s="13">
        <v>0.35968636000000004</v>
      </c>
      <c r="AF540" s="1">
        <v>0</v>
      </c>
      <c r="BA540" s="1">
        <v>0</v>
      </c>
      <c r="BV540" s="1">
        <v>11.9</v>
      </c>
      <c r="BW540" s="13">
        <v>2.9148595329822911E-2</v>
      </c>
      <c r="BX540" s="13">
        <v>7.0715840000000002E-2</v>
      </c>
      <c r="CD540" s="13">
        <v>0.11240231217618901</v>
      </c>
      <c r="CF540" s="13">
        <v>1.9834464000000001</v>
      </c>
      <c r="CG540" s="13">
        <v>1.7487392000000002</v>
      </c>
      <c r="CH540" s="13">
        <v>0.35711104000000005</v>
      </c>
      <c r="CQ540" s="1">
        <v>0</v>
      </c>
      <c r="DL540" s="18" t="s">
        <v>96</v>
      </c>
      <c r="DN540" s="1">
        <f t="shared" si="85"/>
        <v>0.11240231217618901</v>
      </c>
      <c r="DO540" s="1">
        <f t="shared" si="86"/>
        <v>0</v>
      </c>
      <c r="DP540" s="1" t="s">
        <v>73</v>
      </c>
      <c r="DQ540" s="1" t="s">
        <v>2</v>
      </c>
      <c r="DR540" s="16">
        <f t="shared" si="87"/>
        <v>21.2</v>
      </c>
      <c r="DS540" s="100">
        <f t="shared" si="88"/>
        <v>0.11240231217618901</v>
      </c>
      <c r="DT540" s="101">
        <f t="shared" si="89"/>
        <v>23.829290181352071</v>
      </c>
      <c r="DV540" s="16">
        <f t="shared" si="90"/>
        <v>11.9</v>
      </c>
      <c r="DW540" s="100">
        <f>(BV540*CD540+CQ540*CY540)/DV540</f>
        <v>0.112402312176189</v>
      </c>
      <c r="DX540" s="101">
        <f>1000*DV540*DW540/100</f>
        <v>13.375875148966491</v>
      </c>
      <c r="DZ540" s="37" t="s">
        <v>2</v>
      </c>
      <c r="EA540" s="37"/>
      <c r="EM540" s="73"/>
      <c r="EN540" s="37"/>
      <c r="EO540" s="37"/>
      <c r="EP540" s="37"/>
      <c r="EQ540" s="37"/>
      <c r="ER540" s="37"/>
      <c r="ES540" s="37"/>
      <c r="ET540" s="37"/>
      <c r="EU540" s="37"/>
      <c r="EV540" s="37"/>
      <c r="EW540" s="37"/>
      <c r="EX540" s="37"/>
      <c r="EY540" s="37"/>
      <c r="EZ540" s="37"/>
      <c r="FA540" s="37"/>
      <c r="FB540" s="37"/>
      <c r="FC540" s="37"/>
      <c r="FD540" s="37"/>
      <c r="FE540" s="37"/>
      <c r="FF540" s="55"/>
      <c r="FG540" s="55"/>
      <c r="FH540" s="55"/>
      <c r="FI540" s="37"/>
      <c r="FJ540" s="55"/>
      <c r="FK540" s="55"/>
      <c r="FL540" s="45"/>
      <c r="FM540" s="37"/>
      <c r="FN540" s="37"/>
      <c r="FO540" s="37"/>
      <c r="FP540" s="55"/>
      <c r="FQ540" s="1" t="s">
        <v>2</v>
      </c>
      <c r="FR540" s="1" t="s">
        <v>113</v>
      </c>
      <c r="FS540" s="1" t="s">
        <v>261</v>
      </c>
      <c r="FT540" s="1" t="s">
        <v>589</v>
      </c>
      <c r="FU540" s="1" t="s">
        <v>1194</v>
      </c>
      <c r="FV540" s="1" t="s">
        <v>2</v>
      </c>
    </row>
    <row r="541" spans="1:178" ht="16.25" customHeight="1" x14ac:dyDescent="0.2">
      <c r="A541" s="36" t="s">
        <v>1324</v>
      </c>
      <c r="B541" s="37" t="s">
        <v>149</v>
      </c>
      <c r="C541" s="15" t="s">
        <v>872</v>
      </c>
      <c r="D541" s="1" t="s">
        <v>69</v>
      </c>
      <c r="H541" s="1" t="s">
        <v>131</v>
      </c>
      <c r="K541" s="1">
        <v>0</v>
      </c>
      <c r="AF541" s="1">
        <v>49.6</v>
      </c>
      <c r="AG541" s="13">
        <v>2.7E-2</v>
      </c>
      <c r="AH541" s="13">
        <v>0.16</v>
      </c>
      <c r="AN541" s="13">
        <v>0.08</v>
      </c>
      <c r="AP541" s="13">
        <v>2.2000000000000002</v>
      </c>
      <c r="AQ541" s="13">
        <v>1.51</v>
      </c>
      <c r="AR541" s="13">
        <v>0.3</v>
      </c>
      <c r="AS541" s="13"/>
      <c r="AT541" s="13"/>
      <c r="BA541" s="1">
        <v>71.900000000000006</v>
      </c>
      <c r="BB541" s="13">
        <v>9.5000000000000001E-2</v>
      </c>
      <c r="BC541" s="13">
        <v>0.16</v>
      </c>
      <c r="BI541" s="13">
        <v>0.128</v>
      </c>
      <c r="BK541" s="13">
        <v>1.9699999999999998</v>
      </c>
      <c r="BL541" s="13">
        <v>1.38</v>
      </c>
      <c r="BM541" s="13">
        <v>0.25</v>
      </c>
      <c r="BV541" s="1">
        <v>0</v>
      </c>
      <c r="CQ541" s="1">
        <v>44.1</v>
      </c>
      <c r="CR541" s="13">
        <v>2.7E-2</v>
      </c>
      <c r="CS541" s="13">
        <v>0.12692000000000001</v>
      </c>
      <c r="CY541" s="13">
        <v>0.08</v>
      </c>
      <c r="DA541" s="13">
        <v>1.76352</v>
      </c>
      <c r="DB541" s="13">
        <v>1.2090799999999999</v>
      </c>
      <c r="DC541" s="13">
        <v>0.24047999999999997</v>
      </c>
      <c r="DL541" s="18" t="s">
        <v>96</v>
      </c>
      <c r="DN541" s="1">
        <f t="shared" si="85"/>
        <v>0.10840493827160494</v>
      </c>
      <c r="DO541" s="1">
        <f t="shared" si="86"/>
        <v>0</v>
      </c>
      <c r="DP541" s="1" t="s">
        <v>1216</v>
      </c>
      <c r="DQ541" s="1" t="s">
        <v>2</v>
      </c>
      <c r="DR541" s="16">
        <f t="shared" si="87"/>
        <v>121.5</v>
      </c>
      <c r="DS541" s="100">
        <f t="shared" si="88"/>
        <v>0.10840493827160494</v>
      </c>
      <c r="DT541" s="101">
        <f t="shared" si="89"/>
        <v>131.71200000000002</v>
      </c>
      <c r="DV541" s="16">
        <f t="shared" si="90"/>
        <v>44.1</v>
      </c>
      <c r="DW541" s="106">
        <f>(BV541*CD541+CQ541*CY541)/DV541</f>
        <v>0.08</v>
      </c>
      <c r="DX541" s="101">
        <f>1000*DV541*DW541/100</f>
        <v>35.28</v>
      </c>
      <c r="DZ541" s="37" t="s">
        <v>2</v>
      </c>
      <c r="EA541" s="37"/>
      <c r="EM541" s="73"/>
      <c r="EN541" s="37"/>
      <c r="EO541" s="37"/>
      <c r="EP541" s="37"/>
      <c r="EQ541" s="37"/>
      <c r="ER541" s="37"/>
      <c r="ES541" s="37"/>
      <c r="ET541" s="37"/>
      <c r="EU541" s="37"/>
      <c r="EV541" s="37"/>
      <c r="EW541" s="37"/>
      <c r="EX541" s="37"/>
      <c r="EY541" s="37"/>
      <c r="EZ541" s="37"/>
      <c r="FA541" s="37"/>
      <c r="FB541" s="37"/>
      <c r="FC541" s="37"/>
      <c r="FD541" s="37"/>
      <c r="FE541" s="37"/>
      <c r="FF541" s="55"/>
      <c r="FG541" s="55"/>
      <c r="FH541" s="55"/>
      <c r="FI541" s="37"/>
      <c r="FJ541" s="55"/>
      <c r="FK541" s="55"/>
      <c r="FL541" s="45"/>
      <c r="FM541" s="37"/>
      <c r="FN541" s="37"/>
      <c r="FO541" s="37"/>
      <c r="FP541" s="55"/>
      <c r="FQ541" s="1" t="s">
        <v>2</v>
      </c>
      <c r="FR541" s="1" t="s">
        <v>113</v>
      </c>
      <c r="FS541" s="1" t="s">
        <v>261</v>
      </c>
      <c r="FT541" s="1" t="s">
        <v>589</v>
      </c>
      <c r="FU541" s="1" t="s">
        <v>1194</v>
      </c>
      <c r="FV541" s="1" t="s">
        <v>2</v>
      </c>
    </row>
    <row r="542" spans="1:178" ht="16.25" customHeight="1" x14ac:dyDescent="0.2">
      <c r="A542" s="18" t="s">
        <v>1183</v>
      </c>
      <c r="B542" s="1" t="s">
        <v>149</v>
      </c>
      <c r="C542" s="79" t="s">
        <v>493</v>
      </c>
      <c r="D542" s="1" t="s">
        <v>69</v>
      </c>
      <c r="G542" s="1" t="s">
        <v>72</v>
      </c>
      <c r="H542" s="1" t="s">
        <v>131</v>
      </c>
      <c r="K542" s="14">
        <v>21.341463414634148</v>
      </c>
      <c r="L542" s="13">
        <v>1.5542233663308669E-2</v>
      </c>
      <c r="M542" s="13">
        <v>1.536E-2</v>
      </c>
      <c r="S542" s="13">
        <v>0.11240231217618901</v>
      </c>
      <c r="U542" s="13">
        <v>2.9145599999999998</v>
      </c>
      <c r="V542" s="13">
        <v>1.33728</v>
      </c>
      <c r="W542" s="13">
        <v>0.53279999999999994</v>
      </c>
      <c r="AF542" s="14">
        <v>147.6829268292683</v>
      </c>
      <c r="AG542" s="13">
        <v>1.5542233663308669E-2</v>
      </c>
      <c r="AH542" s="13">
        <v>1.4719999999999999E-2</v>
      </c>
      <c r="AN542" s="13">
        <v>0.11240231217618901</v>
      </c>
      <c r="AP542" s="13">
        <v>2.7931199999999996</v>
      </c>
      <c r="AQ542" s="13">
        <v>1.28156</v>
      </c>
      <c r="AR542" s="13">
        <v>0.51059999999999994</v>
      </c>
      <c r="AS542" s="13"/>
      <c r="AT542" s="13"/>
      <c r="BA542" s="14">
        <v>21.09756097560976</v>
      </c>
      <c r="BB542" s="13">
        <v>1.5542233663308669E-2</v>
      </c>
      <c r="BC542" s="13">
        <v>1.5103999999999999E-2</v>
      </c>
      <c r="BI542" s="13">
        <v>0.11240231217618901</v>
      </c>
      <c r="BK542" s="13">
        <v>2.8659839999999996</v>
      </c>
      <c r="BL542" s="13">
        <v>1.3149919999999999</v>
      </c>
      <c r="BM542" s="13">
        <v>0.52391999999999994</v>
      </c>
      <c r="BV542" s="1">
        <v>0</v>
      </c>
      <c r="CQ542" s="1">
        <v>0</v>
      </c>
      <c r="DL542" s="18" t="s">
        <v>96</v>
      </c>
      <c r="DN542" s="1">
        <f t="shared" si="85"/>
        <v>0.11240231217618901</v>
      </c>
      <c r="DO542" s="1">
        <f t="shared" si="86"/>
        <v>0</v>
      </c>
      <c r="DP542" s="1" t="s">
        <v>73</v>
      </c>
      <c r="DQ542" s="1" t="s">
        <v>2</v>
      </c>
      <c r="DR542" s="101">
        <f t="shared" si="87"/>
        <v>190.1219512195122</v>
      </c>
      <c r="DS542" s="100">
        <f t="shared" si="88"/>
        <v>0.11240231217618901</v>
      </c>
      <c r="DT542" s="101">
        <f t="shared" si="89"/>
        <v>213.70146912521793</v>
      </c>
      <c r="DV542" s="16">
        <f t="shared" si="90"/>
        <v>0</v>
      </c>
      <c r="DZ542" s="37" t="s">
        <v>2</v>
      </c>
      <c r="EA542" s="37"/>
      <c r="EM542" s="73"/>
      <c r="EN542" s="37"/>
      <c r="EO542" s="37"/>
      <c r="EP542" s="37"/>
      <c r="EQ542" s="37"/>
      <c r="ER542" s="37"/>
      <c r="ES542" s="37"/>
      <c r="ET542" s="37"/>
      <c r="EU542" s="37"/>
      <c r="EV542" s="37"/>
      <c r="EW542" s="37"/>
      <c r="EX542" s="37"/>
      <c r="EY542" s="37"/>
      <c r="EZ542" s="37"/>
      <c r="FA542" s="37"/>
      <c r="FB542" s="37"/>
      <c r="FC542" s="37"/>
      <c r="FD542" s="37"/>
      <c r="FE542" s="37"/>
      <c r="FF542" s="55"/>
      <c r="FG542" s="55"/>
      <c r="FH542" s="55"/>
      <c r="FI542" s="37"/>
      <c r="FJ542" s="55"/>
      <c r="FK542" s="55"/>
      <c r="FL542" s="45"/>
      <c r="FM542" s="37"/>
      <c r="FN542" s="37"/>
      <c r="FO542" s="37"/>
      <c r="FP542" s="55"/>
      <c r="FQ542" s="1" t="s">
        <v>2</v>
      </c>
      <c r="FR542" s="1" t="s">
        <v>113</v>
      </c>
      <c r="FS542" s="1" t="s">
        <v>261</v>
      </c>
      <c r="FT542" s="1" t="s">
        <v>589</v>
      </c>
      <c r="FU542" s="1" t="s">
        <v>1182</v>
      </c>
      <c r="FV542" s="1" t="s">
        <v>2</v>
      </c>
    </row>
    <row r="543" spans="1:178" ht="16.25" customHeight="1" x14ac:dyDescent="0.2">
      <c r="A543" s="36" t="s">
        <v>1323</v>
      </c>
      <c r="B543" s="37" t="s">
        <v>149</v>
      </c>
      <c r="C543" s="15" t="s">
        <v>1177</v>
      </c>
      <c r="D543" s="1" t="s">
        <v>69</v>
      </c>
      <c r="H543" s="1" t="s">
        <v>1176</v>
      </c>
      <c r="K543" s="1">
        <v>0.4</v>
      </c>
      <c r="L543" s="13">
        <v>1.2E-2</v>
      </c>
      <c r="M543" s="13">
        <v>0.06</v>
      </c>
      <c r="S543" s="13">
        <v>4.3999999999999997E-2</v>
      </c>
      <c r="U543" s="13">
        <v>2.4500000000000002</v>
      </c>
      <c r="V543" s="13">
        <v>1.21</v>
      </c>
      <c r="W543" s="13">
        <v>0.42</v>
      </c>
      <c r="AF543" s="1">
        <v>68.300000000000011</v>
      </c>
      <c r="AG543" s="13">
        <v>2.2102489019033677E-2</v>
      </c>
      <c r="AH543" s="13">
        <v>6.9999999999999993E-2</v>
      </c>
      <c r="AN543" s="13">
        <v>0.10916251830161053</v>
      </c>
      <c r="AP543" s="13">
        <v>1.6506002928257686</v>
      </c>
      <c r="AQ543" s="13">
        <v>0.79999999999999982</v>
      </c>
      <c r="AR543" s="13">
        <v>0.22734992679355784</v>
      </c>
      <c r="AS543" s="13"/>
      <c r="AT543" s="13"/>
      <c r="BA543" s="1">
        <v>60</v>
      </c>
      <c r="BB543" s="13">
        <v>2.2766666666666664E-2</v>
      </c>
      <c r="BC543" s="13">
        <v>6.3866666666666669E-2</v>
      </c>
      <c r="BI543" s="13">
        <v>0.11237499999999999</v>
      </c>
      <c r="BK543" s="13">
        <v>1.1467666666666667</v>
      </c>
      <c r="BL543" s="13">
        <v>0.65839999999999999</v>
      </c>
      <c r="BM543" s="13">
        <v>0.14170000000000002</v>
      </c>
      <c r="BV543" s="1">
        <v>0</v>
      </c>
      <c r="CQ543" s="1">
        <v>40.5</v>
      </c>
      <c r="CR543" s="13">
        <v>1.2E-2</v>
      </c>
      <c r="CS543" s="13">
        <v>4.3954197530864193E-2</v>
      </c>
      <c r="CY543" s="13">
        <v>4.3999999999999997E-2</v>
      </c>
      <c r="DA543" s="13">
        <v>1.8150632098765433</v>
      </c>
      <c r="DB543" s="13">
        <v>0.89604469135802456</v>
      </c>
      <c r="DC543" s="13">
        <v>0.31066956790123457</v>
      </c>
      <c r="DL543" s="18" t="s">
        <v>96</v>
      </c>
      <c r="DN543" s="1">
        <f t="shared" si="85"/>
        <v>0.11045765345765345</v>
      </c>
      <c r="DO543" s="1">
        <f t="shared" si="86"/>
        <v>0</v>
      </c>
      <c r="DP543" s="1" t="s">
        <v>1216</v>
      </c>
      <c r="DQ543" s="1" t="s">
        <v>2</v>
      </c>
      <c r="DR543" s="16">
        <f t="shared" si="87"/>
        <v>128.70000000000002</v>
      </c>
      <c r="DS543" s="100">
        <f t="shared" si="88"/>
        <v>0.11045765345765345</v>
      </c>
      <c r="DT543" s="101">
        <f t="shared" si="89"/>
        <v>142.15899999999999</v>
      </c>
      <c r="DV543" s="16">
        <f t="shared" si="90"/>
        <v>40.5</v>
      </c>
      <c r="DW543" s="16">
        <f>(BV543*CD543+CQ543*CY543)/DV543</f>
        <v>4.3999999999999997E-2</v>
      </c>
      <c r="DX543" s="101">
        <f>1000*DV543*DW543/100</f>
        <v>17.82</v>
      </c>
      <c r="DZ543" s="37" t="s">
        <v>2</v>
      </c>
      <c r="EA543" s="37"/>
      <c r="EM543" s="73"/>
      <c r="EN543" s="37"/>
      <c r="EO543" s="37"/>
      <c r="EP543" s="37"/>
      <c r="EQ543" s="37"/>
      <c r="ER543" s="37"/>
      <c r="ES543" s="37"/>
      <c r="ET543" s="37"/>
      <c r="EU543" s="37"/>
      <c r="EV543" s="37"/>
      <c r="EW543" s="37"/>
      <c r="EX543" s="37"/>
      <c r="EY543" s="37"/>
      <c r="EZ543" s="37"/>
      <c r="FA543" s="37"/>
      <c r="FB543" s="37"/>
      <c r="FC543" s="37"/>
      <c r="FD543" s="37"/>
      <c r="FE543" s="37"/>
      <c r="FF543" s="55"/>
      <c r="FG543" s="55"/>
      <c r="FH543" s="55"/>
      <c r="FI543" s="37"/>
      <c r="FJ543" s="55"/>
      <c r="FK543" s="55"/>
      <c r="FL543" s="45"/>
      <c r="FM543" s="37"/>
      <c r="FN543" s="37"/>
      <c r="FO543" s="37"/>
      <c r="FP543" s="55"/>
      <c r="FQ543" s="1" t="s">
        <v>2</v>
      </c>
      <c r="FR543" s="1" t="s">
        <v>113</v>
      </c>
      <c r="FS543" s="1" t="s">
        <v>261</v>
      </c>
      <c r="FT543" s="1" t="s">
        <v>708</v>
      </c>
      <c r="FU543" s="1" t="s">
        <v>1182</v>
      </c>
      <c r="FV543" s="1" t="s">
        <v>2</v>
      </c>
    </row>
    <row r="544" spans="1:178" ht="16.25" customHeight="1" x14ac:dyDescent="0.2">
      <c r="A544" s="36" t="s">
        <v>1323</v>
      </c>
      <c r="B544" s="37" t="s">
        <v>149</v>
      </c>
      <c r="C544" s="79" t="s">
        <v>294</v>
      </c>
      <c r="D544" s="1" t="s">
        <v>69</v>
      </c>
      <c r="G544" s="1" t="s">
        <v>72</v>
      </c>
      <c r="H544" s="1" t="s">
        <v>295</v>
      </c>
      <c r="K544" s="1">
        <v>4.3499999999999996</v>
      </c>
      <c r="L544" s="13">
        <v>7.7000000000000002E-3</v>
      </c>
      <c r="M544" s="13">
        <v>3.328735632183908E-2</v>
      </c>
      <c r="S544" s="13">
        <v>0.12306206896551723</v>
      </c>
      <c r="U544" s="13">
        <v>3.1031954022988506</v>
      </c>
      <c r="V544" s="13">
        <v>1.416666666666667</v>
      </c>
      <c r="W544" s="13">
        <v>0.60804597701149432</v>
      </c>
      <c r="X544" s="13">
        <v>2.8122534505747129E-2</v>
      </c>
      <c r="Y544" s="2">
        <v>4.8881757011494257E-3</v>
      </c>
      <c r="AF544" s="1">
        <v>5.5699999999999994</v>
      </c>
      <c r="AG544" s="13">
        <v>2.6854937163375222E-2</v>
      </c>
      <c r="AH544" s="13">
        <v>7.7307001795332148E-2</v>
      </c>
      <c r="AN544" s="13">
        <v>0.13902800718132854</v>
      </c>
      <c r="AP544" s="13">
        <v>3.5112028725314182</v>
      </c>
      <c r="AQ544" s="13">
        <v>1.5075942549371635</v>
      </c>
      <c r="AR544" s="13">
        <v>0.58725314183123878</v>
      </c>
      <c r="AS544" s="13">
        <v>0.11587212560143627</v>
      </c>
      <c r="AT544" s="2">
        <v>2.0140549874326751E-2</v>
      </c>
      <c r="BA544" s="1">
        <v>5.4399999999999995</v>
      </c>
      <c r="BB544" s="13">
        <v>4.8637867647058838E-2</v>
      </c>
      <c r="BC544" s="13">
        <v>0.13887867647058827</v>
      </c>
      <c r="BI544" s="13">
        <v>0.16053970588235295</v>
      </c>
      <c r="BK544" s="13">
        <v>4.0003492647058829</v>
      </c>
      <c r="BL544" s="13">
        <v>1.6913602941176473</v>
      </c>
      <c r="BM544" s="13">
        <v>0.56391544117647063</v>
      </c>
      <c r="BN544" s="13">
        <v>0.22305620091911768</v>
      </c>
      <c r="BO544" s="2">
        <v>3.877096856617647E-2</v>
      </c>
      <c r="BV544" s="1">
        <v>0</v>
      </c>
      <c r="CQ544" s="1">
        <v>0</v>
      </c>
      <c r="DL544" s="18" t="s">
        <v>96</v>
      </c>
      <c r="DN544" s="1">
        <f t="shared" si="85"/>
        <v>0.14212513020833331</v>
      </c>
      <c r="DO544" s="1">
        <f t="shared" si="86"/>
        <v>0</v>
      </c>
      <c r="DP544" s="1" t="s">
        <v>164</v>
      </c>
      <c r="DQ544" s="1" t="s">
        <v>2</v>
      </c>
      <c r="DR544" s="16">
        <f t="shared" si="87"/>
        <v>15.359999999999998</v>
      </c>
      <c r="DS544" s="100">
        <f t="shared" si="88"/>
        <v>0.14212513020833331</v>
      </c>
      <c r="DT544" s="101">
        <f t="shared" si="89"/>
        <v>21.830419999999993</v>
      </c>
      <c r="DV544" s="16">
        <f t="shared" si="90"/>
        <v>0</v>
      </c>
      <c r="DZ544" s="37" t="s">
        <v>2</v>
      </c>
      <c r="EA544" s="37"/>
      <c r="EM544" s="73"/>
      <c r="EN544" s="37"/>
      <c r="EO544" s="37"/>
      <c r="EP544" s="37"/>
      <c r="EQ544" s="37"/>
      <c r="ER544" s="37"/>
      <c r="ES544" s="37"/>
      <c r="ET544" s="37"/>
      <c r="EU544" s="37"/>
      <c r="EV544" s="37"/>
      <c r="EW544" s="37"/>
      <c r="EX544" s="37"/>
      <c r="EY544" s="37"/>
      <c r="EZ544" s="37"/>
      <c r="FA544" s="37"/>
      <c r="FB544" s="37"/>
      <c r="FC544" s="37"/>
      <c r="FD544" s="37"/>
      <c r="FE544" s="37"/>
      <c r="FF544" s="55"/>
      <c r="FG544" s="55"/>
      <c r="FH544" s="55"/>
      <c r="FI544" s="37"/>
      <c r="FJ544" s="55"/>
      <c r="FK544" s="55"/>
      <c r="FL544" s="45"/>
      <c r="FM544" s="37"/>
      <c r="FN544" s="37"/>
      <c r="FO544" s="37"/>
      <c r="FP544" s="55"/>
      <c r="FQ544" s="1" t="s">
        <v>2</v>
      </c>
      <c r="FR544" s="1" t="s">
        <v>113</v>
      </c>
      <c r="FS544" s="1" t="s">
        <v>261</v>
      </c>
      <c r="FT544" s="1" t="s">
        <v>589</v>
      </c>
      <c r="FU544" s="1" t="s">
        <v>1182</v>
      </c>
      <c r="FV544" s="1" t="s">
        <v>2</v>
      </c>
    </row>
    <row r="545" spans="1:178" ht="16.25" customHeight="1" x14ac:dyDescent="0.2">
      <c r="A545" s="36" t="s">
        <v>1323</v>
      </c>
      <c r="B545" s="37" t="s">
        <v>149</v>
      </c>
      <c r="C545" s="15" t="s">
        <v>873</v>
      </c>
      <c r="D545" s="1" t="s">
        <v>69</v>
      </c>
      <c r="H545" s="1" t="s">
        <v>131</v>
      </c>
      <c r="K545" s="1">
        <v>0</v>
      </c>
      <c r="AF545" s="1">
        <v>0</v>
      </c>
      <c r="BA545" s="1">
        <v>7.6499999999999995</v>
      </c>
      <c r="BB545" s="13">
        <v>0.03</v>
      </c>
      <c r="BC545" s="13">
        <v>0.12</v>
      </c>
      <c r="BI545" s="13">
        <v>0.05</v>
      </c>
      <c r="BK545" s="13">
        <v>2.9</v>
      </c>
      <c r="BL545" s="13">
        <v>1.41</v>
      </c>
      <c r="BM545" s="13">
        <v>0.33000000000000007</v>
      </c>
      <c r="BN545" s="13"/>
      <c r="BO545" s="13"/>
      <c r="BV545" s="1">
        <v>0</v>
      </c>
      <c r="CQ545" s="1">
        <v>0</v>
      </c>
      <c r="DL545" s="18" t="s">
        <v>96</v>
      </c>
      <c r="DN545" s="1">
        <f t="shared" si="85"/>
        <v>0.05</v>
      </c>
      <c r="DO545" s="1">
        <f t="shared" si="86"/>
        <v>0</v>
      </c>
      <c r="DP545" s="1" t="s">
        <v>1216</v>
      </c>
      <c r="DQ545" s="1" t="s">
        <v>2</v>
      </c>
      <c r="DR545" s="16">
        <f t="shared" si="87"/>
        <v>7.6499999999999995</v>
      </c>
      <c r="DS545" s="100">
        <f t="shared" si="88"/>
        <v>0.05</v>
      </c>
      <c r="DT545" s="101">
        <f t="shared" si="89"/>
        <v>3.8250000000000002</v>
      </c>
      <c r="DV545" s="16">
        <f t="shared" si="90"/>
        <v>0</v>
      </c>
      <c r="DZ545" s="37" t="s">
        <v>2</v>
      </c>
      <c r="EA545" s="37"/>
      <c r="EM545" s="73"/>
      <c r="EN545" s="37"/>
      <c r="EO545" s="37"/>
      <c r="EP545" s="37"/>
      <c r="EQ545" s="37"/>
      <c r="ER545" s="37"/>
      <c r="ES545" s="37"/>
      <c r="ET545" s="37"/>
      <c r="EU545" s="37"/>
      <c r="EV545" s="37"/>
      <c r="EW545" s="37"/>
      <c r="EX545" s="37"/>
      <c r="EY545" s="37"/>
      <c r="EZ545" s="37"/>
      <c r="FA545" s="37"/>
      <c r="FB545" s="37"/>
      <c r="FC545" s="37"/>
      <c r="FD545" s="37"/>
      <c r="FE545" s="37"/>
      <c r="FF545" s="55"/>
      <c r="FG545" s="55"/>
      <c r="FH545" s="55"/>
      <c r="FI545" s="37"/>
      <c r="FJ545" s="55"/>
      <c r="FK545" s="55"/>
      <c r="FL545" s="45"/>
      <c r="FM545" s="37"/>
      <c r="FN545" s="37"/>
      <c r="FO545" s="37"/>
      <c r="FP545" s="55"/>
      <c r="FQ545" s="1" t="s">
        <v>2</v>
      </c>
      <c r="FR545" s="1" t="s">
        <v>113</v>
      </c>
      <c r="FS545" s="1" t="s">
        <v>261</v>
      </c>
      <c r="FT545" s="1" t="s">
        <v>589</v>
      </c>
      <c r="FU545" s="1" t="s">
        <v>1182</v>
      </c>
      <c r="FV545" s="1" t="s">
        <v>2</v>
      </c>
    </row>
    <row r="546" spans="1:178" ht="16.25" customHeight="1" x14ac:dyDescent="0.2">
      <c r="A546" s="36" t="s">
        <v>1323</v>
      </c>
      <c r="B546" s="37" t="s">
        <v>149</v>
      </c>
      <c r="C546" s="79" t="s">
        <v>907</v>
      </c>
      <c r="D546" s="1" t="s">
        <v>69</v>
      </c>
      <c r="H546" s="1" t="s">
        <v>131</v>
      </c>
      <c r="K546" s="1">
        <v>0</v>
      </c>
      <c r="AF546" s="1">
        <v>12.2</v>
      </c>
      <c r="AG546" s="13">
        <v>1.9E-2</v>
      </c>
      <c r="AH546" s="13">
        <v>0.09</v>
      </c>
      <c r="AN546" s="13">
        <v>8.3000000000000004E-2</v>
      </c>
      <c r="AP546" s="13">
        <v>1.9099999999999997</v>
      </c>
      <c r="AQ546" s="13">
        <v>0.85</v>
      </c>
      <c r="AR546" s="13">
        <v>0.22</v>
      </c>
      <c r="BA546" s="1">
        <v>0</v>
      </c>
      <c r="BV546" s="1">
        <v>0</v>
      </c>
      <c r="CQ546" s="1">
        <v>5.0999999999999996</v>
      </c>
      <c r="CR546" s="13">
        <v>1.9E-2</v>
      </c>
      <c r="CS546" s="13">
        <v>9.0770000000000003E-2</v>
      </c>
      <c r="CY546" s="13">
        <v>8.3000000000000004E-2</v>
      </c>
      <c r="DA546" s="13">
        <v>1.9468600000000003</v>
      </c>
      <c r="DB546" s="13">
        <v>0.86701000000000017</v>
      </c>
      <c r="DC546" s="13">
        <v>0.22536</v>
      </c>
      <c r="DL546" s="18" t="s">
        <v>96</v>
      </c>
      <c r="DN546" s="1">
        <f t="shared" si="85"/>
        <v>8.3000000000000004E-2</v>
      </c>
      <c r="DO546" s="1">
        <f t="shared" si="86"/>
        <v>0</v>
      </c>
      <c r="DP546" s="1" t="s">
        <v>1216</v>
      </c>
      <c r="DQ546" s="1" t="s">
        <v>2</v>
      </c>
      <c r="DR546" s="16">
        <f t="shared" si="87"/>
        <v>12.2</v>
      </c>
      <c r="DS546" s="100">
        <f t="shared" si="88"/>
        <v>8.3000000000000004E-2</v>
      </c>
      <c r="DT546" s="101">
        <f t="shared" si="89"/>
        <v>10.125999999999999</v>
      </c>
      <c r="DV546" s="16">
        <f t="shared" si="90"/>
        <v>5.0999999999999996</v>
      </c>
      <c r="DW546" s="16">
        <f>(BV546*CD546+CQ546*CY546)/DV546</f>
        <v>8.3000000000000004E-2</v>
      </c>
      <c r="DX546" s="101">
        <f>1000*DV546*DW546/100</f>
        <v>4.2330000000000005</v>
      </c>
      <c r="DZ546" s="37" t="s">
        <v>2</v>
      </c>
      <c r="EA546" s="37"/>
      <c r="EM546" s="73"/>
      <c r="EN546" s="37"/>
      <c r="EO546" s="37"/>
      <c r="EP546" s="37"/>
      <c r="EQ546" s="37"/>
      <c r="ER546" s="37"/>
      <c r="ES546" s="37"/>
      <c r="ET546" s="37"/>
      <c r="EU546" s="37"/>
      <c r="EV546" s="37"/>
      <c r="EW546" s="37"/>
      <c r="EX546" s="37"/>
      <c r="EY546" s="37"/>
      <c r="EZ546" s="37"/>
      <c r="FA546" s="37"/>
      <c r="FB546" s="37"/>
      <c r="FC546" s="37"/>
      <c r="FD546" s="37"/>
      <c r="FE546" s="37"/>
      <c r="FF546" s="55"/>
      <c r="FG546" s="55"/>
      <c r="FH546" s="55"/>
      <c r="FI546" s="37"/>
      <c r="FJ546" s="55"/>
      <c r="FK546" s="55"/>
      <c r="FL546" s="45"/>
      <c r="FM546" s="37"/>
      <c r="FN546" s="37"/>
      <c r="FO546" s="37"/>
      <c r="FP546" s="55"/>
      <c r="FQ546" s="1" t="s">
        <v>2</v>
      </c>
      <c r="FR546" s="1" t="s">
        <v>113</v>
      </c>
      <c r="FS546" s="1" t="s">
        <v>261</v>
      </c>
      <c r="FT546" s="1" t="s">
        <v>589</v>
      </c>
      <c r="FU546" s="1" t="s">
        <v>1182</v>
      </c>
      <c r="FV546" s="1" t="s">
        <v>2</v>
      </c>
    </row>
    <row r="547" spans="1:178" ht="16.25" customHeight="1" x14ac:dyDescent="0.2">
      <c r="A547" s="36" t="s">
        <v>1323</v>
      </c>
      <c r="B547" s="37" t="s">
        <v>149</v>
      </c>
      <c r="C547" s="79" t="s">
        <v>1140</v>
      </c>
      <c r="D547" s="1" t="s">
        <v>69</v>
      </c>
      <c r="H547" s="1" t="s">
        <v>1138</v>
      </c>
      <c r="K547" s="1">
        <v>371.9</v>
      </c>
      <c r="L547" s="13">
        <v>2.5586188436830835E-2</v>
      </c>
      <c r="M547" s="13">
        <v>8.3063179871520343E-2</v>
      </c>
      <c r="S547" s="13">
        <v>0.12904978586723767</v>
      </c>
      <c r="T547" s="13">
        <v>5.7877408993576011E-2</v>
      </c>
      <c r="U547" s="13">
        <v>2.7849919245182013</v>
      </c>
      <c r="V547" s="13">
        <v>1.6236448019271947</v>
      </c>
      <c r="W547" s="13">
        <v>0.45124615899357601</v>
      </c>
      <c r="Z547" s="14">
        <v>12.026949315958646</v>
      </c>
      <c r="AF547" s="1">
        <v>123.50000000000003</v>
      </c>
      <c r="AG547" s="13">
        <v>4.109223300970874E-2</v>
      </c>
      <c r="AH547" s="13">
        <v>0.12646404530744337</v>
      </c>
      <c r="AN547" s="13">
        <v>0.14800161812297732</v>
      </c>
      <c r="AO547" s="13">
        <v>4.5817152103559869E-2</v>
      </c>
      <c r="AP547" s="13">
        <v>3.0783247006472494</v>
      </c>
      <c r="AQ547" s="13">
        <v>1.680931148867314</v>
      </c>
      <c r="AR547" s="13">
        <v>0.42573352750809057</v>
      </c>
      <c r="AU547" s="14">
        <v>9.5208229900589387</v>
      </c>
      <c r="BA547" s="1">
        <v>15.399999999999999</v>
      </c>
      <c r="BB547" s="13">
        <v>7.5454545454545455E-2</v>
      </c>
      <c r="BC547" s="13">
        <v>0.21530181818181823</v>
      </c>
      <c r="BI547" s="13">
        <v>0.19000000000000003</v>
      </c>
      <c r="BJ547" s="13">
        <v>1.9090909090909096E-2</v>
      </c>
      <c r="BK547" s="13">
        <v>3.415570909090909</v>
      </c>
      <c r="BL547" s="13">
        <v>1.618996363636364</v>
      </c>
      <c r="BM547" s="13">
        <v>0.31432363636363636</v>
      </c>
      <c r="BN547" s="13"/>
      <c r="BO547" s="13"/>
      <c r="BP547" s="14">
        <v>3.967098735491466</v>
      </c>
      <c r="BV547" s="1">
        <v>107.95987932715748</v>
      </c>
      <c r="BW547" s="13">
        <v>1.7454454391786139E-2</v>
      </c>
      <c r="BX547" s="13">
        <v>4.8746351968947589E-2</v>
      </c>
      <c r="CD547" s="13">
        <v>0.11911099981218305</v>
      </c>
      <c r="CE547" s="13">
        <v>6.4202091028610783E-2</v>
      </c>
      <c r="CF547" s="13">
        <v>2.1234864702936207</v>
      </c>
      <c r="CG547" s="13">
        <v>1.2858628122456648</v>
      </c>
      <c r="CH547" s="13">
        <v>0.37481125148688416</v>
      </c>
      <c r="CK547" s="14">
        <v>13.34122083566956</v>
      </c>
      <c r="CQ547" s="1">
        <v>115.73261214041931</v>
      </c>
      <c r="CR547" s="13">
        <v>9.0759796764585648E-2</v>
      </c>
      <c r="CS547" s="13">
        <v>0.21977825147462479</v>
      </c>
      <c r="CY547" s="13">
        <v>0.2087064182678269</v>
      </c>
      <c r="CZ547" s="13">
        <v>7.1868247386556094E-3</v>
      </c>
      <c r="DA547" s="13">
        <v>3.0399090912807343</v>
      </c>
      <c r="DB547" s="13">
        <v>1.3485233580564153</v>
      </c>
      <c r="DC547" s="13">
        <v>0.22040386497693165</v>
      </c>
      <c r="DL547" s="18" t="s">
        <v>96</v>
      </c>
      <c r="DM547" s="1" t="s">
        <v>96</v>
      </c>
      <c r="DN547" s="1">
        <f t="shared" si="85"/>
        <v>0.13546948943268089</v>
      </c>
      <c r="DO547" s="1">
        <f t="shared" si="86"/>
        <v>5.3792143088293984E-2</v>
      </c>
      <c r="DP547" s="1" t="s">
        <v>73</v>
      </c>
      <c r="DQ547" s="1" t="s">
        <v>2</v>
      </c>
      <c r="DR547" s="16">
        <f t="shared" si="87"/>
        <v>510.79999999999995</v>
      </c>
      <c r="DS547" s="100">
        <f t="shared" si="88"/>
        <v>0.13546948943268089</v>
      </c>
      <c r="DT547" s="101">
        <f t="shared" si="89"/>
        <v>691.97815202213383</v>
      </c>
      <c r="DV547" s="101">
        <f t="shared" si="90"/>
        <v>223.69249146757679</v>
      </c>
      <c r="DW547" s="16">
        <f>(BV547*CD547+CQ547*CY547)/DV547</f>
        <v>0.1654653130287648</v>
      </c>
      <c r="DX547" s="101">
        <f>1000*DV547*DW547/100</f>
        <v>370.13348122866887</v>
      </c>
      <c r="DZ547" s="37" t="s">
        <v>2</v>
      </c>
      <c r="EA547" s="37"/>
      <c r="EM547" s="73"/>
      <c r="EN547" s="37"/>
      <c r="EO547" s="37"/>
      <c r="EP547" s="37"/>
      <c r="EQ547" s="37"/>
      <c r="ER547" s="37"/>
      <c r="ES547" s="37"/>
      <c r="ET547" s="37"/>
      <c r="EU547" s="37"/>
      <c r="EV547" s="37"/>
      <c r="EW547" s="37"/>
      <c r="EX547" s="37"/>
      <c r="EY547" s="37"/>
      <c r="EZ547" s="37"/>
      <c r="FA547" s="37"/>
      <c r="FB547" s="37"/>
      <c r="FC547" s="37"/>
      <c r="FD547" s="37"/>
      <c r="FE547" s="37"/>
      <c r="FF547" s="55"/>
      <c r="FG547" s="55"/>
      <c r="FH547" s="55"/>
      <c r="FI547" s="37"/>
      <c r="FJ547" s="55"/>
      <c r="FK547" s="55"/>
      <c r="FL547" s="45"/>
      <c r="FM547" s="37"/>
      <c r="FN547" s="37"/>
      <c r="FO547" s="37"/>
      <c r="FP547" s="55"/>
      <c r="FQ547" s="1" t="s">
        <v>2</v>
      </c>
      <c r="FR547" s="1" t="s">
        <v>113</v>
      </c>
      <c r="FS547" s="1" t="s">
        <v>261</v>
      </c>
      <c r="FT547" s="1" t="s">
        <v>589</v>
      </c>
      <c r="FU547" s="1" t="s">
        <v>1182</v>
      </c>
      <c r="FV547" s="1" t="s">
        <v>2</v>
      </c>
    </row>
    <row r="548" spans="1:178" ht="16.25" customHeight="1" x14ac:dyDescent="0.2">
      <c r="A548" s="36" t="s">
        <v>1323</v>
      </c>
      <c r="B548" s="37" t="s">
        <v>149</v>
      </c>
      <c r="C548" s="79" t="s">
        <v>503</v>
      </c>
      <c r="D548" s="1" t="s">
        <v>64</v>
      </c>
      <c r="G548" s="1" t="s">
        <v>72</v>
      </c>
      <c r="H548" s="1" t="s">
        <v>504</v>
      </c>
      <c r="K548" s="1">
        <v>5.85</v>
      </c>
      <c r="L548" s="2">
        <v>4.0000000000000001E-3</v>
      </c>
      <c r="M548" s="13">
        <v>0.02</v>
      </c>
      <c r="S548" s="13">
        <v>1.4999999999999999E-2</v>
      </c>
      <c r="U548" s="13">
        <v>3.3700000000000006</v>
      </c>
      <c r="V548" s="13">
        <v>1.52</v>
      </c>
      <c r="W548" s="13">
        <v>0.68</v>
      </c>
      <c r="AF548" s="1">
        <v>54.150000000000006</v>
      </c>
      <c r="AG548" s="13">
        <v>2.5310249307479219E-2</v>
      </c>
      <c r="AH548" s="13">
        <v>7.3240997229916893E-2</v>
      </c>
      <c r="AN548" s="13">
        <v>7.5918744228993543E-2</v>
      </c>
      <c r="AP548" s="13">
        <v>2.8239796860572479</v>
      </c>
      <c r="AQ548" s="13">
        <v>1.2989566020313943</v>
      </c>
      <c r="AR548" s="13">
        <v>0.40706371191135732</v>
      </c>
      <c r="BA548" s="1">
        <v>48.95</v>
      </c>
      <c r="BB548" s="13">
        <v>2.5000000000000001E-2</v>
      </c>
      <c r="BC548" s="13">
        <v>0.08</v>
      </c>
      <c r="BI548" s="13">
        <v>8.1000000000000003E-2</v>
      </c>
      <c r="BK548" s="13">
        <v>2.83</v>
      </c>
      <c r="BL548" s="13">
        <v>1.26</v>
      </c>
      <c r="BM548" s="13">
        <v>0.4</v>
      </c>
      <c r="BN548" s="13"/>
      <c r="BO548" s="13"/>
      <c r="BV548" s="1">
        <v>0</v>
      </c>
      <c r="CQ548" s="1">
        <v>26.6</v>
      </c>
      <c r="CR548" s="13">
        <v>2.1999999999999995E-2</v>
      </c>
      <c r="CS548" s="13">
        <v>4.9609999999999994E-2</v>
      </c>
      <c r="CY548" s="13">
        <v>6.7923497267759564E-2</v>
      </c>
      <c r="DA548" s="13">
        <v>2.7465899999999994</v>
      </c>
      <c r="DB548" s="13">
        <v>1.3169199999999999</v>
      </c>
      <c r="DC548" s="13">
        <v>0.39687999999999996</v>
      </c>
      <c r="DL548" s="18" t="s">
        <v>96</v>
      </c>
      <c r="DN548" s="1">
        <f t="shared" si="85"/>
        <v>7.4930702156952717E-2</v>
      </c>
      <c r="DO548" s="1">
        <f t="shared" si="86"/>
        <v>0</v>
      </c>
      <c r="DP548" s="1" t="s">
        <v>1216</v>
      </c>
      <c r="DQ548" s="1" t="s">
        <v>2</v>
      </c>
      <c r="DR548" s="101">
        <f t="shared" si="87"/>
        <v>108.95000000000002</v>
      </c>
      <c r="DS548" s="100">
        <f t="shared" si="88"/>
        <v>7.4930702156952717E-2</v>
      </c>
      <c r="DT548" s="101">
        <f t="shared" si="89"/>
        <v>81.637</v>
      </c>
      <c r="DV548" s="16">
        <f t="shared" si="90"/>
        <v>26.6</v>
      </c>
      <c r="DW548" s="103">
        <f>(BV548*CD548+CQ548*CY548)/DV548</f>
        <v>6.7923497267759564E-2</v>
      </c>
      <c r="DX548" s="101">
        <f>1000*DV548*DW548/100</f>
        <v>18.067650273224043</v>
      </c>
      <c r="DZ548" s="37" t="s">
        <v>2</v>
      </c>
      <c r="EA548" s="37"/>
      <c r="EM548" s="73"/>
      <c r="EN548" s="37"/>
      <c r="EO548" s="37"/>
      <c r="EP548" s="37"/>
      <c r="EQ548" s="37"/>
      <c r="ER548" s="37"/>
      <c r="ES548" s="37"/>
      <c r="ET548" s="37"/>
      <c r="EU548" s="37"/>
      <c r="EV548" s="37"/>
      <c r="EW548" s="37"/>
      <c r="EX548" s="37"/>
      <c r="EY548" s="37"/>
      <c r="EZ548" s="37"/>
      <c r="FA548" s="37"/>
      <c r="FB548" s="37"/>
      <c r="FC548" s="37"/>
      <c r="FD548" s="37"/>
      <c r="FE548" s="37"/>
      <c r="FF548" s="55"/>
      <c r="FG548" s="55"/>
      <c r="FH548" s="55"/>
      <c r="FI548" s="37"/>
      <c r="FJ548" s="55"/>
      <c r="FK548" s="55"/>
      <c r="FL548" s="45"/>
      <c r="FM548" s="37"/>
      <c r="FN548" s="37"/>
      <c r="FO548" s="37"/>
      <c r="FP548" s="55"/>
      <c r="FQ548" s="1" t="s">
        <v>2</v>
      </c>
      <c r="FR548" s="1" t="s">
        <v>113</v>
      </c>
      <c r="FS548" s="1" t="s">
        <v>261</v>
      </c>
      <c r="FT548" s="1" t="s">
        <v>589</v>
      </c>
      <c r="FU548" s="1" t="s">
        <v>1182</v>
      </c>
      <c r="FV548" s="1" t="s">
        <v>2</v>
      </c>
    </row>
    <row r="549" spans="1:178" ht="16.25" customHeight="1" x14ac:dyDescent="0.2">
      <c r="A549" s="18" t="s">
        <v>1183</v>
      </c>
      <c r="B549" s="1" t="s">
        <v>149</v>
      </c>
      <c r="C549" s="79" t="s">
        <v>568</v>
      </c>
      <c r="D549" s="1" t="s">
        <v>64</v>
      </c>
      <c r="E549" s="27">
        <f>96+(9+(47.41/60))/60</f>
        <v>96.163169444444449</v>
      </c>
      <c r="F549" s="27">
        <f>23+(38+(4.3/60))/60</f>
        <v>23.634527777777777</v>
      </c>
      <c r="G549" s="1" t="s">
        <v>72</v>
      </c>
      <c r="H549" s="1" t="s">
        <v>569</v>
      </c>
      <c r="K549" s="1">
        <v>30.2</v>
      </c>
      <c r="L549" s="13">
        <v>1.5542233663308669E-2</v>
      </c>
      <c r="M549" s="13">
        <v>3.2985647999999999E-2</v>
      </c>
      <c r="S549" s="13">
        <v>0.11240231217618901</v>
      </c>
      <c r="U549" s="13">
        <v>1.7854391000000001</v>
      </c>
      <c r="V549" s="13">
        <v>0.89645378000000009</v>
      </c>
      <c r="W549" s="13">
        <v>0.305121472</v>
      </c>
      <c r="AF549" s="1">
        <v>0</v>
      </c>
      <c r="BA549" s="1">
        <v>0</v>
      </c>
      <c r="BV549" s="1">
        <v>20.7</v>
      </c>
      <c r="BW549" s="13">
        <v>1.5542233663308669E-2</v>
      </c>
      <c r="BX549" s="13">
        <v>2.6869104000000001E-2</v>
      </c>
      <c r="CD549" s="13">
        <v>0.11240231217618901</v>
      </c>
      <c r="CF549" s="13">
        <v>1.4543642999999999</v>
      </c>
      <c r="CG549" s="13">
        <v>0.73022394000000002</v>
      </c>
      <c r="CH549" s="13">
        <v>0.248542656</v>
      </c>
      <c r="CQ549" s="1">
        <v>0</v>
      </c>
      <c r="DL549" s="18" t="s">
        <v>96</v>
      </c>
      <c r="DN549" s="1">
        <f t="shared" si="85"/>
        <v>0.11240231217618903</v>
      </c>
      <c r="DO549" s="1">
        <f t="shared" si="86"/>
        <v>0</v>
      </c>
      <c r="DP549" s="1" t="s">
        <v>73</v>
      </c>
      <c r="DQ549" s="1" t="s">
        <v>2</v>
      </c>
      <c r="DR549" s="16">
        <f t="shared" si="87"/>
        <v>30.2</v>
      </c>
      <c r="DS549" s="100">
        <f t="shared" si="88"/>
        <v>0.11240231217618903</v>
      </c>
      <c r="DT549" s="101">
        <f t="shared" si="89"/>
        <v>33.945498277209083</v>
      </c>
      <c r="DV549" s="16">
        <f t="shared" si="90"/>
        <v>20.7</v>
      </c>
      <c r="DW549" s="100">
        <f>(BV549*CD549+CQ549*CY549)/DV549</f>
        <v>0.11240231217618901</v>
      </c>
      <c r="DX549" s="101">
        <f>1000*DV549*DW549/100</f>
        <v>23.267278620471124</v>
      </c>
      <c r="DZ549" s="37" t="s">
        <v>2</v>
      </c>
      <c r="EA549" s="37"/>
      <c r="EM549" s="73"/>
      <c r="EN549" s="37"/>
      <c r="EO549" s="37"/>
      <c r="EP549" s="37"/>
      <c r="EQ549" s="37"/>
      <c r="ER549" s="37"/>
      <c r="ES549" s="37"/>
      <c r="ET549" s="37"/>
      <c r="EU549" s="37"/>
      <c r="EV549" s="37"/>
      <c r="EW549" s="37"/>
      <c r="EX549" s="37"/>
      <c r="EY549" s="37"/>
      <c r="EZ549" s="37"/>
      <c r="FA549" s="37"/>
      <c r="FB549" s="37"/>
      <c r="FC549" s="37"/>
      <c r="FD549" s="37"/>
      <c r="FE549" s="37"/>
      <c r="FF549" s="55"/>
      <c r="FG549" s="55"/>
      <c r="FH549" s="55"/>
      <c r="FI549" s="37"/>
      <c r="FJ549" s="55"/>
      <c r="FK549" s="55"/>
      <c r="FL549" s="45"/>
      <c r="FM549" s="37"/>
      <c r="FN549" s="37"/>
      <c r="FO549" s="37"/>
      <c r="FP549" s="55"/>
      <c r="FQ549" s="1" t="s">
        <v>2</v>
      </c>
      <c r="FR549" s="1" t="s">
        <v>113</v>
      </c>
      <c r="FS549" s="1" t="s">
        <v>261</v>
      </c>
      <c r="FT549" s="1" t="s">
        <v>589</v>
      </c>
      <c r="FU549" s="1" t="s">
        <v>1182</v>
      </c>
      <c r="FV549" s="1" t="s">
        <v>2</v>
      </c>
    </row>
    <row r="550" spans="1:178" ht="16.25" customHeight="1" x14ac:dyDescent="0.2">
      <c r="A550" s="18" t="s">
        <v>1195</v>
      </c>
      <c r="B550" s="1" t="s">
        <v>149</v>
      </c>
      <c r="C550" s="15" t="s">
        <v>874</v>
      </c>
      <c r="D550" s="1" t="s">
        <v>64</v>
      </c>
      <c r="H550" s="1" t="s">
        <v>249</v>
      </c>
      <c r="K550" s="13">
        <v>2.5259659999999999</v>
      </c>
      <c r="L550" s="13">
        <v>2.9148595329822911E-2</v>
      </c>
      <c r="M550" s="13">
        <v>5.6096699999999999E-2</v>
      </c>
      <c r="S550" s="13">
        <v>0.11240231217618901</v>
      </c>
      <c r="U550" s="13">
        <v>2.6700239999999997</v>
      </c>
      <c r="V550" s="13">
        <v>2.3540719999999999</v>
      </c>
      <c r="W550" s="13">
        <v>0.4807264</v>
      </c>
      <c r="AF550" s="13">
        <v>1.525439</v>
      </c>
      <c r="AG550" s="13">
        <v>2.9148595329822911E-2</v>
      </c>
      <c r="AH550" s="13">
        <v>9.5874359999999992E-2</v>
      </c>
      <c r="AN550" s="13">
        <v>0.11240231217618901</v>
      </c>
      <c r="AP550" s="13">
        <v>2.6890955999999999</v>
      </c>
      <c r="AQ550" s="13">
        <v>2.3708868000000001</v>
      </c>
      <c r="AR550" s="13">
        <v>0.48416016000000001</v>
      </c>
      <c r="BA550" s="1">
        <v>0</v>
      </c>
      <c r="BV550" s="13">
        <v>1.9098869999999999</v>
      </c>
      <c r="BW550" s="13">
        <v>2.9148595329822911E-2</v>
      </c>
      <c r="BX550" s="13">
        <v>7.7175460000000001E-2</v>
      </c>
      <c r="CD550" s="13">
        <v>0.11240231217618901</v>
      </c>
      <c r="CF550" s="13">
        <v>2.1646266000000001</v>
      </c>
      <c r="CG550" s="13">
        <v>1.9084798000000001</v>
      </c>
      <c r="CH550" s="13">
        <v>0.38973176000000004</v>
      </c>
      <c r="CQ550" s="13">
        <v>0.97917799999999999</v>
      </c>
      <c r="CR550" s="13">
        <v>2.9148595329822911E-2</v>
      </c>
      <c r="CS550" s="13">
        <v>4.5899999999999996E-2</v>
      </c>
      <c r="CY550" s="13">
        <v>0.11240231217618901</v>
      </c>
      <c r="DA550" s="13">
        <v>2.0196000000000001</v>
      </c>
      <c r="DB550" s="13">
        <v>2.0655000000000001</v>
      </c>
      <c r="DC550" s="13">
        <v>0.45900000000000002</v>
      </c>
      <c r="DL550" s="18" t="s">
        <v>96</v>
      </c>
      <c r="DN550" s="1">
        <f t="shared" si="85"/>
        <v>0.112402312176189</v>
      </c>
      <c r="DO550" s="1">
        <f t="shared" si="86"/>
        <v>0</v>
      </c>
      <c r="DP550" s="1" t="s">
        <v>185</v>
      </c>
      <c r="DQ550" s="1" t="s">
        <v>2</v>
      </c>
      <c r="DR550" s="100">
        <f t="shared" si="87"/>
        <v>4.0514049999999999</v>
      </c>
      <c r="DS550" s="100">
        <f t="shared" si="88"/>
        <v>0.112402312176189</v>
      </c>
      <c r="DT550" s="101">
        <f t="shared" si="89"/>
        <v>4.5538728956217298</v>
      </c>
      <c r="DV550" s="103">
        <f t="shared" si="90"/>
        <v>2.889065</v>
      </c>
      <c r="DW550" s="100">
        <f>(BV550*CD550+CQ550*CY550)/DV550</f>
        <v>0.11240231217618901</v>
      </c>
      <c r="DX550" s="101">
        <f>1000*DV550*DW550/100</f>
        <v>3.2473758602730154</v>
      </c>
      <c r="DZ550" s="37" t="s">
        <v>2</v>
      </c>
      <c r="EA550" s="37"/>
      <c r="EM550" s="73"/>
      <c r="EN550" s="37"/>
      <c r="EO550" s="37"/>
      <c r="EP550" s="37"/>
      <c r="EQ550" s="37"/>
      <c r="ER550" s="37"/>
      <c r="ES550" s="37"/>
      <c r="ET550" s="37"/>
      <c r="EU550" s="37"/>
      <c r="EV550" s="37"/>
      <c r="EW550" s="37"/>
      <c r="EX550" s="37"/>
      <c r="EY550" s="37"/>
      <c r="EZ550" s="37"/>
      <c r="FA550" s="37"/>
      <c r="FB550" s="37"/>
      <c r="FC550" s="37"/>
      <c r="FD550" s="37"/>
      <c r="FE550" s="37"/>
      <c r="FF550" s="55"/>
      <c r="FG550" s="55"/>
      <c r="FH550" s="55"/>
      <c r="FI550" s="37"/>
      <c r="FJ550" s="55"/>
      <c r="FK550" s="55"/>
      <c r="FL550" s="45"/>
      <c r="FM550" s="37"/>
      <c r="FN550" s="37"/>
      <c r="FO550" s="37"/>
      <c r="FP550" s="55"/>
      <c r="FQ550" s="1" t="s">
        <v>2</v>
      </c>
      <c r="FR550" s="1" t="s">
        <v>113</v>
      </c>
      <c r="FS550" s="1" t="s">
        <v>261</v>
      </c>
      <c r="FT550" s="1" t="s">
        <v>589</v>
      </c>
      <c r="FU550" s="1" t="s">
        <v>1194</v>
      </c>
      <c r="FV550" s="1" t="s">
        <v>2</v>
      </c>
    </row>
    <row r="551" spans="1:178" ht="16.25" customHeight="1" x14ac:dyDescent="0.2">
      <c r="A551" s="36" t="s">
        <v>1324</v>
      </c>
      <c r="B551" s="37" t="s">
        <v>149</v>
      </c>
      <c r="C551" s="15" t="s">
        <v>973</v>
      </c>
      <c r="D551" s="1" t="s">
        <v>69</v>
      </c>
      <c r="H551" s="1" t="s">
        <v>131</v>
      </c>
      <c r="K551" s="1">
        <v>294.75</v>
      </c>
      <c r="L551" s="13">
        <v>4.3032502120441053E-2</v>
      </c>
      <c r="M551" s="13">
        <v>0.12014079728583546</v>
      </c>
      <c r="S551" s="13">
        <v>8.6632111959287536E-2</v>
      </c>
      <c r="U551" s="13">
        <v>2.0048532654792193</v>
      </c>
      <c r="V551" s="13">
        <v>1.2415368956743003</v>
      </c>
      <c r="W551" s="13">
        <v>0.28224088210347753</v>
      </c>
      <c r="AF551" s="1">
        <v>141.86000000000001</v>
      </c>
      <c r="AG551" s="13">
        <v>4.6565007754123776E-2</v>
      </c>
      <c r="AH551" s="13">
        <v>0.14311292823910898</v>
      </c>
      <c r="AN551" s="13">
        <v>0.1009392922599746</v>
      </c>
      <c r="AP551" s="13">
        <v>2.0430762723812204</v>
      </c>
      <c r="AQ551" s="13">
        <v>1.2765289722261381</v>
      </c>
      <c r="AR551" s="13">
        <v>0.24998167207105595</v>
      </c>
      <c r="BA551" s="1">
        <v>169.18</v>
      </c>
      <c r="BB551" s="13">
        <v>4.0914954486345897E-2</v>
      </c>
      <c r="BC551" s="13">
        <v>0.12229223312448279</v>
      </c>
      <c r="BI551" s="13">
        <v>0.1023679985813926</v>
      </c>
      <c r="BK551" s="13">
        <v>2.0696607163967369</v>
      </c>
      <c r="BL551" s="13">
        <v>1.3596607163967371</v>
      </c>
      <c r="BM551" s="13">
        <v>0.28424518264570281</v>
      </c>
      <c r="BN551" s="13"/>
      <c r="BO551" s="13"/>
      <c r="BV551" s="1">
        <v>0</v>
      </c>
      <c r="CQ551" s="1">
        <v>0</v>
      </c>
      <c r="DL551" s="18" t="s">
        <v>96</v>
      </c>
      <c r="DN551" s="1">
        <f t="shared" si="85"/>
        <v>9.4377063008633355E-2</v>
      </c>
      <c r="DO551" s="1">
        <f t="shared" si="86"/>
        <v>0</v>
      </c>
      <c r="DP551" s="1" t="s">
        <v>185</v>
      </c>
      <c r="DQ551" s="1" t="s">
        <v>2</v>
      </c>
      <c r="DR551" s="101">
        <f t="shared" si="87"/>
        <v>605.79</v>
      </c>
      <c r="DS551" s="100">
        <f t="shared" si="88"/>
        <v>9.4377063008633355E-2</v>
      </c>
      <c r="DT551" s="101">
        <f t="shared" si="89"/>
        <v>571.72681</v>
      </c>
      <c r="DV551" s="16">
        <f t="shared" si="90"/>
        <v>0</v>
      </c>
      <c r="DZ551" s="37" t="s">
        <v>2</v>
      </c>
      <c r="EA551" s="37"/>
      <c r="EM551" s="73"/>
      <c r="EN551" s="37"/>
      <c r="EO551" s="37"/>
      <c r="EP551" s="37"/>
      <c r="EQ551" s="37"/>
      <c r="ER551" s="37"/>
      <c r="ES551" s="37"/>
      <c r="ET551" s="37"/>
      <c r="EU551" s="37"/>
      <c r="EV551" s="37"/>
      <c r="EW551" s="37"/>
      <c r="EX551" s="37"/>
      <c r="EY551" s="37"/>
      <c r="EZ551" s="37"/>
      <c r="FA551" s="37"/>
      <c r="FB551" s="37"/>
      <c r="FC551" s="37"/>
      <c r="FD551" s="37"/>
      <c r="FE551" s="37"/>
      <c r="FF551" s="55"/>
      <c r="FG551" s="55"/>
      <c r="FH551" s="55"/>
      <c r="FI551" s="37"/>
      <c r="FJ551" s="55"/>
      <c r="FK551" s="55"/>
      <c r="FL551" s="45"/>
      <c r="FM551" s="37"/>
      <c r="FN551" s="37"/>
      <c r="FO551" s="37"/>
      <c r="FP551" s="55"/>
      <c r="FQ551" s="1" t="s">
        <v>2</v>
      </c>
      <c r="FR551" s="1" t="s">
        <v>113</v>
      </c>
      <c r="FS551" s="1" t="s">
        <v>261</v>
      </c>
      <c r="FT551" s="1" t="s">
        <v>589</v>
      </c>
      <c r="FU551" s="1" t="s">
        <v>1194</v>
      </c>
      <c r="FV551" s="1" t="s">
        <v>2</v>
      </c>
    </row>
    <row r="552" spans="1:178" ht="16.25" customHeight="1" x14ac:dyDescent="0.2">
      <c r="A552" s="36" t="s">
        <v>1324</v>
      </c>
      <c r="B552" s="37" t="s">
        <v>149</v>
      </c>
      <c r="C552" s="16" t="s">
        <v>974</v>
      </c>
      <c r="D552" s="1" t="s">
        <v>64</v>
      </c>
      <c r="H552" s="1" t="s">
        <v>975</v>
      </c>
      <c r="K552" s="1">
        <v>0</v>
      </c>
      <c r="AF552" s="1">
        <v>61.099999999999994</v>
      </c>
      <c r="AG552" s="13">
        <v>8.7458246095301187E-2</v>
      </c>
      <c r="AH552" s="13">
        <v>0.28890223941080195</v>
      </c>
      <c r="AN552" s="13">
        <v>0.18894714337318413</v>
      </c>
      <c r="AP552" s="13">
        <v>2.7475857590834698</v>
      </c>
      <c r="AQ552" s="13">
        <v>1.5293176517184945</v>
      </c>
      <c r="AR552" s="13">
        <v>0.19084396783633389</v>
      </c>
      <c r="BA552" s="1">
        <v>120.9</v>
      </c>
      <c r="BB552" s="13">
        <v>5.5057684981245823E-2</v>
      </c>
      <c r="BC552" s="13">
        <v>0.18089215985111662</v>
      </c>
      <c r="BI552" s="13">
        <v>0.14641395292177414</v>
      </c>
      <c r="BK552" s="13">
        <v>2.7093271667493792</v>
      </c>
      <c r="BL552" s="13">
        <v>1.9944255995037223</v>
      </c>
      <c r="BM552" s="13">
        <v>0.35366166300248142</v>
      </c>
      <c r="BN552" s="13"/>
      <c r="BO552" s="13"/>
      <c r="BV552" s="1">
        <v>0</v>
      </c>
      <c r="CQ552" s="1">
        <v>0</v>
      </c>
      <c r="DL552" s="18" t="s">
        <v>96</v>
      </c>
      <c r="DN552" s="1">
        <f t="shared" si="85"/>
        <v>0.16069295257331892</v>
      </c>
      <c r="DO552" s="1">
        <f t="shared" si="86"/>
        <v>0</v>
      </c>
      <c r="DP552" s="1" t="s">
        <v>67</v>
      </c>
      <c r="DQ552" s="1" t="s">
        <v>2</v>
      </c>
      <c r="DR552" s="16">
        <f t="shared" si="87"/>
        <v>182</v>
      </c>
      <c r="DS552" s="100">
        <f t="shared" si="88"/>
        <v>0.16069295257331892</v>
      </c>
      <c r="DT552" s="101">
        <f t="shared" si="89"/>
        <v>292.46117368344045</v>
      </c>
      <c r="DV552" s="16">
        <f t="shared" si="90"/>
        <v>0</v>
      </c>
      <c r="DZ552" s="37" t="s">
        <v>2</v>
      </c>
      <c r="EA552" s="37"/>
      <c r="EM552" s="73"/>
      <c r="EN552" s="37"/>
      <c r="EO552" s="37"/>
      <c r="EP552" s="37"/>
      <c r="EQ552" s="37"/>
      <c r="ER552" s="37"/>
      <c r="ES552" s="37"/>
      <c r="ET552" s="37"/>
      <c r="EU552" s="37"/>
      <c r="EV552" s="37"/>
      <c r="EW552" s="37"/>
      <c r="EX552" s="37"/>
      <c r="EY552" s="37"/>
      <c r="EZ552" s="37"/>
      <c r="FA552" s="37"/>
      <c r="FB552" s="37"/>
      <c r="FC552" s="37"/>
      <c r="FD552" s="37"/>
      <c r="FE552" s="37"/>
      <c r="FF552" s="55"/>
      <c r="FG552" s="55"/>
      <c r="FH552" s="55"/>
      <c r="FI552" s="37"/>
      <c r="FJ552" s="55"/>
      <c r="FK552" s="55"/>
      <c r="FL552" s="45"/>
      <c r="FM552" s="37"/>
      <c r="FN552" s="37"/>
      <c r="FO552" s="37"/>
      <c r="FP552" s="55"/>
      <c r="FQ552" s="1" t="s">
        <v>2</v>
      </c>
      <c r="FR552" s="1" t="s">
        <v>113</v>
      </c>
      <c r="FS552" s="1" t="s">
        <v>261</v>
      </c>
      <c r="FT552" s="1" t="s">
        <v>589</v>
      </c>
      <c r="FU552" s="1" t="s">
        <v>1194</v>
      </c>
      <c r="FV552" s="1" t="s">
        <v>2</v>
      </c>
    </row>
    <row r="553" spans="1:178" ht="16.25" customHeight="1" x14ac:dyDescent="0.2">
      <c r="A553" s="36" t="s">
        <v>1324</v>
      </c>
      <c r="B553" s="37" t="s">
        <v>149</v>
      </c>
      <c r="C553" s="15" t="s">
        <v>1052</v>
      </c>
      <c r="D553" s="1" t="s">
        <v>69</v>
      </c>
      <c r="H553" s="1" t="s">
        <v>1053</v>
      </c>
      <c r="K553" s="1">
        <v>0</v>
      </c>
      <c r="AF553" s="1">
        <v>0</v>
      </c>
      <c r="BA553" s="1">
        <v>102.58000000000001</v>
      </c>
      <c r="BB553" s="13">
        <v>5.881502879483657E-2</v>
      </c>
      <c r="BC553" s="13">
        <v>0.29610219536264376</v>
      </c>
      <c r="BI553" s="13">
        <v>0.15134633108190287</v>
      </c>
      <c r="BK553" s="13">
        <v>3.5279755133846753</v>
      </c>
      <c r="BL553" s="13">
        <v>2.313827435143303</v>
      </c>
      <c r="BM553" s="13">
        <v>0.36416767315441601</v>
      </c>
      <c r="BN553" s="13"/>
      <c r="BO553" s="13"/>
      <c r="BV553" s="1">
        <v>0</v>
      </c>
      <c r="CQ553" s="1">
        <v>0</v>
      </c>
      <c r="DL553" s="18" t="s">
        <v>96</v>
      </c>
      <c r="DN553" s="1">
        <f t="shared" si="85"/>
        <v>0.15134633108190287</v>
      </c>
      <c r="DO553" s="1">
        <f t="shared" si="86"/>
        <v>0</v>
      </c>
      <c r="DP553" s="1" t="s">
        <v>159</v>
      </c>
      <c r="DQ553" s="1" t="s">
        <v>2</v>
      </c>
      <c r="DR553" s="101">
        <f t="shared" si="87"/>
        <v>102.58000000000001</v>
      </c>
      <c r="DS553" s="100">
        <f t="shared" si="88"/>
        <v>0.15134633108190287</v>
      </c>
      <c r="DT553" s="101">
        <f t="shared" si="89"/>
        <v>155.25106642381598</v>
      </c>
      <c r="DV553" s="16">
        <f t="shared" si="90"/>
        <v>0</v>
      </c>
      <c r="DZ553" s="37" t="s">
        <v>2</v>
      </c>
      <c r="EA553" s="37"/>
      <c r="EM553" s="73"/>
      <c r="EN553" s="37"/>
      <c r="EO553" s="37"/>
      <c r="EP553" s="37"/>
      <c r="EQ553" s="37"/>
      <c r="ER553" s="37"/>
      <c r="ES553" s="37"/>
      <c r="ET553" s="37"/>
      <c r="EU553" s="37"/>
      <c r="EV553" s="37"/>
      <c r="EW553" s="37"/>
      <c r="EX553" s="37"/>
      <c r="EY553" s="37"/>
      <c r="EZ553" s="37"/>
      <c r="FA553" s="37"/>
      <c r="FB553" s="37"/>
      <c r="FC553" s="37"/>
      <c r="FD553" s="37"/>
      <c r="FE553" s="37"/>
      <c r="FF553" s="55"/>
      <c r="FG553" s="55"/>
      <c r="FH553" s="55"/>
      <c r="FI553" s="37"/>
      <c r="FJ553" s="55"/>
      <c r="FK553" s="55"/>
      <c r="FL553" s="45"/>
      <c r="FM553" s="37"/>
      <c r="FN553" s="37"/>
      <c r="FO553" s="37"/>
      <c r="FP553" s="55"/>
      <c r="FQ553" s="1" t="s">
        <v>2</v>
      </c>
      <c r="FR553" s="1" t="s">
        <v>113</v>
      </c>
      <c r="FS553" s="1" t="s">
        <v>261</v>
      </c>
      <c r="FT553" s="1" t="s">
        <v>589</v>
      </c>
      <c r="FU553" s="1" t="s">
        <v>1194</v>
      </c>
      <c r="FV553" s="1" t="s">
        <v>2</v>
      </c>
    </row>
    <row r="554" spans="1:178" ht="16.25" customHeight="1" x14ac:dyDescent="0.2">
      <c r="A554" s="36" t="s">
        <v>1324</v>
      </c>
      <c r="B554" s="37" t="s">
        <v>149</v>
      </c>
      <c r="C554" s="15" t="s">
        <v>910</v>
      </c>
      <c r="D554" s="1" t="s">
        <v>71</v>
      </c>
      <c r="H554" s="1" t="s">
        <v>249</v>
      </c>
      <c r="K554" s="1">
        <v>103</v>
      </c>
      <c r="L554" s="13">
        <v>5.8194174757281551E-2</v>
      </c>
      <c r="M554" s="13">
        <v>0.20959168932038835</v>
      </c>
      <c r="S554" s="13">
        <v>0.19229126213592229</v>
      </c>
      <c r="U554" s="13">
        <v>2.7261865631067961</v>
      </c>
      <c r="V554" s="13">
        <v>2.2912988932038836</v>
      </c>
      <c r="W554" s="13">
        <v>0.33927236893203883</v>
      </c>
      <c r="Z554" s="14">
        <v>8.9221948800320696</v>
      </c>
      <c r="AF554" s="1">
        <v>232.7</v>
      </c>
      <c r="AG554" s="13">
        <v>5.2509669101847872E-2</v>
      </c>
      <c r="AH554" s="13">
        <v>0.19100296519123336</v>
      </c>
      <c r="AN554" s="13">
        <v>0.18376450365277183</v>
      </c>
      <c r="AP554" s="13">
        <v>2.6991925569402664</v>
      </c>
      <c r="AQ554" s="13">
        <v>2.3906270777825527</v>
      </c>
      <c r="AR554" s="13">
        <v>0.36400335625268587</v>
      </c>
      <c r="AU554" s="14">
        <v>10.51681683583355</v>
      </c>
      <c r="BA554" s="1">
        <v>313.89999999999998</v>
      </c>
      <c r="BB554" s="13">
        <v>6.1672507167887858E-2</v>
      </c>
      <c r="BC554" s="13">
        <v>0.23878112774769036</v>
      </c>
      <c r="BI554" s="13">
        <v>0.19750876075183177</v>
      </c>
      <c r="BK554" s="13">
        <v>2.8097183816502067</v>
      </c>
      <c r="BL554" s="13">
        <v>2.1932789614526915</v>
      </c>
      <c r="BM554" s="13">
        <v>0.31093895508123603</v>
      </c>
      <c r="BN554" s="13"/>
      <c r="BO554" s="13"/>
      <c r="BP554" s="14">
        <v>7.9464503619090516</v>
      </c>
      <c r="BV554" s="1">
        <v>0</v>
      </c>
      <c r="CQ554" s="1">
        <v>0</v>
      </c>
      <c r="DL554" s="18" t="s">
        <v>96</v>
      </c>
      <c r="DN554" s="1">
        <f t="shared" si="85"/>
        <v>0.19175800492610839</v>
      </c>
      <c r="DO554" s="1">
        <f t="shared" si="86"/>
        <v>0</v>
      </c>
      <c r="DP554" s="1" t="s">
        <v>73</v>
      </c>
      <c r="DQ554" s="1" t="s">
        <v>2</v>
      </c>
      <c r="DR554" s="16">
        <f t="shared" si="87"/>
        <v>649.59999999999991</v>
      </c>
      <c r="DS554" s="100">
        <f t="shared" si="88"/>
        <v>0.19175800492610839</v>
      </c>
      <c r="DT554" s="101">
        <f t="shared" si="89"/>
        <v>1245.6599999999999</v>
      </c>
      <c r="DV554" s="16">
        <f t="shared" si="90"/>
        <v>0</v>
      </c>
      <c r="DZ554" s="37" t="s">
        <v>2</v>
      </c>
      <c r="EA554" s="37"/>
      <c r="EM554" s="73"/>
      <c r="EN554" s="37"/>
      <c r="EO554" s="37"/>
      <c r="EP554" s="37"/>
      <c r="EQ554" s="37"/>
      <c r="ER554" s="37"/>
      <c r="ES554" s="37"/>
      <c r="ET554" s="37"/>
      <c r="EU554" s="37"/>
      <c r="EV554" s="37"/>
      <c r="EW554" s="37"/>
      <c r="EX554" s="37"/>
      <c r="EY554" s="37"/>
      <c r="EZ554" s="37"/>
      <c r="FA554" s="37"/>
      <c r="FB554" s="37"/>
      <c r="FC554" s="37"/>
      <c r="FD554" s="37"/>
      <c r="FE554" s="37"/>
      <c r="FF554" s="55"/>
      <c r="FG554" s="55"/>
      <c r="FH554" s="55"/>
      <c r="FI554" s="37"/>
      <c r="FJ554" s="55"/>
      <c r="FK554" s="55"/>
      <c r="FL554" s="45"/>
      <c r="FM554" s="37"/>
      <c r="FN554" s="37"/>
      <c r="FO554" s="37"/>
      <c r="FP554" s="55"/>
      <c r="FQ554" s="1" t="s">
        <v>2</v>
      </c>
      <c r="FR554" s="1" t="s">
        <v>113</v>
      </c>
      <c r="FS554" s="1" t="s">
        <v>261</v>
      </c>
      <c r="FT554" s="1" t="s">
        <v>589</v>
      </c>
      <c r="FU554" s="1" t="s">
        <v>1194</v>
      </c>
      <c r="FV554" s="1" t="s">
        <v>2</v>
      </c>
    </row>
    <row r="555" spans="1:178" ht="16.25" customHeight="1" x14ac:dyDescent="0.2">
      <c r="A555" s="36" t="s">
        <v>1324</v>
      </c>
      <c r="B555" s="37" t="s">
        <v>149</v>
      </c>
      <c r="C555" s="15" t="s">
        <v>909</v>
      </c>
      <c r="D555" s="1" t="s">
        <v>71</v>
      </c>
      <c r="H555" s="1" t="s">
        <v>249</v>
      </c>
      <c r="K555" s="1">
        <v>13.11</v>
      </c>
      <c r="L555" s="13">
        <v>0.01</v>
      </c>
      <c r="M555" s="13">
        <v>4.9499999999999995E-2</v>
      </c>
      <c r="S555" s="13">
        <v>0.04</v>
      </c>
      <c r="U555" s="13">
        <v>2.5465</v>
      </c>
      <c r="V555" s="13">
        <v>1.5784999999999998</v>
      </c>
      <c r="W555" s="13">
        <v>0.47850000000000004</v>
      </c>
      <c r="X555" s="13">
        <v>0.63800000000000001</v>
      </c>
      <c r="Y555" s="13">
        <v>0.20349999999999999</v>
      </c>
      <c r="AF555" s="1">
        <v>155.06</v>
      </c>
      <c r="AG555" s="13">
        <v>4.3857861472978203E-2</v>
      </c>
      <c r="AH555" s="13">
        <v>0.12632297304269313</v>
      </c>
      <c r="AN555" s="13">
        <v>8.8368373532826019E-2</v>
      </c>
      <c r="AP555" s="13">
        <v>2.2150174216432346</v>
      </c>
      <c r="AQ555" s="13">
        <v>1.2995340423062036</v>
      </c>
      <c r="AR555" s="13">
        <v>0.30459298723074935</v>
      </c>
      <c r="AS555" s="13">
        <v>0.44705007609957437</v>
      </c>
      <c r="AT555" s="13">
        <v>0.12693988520572683</v>
      </c>
      <c r="BA555" s="1">
        <v>185.09</v>
      </c>
      <c r="BB555" s="13">
        <v>5.5253660381436059E-2</v>
      </c>
      <c r="BC555" s="13">
        <v>0.15902118915122371</v>
      </c>
      <c r="BI555" s="13">
        <v>9.6567075476795092E-2</v>
      </c>
      <c r="BK555" s="13">
        <v>2.3311177443405913</v>
      </c>
      <c r="BL555" s="13">
        <v>1.3446340790966558</v>
      </c>
      <c r="BM555" s="13">
        <v>0.28560171646226157</v>
      </c>
      <c r="BN555" s="13">
        <v>0.43669055918742239</v>
      </c>
      <c r="BO555" s="13">
        <v>0.11791272732184342</v>
      </c>
      <c r="BV555" s="1">
        <v>8.2899999999999991</v>
      </c>
      <c r="BW555" s="13">
        <v>0.01</v>
      </c>
      <c r="BX555" s="13">
        <v>3.2489999999999998E-2</v>
      </c>
      <c r="CD555" s="13">
        <v>0.04</v>
      </c>
      <c r="CF555" s="13">
        <v>1.67143</v>
      </c>
      <c r="CG555" s="13">
        <v>1.0360699999999998</v>
      </c>
      <c r="CH555" s="13">
        <v>0.31406999999999996</v>
      </c>
      <c r="CI555" s="13">
        <v>0.41876000000000002</v>
      </c>
      <c r="CJ555" s="13">
        <v>0.13356999999999999</v>
      </c>
      <c r="CQ555" s="1">
        <v>62.68</v>
      </c>
      <c r="CR555" s="13">
        <v>0.01</v>
      </c>
      <c r="CS555" s="13">
        <v>3.49E-2</v>
      </c>
      <c r="CY555" s="13">
        <v>0.04</v>
      </c>
      <c r="DA555" s="13">
        <v>1.32969</v>
      </c>
      <c r="DB555" s="13">
        <v>1.33318</v>
      </c>
      <c r="DC555" s="13">
        <v>0.2792</v>
      </c>
      <c r="DD555" s="13">
        <v>0.39437000000000005</v>
      </c>
      <c r="DE555" s="13">
        <v>0.12215000000000002</v>
      </c>
      <c r="DL555" s="18" t="s">
        <v>96</v>
      </c>
      <c r="DN555" s="1">
        <f t="shared" si="85"/>
        <v>9.0869048293041974E-2</v>
      </c>
      <c r="DO555" s="1">
        <f t="shared" si="86"/>
        <v>0</v>
      </c>
      <c r="DP555" s="1" t="s">
        <v>73</v>
      </c>
      <c r="DQ555" s="1" t="s">
        <v>2</v>
      </c>
      <c r="DR555" s="101">
        <f t="shared" si="87"/>
        <v>353.26</v>
      </c>
      <c r="DS555" s="100">
        <f t="shared" si="88"/>
        <v>9.0869048293041974E-2</v>
      </c>
      <c r="DT555" s="101">
        <f t="shared" si="89"/>
        <v>321.00400000000008</v>
      </c>
      <c r="DV555" s="16">
        <f t="shared" si="90"/>
        <v>70.97</v>
      </c>
      <c r="DW555" s="16">
        <f>(BV555*CD555+CQ555*CY555)/DV555</f>
        <v>0.04</v>
      </c>
      <c r="DX555" s="101">
        <f>1000*DV555*DW555/100</f>
        <v>28.388000000000002</v>
      </c>
      <c r="DZ555" s="37" t="s">
        <v>2</v>
      </c>
      <c r="EA555" s="37"/>
      <c r="EM555" s="73"/>
      <c r="EN555" s="37"/>
      <c r="EO555" s="37"/>
      <c r="EP555" s="37"/>
      <c r="EQ555" s="37"/>
      <c r="ER555" s="37"/>
      <c r="ES555" s="37"/>
      <c r="ET555" s="37"/>
      <c r="EU555" s="37"/>
      <c r="EV555" s="37"/>
      <c r="EW555" s="37"/>
      <c r="EX555" s="37"/>
      <c r="EY555" s="37"/>
      <c r="EZ555" s="37"/>
      <c r="FA555" s="37"/>
      <c r="FB555" s="37"/>
      <c r="FC555" s="37"/>
      <c r="FD555" s="37"/>
      <c r="FE555" s="37"/>
      <c r="FF555" s="55"/>
      <c r="FG555" s="55"/>
      <c r="FH555" s="55"/>
      <c r="FI555" s="37"/>
      <c r="FJ555" s="55"/>
      <c r="FK555" s="55"/>
      <c r="FL555" s="45"/>
      <c r="FM555" s="37"/>
      <c r="FN555" s="37"/>
      <c r="FO555" s="37"/>
      <c r="FP555" s="55"/>
      <c r="FQ555" s="1" t="s">
        <v>2</v>
      </c>
      <c r="FR555" s="1" t="s">
        <v>113</v>
      </c>
      <c r="FS555" s="1" t="s">
        <v>261</v>
      </c>
      <c r="FT555" s="1" t="s">
        <v>589</v>
      </c>
      <c r="FU555" s="1" t="s">
        <v>1194</v>
      </c>
      <c r="FV555" s="1" t="s">
        <v>2</v>
      </c>
    </row>
    <row r="556" spans="1:178" ht="16.25" customHeight="1" x14ac:dyDescent="0.2">
      <c r="A556" s="36" t="s">
        <v>1323</v>
      </c>
      <c r="B556" s="37" t="s">
        <v>149</v>
      </c>
      <c r="C556" s="40" t="s">
        <v>762</v>
      </c>
      <c r="D556" s="11" t="s">
        <v>160</v>
      </c>
      <c r="H556" s="1" t="s">
        <v>763</v>
      </c>
      <c r="K556" s="1">
        <v>108.00000000000001</v>
      </c>
      <c r="L556" s="13">
        <v>2.5751633986928105E-2</v>
      </c>
      <c r="M556" s="13">
        <v>7.2714455337690637E-2</v>
      </c>
      <c r="S556" s="13">
        <v>0.14675381263616558</v>
      </c>
      <c r="U556" s="13">
        <v>3.319799869281046</v>
      </c>
      <c r="V556" s="13">
        <v>1.611479411764706</v>
      </c>
      <c r="W556" s="13">
        <v>0.5265190196078432</v>
      </c>
      <c r="X556" s="13"/>
      <c r="Y556" s="13"/>
      <c r="AF556" s="1">
        <v>87.529411764705884</v>
      </c>
      <c r="AG556" s="13">
        <v>3.7177419354838717E-2</v>
      </c>
      <c r="AH556" s="13">
        <v>0.10198407258064517</v>
      </c>
      <c r="AN556" s="13">
        <v>0.17341397849462367</v>
      </c>
      <c r="AP556" s="13">
        <v>3.4780979032258066</v>
      </c>
      <c r="AQ556" s="13">
        <v>1.6602344354838707</v>
      </c>
      <c r="AR556" s="13">
        <v>0.48369491935483883</v>
      </c>
      <c r="AS556" s="13"/>
      <c r="AT556" s="13"/>
      <c r="BA556" s="1">
        <v>60.705882352941174</v>
      </c>
      <c r="BB556" s="13">
        <v>3.0581395348837213E-2</v>
      </c>
      <c r="BC556" s="13">
        <v>8.1095813953488374E-2</v>
      </c>
      <c r="BI556" s="13">
        <v>0.15802325581395352</v>
      </c>
      <c r="BK556" s="13">
        <v>3.3462474418604655</v>
      </c>
      <c r="BL556" s="13">
        <v>1.6158251162790698</v>
      </c>
      <c r="BM556" s="13">
        <v>0.51017302325581393</v>
      </c>
      <c r="BN556" s="13"/>
      <c r="BO556" s="13"/>
      <c r="BV556" s="1">
        <v>35.529411764705884</v>
      </c>
      <c r="BW556" s="13">
        <v>1.2384105960264902E-2</v>
      </c>
      <c r="BX556" s="13">
        <v>2.7028543046357611E-2</v>
      </c>
      <c r="CD556" s="13">
        <v>0.11556291390728475</v>
      </c>
      <c r="CF556" s="13">
        <v>2.5959059602649006</v>
      </c>
      <c r="CG556" s="13">
        <v>1.2925601324503311</v>
      </c>
      <c r="CH556" s="13">
        <v>0.49024410596026491</v>
      </c>
      <c r="CI556" s="13"/>
      <c r="CJ556" s="13"/>
      <c r="CQ556" s="1">
        <v>7.2941176470588243</v>
      </c>
      <c r="CR556" s="13">
        <v>1.9677419354838712E-2</v>
      </c>
      <c r="CS556" s="13">
        <v>4.5158064516129026E-2</v>
      </c>
      <c r="CY556" s="13">
        <v>0.13258064516129031</v>
      </c>
      <c r="DA556" s="13">
        <v>2.4452264516129034</v>
      </c>
      <c r="DB556" s="13">
        <v>1.1960922580645161</v>
      </c>
      <c r="DC556" s="13">
        <v>0.40992774193548387</v>
      </c>
      <c r="DD556" s="13"/>
      <c r="DE556" s="13"/>
      <c r="DL556" s="18" t="s">
        <v>96</v>
      </c>
      <c r="DN556" s="1">
        <f t="shared" si="85"/>
        <v>0.1585307621671258</v>
      </c>
      <c r="DO556" s="1">
        <f t="shared" si="86"/>
        <v>0</v>
      </c>
      <c r="DP556" s="1" t="s">
        <v>1181</v>
      </c>
      <c r="DQ556" s="1" t="s">
        <v>2</v>
      </c>
      <c r="DR556" s="101">
        <f t="shared" si="87"/>
        <v>256.23529411764707</v>
      </c>
      <c r="DS556" s="100">
        <f t="shared" si="88"/>
        <v>0.1585307621671258</v>
      </c>
      <c r="DT556" s="101">
        <f t="shared" si="89"/>
        <v>406.21176470588239</v>
      </c>
      <c r="DV556" s="100">
        <f t="shared" si="90"/>
        <v>42.82352941176471</v>
      </c>
      <c r="DW556" s="100">
        <f>(BV556*CD556+CQ556*CY556)/DV556</f>
        <v>0.11846153846153844</v>
      </c>
      <c r="DX556" s="101">
        <f>1000*DV556*DW556/100</f>
        <v>50.72941176470588</v>
      </c>
      <c r="DZ556" s="37" t="s">
        <v>2</v>
      </c>
      <c r="EA556" s="37"/>
      <c r="EM556" s="73"/>
      <c r="EN556" s="37"/>
      <c r="EO556" s="37"/>
      <c r="EP556" s="37"/>
      <c r="EQ556" s="37"/>
      <c r="ER556" s="37"/>
      <c r="ES556" s="37"/>
      <c r="ET556" s="37"/>
      <c r="EU556" s="37"/>
      <c r="EV556" s="37"/>
      <c r="EW556" s="37"/>
      <c r="EX556" s="37"/>
      <c r="EY556" s="37"/>
      <c r="EZ556" s="37"/>
      <c r="FA556" s="37"/>
      <c r="FB556" s="37"/>
      <c r="FC556" s="37"/>
      <c r="FD556" s="37"/>
      <c r="FE556" s="37"/>
      <c r="FF556" s="55"/>
      <c r="FG556" s="55"/>
      <c r="FH556" s="55"/>
      <c r="FI556" s="37"/>
      <c r="FJ556" s="55"/>
      <c r="FK556" s="55"/>
      <c r="FL556" s="45"/>
      <c r="FM556" s="37"/>
      <c r="FN556" s="37"/>
      <c r="FO556" s="37"/>
      <c r="FP556" s="55"/>
      <c r="FQ556" s="1" t="s">
        <v>2</v>
      </c>
      <c r="FR556" s="1" t="s">
        <v>113</v>
      </c>
      <c r="FS556" s="1" t="s">
        <v>261</v>
      </c>
      <c r="FT556" s="1" t="s">
        <v>589</v>
      </c>
      <c r="FU556" s="1" t="s">
        <v>1182</v>
      </c>
      <c r="FV556" s="1" t="s">
        <v>2</v>
      </c>
    </row>
    <row r="557" spans="1:178" ht="16.25" customHeight="1" x14ac:dyDescent="0.2">
      <c r="A557" s="36" t="s">
        <v>1323</v>
      </c>
      <c r="B557" s="37" t="s">
        <v>149</v>
      </c>
      <c r="C557" s="15" t="s">
        <v>786</v>
      </c>
      <c r="D557" s="1" t="s">
        <v>69</v>
      </c>
      <c r="H557" s="1" t="s">
        <v>787</v>
      </c>
      <c r="K557" s="1">
        <v>0</v>
      </c>
      <c r="AF557" s="1">
        <v>0</v>
      </c>
      <c r="BA557" s="1">
        <v>16.3</v>
      </c>
      <c r="BB557" s="13">
        <v>0.02</v>
      </c>
      <c r="BC557" s="13">
        <v>0.11</v>
      </c>
      <c r="BI557" s="13">
        <v>0.05</v>
      </c>
      <c r="BK557" s="13">
        <v>2.96</v>
      </c>
      <c r="BL557" s="13">
        <v>1.36</v>
      </c>
      <c r="BM557" s="13">
        <v>0.35</v>
      </c>
      <c r="BN557" s="13"/>
      <c r="BO557" s="13"/>
      <c r="BV557" s="1">
        <v>0</v>
      </c>
      <c r="CQ557" s="1">
        <v>0</v>
      </c>
      <c r="DL557" s="18" t="s">
        <v>96</v>
      </c>
      <c r="DN557" s="1">
        <f t="shared" si="85"/>
        <v>0.05</v>
      </c>
      <c r="DO557" s="1">
        <f t="shared" si="86"/>
        <v>0</v>
      </c>
      <c r="DP557" s="1" t="s">
        <v>1216</v>
      </c>
      <c r="DQ557" s="1" t="s">
        <v>2</v>
      </c>
      <c r="DR557" s="16">
        <f t="shared" si="87"/>
        <v>16.3</v>
      </c>
      <c r="DS557" s="100">
        <f t="shared" si="88"/>
        <v>0.05</v>
      </c>
      <c r="DT557" s="101">
        <f t="shared" si="89"/>
        <v>8.15</v>
      </c>
      <c r="DV557" s="16">
        <f t="shared" si="90"/>
        <v>0</v>
      </c>
      <c r="DZ557" s="37" t="s">
        <v>2</v>
      </c>
      <c r="EA557" s="37"/>
      <c r="EM557" s="73"/>
      <c r="EN557" s="37"/>
      <c r="EO557" s="37"/>
      <c r="EP557" s="37"/>
      <c r="EQ557" s="37"/>
      <c r="ER557" s="37"/>
      <c r="ES557" s="37"/>
      <c r="ET557" s="37"/>
      <c r="EU557" s="37"/>
      <c r="EV557" s="37"/>
      <c r="EW557" s="37"/>
      <c r="EX557" s="37"/>
      <c r="EY557" s="37"/>
      <c r="EZ557" s="37"/>
      <c r="FA557" s="37"/>
      <c r="FB557" s="37"/>
      <c r="FC557" s="37"/>
      <c r="FD557" s="37"/>
      <c r="FE557" s="37"/>
      <c r="FF557" s="55"/>
      <c r="FG557" s="55"/>
      <c r="FH557" s="55"/>
      <c r="FI557" s="37"/>
      <c r="FJ557" s="55"/>
      <c r="FK557" s="55"/>
      <c r="FL557" s="45"/>
      <c r="FM557" s="37"/>
      <c r="FN557" s="37"/>
      <c r="FO557" s="37"/>
      <c r="FP557" s="55"/>
      <c r="FQ557" s="1" t="s">
        <v>2</v>
      </c>
      <c r="FR557" s="1" t="s">
        <v>113</v>
      </c>
      <c r="FS557" s="1" t="s">
        <v>261</v>
      </c>
      <c r="FT557" s="1" t="s">
        <v>589</v>
      </c>
      <c r="FU557" s="1" t="s">
        <v>1182</v>
      </c>
      <c r="FV557" s="1" t="s">
        <v>2</v>
      </c>
    </row>
    <row r="558" spans="1:178" ht="16.25" customHeight="1" x14ac:dyDescent="0.2">
      <c r="A558" s="36" t="s">
        <v>1323</v>
      </c>
      <c r="B558" s="37" t="s">
        <v>149</v>
      </c>
      <c r="C558" s="15" t="s">
        <v>788</v>
      </c>
      <c r="D558" s="1" t="s">
        <v>64</v>
      </c>
      <c r="H558" s="1" t="s">
        <v>466</v>
      </c>
      <c r="K558" s="1">
        <v>13.22</v>
      </c>
      <c r="L558" s="13">
        <v>3.2264750378214829E-2</v>
      </c>
      <c r="M558" s="13">
        <v>8.2273403933434186E-2</v>
      </c>
      <c r="S558" s="13">
        <v>0.13205597579425113</v>
      </c>
      <c r="U558" s="13">
        <v>3.2960441754916792</v>
      </c>
      <c r="V558" s="13">
        <v>1.6871657186081694</v>
      </c>
      <c r="W558" s="13">
        <v>0.48658931921331317</v>
      </c>
      <c r="X558" s="13"/>
      <c r="Y558" s="13"/>
      <c r="Z558" s="14">
        <v>14.833722676247445</v>
      </c>
      <c r="AF558" s="1">
        <v>120.7</v>
      </c>
      <c r="AG558" s="13">
        <v>3.8087323943661967E-2</v>
      </c>
      <c r="AH558" s="13">
        <v>0.1002779652029826</v>
      </c>
      <c r="AN558" s="13">
        <v>0.13673686826843412</v>
      </c>
      <c r="AP558" s="13">
        <v>3.5414482717481355</v>
      </c>
      <c r="AQ558" s="13">
        <v>1.7775399668599834</v>
      </c>
      <c r="AR558" s="13">
        <v>0.47540819552609781</v>
      </c>
      <c r="AS558" s="13"/>
      <c r="AT558" s="13"/>
      <c r="AU558" s="14">
        <v>12.740281403659779</v>
      </c>
      <c r="BA558" s="1">
        <v>414.97</v>
      </c>
      <c r="BB558" s="13">
        <v>4.1342482589102822E-2</v>
      </c>
      <c r="BC558" s="13">
        <v>0.10711648504711183</v>
      </c>
      <c r="BI558" s="13">
        <v>0.13935376051280815</v>
      </c>
      <c r="BK558" s="13">
        <v>3.6186102874906614</v>
      </c>
      <c r="BL558" s="13">
        <v>1.802463192760922</v>
      </c>
      <c r="BM558" s="13">
        <v>0.46719355640166749</v>
      </c>
      <c r="BN558" s="13"/>
      <c r="BO558" s="13"/>
      <c r="BP558" s="14">
        <v>11.569925481044118</v>
      </c>
      <c r="BV558" s="1">
        <v>14.14</v>
      </c>
      <c r="BW558" s="13">
        <v>3.3659830268741156E-2</v>
      </c>
      <c r="BX558" s="13">
        <v>6.9275714285714274E-2</v>
      </c>
      <c r="CD558" s="13">
        <v>0.13317751060820368</v>
      </c>
      <c r="CF558" s="13">
        <v>2.7561927722772275</v>
      </c>
      <c r="CG558" s="13">
        <v>1.4094116053748231</v>
      </c>
      <c r="CH558" s="13">
        <v>0.40498553748231952</v>
      </c>
      <c r="CI558" s="13"/>
      <c r="CJ558" s="13"/>
      <c r="CK558" s="14">
        <v>14.196265630542301</v>
      </c>
      <c r="CQ558" s="1">
        <v>78.78</v>
      </c>
      <c r="CR558" s="13">
        <v>3.7100152322924594E-2</v>
      </c>
      <c r="CS558" s="13">
        <v>7.4555087585681634E-2</v>
      </c>
      <c r="CY558" s="13">
        <v>0.13594325971058643</v>
      </c>
      <c r="DA558" s="13">
        <v>2.7828279893373948</v>
      </c>
      <c r="DB558" s="13">
        <v>1.4093552817974104</v>
      </c>
      <c r="DC558" s="13">
        <v>0.39050078827113477</v>
      </c>
      <c r="DD558" s="13"/>
      <c r="DE558" s="13"/>
      <c r="DF558" s="14">
        <v>12.922413008654143</v>
      </c>
      <c r="DL558" s="18" t="s">
        <v>96</v>
      </c>
      <c r="DN558" s="1">
        <f t="shared" si="85"/>
        <v>0.13860254331468963</v>
      </c>
      <c r="DO558" s="1">
        <f t="shared" si="86"/>
        <v>0</v>
      </c>
      <c r="DP558" s="1" t="s">
        <v>67</v>
      </c>
      <c r="DQ558" s="1" t="s">
        <v>2</v>
      </c>
      <c r="DR558" s="101">
        <f t="shared" si="87"/>
        <v>548.8900000000001</v>
      </c>
      <c r="DS558" s="100">
        <f t="shared" si="88"/>
        <v>0.13860254331468963</v>
      </c>
      <c r="DT558" s="101">
        <f t="shared" si="89"/>
        <v>760.77550000000008</v>
      </c>
      <c r="DV558" s="16">
        <f t="shared" si="90"/>
        <v>92.92</v>
      </c>
      <c r="DW558" s="100">
        <f>(BV558*CD558+CQ558*CY558)/DV558</f>
        <v>0.13552238484718035</v>
      </c>
      <c r="DX558" s="101">
        <f>1000*DV558*DW558/100</f>
        <v>125.92739999999998</v>
      </c>
      <c r="DZ558" s="37" t="s">
        <v>2</v>
      </c>
      <c r="EA558" s="37"/>
      <c r="EM558" s="73"/>
      <c r="EN558" s="37"/>
      <c r="EO558" s="37"/>
      <c r="EP558" s="37"/>
      <c r="EQ558" s="37"/>
      <c r="ER558" s="37"/>
      <c r="ES558" s="37"/>
      <c r="ET558" s="37"/>
      <c r="EU558" s="37"/>
      <c r="EV558" s="37"/>
      <c r="EW558" s="37"/>
      <c r="EX558" s="37"/>
      <c r="EY558" s="37"/>
      <c r="EZ558" s="37"/>
      <c r="FA558" s="37"/>
      <c r="FB558" s="37"/>
      <c r="FC558" s="37"/>
      <c r="FD558" s="37"/>
      <c r="FE558" s="37"/>
      <c r="FF558" s="55"/>
      <c r="FG558" s="55"/>
      <c r="FH558" s="55"/>
      <c r="FI558" s="37"/>
      <c r="FJ558" s="55"/>
      <c r="FK558" s="55"/>
      <c r="FL558" s="45"/>
      <c r="FM558" s="37"/>
      <c r="FN558" s="37"/>
      <c r="FO558" s="37"/>
      <c r="FP558" s="55"/>
      <c r="FQ558" s="1" t="s">
        <v>2</v>
      </c>
      <c r="FR558" s="1" t="s">
        <v>113</v>
      </c>
      <c r="FS558" s="1" t="s">
        <v>261</v>
      </c>
      <c r="FT558" s="1" t="s">
        <v>589</v>
      </c>
      <c r="FU558" s="1" t="s">
        <v>1182</v>
      </c>
      <c r="FV558" s="1" t="s">
        <v>2</v>
      </c>
    </row>
    <row r="559" spans="1:178" ht="16.25" customHeight="1" x14ac:dyDescent="0.2">
      <c r="A559" s="36" t="s">
        <v>1324</v>
      </c>
      <c r="B559" s="37" t="s">
        <v>149</v>
      </c>
      <c r="C559" s="15" t="s">
        <v>790</v>
      </c>
      <c r="D559" s="1" t="s">
        <v>69</v>
      </c>
      <c r="H559" s="1" t="s">
        <v>365</v>
      </c>
      <c r="K559" s="1">
        <v>0</v>
      </c>
      <c r="AF559" s="1">
        <v>0</v>
      </c>
      <c r="BA559" s="1">
        <v>77.42</v>
      </c>
      <c r="BB559" s="13">
        <v>6.4352834308755158E-2</v>
      </c>
      <c r="BC559" s="13">
        <v>0.24661038707052438</v>
      </c>
      <c r="BI559" s="13">
        <v>0.15861597483212142</v>
      </c>
      <c r="BK559" s="13">
        <v>3.3643685826659775</v>
      </c>
      <c r="BL559" s="13">
        <v>2.3737952936450535</v>
      </c>
      <c r="BM559" s="13">
        <v>0.40418513630379749</v>
      </c>
      <c r="BN559" s="13"/>
      <c r="BO559" s="13"/>
      <c r="BV559" s="1">
        <v>0</v>
      </c>
      <c r="CQ559" s="1">
        <v>0</v>
      </c>
      <c r="DL559" s="18" t="s">
        <v>96</v>
      </c>
      <c r="DN559" s="1">
        <f t="shared" si="85"/>
        <v>0.15861597483212142</v>
      </c>
      <c r="DO559" s="1">
        <f t="shared" si="86"/>
        <v>0</v>
      </c>
      <c r="DP559" s="1" t="s">
        <v>73</v>
      </c>
      <c r="DQ559" s="1" t="s">
        <v>2</v>
      </c>
      <c r="DR559" s="16">
        <f t="shared" si="87"/>
        <v>77.42</v>
      </c>
      <c r="DS559" s="100">
        <f t="shared" si="88"/>
        <v>0.15861597483212142</v>
      </c>
      <c r="DT559" s="101">
        <f t="shared" si="89"/>
        <v>122.80048771502841</v>
      </c>
      <c r="DV559" s="16">
        <f t="shared" si="90"/>
        <v>0</v>
      </c>
      <c r="DZ559" s="37" t="s">
        <v>2</v>
      </c>
      <c r="EA559" s="37"/>
      <c r="EM559" s="73"/>
      <c r="EN559" s="37"/>
      <c r="EO559" s="37"/>
      <c r="EP559" s="37"/>
      <c r="EQ559" s="37"/>
      <c r="ER559" s="37"/>
      <c r="ES559" s="37"/>
      <c r="ET559" s="37"/>
      <c r="EU559" s="37"/>
      <c r="EV559" s="37"/>
      <c r="EW559" s="37"/>
      <c r="EX559" s="37"/>
      <c r="EY559" s="37"/>
      <c r="EZ559" s="37"/>
      <c r="FA559" s="37"/>
      <c r="FB559" s="37"/>
      <c r="FC559" s="37"/>
      <c r="FD559" s="37"/>
      <c r="FE559" s="37"/>
      <c r="FF559" s="55"/>
      <c r="FG559" s="55"/>
      <c r="FH559" s="55"/>
      <c r="FI559" s="37"/>
      <c r="FJ559" s="55"/>
      <c r="FK559" s="55"/>
      <c r="FL559" s="45"/>
      <c r="FM559" s="37"/>
      <c r="FN559" s="37"/>
      <c r="FO559" s="37"/>
      <c r="FP559" s="55"/>
      <c r="FQ559" s="1" t="s">
        <v>2</v>
      </c>
      <c r="FR559" s="1" t="s">
        <v>113</v>
      </c>
      <c r="FS559" s="1" t="s">
        <v>261</v>
      </c>
      <c r="FT559" s="1" t="s">
        <v>589</v>
      </c>
      <c r="FU559" s="1" t="s">
        <v>1194</v>
      </c>
      <c r="FV559" s="1" t="s">
        <v>2</v>
      </c>
    </row>
    <row r="560" spans="1:178" ht="16.25" customHeight="1" x14ac:dyDescent="0.2">
      <c r="A560" s="18" t="s">
        <v>1273</v>
      </c>
      <c r="B560" s="1" t="s">
        <v>149</v>
      </c>
      <c r="C560" s="15" t="s">
        <v>352</v>
      </c>
      <c r="D560" s="1" t="s">
        <v>69</v>
      </c>
      <c r="G560" s="1" t="s">
        <v>72</v>
      </c>
      <c r="H560" s="1" t="s">
        <v>353</v>
      </c>
      <c r="K560" s="1">
        <v>0</v>
      </c>
      <c r="AF560" s="1">
        <v>346</v>
      </c>
      <c r="AG560" s="1">
        <v>0.16</v>
      </c>
      <c r="AH560" s="1">
        <v>0.28000000000000003</v>
      </c>
      <c r="AN560" s="1">
        <v>0.32</v>
      </c>
      <c r="AP560" s="1">
        <v>1.68</v>
      </c>
      <c r="AQ560" s="13">
        <v>1.7</v>
      </c>
      <c r="AR560" s="1">
        <v>0.11</v>
      </c>
      <c r="BA560" s="1">
        <v>506</v>
      </c>
      <c r="BB560" s="1">
        <v>0.16</v>
      </c>
      <c r="BC560" s="1">
        <v>0.26</v>
      </c>
      <c r="BI560" s="1">
        <v>0.31</v>
      </c>
      <c r="BK560" s="1">
        <v>1.42</v>
      </c>
      <c r="BL560" s="1">
        <v>1.46</v>
      </c>
      <c r="BM560" s="13">
        <v>0.1</v>
      </c>
      <c r="BN560" s="13"/>
      <c r="BO560" s="13"/>
      <c r="BV560" s="1">
        <v>0</v>
      </c>
      <c r="CQ560" s="1">
        <v>124.7</v>
      </c>
      <c r="CR560" s="1">
        <v>0.17</v>
      </c>
      <c r="CS560" s="13">
        <v>0.3</v>
      </c>
      <c r="CY560" s="1">
        <v>0.34</v>
      </c>
      <c r="DA560" s="1">
        <v>1.95</v>
      </c>
      <c r="DB560" s="1">
        <v>2.0099999999999998</v>
      </c>
      <c r="DC560" s="1">
        <v>0.14000000000000001</v>
      </c>
      <c r="DL560" s="18" t="s">
        <v>96</v>
      </c>
      <c r="DN560" s="1">
        <f t="shared" si="85"/>
        <v>0.31406103286384973</v>
      </c>
      <c r="DO560" s="1">
        <f t="shared" si="86"/>
        <v>0</v>
      </c>
      <c r="DP560" s="1" t="s">
        <v>185</v>
      </c>
      <c r="DQ560" s="1" t="s">
        <v>2</v>
      </c>
      <c r="DR560" s="16">
        <f t="shared" si="87"/>
        <v>852</v>
      </c>
      <c r="DS560" s="100">
        <f t="shared" si="88"/>
        <v>0.31406103286384973</v>
      </c>
      <c r="DT560" s="102">
        <f t="shared" si="89"/>
        <v>2675.8</v>
      </c>
      <c r="DV560" s="16">
        <f t="shared" si="90"/>
        <v>124.7</v>
      </c>
      <c r="DW560" s="16">
        <f>(BV560*CD560+CQ560*CY560)/DV560</f>
        <v>0.34</v>
      </c>
      <c r="DX560" s="101">
        <f>1000*DV560*DW560/100</f>
        <v>423.98</v>
      </c>
      <c r="DZ560" s="37" t="s">
        <v>2</v>
      </c>
      <c r="EA560" s="37"/>
      <c r="EM560" s="73"/>
      <c r="EN560" s="37"/>
      <c r="EO560" s="37"/>
      <c r="EP560" s="37"/>
      <c r="EQ560" s="37"/>
      <c r="ER560" s="37"/>
      <c r="ES560" s="37"/>
      <c r="ET560" s="37"/>
      <c r="EU560" s="37"/>
      <c r="EV560" s="37"/>
      <c r="EW560" s="37"/>
      <c r="EX560" s="37"/>
      <c r="EY560" s="37"/>
      <c r="EZ560" s="37"/>
      <c r="FA560" s="37"/>
      <c r="FB560" s="37"/>
      <c r="FC560" s="37"/>
      <c r="FD560" s="37"/>
      <c r="FE560" s="37"/>
      <c r="FF560" s="55"/>
      <c r="FG560" s="55"/>
      <c r="FH560" s="55"/>
      <c r="FI560" s="37"/>
      <c r="FJ560" s="55"/>
      <c r="FK560" s="55"/>
      <c r="FL560" s="45"/>
      <c r="FM560" s="37"/>
      <c r="FN560" s="37"/>
      <c r="FO560" s="37"/>
      <c r="FP560" s="55"/>
      <c r="FQ560" s="1" t="s">
        <v>2</v>
      </c>
      <c r="FR560" s="1" t="s">
        <v>113</v>
      </c>
      <c r="FS560" s="1" t="s">
        <v>261</v>
      </c>
      <c r="FT560" s="1" t="s">
        <v>589</v>
      </c>
      <c r="FU560" s="1" t="s">
        <v>1276</v>
      </c>
      <c r="FV560" s="1" t="s">
        <v>2</v>
      </c>
    </row>
    <row r="561" spans="1:178" ht="16.25" customHeight="1" x14ac:dyDescent="0.2">
      <c r="A561" s="18" t="s">
        <v>1273</v>
      </c>
      <c r="B561" s="1" t="s">
        <v>149</v>
      </c>
      <c r="C561" s="15" t="s">
        <v>998</v>
      </c>
      <c r="H561" s="1" t="s">
        <v>131</v>
      </c>
      <c r="K561" s="4">
        <v>1067.7</v>
      </c>
      <c r="L561" s="13">
        <v>0.1</v>
      </c>
      <c r="M561" s="13">
        <v>0.1794</v>
      </c>
      <c r="S561" s="1">
        <v>0.19</v>
      </c>
      <c r="U561" s="13">
        <v>1.16472</v>
      </c>
      <c r="V561" s="13">
        <v>1.3303199999999999</v>
      </c>
      <c r="W561" s="13">
        <v>8.5559999999999997E-2</v>
      </c>
      <c r="X561" s="13"/>
      <c r="Y561" s="13"/>
      <c r="AF561" s="4">
        <v>1789.2</v>
      </c>
      <c r="AG561" s="13">
        <v>0.1</v>
      </c>
      <c r="AH561" s="13">
        <v>0.15859999999999999</v>
      </c>
      <c r="AN561" s="1">
        <v>0.19</v>
      </c>
      <c r="AP561" s="13">
        <v>1.0296799999999999</v>
      </c>
      <c r="AQ561" s="13">
        <v>1.17608</v>
      </c>
      <c r="AR561" s="13">
        <v>7.5639999999999999E-2</v>
      </c>
      <c r="AS561" s="13"/>
      <c r="AT561" s="13"/>
      <c r="BA561" s="1">
        <v>826.6</v>
      </c>
      <c r="BB561" s="13">
        <v>0.1</v>
      </c>
      <c r="BC561" s="13">
        <v>0.14235</v>
      </c>
      <c r="BI561" s="1">
        <v>0.19</v>
      </c>
      <c r="BK561" s="13">
        <v>0.92418</v>
      </c>
      <c r="BL561" s="13">
        <v>1.05558</v>
      </c>
      <c r="BM561" s="13">
        <v>6.7889999999999992E-2</v>
      </c>
      <c r="BN561" s="13"/>
      <c r="BO561" s="13"/>
      <c r="BV561" s="1">
        <v>750.9</v>
      </c>
      <c r="BW561" s="13">
        <v>0.1</v>
      </c>
      <c r="BX561" s="13">
        <v>0.1976</v>
      </c>
      <c r="CD561" s="1">
        <v>0.19</v>
      </c>
      <c r="CF561" s="13">
        <v>1.28288</v>
      </c>
      <c r="CG561" s="13">
        <v>1.4652799999999999</v>
      </c>
      <c r="CH561" s="13">
        <v>9.4240000000000004E-2</v>
      </c>
      <c r="CI561" s="13"/>
      <c r="CJ561" s="13"/>
      <c r="CQ561" s="1">
        <v>449.4</v>
      </c>
      <c r="CR561" s="13">
        <v>0.1</v>
      </c>
      <c r="CS561" s="13">
        <v>0.20085</v>
      </c>
      <c r="CY561" s="1">
        <v>0.19</v>
      </c>
      <c r="DA561" s="13">
        <v>1.3039799999999999</v>
      </c>
      <c r="DB561" s="13">
        <v>1.4893799999999999</v>
      </c>
      <c r="DC561" s="13">
        <v>9.579E-2</v>
      </c>
      <c r="DD561" s="13"/>
      <c r="DE561" s="13"/>
      <c r="DL561" s="18" t="s">
        <v>96</v>
      </c>
      <c r="DN561" s="1">
        <f t="shared" si="85"/>
        <v>0.19</v>
      </c>
      <c r="DO561" s="1">
        <f t="shared" si="86"/>
        <v>0</v>
      </c>
      <c r="DP561" s="1" t="s">
        <v>73</v>
      </c>
      <c r="DQ561" s="1" t="s">
        <v>2</v>
      </c>
      <c r="DR561" s="104">
        <f t="shared" si="87"/>
        <v>3683.5</v>
      </c>
      <c r="DS561" s="100">
        <f t="shared" si="88"/>
        <v>0.19</v>
      </c>
      <c r="DT561" s="102">
        <f t="shared" si="89"/>
        <v>6998.65</v>
      </c>
      <c r="DV561" s="104">
        <f t="shared" si="90"/>
        <v>1200.3</v>
      </c>
      <c r="DW561" s="16">
        <f>(BV561*CD561+CQ561*CY561)/DV561</f>
        <v>0.19</v>
      </c>
      <c r="DX561" s="104">
        <f>1000*DV561*DW561/100</f>
        <v>2280.5700000000002</v>
      </c>
      <c r="DZ561" s="37" t="s">
        <v>2</v>
      </c>
      <c r="EA561" s="37"/>
      <c r="EM561" s="73"/>
      <c r="EN561" s="37"/>
      <c r="EO561" s="37"/>
      <c r="EP561" s="37"/>
      <c r="EQ561" s="37"/>
      <c r="ER561" s="37"/>
      <c r="ES561" s="37"/>
      <c r="ET561" s="37"/>
      <c r="EU561" s="37"/>
      <c r="EV561" s="37"/>
      <c r="EW561" s="37"/>
      <c r="EX561" s="37"/>
      <c r="EY561" s="37"/>
      <c r="EZ561" s="37"/>
      <c r="FA561" s="37"/>
      <c r="FB561" s="37"/>
      <c r="FC561" s="37"/>
      <c r="FD561" s="37"/>
      <c r="FE561" s="37"/>
      <c r="FF561" s="55"/>
      <c r="FG561" s="55"/>
      <c r="FH561" s="55"/>
      <c r="FI561" s="37"/>
      <c r="FJ561" s="55"/>
      <c r="FK561" s="55"/>
      <c r="FL561" s="45"/>
      <c r="FM561" s="37"/>
      <c r="FN561" s="37"/>
      <c r="FO561" s="37"/>
      <c r="FP561" s="55"/>
      <c r="FQ561" s="1" t="s">
        <v>2</v>
      </c>
      <c r="FR561" s="1" t="s">
        <v>113</v>
      </c>
      <c r="FS561" s="1" t="s">
        <v>261</v>
      </c>
      <c r="FT561" s="1" t="s">
        <v>708</v>
      </c>
      <c r="FU561" s="1" t="s">
        <v>1276</v>
      </c>
      <c r="FV561" s="1" t="s">
        <v>2</v>
      </c>
    </row>
    <row r="562" spans="1:178" ht="16.25" customHeight="1" x14ac:dyDescent="0.2">
      <c r="A562" s="18" t="s">
        <v>1273</v>
      </c>
      <c r="B562" s="1" t="s">
        <v>149</v>
      </c>
      <c r="C562" s="79" t="s">
        <v>631</v>
      </c>
      <c r="D562" s="1" t="s">
        <v>69</v>
      </c>
      <c r="H562" s="1" t="s">
        <v>131</v>
      </c>
      <c r="K562" s="1">
        <v>0</v>
      </c>
      <c r="AF562" s="1">
        <v>151.89999999999998</v>
      </c>
      <c r="AG562" s="13">
        <v>0.12799210006583281</v>
      </c>
      <c r="AH562" s="13">
        <v>0.2414843094140883</v>
      </c>
      <c r="AN562" s="13">
        <v>0.23797893350888746</v>
      </c>
      <c r="AP562" s="13">
        <v>1.729208267281106</v>
      </c>
      <c r="AQ562" s="13">
        <v>2.0413440895325876</v>
      </c>
      <c r="AR562" s="13">
        <v>0.15165019486504283</v>
      </c>
      <c r="AS562" s="13"/>
      <c r="AT562" s="13"/>
      <c r="BA562" s="1">
        <v>81.199999999999989</v>
      </c>
      <c r="BB562" s="13">
        <v>9.9334975369458123E-2</v>
      </c>
      <c r="BC562" s="13">
        <v>0.19825397413793108</v>
      </c>
      <c r="BI562" s="13">
        <v>0.1780049261083744</v>
      </c>
      <c r="BK562" s="13">
        <v>1.418353511083744</v>
      </c>
      <c r="BL562" s="13">
        <v>1.6623498817733993</v>
      </c>
      <c r="BM562" s="13">
        <v>0.12451818349753693</v>
      </c>
      <c r="BN562" s="13"/>
      <c r="BO562" s="13"/>
      <c r="BV562" s="1">
        <v>0</v>
      </c>
      <c r="CQ562" s="1">
        <v>0</v>
      </c>
      <c r="DL562" s="18" t="s">
        <v>96</v>
      </c>
      <c r="DN562" s="1">
        <f t="shared" si="85"/>
        <v>0.21708708708708713</v>
      </c>
      <c r="DO562" s="1">
        <f t="shared" si="86"/>
        <v>0</v>
      </c>
      <c r="DP562" s="1" t="s">
        <v>73</v>
      </c>
      <c r="DQ562" s="1" t="s">
        <v>2</v>
      </c>
      <c r="DR562" s="16">
        <f t="shared" si="87"/>
        <v>233.09999999999997</v>
      </c>
      <c r="DS562" s="100">
        <f t="shared" si="88"/>
        <v>0.21708708708708713</v>
      </c>
      <c r="DT562" s="101">
        <f t="shared" si="89"/>
        <v>506.03</v>
      </c>
      <c r="DV562" s="16">
        <f t="shared" si="90"/>
        <v>0</v>
      </c>
      <c r="DZ562" s="37" t="s">
        <v>2</v>
      </c>
      <c r="EA562" s="37"/>
      <c r="EM562" s="73"/>
      <c r="EN562" s="37"/>
      <c r="EO562" s="37"/>
      <c r="EP562" s="37"/>
      <c r="EQ562" s="37"/>
      <c r="ER562" s="37"/>
      <c r="ES562" s="37"/>
      <c r="ET562" s="37"/>
      <c r="EU562" s="37"/>
      <c r="EV562" s="37"/>
      <c r="EW562" s="37"/>
      <c r="EX562" s="37"/>
      <c r="EY562" s="37"/>
      <c r="EZ562" s="37"/>
      <c r="FA562" s="37"/>
      <c r="FB562" s="37"/>
      <c r="FC562" s="37"/>
      <c r="FD562" s="37"/>
      <c r="FE562" s="37"/>
      <c r="FF562" s="55"/>
      <c r="FG562" s="55"/>
      <c r="FH562" s="55"/>
      <c r="FI562" s="37"/>
      <c r="FJ562" s="55"/>
      <c r="FK562" s="55"/>
      <c r="FL562" s="45"/>
      <c r="FM562" s="37"/>
      <c r="FN562" s="37"/>
      <c r="FO562" s="37"/>
      <c r="FP562" s="55"/>
      <c r="FQ562" s="1" t="s">
        <v>2</v>
      </c>
      <c r="FR562" s="1" t="s">
        <v>113</v>
      </c>
      <c r="FS562" s="1" t="s">
        <v>261</v>
      </c>
      <c r="FT562" s="1" t="s">
        <v>589</v>
      </c>
      <c r="FU562" s="1" t="s">
        <v>1276</v>
      </c>
      <c r="FV562" s="1" t="s">
        <v>2</v>
      </c>
    </row>
    <row r="563" spans="1:178" ht="16.25" customHeight="1" x14ac:dyDescent="0.2">
      <c r="A563" s="18" t="s">
        <v>1273</v>
      </c>
      <c r="B563" s="1" t="s">
        <v>149</v>
      </c>
      <c r="C563" s="79" t="s">
        <v>809</v>
      </c>
      <c r="D563" s="1" t="s">
        <v>69</v>
      </c>
      <c r="H563" s="81" t="s">
        <v>810</v>
      </c>
      <c r="K563" s="1">
        <v>0</v>
      </c>
      <c r="AF563" s="1">
        <v>0</v>
      </c>
      <c r="BA563" s="1">
        <v>18.128</v>
      </c>
      <c r="BB563" s="13">
        <v>0.11411187113857017</v>
      </c>
      <c r="BC563" s="13">
        <v>8.5279677846425428E-2</v>
      </c>
      <c r="BI563" s="13">
        <v>0.18527967784642543</v>
      </c>
      <c r="BK563" s="13">
        <v>0.4700490953221535</v>
      </c>
      <c r="BL563" s="13">
        <v>0.73578993821712269</v>
      </c>
      <c r="BV563" s="1">
        <v>0</v>
      </c>
      <c r="CQ563" s="1">
        <v>0</v>
      </c>
      <c r="DL563" s="18" t="s">
        <v>96</v>
      </c>
      <c r="DN563" s="1">
        <f t="shared" si="85"/>
        <v>0.18527967784642543</v>
      </c>
      <c r="DO563" s="1">
        <f t="shared" si="86"/>
        <v>0</v>
      </c>
      <c r="DP563" s="1" t="s">
        <v>1280</v>
      </c>
      <c r="DQ563" s="1" t="s">
        <v>2</v>
      </c>
      <c r="DR563" s="100">
        <f t="shared" si="87"/>
        <v>18.128</v>
      </c>
      <c r="DS563" s="100">
        <f t="shared" si="88"/>
        <v>0.18527967784642543</v>
      </c>
      <c r="DT563" s="101">
        <f t="shared" si="89"/>
        <v>33.587500000000006</v>
      </c>
      <c r="DV563" s="16">
        <f t="shared" si="90"/>
        <v>0</v>
      </c>
      <c r="DZ563" s="37" t="s">
        <v>2</v>
      </c>
      <c r="EA563" s="37"/>
      <c r="EM563" s="73"/>
      <c r="EN563" s="37"/>
      <c r="EO563" s="37"/>
      <c r="EP563" s="37"/>
      <c r="EQ563" s="37"/>
      <c r="ER563" s="37"/>
      <c r="ES563" s="37"/>
      <c r="ET563" s="37"/>
      <c r="EU563" s="37"/>
      <c r="EV563" s="37"/>
      <c r="EW563" s="37"/>
      <c r="EX563" s="37"/>
      <c r="EY563" s="37"/>
      <c r="EZ563" s="37"/>
      <c r="FA563" s="37"/>
      <c r="FB563" s="37"/>
      <c r="FC563" s="37"/>
      <c r="FD563" s="37"/>
      <c r="FE563" s="37"/>
      <c r="FF563" s="55"/>
      <c r="FG563" s="55"/>
      <c r="FH563" s="55"/>
      <c r="FI563" s="37"/>
      <c r="FJ563" s="55"/>
      <c r="FK563" s="55"/>
      <c r="FL563" s="45"/>
      <c r="FM563" s="37"/>
      <c r="FN563" s="37"/>
      <c r="FO563" s="37"/>
      <c r="FP563" s="55"/>
      <c r="FQ563" s="1" t="s">
        <v>2</v>
      </c>
      <c r="FR563" s="1" t="s">
        <v>113</v>
      </c>
      <c r="FS563" s="1" t="s">
        <v>261</v>
      </c>
      <c r="FT563" s="1" t="s">
        <v>589</v>
      </c>
      <c r="FU563" s="1" t="s">
        <v>1276</v>
      </c>
      <c r="FV563" s="1" t="s">
        <v>2</v>
      </c>
    </row>
    <row r="564" spans="1:178" ht="16.25" customHeight="1" x14ac:dyDescent="0.2">
      <c r="A564" s="18" t="s">
        <v>1273</v>
      </c>
      <c r="B564" s="1" t="s">
        <v>149</v>
      </c>
      <c r="C564" s="15" t="s">
        <v>1261</v>
      </c>
      <c r="H564" s="1" t="s">
        <v>1262</v>
      </c>
      <c r="K564" s="1">
        <v>28.47</v>
      </c>
      <c r="L564" s="13">
        <v>0.10798927886436387</v>
      </c>
      <c r="M564" s="13">
        <v>8.7932501999999996E-2</v>
      </c>
      <c r="S564" s="13">
        <v>0.20463110206781226</v>
      </c>
      <c r="U564" s="13">
        <v>0.52758392399999998</v>
      </c>
      <c r="V564" s="13">
        <v>0.64448369999999999</v>
      </c>
      <c r="AF564" s="1">
        <v>16.63</v>
      </c>
      <c r="AG564" s="13">
        <v>0.10798927886436387</v>
      </c>
      <c r="AH564" s="13">
        <v>8.0953731999999987E-2</v>
      </c>
      <c r="AN564" s="13">
        <v>0.20463110206781226</v>
      </c>
      <c r="AP564" s="13">
        <v>0.48571218399999999</v>
      </c>
      <c r="AQ564" s="13">
        <v>0.59333420000000003</v>
      </c>
      <c r="BA564" s="1">
        <v>0.76</v>
      </c>
      <c r="BB564" s="13">
        <v>0.10798927886436387</v>
      </c>
      <c r="BC564" s="13">
        <v>6.6298314999999997E-2</v>
      </c>
      <c r="BI564" s="13">
        <v>0.20463110206781226</v>
      </c>
      <c r="BK564" s="13">
        <v>0.39778152999999999</v>
      </c>
      <c r="BL564" s="13">
        <v>0.48592025</v>
      </c>
      <c r="BV564" s="1">
        <v>0</v>
      </c>
      <c r="CQ564" s="1">
        <v>0</v>
      </c>
      <c r="DL564" s="18" t="s">
        <v>96</v>
      </c>
      <c r="DN564" s="1">
        <f t="shared" si="85"/>
        <v>0.20463110206781229</v>
      </c>
      <c r="DO564" s="1">
        <f t="shared" si="86"/>
        <v>0</v>
      </c>
      <c r="DP564" s="1" t="s">
        <v>1283</v>
      </c>
      <c r="DQ564" s="1" t="s">
        <v>2</v>
      </c>
      <c r="DR564" s="16">
        <f t="shared" si="87"/>
        <v>45.859999999999992</v>
      </c>
      <c r="DS564" s="100">
        <f t="shared" si="88"/>
        <v>0.20463110206781229</v>
      </c>
      <c r="DT564" s="101">
        <f t="shared" si="89"/>
        <v>93.843823408298704</v>
      </c>
      <c r="DV564" s="16">
        <f t="shared" si="90"/>
        <v>0</v>
      </c>
      <c r="DZ564" s="37" t="s">
        <v>2</v>
      </c>
      <c r="EA564" s="37"/>
      <c r="EM564" s="73"/>
      <c r="EN564" s="37"/>
      <c r="EO564" s="37"/>
      <c r="EP564" s="37"/>
      <c r="EQ564" s="37"/>
      <c r="ER564" s="37"/>
      <c r="ES564" s="37"/>
      <c r="ET564" s="37"/>
      <c r="EU564" s="37"/>
      <c r="EV564" s="37"/>
      <c r="EW564" s="37"/>
      <c r="EX564" s="37"/>
      <c r="EY564" s="37"/>
      <c r="EZ564" s="37"/>
      <c r="FA564" s="37"/>
      <c r="FB564" s="37"/>
      <c r="FC564" s="37"/>
      <c r="FD564" s="37"/>
      <c r="FE564" s="37"/>
      <c r="FF564" s="55"/>
      <c r="FG564" s="55"/>
      <c r="FH564" s="55"/>
      <c r="FI564" s="37"/>
      <c r="FJ564" s="55"/>
      <c r="FK564" s="55"/>
      <c r="FL564" s="45"/>
      <c r="FM564" s="37"/>
      <c r="FN564" s="37"/>
      <c r="FO564" s="37"/>
      <c r="FP564" s="55"/>
      <c r="FQ564" s="1" t="s">
        <v>2</v>
      </c>
      <c r="FR564" s="1" t="s">
        <v>113</v>
      </c>
      <c r="FS564" s="1" t="s">
        <v>261</v>
      </c>
      <c r="FT564" s="1" t="s">
        <v>708</v>
      </c>
      <c r="FU564" s="1" t="s">
        <v>1276</v>
      </c>
      <c r="FV564" s="1" t="s">
        <v>2</v>
      </c>
    </row>
    <row r="565" spans="1:178" ht="16.25" customHeight="1" x14ac:dyDescent="0.2">
      <c r="A565" s="18" t="s">
        <v>1273</v>
      </c>
      <c r="B565" s="1" t="s">
        <v>149</v>
      </c>
      <c r="C565" s="79" t="s">
        <v>549</v>
      </c>
      <c r="D565" s="1" t="s">
        <v>69</v>
      </c>
      <c r="G565" s="1" t="s">
        <v>72</v>
      </c>
      <c r="H565" s="1" t="s">
        <v>550</v>
      </c>
      <c r="K565" s="1">
        <v>0</v>
      </c>
      <c r="AF565" s="1">
        <v>0</v>
      </c>
      <c r="BA565" s="14">
        <v>313.10666666666668</v>
      </c>
      <c r="BB565" s="13">
        <v>0.1</v>
      </c>
      <c r="BC565" s="13">
        <v>7.7700000000000019E-2</v>
      </c>
      <c r="BI565" s="1">
        <v>0.13</v>
      </c>
      <c r="BK565" s="13">
        <v>0.25530000000000003</v>
      </c>
      <c r="BL565" s="13">
        <v>0.77700000000000002</v>
      </c>
      <c r="BV565" s="1">
        <v>0</v>
      </c>
      <c r="CQ565" s="1">
        <v>0</v>
      </c>
      <c r="DL565" s="18" t="s">
        <v>96</v>
      </c>
      <c r="DN565" s="1">
        <f t="shared" si="85"/>
        <v>0.13</v>
      </c>
      <c r="DO565" s="1">
        <f t="shared" si="86"/>
        <v>0</v>
      </c>
      <c r="DP565" s="1" t="s">
        <v>101</v>
      </c>
      <c r="DQ565" s="1" t="s">
        <v>2</v>
      </c>
      <c r="DR565" s="101">
        <f t="shared" si="87"/>
        <v>313.10666666666668</v>
      </c>
      <c r="DS565" s="100">
        <f t="shared" si="88"/>
        <v>0.13</v>
      </c>
      <c r="DT565" s="101">
        <f t="shared" si="89"/>
        <v>407.0386666666667</v>
      </c>
      <c r="DV565" s="16">
        <f t="shared" si="90"/>
        <v>0</v>
      </c>
      <c r="DZ565" s="37" t="s">
        <v>2</v>
      </c>
      <c r="EA565" s="37"/>
      <c r="EM565" s="73"/>
      <c r="EN565" s="37"/>
      <c r="EO565" s="37"/>
      <c r="EP565" s="37"/>
      <c r="EQ565" s="37"/>
      <c r="ER565" s="37"/>
      <c r="ES565" s="37"/>
      <c r="ET565" s="37"/>
      <c r="EU565" s="37"/>
      <c r="EV565" s="37"/>
      <c r="EW565" s="37"/>
      <c r="EX565" s="37"/>
      <c r="EY565" s="37"/>
      <c r="EZ565" s="37"/>
      <c r="FA565" s="37"/>
      <c r="FB565" s="37"/>
      <c r="FC565" s="37"/>
      <c r="FD565" s="37"/>
      <c r="FE565" s="37"/>
      <c r="FF565" s="55"/>
      <c r="FG565" s="55"/>
      <c r="FH565" s="55"/>
      <c r="FI565" s="37"/>
      <c r="FJ565" s="55"/>
      <c r="FK565" s="55"/>
      <c r="FL565" s="45"/>
      <c r="FM565" s="37"/>
      <c r="FN565" s="37"/>
      <c r="FO565" s="37"/>
      <c r="FP565" s="55"/>
      <c r="FQ565" s="1" t="s">
        <v>2</v>
      </c>
      <c r="FR565" s="1" t="s">
        <v>113</v>
      </c>
      <c r="FS565" s="1" t="s">
        <v>261</v>
      </c>
      <c r="FT565" s="1" t="s">
        <v>589</v>
      </c>
      <c r="FU565" s="1" t="s">
        <v>1276</v>
      </c>
      <c r="FV565" s="1" t="s">
        <v>2</v>
      </c>
    </row>
    <row r="566" spans="1:178" ht="16.25" customHeight="1" x14ac:dyDescent="0.2">
      <c r="A566" s="18" t="s">
        <v>1273</v>
      </c>
      <c r="B566" s="1" t="s">
        <v>149</v>
      </c>
      <c r="C566" s="15" t="s">
        <v>416</v>
      </c>
      <c r="D566" s="1" t="s">
        <v>69</v>
      </c>
      <c r="G566" s="1" t="s">
        <v>65</v>
      </c>
      <c r="H566" s="1" t="s">
        <v>417</v>
      </c>
      <c r="K566" s="13">
        <v>78.773368000000005</v>
      </c>
      <c r="L566" s="1">
        <v>8.3000000000000004E-2</v>
      </c>
      <c r="M566" s="1">
        <v>0.18</v>
      </c>
      <c r="S566" s="1">
        <v>0.186</v>
      </c>
      <c r="U566" s="1">
        <v>0.83</v>
      </c>
      <c r="V566" s="13">
        <v>2</v>
      </c>
      <c r="W566" s="1">
        <v>0.05</v>
      </c>
      <c r="AF566" s="13">
        <v>296.26998500000002</v>
      </c>
      <c r="AG566" s="1">
        <v>8.2000000000000003E-2</v>
      </c>
      <c r="AH566" s="1">
        <v>0.19</v>
      </c>
      <c r="AN566" s="1">
        <v>0.17399999999999999</v>
      </c>
      <c r="AP566" s="1">
        <v>0.83</v>
      </c>
      <c r="AQ566" s="1">
        <v>1.86</v>
      </c>
      <c r="AR566" s="1">
        <v>0.04</v>
      </c>
      <c r="BA566" s="13">
        <v>146.564922</v>
      </c>
      <c r="BB566" s="1">
        <v>7.9000000000000001E-2</v>
      </c>
      <c r="BC566" s="1">
        <v>0.21</v>
      </c>
      <c r="BI566" s="1">
        <v>0.14599999999999999</v>
      </c>
      <c r="BK566" s="1">
        <v>0.78</v>
      </c>
      <c r="BL566" s="1">
        <v>1.66</v>
      </c>
      <c r="BM566" s="1">
        <v>0.04</v>
      </c>
      <c r="BV566" s="1">
        <v>0</v>
      </c>
      <c r="CQ566" s="1">
        <v>0</v>
      </c>
      <c r="DL566" s="18" t="s">
        <v>96</v>
      </c>
      <c r="DN566" s="1">
        <f t="shared" si="85"/>
        <v>0.16794461792232876</v>
      </c>
      <c r="DO566" s="1">
        <f t="shared" si="86"/>
        <v>0</v>
      </c>
      <c r="DP566" s="1" t="s">
        <v>1288</v>
      </c>
      <c r="DQ566" s="1" t="s">
        <v>2</v>
      </c>
      <c r="DR566" s="101">
        <f t="shared" si="87"/>
        <v>521.60827500000005</v>
      </c>
      <c r="DS566" s="100">
        <f t="shared" si="88"/>
        <v>0.16794461792232876</v>
      </c>
      <c r="DT566" s="101">
        <f t="shared" si="89"/>
        <v>876.01302449999991</v>
      </c>
      <c r="DV566" s="16">
        <f t="shared" si="90"/>
        <v>0</v>
      </c>
      <c r="DZ566" s="37" t="s">
        <v>2</v>
      </c>
      <c r="EA566" s="37"/>
      <c r="EM566" s="73"/>
      <c r="EN566" s="37"/>
      <c r="EO566" s="37"/>
      <c r="EP566" s="37"/>
      <c r="EQ566" s="37"/>
      <c r="ER566" s="37"/>
      <c r="ES566" s="37"/>
      <c r="ET566" s="37"/>
      <c r="EU566" s="37"/>
      <c r="EV566" s="37"/>
      <c r="EW566" s="37"/>
      <c r="EX566" s="37"/>
      <c r="EY566" s="37"/>
      <c r="EZ566" s="37"/>
      <c r="FA566" s="37"/>
      <c r="FB566" s="37"/>
      <c r="FC566" s="37"/>
      <c r="FD566" s="37"/>
      <c r="FE566" s="37"/>
      <c r="FF566" s="55"/>
      <c r="FG566" s="55"/>
      <c r="FH566" s="55"/>
      <c r="FI566" s="37"/>
      <c r="FJ566" s="55"/>
      <c r="FK566" s="55"/>
      <c r="FL566" s="45"/>
      <c r="FM566" s="37"/>
      <c r="FN566" s="37"/>
      <c r="FO566" s="37"/>
      <c r="FP566" s="55"/>
      <c r="FQ566" s="1" t="s">
        <v>2</v>
      </c>
      <c r="FR566" s="1" t="s">
        <v>113</v>
      </c>
      <c r="FS566" s="1" t="s">
        <v>261</v>
      </c>
      <c r="FT566" s="1" t="s">
        <v>708</v>
      </c>
      <c r="FU566" s="1" t="s">
        <v>1276</v>
      </c>
      <c r="FV566" s="1" t="s">
        <v>2</v>
      </c>
    </row>
    <row r="567" spans="1:178" ht="16.25" customHeight="1" x14ac:dyDescent="0.2">
      <c r="A567" s="18" t="s">
        <v>1273</v>
      </c>
      <c r="B567" s="1" t="s">
        <v>149</v>
      </c>
      <c r="C567" s="79" t="s">
        <v>903</v>
      </c>
      <c r="D567" s="1" t="s">
        <v>69</v>
      </c>
      <c r="H567" s="1" t="s">
        <v>131</v>
      </c>
      <c r="K567" s="1">
        <v>0</v>
      </c>
      <c r="AF567" s="1">
        <v>0</v>
      </c>
      <c r="BA567" s="1">
        <v>133.43</v>
      </c>
      <c r="BB567" s="13">
        <v>0.10798927886436387</v>
      </c>
      <c r="BC567" s="13">
        <v>9.3515517999999992E-2</v>
      </c>
      <c r="BI567" s="13">
        <v>0.20463110206781226</v>
      </c>
      <c r="BK567" s="13">
        <v>0.56108131600000011</v>
      </c>
      <c r="BL567" s="13">
        <v>0.68540330000000005</v>
      </c>
      <c r="BV567" s="1">
        <v>0</v>
      </c>
      <c r="CQ567" s="1">
        <v>0</v>
      </c>
      <c r="DL567" s="18" t="s">
        <v>163</v>
      </c>
      <c r="DN567" s="1">
        <f t="shared" si="85"/>
        <v>0.20463110206781226</v>
      </c>
      <c r="DO567" s="1">
        <f t="shared" si="86"/>
        <v>0</v>
      </c>
      <c r="DP567" s="1" t="s">
        <v>1290</v>
      </c>
      <c r="DQ567" s="1" t="s">
        <v>2</v>
      </c>
      <c r="DR567" s="101">
        <f t="shared" si="87"/>
        <v>133.43</v>
      </c>
      <c r="DS567" s="100">
        <f t="shared" si="88"/>
        <v>0.20463110206781226</v>
      </c>
      <c r="DT567" s="101">
        <f t="shared" si="89"/>
        <v>273.03927948908188</v>
      </c>
      <c r="DV567" s="16">
        <f t="shared" si="90"/>
        <v>0</v>
      </c>
      <c r="DZ567" s="37" t="s">
        <v>2</v>
      </c>
      <c r="EA567" s="37"/>
      <c r="EM567" s="73"/>
      <c r="EN567" s="37"/>
      <c r="EO567" s="37"/>
      <c r="EP567" s="37"/>
      <c r="EQ567" s="37"/>
      <c r="ER567" s="37"/>
      <c r="ES567" s="37"/>
      <c r="ET567" s="37"/>
      <c r="EU567" s="37"/>
      <c r="EV567" s="37"/>
      <c r="EW567" s="37"/>
      <c r="EX567" s="37"/>
      <c r="EY567" s="37"/>
      <c r="EZ567" s="37"/>
      <c r="FA567" s="37"/>
      <c r="FB567" s="37"/>
      <c r="FC567" s="37"/>
      <c r="FD567" s="37"/>
      <c r="FE567" s="37"/>
      <c r="FF567" s="55"/>
      <c r="FG567" s="55"/>
      <c r="FH567" s="55"/>
      <c r="FI567" s="37"/>
      <c r="FJ567" s="55"/>
      <c r="FK567" s="55"/>
      <c r="FL567" s="45"/>
      <c r="FM567" s="37"/>
      <c r="FN567" s="37"/>
      <c r="FO567" s="37"/>
      <c r="FP567" s="55"/>
      <c r="FQ567" s="1" t="s">
        <v>2</v>
      </c>
      <c r="FR567" s="1" t="s">
        <v>113</v>
      </c>
      <c r="FS567" s="1" t="s">
        <v>261</v>
      </c>
      <c r="FT567" s="1" t="s">
        <v>708</v>
      </c>
      <c r="FU567" s="1" t="s">
        <v>1276</v>
      </c>
      <c r="FV567" s="1" t="s">
        <v>2</v>
      </c>
    </row>
    <row r="568" spans="1:178" ht="16.25" customHeight="1" x14ac:dyDescent="0.2">
      <c r="A568" s="18" t="s">
        <v>1273</v>
      </c>
      <c r="B568" s="1" t="s">
        <v>149</v>
      </c>
      <c r="C568" s="15" t="s">
        <v>1263</v>
      </c>
      <c r="H568" s="1" t="s">
        <v>1213</v>
      </c>
      <c r="K568" s="1">
        <v>0</v>
      </c>
      <c r="AF568" s="1">
        <v>0</v>
      </c>
      <c r="BA568" s="1">
        <v>39.700000000000003</v>
      </c>
      <c r="BB568" s="1">
        <v>8.5000000000000006E-2</v>
      </c>
      <c r="BI568" s="1">
        <v>0.22</v>
      </c>
      <c r="BK568" s="1">
        <v>0.22</v>
      </c>
      <c r="BL568" s="1">
        <v>0.33</v>
      </c>
      <c r="BV568" s="1">
        <v>0</v>
      </c>
      <c r="CQ568" s="1">
        <v>0</v>
      </c>
      <c r="DL568" s="18" t="s">
        <v>96</v>
      </c>
      <c r="DN568" s="1">
        <f t="shared" si="85"/>
        <v>0.21999999999999997</v>
      </c>
      <c r="DO568" s="1">
        <f t="shared" si="86"/>
        <v>0</v>
      </c>
      <c r="DP568" s="1" t="s">
        <v>161</v>
      </c>
      <c r="DQ568" s="1" t="s">
        <v>2</v>
      </c>
      <c r="DR568" s="16">
        <f t="shared" si="87"/>
        <v>39.700000000000003</v>
      </c>
      <c r="DS568" s="100">
        <f t="shared" si="88"/>
        <v>0.21999999999999997</v>
      </c>
      <c r="DT568" s="101">
        <f t="shared" si="89"/>
        <v>87.339999999999975</v>
      </c>
      <c r="DV568" s="16">
        <f t="shared" si="90"/>
        <v>0</v>
      </c>
      <c r="DZ568" s="37" t="s">
        <v>2</v>
      </c>
      <c r="EA568" s="37"/>
      <c r="EM568" s="73"/>
      <c r="EN568" s="37"/>
      <c r="EO568" s="37"/>
      <c r="EP568" s="37"/>
      <c r="EQ568" s="37"/>
      <c r="ER568" s="37"/>
      <c r="ES568" s="37"/>
      <c r="ET568" s="37"/>
      <c r="EU568" s="37"/>
      <c r="EV568" s="37"/>
      <c r="EW568" s="37"/>
      <c r="EX568" s="37"/>
      <c r="EY568" s="37"/>
      <c r="EZ568" s="37"/>
      <c r="FA568" s="37"/>
      <c r="FB568" s="37"/>
      <c r="FC568" s="37"/>
      <c r="FD568" s="37"/>
      <c r="FE568" s="37"/>
      <c r="FF568" s="55"/>
      <c r="FG568" s="55"/>
      <c r="FH568" s="55"/>
      <c r="FI568" s="37"/>
      <c r="FJ568" s="55"/>
      <c r="FK568" s="55"/>
      <c r="FL568" s="45"/>
      <c r="FM568" s="37"/>
      <c r="FN568" s="37"/>
      <c r="FO568" s="37"/>
      <c r="FP568" s="55"/>
      <c r="FQ568" s="1" t="s">
        <v>2</v>
      </c>
      <c r="FR568" s="1" t="s">
        <v>113</v>
      </c>
      <c r="FS568" s="1" t="s">
        <v>261</v>
      </c>
      <c r="FT568" s="1" t="s">
        <v>708</v>
      </c>
      <c r="FU568" s="1" t="s">
        <v>1276</v>
      </c>
      <c r="FV568" s="1" t="s">
        <v>2</v>
      </c>
    </row>
    <row r="569" spans="1:178" ht="16.25" customHeight="1" x14ac:dyDescent="0.2">
      <c r="A569" s="18" t="s">
        <v>177</v>
      </c>
      <c r="B569" s="1" t="s">
        <v>149</v>
      </c>
      <c r="C569" s="15" t="s">
        <v>791</v>
      </c>
      <c r="D569" s="1" t="s">
        <v>69</v>
      </c>
      <c r="H569" s="1" t="s">
        <v>792</v>
      </c>
      <c r="K569" s="1">
        <v>0</v>
      </c>
      <c r="AF569" s="1">
        <v>0</v>
      </c>
      <c r="BA569" s="1">
        <v>9.6999999999999993</v>
      </c>
      <c r="BB569" s="13">
        <f>(0.09*8.8+0.08*15.9)/(8.8+15.9)</f>
        <v>8.3562753036437246E-2</v>
      </c>
      <c r="BC569" s="13">
        <f>(0.27*8.8+0.27*15.9)/(8.8+15.9)</f>
        <v>0.26999999999999996</v>
      </c>
      <c r="BI569" s="13">
        <f>(0.22*8.8+0.18*15.9)/(8.8+15.9)</f>
        <v>0.19425101214574897</v>
      </c>
      <c r="BK569" s="13">
        <f>(2.73*8.8+2.45*15.9)/(8.8+15.9)</f>
        <v>2.5497570850202429</v>
      </c>
      <c r="BL569" s="13">
        <f>(1.28*8.8+1.19*15.9)/(8.8+15.9)</f>
        <v>1.2220647773279352</v>
      </c>
      <c r="BV569" s="1">
        <v>0</v>
      </c>
      <c r="CQ569" s="1">
        <v>0</v>
      </c>
      <c r="DL569" s="18" t="s">
        <v>96</v>
      </c>
      <c r="DN569" s="1">
        <f t="shared" si="85"/>
        <v>0.19425101214574897</v>
      </c>
      <c r="DO569" s="1">
        <f t="shared" si="86"/>
        <v>0</v>
      </c>
      <c r="DP569" s="1" t="s">
        <v>73</v>
      </c>
      <c r="DQ569" s="1" t="s">
        <v>2</v>
      </c>
      <c r="DR569" s="16">
        <f t="shared" si="87"/>
        <v>9.6999999999999993</v>
      </c>
      <c r="DS569" s="100">
        <f t="shared" si="88"/>
        <v>0.19425101214574897</v>
      </c>
      <c r="DT569" s="101">
        <f t="shared" si="89"/>
        <v>18.842348178137648</v>
      </c>
      <c r="DV569" s="16">
        <f t="shared" si="90"/>
        <v>0</v>
      </c>
      <c r="DZ569" s="37" t="s">
        <v>2</v>
      </c>
      <c r="EA569" s="37"/>
      <c r="EM569" s="73"/>
      <c r="EN569" s="37"/>
      <c r="EO569" s="37"/>
      <c r="EP569" s="37"/>
      <c r="EQ569" s="37"/>
      <c r="ER569" s="37"/>
      <c r="ES569" s="37"/>
      <c r="ET569" s="37"/>
      <c r="EU569" s="37"/>
      <c r="EV569" s="37"/>
      <c r="EW569" s="37"/>
      <c r="EX569" s="37"/>
      <c r="EY569" s="37"/>
      <c r="EZ569" s="37"/>
      <c r="FA569" s="37"/>
      <c r="FB569" s="37"/>
      <c r="FC569" s="37"/>
      <c r="FD569" s="37"/>
      <c r="FE569" s="37"/>
      <c r="FF569" s="55"/>
      <c r="FG569" s="55"/>
      <c r="FH569" s="55"/>
      <c r="FI569" s="37"/>
      <c r="FJ569" s="55"/>
      <c r="FK569" s="55"/>
      <c r="FL569" s="45"/>
      <c r="FM569" s="37"/>
      <c r="FN569" s="37"/>
      <c r="FO569" s="37"/>
      <c r="FP569" s="55"/>
      <c r="FQ569" s="1" t="s">
        <v>2</v>
      </c>
      <c r="FR569" s="1" t="s">
        <v>113</v>
      </c>
      <c r="FS569" s="1" t="s">
        <v>261</v>
      </c>
      <c r="FT569" s="1" t="s">
        <v>589</v>
      </c>
      <c r="FU569" s="1" t="s">
        <v>1194</v>
      </c>
      <c r="FV569" s="1" t="s">
        <v>2</v>
      </c>
    </row>
    <row r="570" spans="1:178" ht="16.25" customHeight="1" x14ac:dyDescent="0.2">
      <c r="A570" s="18" t="s">
        <v>177</v>
      </c>
      <c r="B570" s="1" t="s">
        <v>149</v>
      </c>
      <c r="C570" s="15" t="s">
        <v>1264</v>
      </c>
      <c r="H570" s="1" t="s">
        <v>1009</v>
      </c>
      <c r="K570" s="1">
        <v>78.11</v>
      </c>
      <c r="L570" s="1">
        <v>0.13</v>
      </c>
      <c r="M570" s="13">
        <f>(0.92-U570-V570)/2</f>
        <v>9.3436418330773208E-2</v>
      </c>
      <c r="S570" s="1">
        <v>0.33</v>
      </c>
      <c r="T570" s="1">
        <v>0.02</v>
      </c>
      <c r="U570" s="13">
        <v>0.20761200716845879</v>
      </c>
      <c r="V570" s="13">
        <v>0.52551515616999489</v>
      </c>
      <c r="W570" s="13">
        <f>(0.92-U570-V570)/2</f>
        <v>9.3436418330773208E-2</v>
      </c>
      <c r="X570" s="13"/>
      <c r="Y570" s="13"/>
      <c r="Z570" s="14">
        <f>((0*10.04+10.11*1.05+0*38.12+11.86*28.9)/(10.04+1.05+38.12+28.9))*(2*52/(2*52+3*16.001))</f>
        <v>3.0953061031440865</v>
      </c>
      <c r="AF570" s="1">
        <v>94.09</v>
      </c>
      <c r="AG570" s="1">
        <v>0.15</v>
      </c>
      <c r="AH570" s="13">
        <f>(0.98-AP570-AQ570)/2</f>
        <v>0.12343641833077312</v>
      </c>
      <c r="AN570" s="1">
        <v>0.37</v>
      </c>
      <c r="AO570" s="1">
        <v>0.02</v>
      </c>
      <c r="AP570" s="13">
        <v>0.20761200716845879</v>
      </c>
      <c r="AQ570" s="13">
        <v>0.52551515616999489</v>
      </c>
      <c r="AR570" s="13">
        <f>(0.98-AP570-AQ570)/2</f>
        <v>0.12343641833077312</v>
      </c>
      <c r="AS570" s="13"/>
      <c r="AT570" s="13"/>
      <c r="AU570" s="14">
        <f>((0*10.04+10.11*1.05+0*38.12+11.86*28.9)/(10.04+1.05+38.12+28.9))*(2*52/(2*52+3*16.001))</f>
        <v>3.0953061031440865</v>
      </c>
      <c r="BA570" s="1">
        <f>6.3+40.05</f>
        <v>46.349999999999994</v>
      </c>
      <c r="BB570" s="13">
        <f>(0.2*6.3+0.12*40.05)/(6.3+40.05)</f>
        <v>0.13087378640776698</v>
      </c>
      <c r="BC570" s="13">
        <f>(0.97-BK570-BL570)/2</f>
        <v>0.11843641833077312</v>
      </c>
      <c r="BI570" s="13">
        <f>(0.41*6.3+0.4*40.05)/(6.3+40.05)</f>
        <v>0.4013592233009709</v>
      </c>
      <c r="BJ570" s="13">
        <f>(0.02*6.3+0.02*40.05)/(6.3+40.05)</f>
        <v>0.02</v>
      </c>
      <c r="BK570" s="13">
        <v>0.20761200716845879</v>
      </c>
      <c r="BL570" s="13">
        <v>0.52551515616999489</v>
      </c>
      <c r="BM570" s="13">
        <f>(0.97-BK570-BL570)/2</f>
        <v>0.11843641833077312</v>
      </c>
      <c r="BN570" s="13"/>
      <c r="BO570" s="13"/>
      <c r="BP570" s="14">
        <f>((0*6.3+10.52*40.05)/(6.3+40.05))*(2*52/(2*52+3*16.001))</f>
        <v>6.2194173607585297</v>
      </c>
      <c r="BV570" s="1">
        <v>54.01</v>
      </c>
      <c r="BW570" s="13">
        <v>0.10934456582114423</v>
      </c>
      <c r="BX570" s="13">
        <f>(0.88-CF570-CG570)/2</f>
        <v>7.343641833077319E-2</v>
      </c>
      <c r="CD570" s="13">
        <v>0.29862247731901498</v>
      </c>
      <c r="CE570" s="13">
        <v>1.9879651916311795E-2</v>
      </c>
      <c r="CF570" s="13">
        <v>0.20761200716845879</v>
      </c>
      <c r="CG570" s="13">
        <v>0.52551515616999489</v>
      </c>
      <c r="CH570" s="13">
        <f>(0.88-CF570-CG570)/2</f>
        <v>7.343641833077319E-2</v>
      </c>
      <c r="CI570" s="13"/>
      <c r="CJ570" s="13"/>
      <c r="CK570" s="14">
        <f>((0*0.32+0*27.44+13.75*25.36+13.52*0.77)/(0.32+27.44+25.36+0.77))*(2*52/(2*52+3*16.001))</f>
        <v>4.5593294934614361</v>
      </c>
      <c r="CQ570" s="1">
        <v>30.45</v>
      </c>
      <c r="CR570" s="1">
        <v>0.13</v>
      </c>
      <c r="CS570" s="13">
        <f>(0.9-DA570-DB570)/2</f>
        <v>8.3436418330773199E-2</v>
      </c>
      <c r="CY570" s="1">
        <v>0.33</v>
      </c>
      <c r="CZ570" s="1">
        <v>0.02</v>
      </c>
      <c r="DA570" s="13">
        <v>0.20761200716845879</v>
      </c>
      <c r="DB570" s="13">
        <v>0.52551515616999489</v>
      </c>
      <c r="DC570" s="13">
        <f>(0.9-DA570-DB570)/2</f>
        <v>8.3436418330773199E-2</v>
      </c>
      <c r="DD570" s="13"/>
      <c r="DE570" s="13"/>
      <c r="DL570" s="18" t="s">
        <v>96</v>
      </c>
      <c r="DM570" s="1" t="s">
        <v>96</v>
      </c>
      <c r="DN570" s="1">
        <f t="shared" si="85"/>
        <v>0.36235460992907803</v>
      </c>
      <c r="DO570" s="1">
        <f t="shared" si="86"/>
        <v>0.02</v>
      </c>
      <c r="DP570" s="1" t="s">
        <v>73</v>
      </c>
      <c r="DQ570" s="1" t="s">
        <v>2</v>
      </c>
      <c r="DR570" s="101">
        <f t="shared" si="87"/>
        <v>218.54999999999998</v>
      </c>
      <c r="DS570" s="100">
        <f t="shared" si="88"/>
        <v>0.36235460992907803</v>
      </c>
      <c r="DT570" s="101">
        <f t="shared" si="89"/>
        <v>791.92599999999993</v>
      </c>
      <c r="DV570" s="16">
        <f t="shared" si="90"/>
        <v>84.46</v>
      </c>
      <c r="DW570" s="100">
        <f>(BV570*CD570+CQ570*CY570)/DV570</f>
        <v>0.30993488041676537</v>
      </c>
      <c r="DX570" s="101">
        <f>1000*DV570*DW570/100</f>
        <v>261.77100000000002</v>
      </c>
      <c r="DZ570" s="37" t="s">
        <v>2</v>
      </c>
      <c r="EA570" s="37"/>
      <c r="EM570" s="73"/>
      <c r="EN570" s="37"/>
      <c r="EO570" s="37"/>
      <c r="EP570" s="37"/>
      <c r="EQ570" s="37"/>
      <c r="ER570" s="37"/>
      <c r="ES570" s="37"/>
      <c r="ET570" s="37"/>
      <c r="EU570" s="37"/>
      <c r="EV570" s="37"/>
      <c r="EW570" s="37"/>
      <c r="EX570" s="37"/>
      <c r="EY570" s="37"/>
      <c r="EZ570" s="37"/>
      <c r="FA570" s="37"/>
      <c r="FB570" s="37"/>
      <c r="FC570" s="37"/>
      <c r="FD570" s="37"/>
      <c r="FE570" s="37"/>
      <c r="FF570" s="55"/>
      <c r="FG570" s="55"/>
      <c r="FH570" s="55"/>
      <c r="FI570" s="37"/>
      <c r="FJ570" s="55"/>
      <c r="FK570" s="55"/>
      <c r="FL570" s="45"/>
      <c r="FM570" s="37"/>
      <c r="FN570" s="37"/>
      <c r="FO570" s="37"/>
      <c r="FP570" s="55"/>
      <c r="FQ570" s="1" t="s">
        <v>2</v>
      </c>
      <c r="FR570" s="1" t="s">
        <v>113</v>
      </c>
      <c r="FS570" s="1" t="s">
        <v>261</v>
      </c>
      <c r="FT570" s="1" t="s">
        <v>589</v>
      </c>
      <c r="FU570" s="1" t="s">
        <v>1194</v>
      </c>
      <c r="FV570" s="1" t="s">
        <v>2</v>
      </c>
    </row>
    <row r="571" spans="1:178" ht="16.25" customHeight="1" x14ac:dyDescent="0.2">
      <c r="A571" s="18" t="s">
        <v>177</v>
      </c>
      <c r="B571" s="1" t="s">
        <v>149</v>
      </c>
      <c r="C571" s="15" t="s">
        <v>1265</v>
      </c>
      <c r="H571" s="1" t="s">
        <v>1266</v>
      </c>
      <c r="K571" s="14">
        <f>28/0.35</f>
        <v>80</v>
      </c>
      <c r="L571" s="1">
        <v>7.0000000000000007E-2</v>
      </c>
      <c r="S571" s="13">
        <v>0.2</v>
      </c>
      <c r="AF571" s="14">
        <f>34/0.35</f>
        <v>97.142857142857153</v>
      </c>
      <c r="AG571" s="1">
        <v>7.0000000000000007E-2</v>
      </c>
      <c r="AN571" s="1">
        <v>0.18</v>
      </c>
      <c r="BA571" s="14">
        <f>149.9/0.35</f>
        <v>428.28571428571433</v>
      </c>
      <c r="BB571" s="1">
        <v>0.08</v>
      </c>
      <c r="BI571" s="1">
        <v>0.19</v>
      </c>
      <c r="BV571" s="1">
        <v>0</v>
      </c>
      <c r="CQ571" s="1">
        <v>0</v>
      </c>
      <c r="DL571" s="18" t="s">
        <v>96</v>
      </c>
      <c r="DN571" s="1">
        <f t="shared" si="85"/>
        <v>0.1897168475696083</v>
      </c>
      <c r="DO571" s="1">
        <f t="shared" si="86"/>
        <v>0</v>
      </c>
      <c r="DP571" s="1" t="s">
        <v>73</v>
      </c>
      <c r="DQ571" s="1" t="s">
        <v>2</v>
      </c>
      <c r="DR571" s="101">
        <f t="shared" si="87"/>
        <v>605.42857142857156</v>
      </c>
      <c r="DS571" s="100">
        <f t="shared" si="88"/>
        <v>0.1897168475696083</v>
      </c>
      <c r="DT571" s="102">
        <f t="shared" si="89"/>
        <v>1148.6000000000004</v>
      </c>
      <c r="DV571" s="16">
        <f t="shared" si="90"/>
        <v>0</v>
      </c>
      <c r="DZ571" s="37" t="s">
        <v>2</v>
      </c>
      <c r="EA571" s="37"/>
      <c r="EM571" s="73"/>
      <c r="EN571" s="37"/>
      <c r="EO571" s="37"/>
      <c r="EP571" s="37"/>
      <c r="EQ571" s="37"/>
      <c r="ER571" s="37"/>
      <c r="ES571" s="37"/>
      <c r="ET571" s="37"/>
      <c r="EU571" s="37"/>
      <c r="EV571" s="37"/>
      <c r="EW571" s="37"/>
      <c r="EX571" s="37"/>
      <c r="EY571" s="37"/>
      <c r="EZ571" s="37"/>
      <c r="FA571" s="37"/>
      <c r="FB571" s="37"/>
      <c r="FC571" s="37"/>
      <c r="FD571" s="37"/>
      <c r="FE571" s="37"/>
      <c r="FF571" s="55"/>
      <c r="FG571" s="55"/>
      <c r="FH571" s="55"/>
      <c r="FI571" s="37"/>
      <c r="FJ571" s="55"/>
      <c r="FK571" s="55"/>
      <c r="FL571" s="45"/>
      <c r="FM571" s="37"/>
      <c r="FN571" s="37"/>
      <c r="FO571" s="37"/>
      <c r="FP571" s="55"/>
      <c r="FQ571" s="1" t="s">
        <v>2</v>
      </c>
      <c r="FR571" s="1" t="s">
        <v>113</v>
      </c>
      <c r="FS571" s="1" t="s">
        <v>261</v>
      </c>
      <c r="FT571" s="1" t="s">
        <v>708</v>
      </c>
      <c r="FU571" s="1" t="s">
        <v>1276</v>
      </c>
      <c r="FV571" s="1" t="s">
        <v>2</v>
      </c>
    </row>
    <row r="572" spans="1:178" ht="16.25" customHeight="1" x14ac:dyDescent="0.2">
      <c r="A572" s="18" t="s">
        <v>177</v>
      </c>
      <c r="B572" s="1" t="s">
        <v>149</v>
      </c>
      <c r="C572" s="15" t="s">
        <v>1267</v>
      </c>
      <c r="H572" s="1" t="s">
        <v>1268</v>
      </c>
      <c r="K572" s="1">
        <v>0</v>
      </c>
      <c r="AF572" s="1">
        <v>0</v>
      </c>
      <c r="BA572" s="14">
        <f>6.42+107.76</f>
        <v>114.18</v>
      </c>
      <c r="BB572" s="13">
        <f>(0.13*6.42+0.17*107.76)/BA572</f>
        <v>0.1677509196006306</v>
      </c>
      <c r="BI572" s="13">
        <f>(0.19*6.42+0.25*107.76)/BA572</f>
        <v>0.24662637940094587</v>
      </c>
      <c r="BV572" s="1">
        <v>0</v>
      </c>
      <c r="CQ572" s="1">
        <v>0</v>
      </c>
      <c r="DL572" s="18" t="s">
        <v>96</v>
      </c>
      <c r="DN572" s="1">
        <f t="shared" si="85"/>
        <v>0.24662637940094587</v>
      </c>
      <c r="DO572" s="1">
        <f t="shared" si="86"/>
        <v>0</v>
      </c>
      <c r="DP572" s="1" t="s">
        <v>182</v>
      </c>
      <c r="DQ572" s="1" t="s">
        <v>2</v>
      </c>
      <c r="DR572" s="101">
        <f t="shared" si="87"/>
        <v>114.18</v>
      </c>
      <c r="DS572" s="100">
        <f t="shared" si="88"/>
        <v>0.24662637940094587</v>
      </c>
      <c r="DT572" s="101">
        <f t="shared" si="89"/>
        <v>281.59800000000001</v>
      </c>
      <c r="DV572" s="16">
        <f t="shared" si="90"/>
        <v>0</v>
      </c>
      <c r="DZ572" s="37" t="s">
        <v>2</v>
      </c>
      <c r="EA572" s="37"/>
      <c r="EM572" s="73"/>
      <c r="EN572" s="37"/>
      <c r="EO572" s="37"/>
      <c r="EP572" s="37"/>
      <c r="EQ572" s="37"/>
      <c r="ER572" s="37"/>
      <c r="ES572" s="37"/>
      <c r="ET572" s="37"/>
      <c r="EU572" s="37"/>
      <c r="EV572" s="37"/>
      <c r="EW572" s="37"/>
      <c r="EX572" s="37"/>
      <c r="EY572" s="37"/>
      <c r="EZ572" s="37"/>
      <c r="FA572" s="37"/>
      <c r="FB572" s="37"/>
      <c r="FC572" s="37"/>
      <c r="FD572" s="37"/>
      <c r="FE572" s="37"/>
      <c r="FF572" s="55"/>
      <c r="FG572" s="55"/>
      <c r="FH572" s="55"/>
      <c r="FI572" s="37"/>
      <c r="FJ572" s="55"/>
      <c r="FK572" s="55"/>
      <c r="FL572" s="45"/>
      <c r="FM572" s="37"/>
      <c r="FN572" s="37"/>
      <c r="FO572" s="37"/>
      <c r="FP572" s="55"/>
      <c r="FQ572" s="1" t="s">
        <v>2</v>
      </c>
      <c r="FR572" s="1" t="s">
        <v>113</v>
      </c>
      <c r="FS572" s="1" t="s">
        <v>129</v>
      </c>
      <c r="FU572" s="1" t="s">
        <v>1276</v>
      </c>
      <c r="FV572" s="1" t="s">
        <v>2</v>
      </c>
    </row>
    <row r="573" spans="1:178" ht="16.25" customHeight="1" x14ac:dyDescent="0.2">
      <c r="A573" s="18" t="s">
        <v>177</v>
      </c>
      <c r="B573" s="1" t="s">
        <v>128</v>
      </c>
      <c r="C573" s="15" t="s">
        <v>1008</v>
      </c>
      <c r="H573" s="1" t="s">
        <v>1009</v>
      </c>
      <c r="K573" s="1">
        <f>3.903+0.361</f>
        <v>4.2640000000000002</v>
      </c>
      <c r="L573" s="13">
        <f>(0.6*3.903+0.4*0.361)/K573</f>
        <v>0.58306754221388368</v>
      </c>
      <c r="M573" s="1">
        <v>0.14000000000000001</v>
      </c>
      <c r="S573" s="1">
        <f>(0.6*3.903+0.6*0.361)/K573</f>
        <v>0.6</v>
      </c>
      <c r="T573" s="1">
        <v>0.01</v>
      </c>
      <c r="U573" s="13">
        <f>0.35*0.51</f>
        <v>0.17849999999999999</v>
      </c>
      <c r="V573" s="13">
        <f>0.5*0.51</f>
        <v>0.255</v>
      </c>
      <c r="W573" s="13">
        <f>0.15*0.51</f>
        <v>7.6499999999999999E-2</v>
      </c>
      <c r="AF573" s="1">
        <v>1.5269999999999999</v>
      </c>
      <c r="AG573" s="1">
        <v>0.5</v>
      </c>
      <c r="AH573" s="1">
        <v>0.14000000000000001</v>
      </c>
      <c r="AN573" s="1">
        <v>0.6</v>
      </c>
      <c r="AO573" s="1">
        <v>0.01</v>
      </c>
      <c r="AP573" s="13">
        <f>0.35*0.51</f>
        <v>0.17849999999999999</v>
      </c>
      <c r="AQ573" s="13">
        <f>0.5*0.51</f>
        <v>0.255</v>
      </c>
      <c r="AR573" s="13">
        <f>0.15*0.51</f>
        <v>7.6499999999999999E-2</v>
      </c>
      <c r="BA573" s="1">
        <v>4.2999999999999997E-2</v>
      </c>
      <c r="BB573" s="1">
        <v>0.2</v>
      </c>
      <c r="BC573" s="1">
        <v>0.14000000000000001</v>
      </c>
      <c r="BI573" s="13">
        <v>0.4</v>
      </c>
      <c r="BJ573" s="1">
        <v>0.01</v>
      </c>
      <c r="BK573" s="13">
        <f>0.35*0.51</f>
        <v>0.17849999999999999</v>
      </c>
      <c r="BL573" s="13">
        <f>0.5*0.51</f>
        <v>0.255</v>
      </c>
      <c r="BM573" s="13">
        <f>0.15*0.51</f>
        <v>7.6499999999999999E-2</v>
      </c>
      <c r="BN573" s="13"/>
      <c r="BO573" s="13"/>
      <c r="BV573" s="1">
        <f>1.8+0.361</f>
        <v>2.161</v>
      </c>
      <c r="BW573" s="13">
        <f>(0.6*1.8+0.4*0.361)/BV573</f>
        <v>0.56658954187875987</v>
      </c>
      <c r="BX573" s="1">
        <v>0.14000000000000001</v>
      </c>
      <c r="CD573" s="13">
        <f>(0.7*1.8+0.6*0.361)/BV573</f>
        <v>0.68329477093937985</v>
      </c>
      <c r="CE573" s="1">
        <v>0.01</v>
      </c>
      <c r="CF573" s="13">
        <f>0.35*0.51</f>
        <v>0.17849999999999999</v>
      </c>
      <c r="CG573" s="13">
        <f>0.5*0.51</f>
        <v>0.255</v>
      </c>
      <c r="CH573" s="13">
        <f>0.15*0.51</f>
        <v>7.6499999999999999E-2</v>
      </c>
      <c r="CI573" s="13"/>
      <c r="CJ573" s="13"/>
      <c r="CQ573" s="1">
        <v>1.2889999999999999</v>
      </c>
      <c r="CR573" s="1">
        <v>0.5</v>
      </c>
      <c r="CS573" s="1">
        <v>0.14000000000000001</v>
      </c>
      <c r="CY573" s="1">
        <v>0.6</v>
      </c>
      <c r="CZ573" s="1">
        <v>0.01</v>
      </c>
      <c r="DA573" s="13">
        <f>0.35*0.51</f>
        <v>0.17849999999999999</v>
      </c>
      <c r="DB573" s="13">
        <f>0.5*0.51</f>
        <v>0.255</v>
      </c>
      <c r="DC573" s="13">
        <f>0.15*0.51</f>
        <v>7.6499999999999999E-2</v>
      </c>
      <c r="DD573" s="13"/>
      <c r="DE573" s="13"/>
      <c r="DL573" s="18" t="s">
        <v>96</v>
      </c>
      <c r="DM573" s="1" t="s">
        <v>163</v>
      </c>
      <c r="DN573" s="1">
        <f t="shared" si="85"/>
        <v>0.5985258827562564</v>
      </c>
      <c r="DO573" s="1">
        <f t="shared" si="86"/>
        <v>0.01</v>
      </c>
      <c r="DP573" s="1" t="s">
        <v>1087</v>
      </c>
      <c r="DQ573" s="1" t="s">
        <v>2</v>
      </c>
      <c r="DR573" s="16">
        <f t="shared" si="87"/>
        <v>5.8340000000000005</v>
      </c>
      <c r="DS573" s="100">
        <f t="shared" si="88"/>
        <v>0.5985258827562564</v>
      </c>
      <c r="DT573" s="101">
        <f t="shared" si="89"/>
        <v>34.917999999999999</v>
      </c>
      <c r="DV573" s="16">
        <f t="shared" si="90"/>
        <v>3.45</v>
      </c>
      <c r="DW573" s="100">
        <f>(BV573*CD573+CQ573*CY573)/DV573</f>
        <v>0.65217391304347827</v>
      </c>
      <c r="DX573" s="101">
        <f>1000*DV573*DW573/100</f>
        <v>22.5</v>
      </c>
      <c r="DZ573" s="37" t="s">
        <v>2</v>
      </c>
      <c r="EA573" s="37" t="s">
        <v>128</v>
      </c>
      <c r="EM573" s="73" t="s">
        <v>128</v>
      </c>
      <c r="EN573" s="37"/>
      <c r="EO573" s="37"/>
      <c r="EP573" s="37"/>
      <c r="EQ573" s="37"/>
      <c r="ER573" s="37"/>
      <c r="ES573" s="37"/>
      <c r="ET573" s="37"/>
      <c r="EU573" s="37"/>
      <c r="EV573" s="37"/>
      <c r="EW573" s="37"/>
      <c r="EX573" s="37"/>
      <c r="EY573" s="37"/>
      <c r="EZ573" s="37"/>
      <c r="FA573" s="37"/>
      <c r="FB573" s="37"/>
      <c r="FC573" s="37"/>
      <c r="FD573" s="37"/>
      <c r="FE573" s="37"/>
      <c r="FF573" s="55"/>
      <c r="FG573" s="55"/>
      <c r="FH573" s="55"/>
      <c r="FI573" s="37"/>
      <c r="FJ573" s="55"/>
      <c r="FK573" s="55"/>
      <c r="FL573" s="45"/>
      <c r="FM573" s="37"/>
      <c r="FN573" s="37"/>
      <c r="FO573" s="37"/>
      <c r="FP573" s="55" t="s">
        <v>128</v>
      </c>
      <c r="FQ573" s="1" t="s">
        <v>2</v>
      </c>
      <c r="FR573" s="1" t="s">
        <v>113</v>
      </c>
      <c r="FS573" s="1" t="s">
        <v>129</v>
      </c>
      <c r="FV573" s="1" t="s">
        <v>2</v>
      </c>
    </row>
    <row r="574" spans="1:178" ht="16.25" customHeight="1" x14ac:dyDescent="0.2">
      <c r="A574" s="18" t="s">
        <v>177</v>
      </c>
      <c r="B574" s="1" t="s">
        <v>147</v>
      </c>
      <c r="C574" s="80" t="s">
        <v>1092</v>
      </c>
      <c r="D574" s="1" t="s">
        <v>69</v>
      </c>
      <c r="H574" s="1" t="s">
        <v>131</v>
      </c>
      <c r="K574" s="1">
        <v>0</v>
      </c>
      <c r="AF574" s="1">
        <v>0</v>
      </c>
      <c r="BA574" s="12">
        <v>2600</v>
      </c>
      <c r="BE574" s="2">
        <f>0.015/1.179</f>
        <v>1.2722646310432569E-2</v>
      </c>
      <c r="BF574" s="1">
        <v>0.02</v>
      </c>
      <c r="BH574" s="1">
        <v>0.04</v>
      </c>
      <c r="BI574" s="1">
        <v>0.03</v>
      </c>
      <c r="BU574" s="1">
        <v>0.26</v>
      </c>
      <c r="BV574" s="1">
        <v>0</v>
      </c>
      <c r="CQ574" s="1">
        <v>0</v>
      </c>
      <c r="DL574" s="18" t="s">
        <v>96</v>
      </c>
      <c r="DN574" s="1">
        <f t="shared" si="85"/>
        <v>0.03</v>
      </c>
      <c r="DO574" s="1">
        <f t="shared" si="86"/>
        <v>0</v>
      </c>
      <c r="DP574" s="1" t="s">
        <v>67</v>
      </c>
      <c r="DQ574" s="1" t="s">
        <v>2</v>
      </c>
      <c r="DR574" s="102">
        <f t="shared" si="87"/>
        <v>2600</v>
      </c>
      <c r="DS574" s="16">
        <f t="shared" si="88"/>
        <v>0.03</v>
      </c>
      <c r="DT574" s="101">
        <f t="shared" si="89"/>
        <v>780</v>
      </c>
      <c r="DV574" s="16">
        <f t="shared" si="90"/>
        <v>0</v>
      </c>
      <c r="DZ574" s="37" t="s">
        <v>2</v>
      </c>
      <c r="EA574" s="37" t="s">
        <v>147</v>
      </c>
      <c r="EM574" s="73" t="s">
        <v>147</v>
      </c>
      <c r="EN574" s="37"/>
      <c r="EO574" s="37"/>
      <c r="EP574" s="37"/>
      <c r="EQ574" s="37"/>
      <c r="ER574" s="37"/>
      <c r="ES574" s="37"/>
      <c r="ET574" s="37"/>
      <c r="EU574" s="37"/>
      <c r="EV574" s="37"/>
      <c r="EW574" s="37"/>
      <c r="EX574" s="37"/>
      <c r="EY574" s="37"/>
      <c r="EZ574" s="37"/>
      <c r="FA574" s="37"/>
      <c r="FB574" s="37"/>
      <c r="FC574" s="37"/>
      <c r="FD574" s="37"/>
      <c r="FE574" s="37"/>
      <c r="FF574" s="55"/>
      <c r="FG574" s="55"/>
      <c r="FH574" s="55"/>
      <c r="FI574" s="37"/>
      <c r="FJ574" s="55"/>
      <c r="FK574" s="55"/>
      <c r="FL574" s="45"/>
      <c r="FM574" s="37"/>
      <c r="FN574" s="37"/>
      <c r="FO574" s="37"/>
      <c r="FP574" s="55" t="s">
        <v>147</v>
      </c>
      <c r="FQ574" s="1" t="s">
        <v>2</v>
      </c>
      <c r="FR574" s="1" t="s">
        <v>118</v>
      </c>
      <c r="FS574" s="1" t="s">
        <v>651</v>
      </c>
      <c r="FT574" s="1" t="s">
        <v>652</v>
      </c>
      <c r="FU574" s="1" t="s">
        <v>653</v>
      </c>
      <c r="FV574" s="1" t="s">
        <v>2</v>
      </c>
    </row>
    <row r="575" spans="1:178" ht="16.25" customHeight="1" x14ac:dyDescent="0.2">
      <c r="A575" s="18" t="s">
        <v>177</v>
      </c>
      <c r="B575" s="1" t="s">
        <v>147</v>
      </c>
      <c r="C575" s="79" t="s">
        <v>1131</v>
      </c>
      <c r="D575" s="1" t="s">
        <v>69</v>
      </c>
      <c r="H575" s="1" t="s">
        <v>131</v>
      </c>
      <c r="K575" s="1">
        <v>0</v>
      </c>
      <c r="AF575" s="1">
        <v>43</v>
      </c>
      <c r="AG575" s="2">
        <v>0.01</v>
      </c>
      <c r="AJ575" s="2">
        <f>0.019/1.179</f>
        <v>1.6115351993214587E-2</v>
      </c>
      <c r="AM575" s="1">
        <v>4.1000000000000002E-2</v>
      </c>
      <c r="AN575" s="1">
        <v>3.4000000000000002E-2</v>
      </c>
      <c r="BA575" s="12">
        <v>3019</v>
      </c>
      <c r="BB575" s="1">
        <v>1.9E-2</v>
      </c>
      <c r="BE575" s="2">
        <f>0.017/1.179</f>
        <v>1.441899915182358E-2</v>
      </c>
      <c r="BH575" s="1">
        <v>4.2000000000000003E-2</v>
      </c>
      <c r="BI575" s="1">
        <v>3.4000000000000002E-2</v>
      </c>
      <c r="BV575" s="1">
        <v>0</v>
      </c>
      <c r="CQ575" s="1">
        <v>0</v>
      </c>
      <c r="DL575" s="18" t="s">
        <v>96</v>
      </c>
      <c r="DN575" s="1">
        <f t="shared" si="85"/>
        <v>3.4000000000000002E-2</v>
      </c>
      <c r="DO575" s="1">
        <f t="shared" si="86"/>
        <v>0</v>
      </c>
      <c r="DP575" s="1" t="s">
        <v>1174</v>
      </c>
      <c r="DQ575" s="1" t="s">
        <v>2</v>
      </c>
      <c r="DR575" s="102">
        <f t="shared" si="87"/>
        <v>3062</v>
      </c>
      <c r="DS575" s="16">
        <f t="shared" si="88"/>
        <v>3.4000000000000002E-2</v>
      </c>
      <c r="DT575" s="102">
        <f t="shared" si="89"/>
        <v>1041.0800000000002</v>
      </c>
      <c r="DV575" s="16">
        <f t="shared" si="90"/>
        <v>0</v>
      </c>
      <c r="DZ575" s="37" t="s">
        <v>2</v>
      </c>
      <c r="EA575" s="37"/>
      <c r="EM575" s="73"/>
      <c r="EN575" s="37"/>
      <c r="EO575" s="37"/>
      <c r="EP575" s="37"/>
      <c r="EQ575" s="37"/>
      <c r="ER575" s="37"/>
      <c r="ES575" s="37"/>
      <c r="ET575" s="37"/>
      <c r="EU575" s="37"/>
      <c r="EV575" s="37"/>
      <c r="EW575" s="37"/>
      <c r="EX575" s="37"/>
      <c r="EY575" s="37"/>
      <c r="EZ575" s="37"/>
      <c r="FA575" s="37"/>
      <c r="FB575" s="37"/>
      <c r="FC575" s="37"/>
      <c r="FD575" s="37"/>
      <c r="FE575" s="37"/>
      <c r="FF575" s="55"/>
      <c r="FG575" s="55"/>
      <c r="FH575" s="55"/>
      <c r="FI575" s="37"/>
      <c r="FJ575" s="55"/>
      <c r="FK575" s="55"/>
      <c r="FL575" s="45"/>
      <c r="FM575" s="37"/>
      <c r="FN575" s="37"/>
      <c r="FO575" s="37"/>
      <c r="FP575" s="55"/>
      <c r="FQ575" s="1" t="s">
        <v>2</v>
      </c>
      <c r="FR575" s="1" t="s">
        <v>118</v>
      </c>
      <c r="FS575" s="1" t="s">
        <v>651</v>
      </c>
      <c r="FT575" s="1" t="s">
        <v>652</v>
      </c>
      <c r="FU575" s="1" t="s">
        <v>653</v>
      </c>
      <c r="FV575" s="1" t="s">
        <v>2</v>
      </c>
    </row>
    <row r="576" spans="1:178" ht="16.25" customHeight="1" x14ac:dyDescent="0.2">
      <c r="A576" s="18" t="s">
        <v>177</v>
      </c>
      <c r="B576" s="1" t="s">
        <v>147</v>
      </c>
      <c r="C576" s="15" t="s">
        <v>976</v>
      </c>
      <c r="D576" s="1" t="s">
        <v>69</v>
      </c>
      <c r="H576" s="1" t="s">
        <v>977</v>
      </c>
      <c r="K576" s="1">
        <v>0</v>
      </c>
      <c r="AF576" s="1">
        <v>0</v>
      </c>
      <c r="BA576" s="1">
        <v>6.37</v>
      </c>
      <c r="BB576" s="1">
        <v>0.04</v>
      </c>
      <c r="BI576" s="1">
        <v>0.35</v>
      </c>
      <c r="BJ576" s="1">
        <v>0.01</v>
      </c>
      <c r="BV576" s="1">
        <v>0</v>
      </c>
      <c r="CQ576" s="1">
        <v>0</v>
      </c>
      <c r="DL576" s="18" t="s">
        <v>163</v>
      </c>
      <c r="DM576" s="1" t="s">
        <v>163</v>
      </c>
      <c r="DN576" s="1">
        <f t="shared" si="85"/>
        <v>0.35</v>
      </c>
      <c r="DO576" s="1">
        <f t="shared" si="86"/>
        <v>0.01</v>
      </c>
      <c r="DP576" s="1" t="s">
        <v>1079</v>
      </c>
      <c r="DQ576" s="1" t="s">
        <v>2</v>
      </c>
      <c r="DR576" s="16">
        <f t="shared" si="87"/>
        <v>6.37</v>
      </c>
      <c r="DS576" s="16">
        <f t="shared" si="88"/>
        <v>0.35</v>
      </c>
      <c r="DT576" s="101">
        <f t="shared" si="89"/>
        <v>22.295000000000002</v>
      </c>
      <c r="DV576" s="16">
        <f t="shared" si="90"/>
        <v>0</v>
      </c>
      <c r="DZ576" s="37" t="s">
        <v>2</v>
      </c>
      <c r="EA576" s="37"/>
      <c r="EM576" s="73"/>
      <c r="EN576" s="37"/>
      <c r="EO576" s="37"/>
      <c r="EP576" s="37"/>
      <c r="EQ576" s="37"/>
      <c r="ER576" s="37"/>
      <c r="ES576" s="37"/>
      <c r="ET576" s="37"/>
      <c r="EU576" s="37"/>
      <c r="EV576" s="37"/>
      <c r="EW576" s="37"/>
      <c r="EX576" s="37"/>
      <c r="EY576" s="37"/>
      <c r="EZ576" s="37"/>
      <c r="FA576" s="37"/>
      <c r="FB576" s="37"/>
      <c r="FC576" s="37"/>
      <c r="FD576" s="37"/>
      <c r="FE576" s="37"/>
      <c r="FF576" s="55"/>
      <c r="FG576" s="55"/>
      <c r="FH576" s="55"/>
      <c r="FI576" s="37"/>
      <c r="FJ576" s="55"/>
      <c r="FK576" s="55"/>
      <c r="FL576" s="45"/>
      <c r="FM576" s="37"/>
      <c r="FN576" s="37"/>
      <c r="FO576" s="37"/>
      <c r="FP576" s="55"/>
      <c r="FQ576" s="1" t="s">
        <v>2</v>
      </c>
      <c r="FR576" s="1" t="s">
        <v>113</v>
      </c>
      <c r="FS576" s="1" t="s">
        <v>375</v>
      </c>
      <c r="FV576" s="1" t="s">
        <v>2</v>
      </c>
    </row>
    <row r="577" spans="1:178" ht="16.25" customHeight="1" x14ac:dyDescent="0.2">
      <c r="A577" s="18" t="s">
        <v>177</v>
      </c>
      <c r="B577" s="1" t="s">
        <v>147</v>
      </c>
      <c r="C577" s="15" t="s">
        <v>979</v>
      </c>
      <c r="D577" s="1" t="s">
        <v>69</v>
      </c>
      <c r="H577" s="1" t="s">
        <v>131</v>
      </c>
      <c r="K577" s="1">
        <v>0</v>
      </c>
      <c r="AF577" s="1">
        <v>0</v>
      </c>
      <c r="BA577" s="1">
        <v>0.64500000000000002</v>
      </c>
      <c r="BB577" s="1">
        <v>0.66</v>
      </c>
      <c r="BC577" s="1">
        <v>0.65</v>
      </c>
      <c r="BI577" s="1">
        <v>1.33</v>
      </c>
      <c r="BJ577" s="1">
        <v>0.09</v>
      </c>
      <c r="BK577" s="1">
        <v>0.2</v>
      </c>
      <c r="BL577" s="1">
        <v>0.68</v>
      </c>
      <c r="BV577" s="1">
        <v>0</v>
      </c>
      <c r="CQ577" s="1">
        <v>0</v>
      </c>
      <c r="DL577" s="18" t="s">
        <v>96</v>
      </c>
      <c r="DM577" s="1" t="s">
        <v>96</v>
      </c>
      <c r="DN577" s="1">
        <f t="shared" si="85"/>
        <v>1.33</v>
      </c>
      <c r="DO577" s="1">
        <f t="shared" si="86"/>
        <v>0.09</v>
      </c>
      <c r="DP577" s="1" t="s">
        <v>1079</v>
      </c>
      <c r="DQ577" s="1" t="s">
        <v>2</v>
      </c>
      <c r="DR577" s="16">
        <f t="shared" si="87"/>
        <v>0.64500000000000002</v>
      </c>
      <c r="DS577" s="16">
        <f t="shared" si="88"/>
        <v>1.33</v>
      </c>
      <c r="DT577" s="101">
        <f t="shared" si="89"/>
        <v>8.5785</v>
      </c>
      <c r="DV577" s="16">
        <f t="shared" si="90"/>
        <v>0</v>
      </c>
      <c r="DZ577" s="37" t="s">
        <v>2</v>
      </c>
      <c r="EA577" s="37"/>
      <c r="EM577" s="73"/>
      <c r="EN577" s="37"/>
      <c r="EO577" s="37"/>
      <c r="EP577" s="37"/>
      <c r="EQ577" s="37"/>
      <c r="ER577" s="37"/>
      <c r="ES577" s="37"/>
      <c r="ET577" s="37"/>
      <c r="EU577" s="37"/>
      <c r="EV577" s="37"/>
      <c r="EW577" s="37"/>
      <c r="EX577" s="37"/>
      <c r="EY577" s="37"/>
      <c r="EZ577" s="37"/>
      <c r="FA577" s="37"/>
      <c r="FB577" s="37"/>
      <c r="FC577" s="37"/>
      <c r="FD577" s="37"/>
      <c r="FE577" s="37"/>
      <c r="FF577" s="55"/>
      <c r="FG577" s="55"/>
      <c r="FH577" s="55"/>
      <c r="FI577" s="37"/>
      <c r="FJ577" s="55"/>
      <c r="FK577" s="55"/>
      <c r="FL577" s="45"/>
      <c r="FM577" s="37"/>
      <c r="FN577" s="37"/>
      <c r="FO577" s="37"/>
      <c r="FP577" s="55"/>
      <c r="FQ577" s="1" t="s">
        <v>2</v>
      </c>
      <c r="FR577" s="1" t="s">
        <v>113</v>
      </c>
      <c r="FS577" s="1" t="s">
        <v>375</v>
      </c>
      <c r="FV577" s="1" t="s">
        <v>2</v>
      </c>
    </row>
    <row r="578" spans="1:178" ht="16.25" customHeight="1" x14ac:dyDescent="0.2">
      <c r="A578" s="18" t="s">
        <v>177</v>
      </c>
      <c r="B578" s="1" t="s">
        <v>147</v>
      </c>
      <c r="C578" s="15" t="s">
        <v>980</v>
      </c>
      <c r="D578" s="1" t="s">
        <v>69</v>
      </c>
      <c r="H578" s="1" t="s">
        <v>131</v>
      </c>
      <c r="K578" s="1">
        <v>0</v>
      </c>
      <c r="AF578" s="1">
        <v>0</v>
      </c>
      <c r="BA578" s="1">
        <v>1.139</v>
      </c>
      <c r="BB578" s="1">
        <v>0.19</v>
      </c>
      <c r="BI578" s="1">
        <v>0.91</v>
      </c>
      <c r="BJ578" s="1">
        <v>0.02</v>
      </c>
      <c r="BV578" s="1">
        <v>0</v>
      </c>
      <c r="CQ578" s="1">
        <v>0</v>
      </c>
      <c r="DL578" s="18" t="s">
        <v>96</v>
      </c>
      <c r="DM578" s="1" t="s">
        <v>96</v>
      </c>
      <c r="DN578" s="1">
        <f t="shared" ref="DN578:DN630" si="91">(S578*K578+AN578*AF578+BI578*BA578)/(K578+AF578+BA578)</f>
        <v>0.91000000000000014</v>
      </c>
      <c r="DO578" s="1">
        <f t="shared" ref="DO578:DO630" si="92">(T578*K578+AO578*AF578+BJ578*BA578)/(K578+AF578+BA578)</f>
        <v>0.02</v>
      </c>
      <c r="DP578" s="1" t="s">
        <v>1079</v>
      </c>
      <c r="DQ578" s="1" t="s">
        <v>2</v>
      </c>
      <c r="DR578" s="16">
        <f t="shared" ref="DR578:DR630" si="93">K578+AF578+BA578</f>
        <v>1.139</v>
      </c>
      <c r="DS578" s="16">
        <f t="shared" ref="DS578:DS630" si="94">(K578*S578+AF578*AN578+BA578*BI578)/DR578</f>
        <v>0.91000000000000014</v>
      </c>
      <c r="DT578" s="101">
        <f t="shared" ref="DT578:DT630" si="95">1000*DR578*DS578/100</f>
        <v>10.364900000000002</v>
      </c>
      <c r="DV578" s="16">
        <f t="shared" ref="DV578:DV630" si="96">BV578+CQ578</f>
        <v>0</v>
      </c>
      <c r="DZ578" s="37" t="s">
        <v>2</v>
      </c>
      <c r="EA578" s="37"/>
      <c r="EM578" s="73"/>
      <c r="EN578" s="37"/>
      <c r="EO578" s="37"/>
      <c r="EP578" s="37"/>
      <c r="EQ578" s="37"/>
      <c r="ER578" s="37"/>
      <c r="ES578" s="37"/>
      <c r="ET578" s="37"/>
      <c r="EU578" s="37"/>
      <c r="EV578" s="37"/>
      <c r="EW578" s="37"/>
      <c r="EX578" s="37"/>
      <c r="EY578" s="37"/>
      <c r="EZ578" s="37"/>
      <c r="FA578" s="37"/>
      <c r="FB578" s="37"/>
      <c r="FC578" s="37"/>
      <c r="FD578" s="37"/>
      <c r="FE578" s="37"/>
      <c r="FF578" s="55"/>
      <c r="FG578" s="55"/>
      <c r="FH578" s="55"/>
      <c r="FI578" s="37"/>
      <c r="FJ578" s="55"/>
      <c r="FK578" s="55"/>
      <c r="FL578" s="45"/>
      <c r="FM578" s="37"/>
      <c r="FN578" s="37"/>
      <c r="FO578" s="37"/>
      <c r="FP578" s="55"/>
      <c r="FQ578" s="1" t="s">
        <v>2</v>
      </c>
      <c r="FR578" s="1" t="s">
        <v>113</v>
      </c>
      <c r="FS578" s="1" t="s">
        <v>375</v>
      </c>
      <c r="FV578" s="1" t="s">
        <v>2</v>
      </c>
    </row>
    <row r="579" spans="1:178" ht="16.25" customHeight="1" x14ac:dyDescent="0.2">
      <c r="A579" s="18" t="s">
        <v>177</v>
      </c>
      <c r="B579" s="1" t="s">
        <v>147</v>
      </c>
      <c r="C579" s="15" t="s">
        <v>981</v>
      </c>
      <c r="D579" s="1" t="s">
        <v>69</v>
      </c>
      <c r="H579" s="1" t="s">
        <v>977</v>
      </c>
      <c r="K579" s="1">
        <v>0</v>
      </c>
      <c r="AF579" s="1">
        <v>0</v>
      </c>
      <c r="BA579" s="1">
        <v>0.21299999999999999</v>
      </c>
      <c r="BB579" s="13">
        <v>0.2</v>
      </c>
      <c r="BI579" s="13">
        <v>1.4</v>
      </c>
      <c r="BV579" s="1">
        <v>0</v>
      </c>
      <c r="CQ579" s="1">
        <v>0</v>
      </c>
      <c r="DL579" s="18" t="s">
        <v>163</v>
      </c>
      <c r="DN579" s="1">
        <f t="shared" si="91"/>
        <v>1.4</v>
      </c>
      <c r="DO579" s="1">
        <f t="shared" si="92"/>
        <v>0</v>
      </c>
      <c r="DP579" s="1" t="s">
        <v>1166</v>
      </c>
      <c r="DQ579" s="1" t="s">
        <v>2</v>
      </c>
      <c r="DR579" s="16">
        <f t="shared" si="93"/>
        <v>0.21299999999999999</v>
      </c>
      <c r="DS579" s="16">
        <f t="shared" si="94"/>
        <v>1.4</v>
      </c>
      <c r="DT579" s="101">
        <f t="shared" si="95"/>
        <v>2.9819999999999998</v>
      </c>
      <c r="DV579" s="16">
        <f t="shared" si="96"/>
        <v>0</v>
      </c>
      <c r="DZ579" s="37" t="s">
        <v>2</v>
      </c>
      <c r="EA579" s="37"/>
      <c r="EM579" s="73"/>
      <c r="EN579" s="37"/>
      <c r="EO579" s="37"/>
      <c r="EP579" s="37"/>
      <c r="EQ579" s="37"/>
      <c r="ER579" s="37"/>
      <c r="ES579" s="37"/>
      <c r="ET579" s="37"/>
      <c r="EU579" s="37"/>
      <c r="EV579" s="37"/>
      <c r="EW579" s="37"/>
      <c r="EX579" s="37"/>
      <c r="EY579" s="37"/>
      <c r="EZ579" s="37"/>
      <c r="FA579" s="37"/>
      <c r="FB579" s="37"/>
      <c r="FC579" s="37"/>
      <c r="FD579" s="37"/>
      <c r="FE579" s="37"/>
      <c r="FF579" s="55"/>
      <c r="FG579" s="55"/>
      <c r="FH579" s="55"/>
      <c r="FI579" s="37"/>
      <c r="FJ579" s="55"/>
      <c r="FK579" s="55"/>
      <c r="FL579" s="45"/>
      <c r="FM579" s="37"/>
      <c r="FN579" s="37"/>
      <c r="FO579" s="37"/>
      <c r="FP579" s="55"/>
      <c r="FQ579" s="1" t="s">
        <v>2</v>
      </c>
      <c r="FR579" s="1" t="s">
        <v>113</v>
      </c>
      <c r="FS579" s="1" t="s">
        <v>129</v>
      </c>
      <c r="FV579" s="1" t="s">
        <v>2</v>
      </c>
    </row>
    <row r="580" spans="1:178" ht="16.25" customHeight="1" x14ac:dyDescent="0.2">
      <c r="A580" s="18" t="s">
        <v>177</v>
      </c>
      <c r="B580" s="1" t="s">
        <v>147</v>
      </c>
      <c r="C580" s="15" t="s">
        <v>982</v>
      </c>
      <c r="D580" s="1" t="s">
        <v>69</v>
      </c>
      <c r="H580" s="1" t="s">
        <v>131</v>
      </c>
      <c r="K580" s="1">
        <v>0</v>
      </c>
      <c r="AF580" s="1">
        <v>0</v>
      </c>
      <c r="BA580" s="1">
        <v>7.0000000000000007E-2</v>
      </c>
      <c r="BB580" s="1">
        <v>0.27</v>
      </c>
      <c r="BI580" s="1">
        <v>0.46</v>
      </c>
      <c r="BV580" s="1">
        <v>0</v>
      </c>
      <c r="CQ580" s="1">
        <v>0</v>
      </c>
      <c r="DL580" s="18" t="s">
        <v>163</v>
      </c>
      <c r="DN580" s="1">
        <f t="shared" si="91"/>
        <v>0.46</v>
      </c>
      <c r="DO580" s="1">
        <f t="shared" si="92"/>
        <v>0</v>
      </c>
      <c r="DP580" s="1" t="s">
        <v>1166</v>
      </c>
      <c r="DQ580" s="1" t="s">
        <v>2</v>
      </c>
      <c r="DR580" s="16">
        <f t="shared" si="93"/>
        <v>7.0000000000000007E-2</v>
      </c>
      <c r="DS580" s="16">
        <f t="shared" si="94"/>
        <v>0.46</v>
      </c>
      <c r="DT580" s="101">
        <f t="shared" si="95"/>
        <v>0.32200000000000001</v>
      </c>
      <c r="DV580" s="16">
        <f t="shared" si="96"/>
        <v>0</v>
      </c>
      <c r="DZ580" s="37" t="s">
        <v>2</v>
      </c>
      <c r="EA580" s="37"/>
      <c r="EM580" s="73"/>
      <c r="EN580" s="37"/>
      <c r="EO580" s="37"/>
      <c r="EP580" s="37"/>
      <c r="EQ580" s="37"/>
      <c r="ER580" s="37"/>
      <c r="ES580" s="37"/>
      <c r="ET580" s="37"/>
      <c r="EU580" s="37"/>
      <c r="EV580" s="37"/>
      <c r="EW580" s="37"/>
      <c r="EX580" s="37"/>
      <c r="EY580" s="37"/>
      <c r="EZ580" s="37"/>
      <c r="FA580" s="37"/>
      <c r="FB580" s="37"/>
      <c r="FC580" s="37"/>
      <c r="FD580" s="37"/>
      <c r="FE580" s="37"/>
      <c r="FF580" s="55"/>
      <c r="FG580" s="55"/>
      <c r="FH580" s="55"/>
      <c r="FI580" s="37"/>
      <c r="FJ580" s="55"/>
      <c r="FK580" s="55"/>
      <c r="FL580" s="45"/>
      <c r="FM580" s="37"/>
      <c r="FN580" s="37"/>
      <c r="FO580" s="37"/>
      <c r="FP580" s="55"/>
      <c r="FQ580" s="1" t="s">
        <v>2</v>
      </c>
      <c r="FR580" s="1" t="s">
        <v>113</v>
      </c>
      <c r="FS580" s="1" t="s">
        <v>129</v>
      </c>
      <c r="FV580" s="1" t="s">
        <v>2</v>
      </c>
    </row>
    <row r="581" spans="1:178" ht="16.25" customHeight="1" x14ac:dyDescent="0.2">
      <c r="A581" s="18" t="s">
        <v>177</v>
      </c>
      <c r="B581" s="1" t="s">
        <v>147</v>
      </c>
      <c r="C581" s="79" t="s">
        <v>900</v>
      </c>
      <c r="D581" s="1" t="s">
        <v>69</v>
      </c>
      <c r="H581" s="1" t="s">
        <v>131</v>
      </c>
      <c r="K581" s="1">
        <v>0</v>
      </c>
      <c r="AF581" s="1">
        <v>0</v>
      </c>
      <c r="BA581" s="1">
        <v>4.24</v>
      </c>
      <c r="BB581" s="1">
        <v>0.06</v>
      </c>
      <c r="BI581" s="1">
        <v>0.61</v>
      </c>
      <c r="BJ581" s="1">
        <v>0.02</v>
      </c>
      <c r="BV581" s="1">
        <v>0</v>
      </c>
      <c r="CQ581" s="1">
        <v>0</v>
      </c>
      <c r="DL581" s="18" t="s">
        <v>163</v>
      </c>
      <c r="DM581" s="1" t="s">
        <v>163</v>
      </c>
      <c r="DN581" s="1">
        <f t="shared" si="91"/>
        <v>0.61</v>
      </c>
      <c r="DO581" s="1">
        <f t="shared" si="92"/>
        <v>0.02</v>
      </c>
      <c r="DP581" s="1" t="s">
        <v>824</v>
      </c>
      <c r="DQ581" s="1" t="s">
        <v>2</v>
      </c>
      <c r="DR581" s="16">
        <f t="shared" si="93"/>
        <v>4.24</v>
      </c>
      <c r="DS581" s="16">
        <f t="shared" si="94"/>
        <v>0.61</v>
      </c>
      <c r="DT581" s="101">
        <f t="shared" si="95"/>
        <v>25.864000000000001</v>
      </c>
      <c r="DV581" s="16">
        <f t="shared" si="96"/>
        <v>0</v>
      </c>
      <c r="DZ581" s="37" t="s">
        <v>2</v>
      </c>
      <c r="EA581" s="37"/>
      <c r="EM581" s="73"/>
      <c r="EN581" s="37"/>
      <c r="EO581" s="37"/>
      <c r="EP581" s="37"/>
      <c r="EQ581" s="37"/>
      <c r="ER581" s="37"/>
      <c r="ES581" s="37"/>
      <c r="ET581" s="37"/>
      <c r="EU581" s="37"/>
      <c r="EV581" s="37"/>
      <c r="EW581" s="37"/>
      <c r="EX581" s="37"/>
      <c r="EY581" s="37"/>
      <c r="EZ581" s="37"/>
      <c r="FA581" s="37"/>
      <c r="FB581" s="37"/>
      <c r="FC581" s="37"/>
      <c r="FD581" s="37"/>
      <c r="FE581" s="37"/>
      <c r="FF581" s="55"/>
      <c r="FG581" s="55"/>
      <c r="FH581" s="55"/>
      <c r="FI581" s="37"/>
      <c r="FJ581" s="55"/>
      <c r="FK581" s="55"/>
      <c r="FL581" s="45"/>
      <c r="FM581" s="37"/>
      <c r="FN581" s="37"/>
      <c r="FO581" s="37"/>
      <c r="FP581" s="55"/>
      <c r="FQ581" s="1" t="s">
        <v>2</v>
      </c>
      <c r="FR581" s="1" t="s">
        <v>113</v>
      </c>
      <c r="FS581" s="1" t="s">
        <v>129</v>
      </c>
      <c r="FV581" s="1" t="s">
        <v>2</v>
      </c>
    </row>
    <row r="582" spans="1:178" ht="16.25" customHeight="1" x14ac:dyDescent="0.2">
      <c r="A582" s="18" t="s">
        <v>177</v>
      </c>
      <c r="B582" s="1" t="s">
        <v>147</v>
      </c>
      <c r="C582" s="15" t="s">
        <v>227</v>
      </c>
      <c r="D582" s="1" t="s">
        <v>69</v>
      </c>
      <c r="G582" s="1" t="s">
        <v>65</v>
      </c>
      <c r="H582" s="1" t="s">
        <v>66</v>
      </c>
      <c r="K582" s="1">
        <v>0</v>
      </c>
      <c r="AF582" s="1">
        <v>0</v>
      </c>
      <c r="BA582" s="1">
        <v>0.16900000000000001</v>
      </c>
      <c r="BB582" s="1">
        <v>0.19</v>
      </c>
      <c r="BI582" s="1">
        <v>1.29</v>
      </c>
      <c r="BJ582" s="1">
        <v>0.02</v>
      </c>
      <c r="BV582" s="1">
        <v>0</v>
      </c>
      <c r="CQ582" s="1">
        <v>0</v>
      </c>
      <c r="DL582" s="18" t="s">
        <v>163</v>
      </c>
      <c r="DM582" s="1" t="s">
        <v>163</v>
      </c>
      <c r="DN582" s="1">
        <f t="shared" si="91"/>
        <v>1.29</v>
      </c>
      <c r="DO582" s="1">
        <f t="shared" si="92"/>
        <v>0.02</v>
      </c>
      <c r="DP582" s="1" t="s">
        <v>824</v>
      </c>
      <c r="DQ582" s="1" t="s">
        <v>2</v>
      </c>
      <c r="DR582" s="16">
        <f t="shared" si="93"/>
        <v>0.16900000000000001</v>
      </c>
      <c r="DS582" s="16">
        <f t="shared" si="94"/>
        <v>1.29</v>
      </c>
      <c r="DT582" s="101">
        <f t="shared" si="95"/>
        <v>2.1801000000000004</v>
      </c>
      <c r="DV582" s="16">
        <f t="shared" si="96"/>
        <v>0</v>
      </c>
      <c r="DZ582" s="37" t="s">
        <v>2</v>
      </c>
      <c r="EA582" s="37"/>
      <c r="EM582" s="73"/>
      <c r="EN582" s="37"/>
      <c r="EO582" s="37"/>
      <c r="EP582" s="37"/>
      <c r="EQ582" s="37"/>
      <c r="ER582" s="37"/>
      <c r="ES582" s="37"/>
      <c r="ET582" s="37"/>
      <c r="EU582" s="37"/>
      <c r="EV582" s="37"/>
      <c r="EW582" s="37"/>
      <c r="EX582" s="37"/>
      <c r="EY582" s="37"/>
      <c r="EZ582" s="37"/>
      <c r="FA582" s="37"/>
      <c r="FB582" s="37"/>
      <c r="FC582" s="37"/>
      <c r="FD582" s="37"/>
      <c r="FE582" s="37"/>
      <c r="FF582" s="55"/>
      <c r="FG582" s="55"/>
      <c r="FH582" s="55"/>
      <c r="FI582" s="37"/>
      <c r="FJ582" s="55"/>
      <c r="FK582" s="55"/>
      <c r="FL582" s="45"/>
      <c r="FM582" s="37"/>
      <c r="FN582" s="37"/>
      <c r="FO582" s="37"/>
      <c r="FP582" s="55"/>
      <c r="FQ582" s="1" t="s">
        <v>2</v>
      </c>
      <c r="FR582" s="1" t="s">
        <v>113</v>
      </c>
      <c r="FS582" s="1" t="s">
        <v>129</v>
      </c>
      <c r="FV582" s="1" t="s">
        <v>2</v>
      </c>
    </row>
    <row r="583" spans="1:178" ht="16.25" customHeight="1" x14ac:dyDescent="0.2">
      <c r="A583" s="18" t="s">
        <v>177</v>
      </c>
      <c r="B583" s="1" t="s">
        <v>147</v>
      </c>
      <c r="C583" s="79" t="s">
        <v>607</v>
      </c>
      <c r="D583" s="1" t="s">
        <v>69</v>
      </c>
      <c r="H583" s="1" t="s">
        <v>582</v>
      </c>
      <c r="K583" s="1">
        <v>0</v>
      </c>
      <c r="AF583" s="1">
        <v>225.4</v>
      </c>
      <c r="AM583" s="1">
        <v>0.17599999999999999</v>
      </c>
      <c r="AN583" s="1">
        <v>3.0000000000000001E-3</v>
      </c>
      <c r="BA583" s="1">
        <v>86.5</v>
      </c>
      <c r="BI583" s="2">
        <v>0.1</v>
      </c>
      <c r="BJ583" s="1">
        <v>3.0000000000000001E-3</v>
      </c>
      <c r="BV583" s="1">
        <v>0</v>
      </c>
      <c r="CQ583" s="1">
        <v>0</v>
      </c>
      <c r="DL583" s="18" t="s">
        <v>96</v>
      </c>
      <c r="DM583" s="1" t="s">
        <v>96</v>
      </c>
      <c r="DN583" s="1">
        <f t="shared" si="91"/>
        <v>2.9901250400769481E-2</v>
      </c>
      <c r="DO583" s="1">
        <f t="shared" si="92"/>
        <v>8.3199743507534479E-4</v>
      </c>
      <c r="DP583" s="1" t="s">
        <v>1106</v>
      </c>
      <c r="DQ583" s="1" t="s">
        <v>2</v>
      </c>
      <c r="DR583" s="16">
        <f t="shared" si="93"/>
        <v>311.89999999999998</v>
      </c>
      <c r="DS583" s="103">
        <f t="shared" si="94"/>
        <v>2.9901250400769481E-2</v>
      </c>
      <c r="DT583" s="101">
        <f t="shared" si="95"/>
        <v>93.262</v>
      </c>
      <c r="DV583" s="16">
        <f t="shared" si="96"/>
        <v>0</v>
      </c>
      <c r="DZ583" s="37" t="s">
        <v>2</v>
      </c>
      <c r="EA583" s="37"/>
      <c r="EM583" s="73"/>
      <c r="EN583" s="37"/>
      <c r="EO583" s="37"/>
      <c r="EP583" s="37"/>
      <c r="EQ583" s="37"/>
      <c r="ER583" s="37"/>
      <c r="ES583" s="37"/>
      <c r="ET583" s="37"/>
      <c r="EU583" s="37"/>
      <c r="EV583" s="37"/>
      <c r="EW583" s="37"/>
      <c r="EX583" s="37"/>
      <c r="EY583" s="37"/>
      <c r="EZ583" s="37"/>
      <c r="FA583" s="37"/>
      <c r="FB583" s="37"/>
      <c r="FC583" s="37"/>
      <c r="FD583" s="37"/>
      <c r="FE583" s="37"/>
      <c r="FF583" s="55"/>
      <c r="FG583" s="55"/>
      <c r="FH583" s="55"/>
      <c r="FI583" s="37"/>
      <c r="FJ583" s="55"/>
      <c r="FK583" s="55"/>
      <c r="FL583" s="45"/>
      <c r="FM583" s="37"/>
      <c r="FN583" s="37"/>
      <c r="FO583" s="37"/>
      <c r="FP583" s="55"/>
      <c r="FQ583" s="1" t="s">
        <v>2</v>
      </c>
      <c r="FR583" s="1" t="s">
        <v>113</v>
      </c>
      <c r="FS583" s="1" t="s">
        <v>129</v>
      </c>
      <c r="FV583" s="1" t="s">
        <v>2</v>
      </c>
    </row>
    <row r="584" spans="1:178" ht="16.25" customHeight="1" x14ac:dyDescent="0.2">
      <c r="A584" s="18" t="s">
        <v>177</v>
      </c>
      <c r="B584" s="1" t="s">
        <v>147</v>
      </c>
      <c r="C584" s="16" t="s">
        <v>984</v>
      </c>
      <c r="D584" s="1" t="s">
        <v>69</v>
      </c>
      <c r="H584" s="1" t="s">
        <v>131</v>
      </c>
      <c r="K584" s="1">
        <v>0</v>
      </c>
      <c r="AF584" s="1">
        <v>0</v>
      </c>
      <c r="BA584" s="1">
        <v>185.7</v>
      </c>
      <c r="BI584" s="1">
        <v>0.17599999999999999</v>
      </c>
      <c r="BV584" s="1">
        <v>0</v>
      </c>
      <c r="CQ584" s="1">
        <v>0</v>
      </c>
      <c r="DL584" s="18" t="s">
        <v>96</v>
      </c>
      <c r="DN584" s="1">
        <f t="shared" si="91"/>
        <v>0.17600000000000002</v>
      </c>
      <c r="DO584" s="1">
        <f t="shared" si="92"/>
        <v>0</v>
      </c>
      <c r="DP584" s="1" t="s">
        <v>1106</v>
      </c>
      <c r="DQ584" s="1" t="s">
        <v>2</v>
      </c>
      <c r="DR584" s="16">
        <f t="shared" si="93"/>
        <v>185.7</v>
      </c>
      <c r="DS584" s="100">
        <f t="shared" si="94"/>
        <v>0.17600000000000002</v>
      </c>
      <c r="DT584" s="101">
        <f t="shared" si="95"/>
        <v>326.83200000000005</v>
      </c>
      <c r="DV584" s="16">
        <f t="shared" si="96"/>
        <v>0</v>
      </c>
      <c r="DZ584" s="37" t="s">
        <v>2</v>
      </c>
      <c r="EA584" s="37"/>
      <c r="EM584" s="73"/>
      <c r="EN584" s="37"/>
      <c r="EO584" s="37"/>
      <c r="EP584" s="37"/>
      <c r="EQ584" s="37"/>
      <c r="ER584" s="37"/>
      <c r="ES584" s="37"/>
      <c r="ET584" s="37"/>
      <c r="EU584" s="37"/>
      <c r="EV584" s="37"/>
      <c r="EW584" s="37"/>
      <c r="EX584" s="37"/>
      <c r="EY584" s="37"/>
      <c r="EZ584" s="37"/>
      <c r="FA584" s="37"/>
      <c r="FB584" s="37"/>
      <c r="FC584" s="37"/>
      <c r="FD584" s="37"/>
      <c r="FE584" s="37"/>
      <c r="FF584" s="55"/>
      <c r="FG584" s="55"/>
      <c r="FH584" s="55"/>
      <c r="FI584" s="37"/>
      <c r="FJ584" s="55"/>
      <c r="FK584" s="55"/>
      <c r="FL584" s="45"/>
      <c r="FM584" s="37"/>
      <c r="FN584" s="37"/>
      <c r="FO584" s="37"/>
      <c r="FP584" s="55"/>
      <c r="FQ584" s="1" t="s">
        <v>2</v>
      </c>
      <c r="FR584" s="1" t="s">
        <v>113</v>
      </c>
      <c r="FS584" s="1" t="s">
        <v>129</v>
      </c>
      <c r="FV584" s="1" t="s">
        <v>2</v>
      </c>
    </row>
    <row r="585" spans="1:178" ht="16.25" customHeight="1" x14ac:dyDescent="0.2">
      <c r="A585" s="18" t="s">
        <v>177</v>
      </c>
      <c r="B585" s="1" t="s">
        <v>147</v>
      </c>
      <c r="C585" s="16" t="s">
        <v>1172</v>
      </c>
      <c r="D585" s="1" t="s">
        <v>69</v>
      </c>
      <c r="H585" s="1" t="s">
        <v>1173</v>
      </c>
      <c r="K585" s="1">
        <v>28.3</v>
      </c>
      <c r="S585" s="1">
        <v>0.188</v>
      </c>
      <c r="T585" s="1">
        <v>6.0000000000000001E-3</v>
      </c>
      <c r="AF585" s="1">
        <v>23.3</v>
      </c>
      <c r="AM585" s="1">
        <v>0.183</v>
      </c>
      <c r="AN585" s="1">
        <v>6.0000000000000001E-3</v>
      </c>
      <c r="BA585" s="1">
        <v>6.8</v>
      </c>
      <c r="BI585" s="1">
        <v>0.183</v>
      </c>
      <c r="BJ585" s="1">
        <v>7.0000000000000001E-3</v>
      </c>
      <c r="BV585" s="1">
        <v>0</v>
      </c>
      <c r="CQ585" s="1">
        <v>0</v>
      </c>
      <c r="DL585" s="18" t="s">
        <v>96</v>
      </c>
      <c r="DM585" s="1" t="s">
        <v>96</v>
      </c>
      <c r="DN585" s="1">
        <f t="shared" si="91"/>
        <v>0.11480479452054795</v>
      </c>
      <c r="DO585" s="1">
        <f t="shared" si="92"/>
        <v>3.7226027397260276E-3</v>
      </c>
      <c r="DP585" s="1" t="s">
        <v>1106</v>
      </c>
      <c r="DQ585" s="1" t="s">
        <v>2</v>
      </c>
      <c r="DR585" s="16">
        <f t="shared" si="93"/>
        <v>58.4</v>
      </c>
      <c r="DS585" s="100">
        <f t="shared" si="94"/>
        <v>0.11480479452054795</v>
      </c>
      <c r="DT585" s="101">
        <f t="shared" si="95"/>
        <v>67.046000000000006</v>
      </c>
      <c r="DV585" s="16">
        <f t="shared" si="96"/>
        <v>0</v>
      </c>
      <c r="DZ585" s="37" t="s">
        <v>2</v>
      </c>
      <c r="EA585" s="37"/>
      <c r="EM585" s="73"/>
      <c r="EN585" s="37"/>
      <c r="EO585" s="37"/>
      <c r="EP585" s="37"/>
      <c r="EQ585" s="37"/>
      <c r="ER585" s="37"/>
      <c r="ES585" s="37"/>
      <c r="ET585" s="37"/>
      <c r="EU585" s="37"/>
      <c r="EV585" s="37"/>
      <c r="EW585" s="37"/>
      <c r="EX585" s="37"/>
      <c r="EY585" s="37"/>
      <c r="EZ585" s="37"/>
      <c r="FA585" s="37"/>
      <c r="FB585" s="37"/>
      <c r="FC585" s="37"/>
      <c r="FD585" s="37"/>
      <c r="FE585" s="37"/>
      <c r="FF585" s="55"/>
      <c r="FG585" s="55"/>
      <c r="FH585" s="55"/>
      <c r="FI585" s="37"/>
      <c r="FJ585" s="55"/>
      <c r="FK585" s="55"/>
      <c r="FL585" s="45"/>
      <c r="FM585" s="37"/>
      <c r="FN585" s="37"/>
      <c r="FO585" s="37"/>
      <c r="FP585" s="55"/>
      <c r="FQ585" s="1" t="s">
        <v>2</v>
      </c>
      <c r="FR585" s="1" t="s">
        <v>113</v>
      </c>
      <c r="FS585" s="1" t="s">
        <v>129</v>
      </c>
      <c r="FV585" s="1" t="s">
        <v>2</v>
      </c>
    </row>
    <row r="586" spans="1:178" ht="16.25" customHeight="1" x14ac:dyDescent="0.2">
      <c r="A586" s="25" t="s">
        <v>190</v>
      </c>
      <c r="B586" s="1" t="s">
        <v>122</v>
      </c>
      <c r="C586" s="80" t="s">
        <v>1178</v>
      </c>
      <c r="D586" s="1" t="s">
        <v>69</v>
      </c>
      <c r="H586" s="1" t="s">
        <v>1176</v>
      </c>
      <c r="J586" s="1" t="s">
        <v>1034</v>
      </c>
      <c r="K586" s="1">
        <v>0</v>
      </c>
      <c r="AF586" s="1">
        <f>30.5+10.9+4.7+42+13.2</f>
        <v>101.3</v>
      </c>
      <c r="AN586" s="13">
        <f>(0.87*30.5+0.97*10.9+1.01*4.7+0.93*42+0.99*13.2)/AF586</f>
        <v>0.92776900296150056</v>
      </c>
      <c r="AO586" s="2">
        <f>(0.035*30.5+0.028*10.9+0.026*4.7+0.027*42+0.019*13.2)/AF586</f>
        <v>2.8427443237907205E-2</v>
      </c>
      <c r="AV586" s="13">
        <f>((12.95*30.5+14.29*10.9+7.81*4.7+12.33*42+11.31*13.2)/AF586)*(2*55.85/(2*55.85+3*16.001))</f>
        <v>8.6623196517321048</v>
      </c>
      <c r="AW586" s="13">
        <f>(71.96*30.5+52.35*10.9+37.71*4.7+72.3*42+51.61*13.2)/AF586</f>
        <v>65.750088845014815</v>
      </c>
      <c r="BA586" s="1">
        <f>0.7+0.41+1.62+1.48+0.37+0.84</f>
        <v>5.42</v>
      </c>
      <c r="BI586" s="13">
        <f>(0.99*0.7+0.91*0.41+0.74*1.62+0.72*1.48+0.66*0.37+1*0.84)/BA586</f>
        <v>0.81452029520295199</v>
      </c>
      <c r="BJ586" s="2">
        <f>(0.027*0.7+0.02*0.41+0.019*1.62+0.031*1.48+0.018*0.37+0.016*0.84)/BA586</f>
        <v>2.285239852398524E-2</v>
      </c>
      <c r="BQ586" s="13">
        <f>((13.29*0.7+12.24*0.41+8.62*1.62+11.96*1.48+12.08*0.37+7.78*0.84)/BA586)*(2*55.85/(2*55.85+3*16.001))</f>
        <v>7.3544489514010944</v>
      </c>
      <c r="BR586" s="13">
        <f>(74.32*0.7+50.25*0.41+39.58*1.62+73.23*1.48+52.21*0.37+36.07*0.84)/BA586</f>
        <v>54.38062730627307</v>
      </c>
      <c r="BV586" s="1">
        <v>0</v>
      </c>
      <c r="CQ586" s="1">
        <v>0</v>
      </c>
      <c r="DL586" s="18" t="s">
        <v>96</v>
      </c>
      <c r="DM586" s="1" t="s">
        <v>96</v>
      </c>
      <c r="DN586" s="1">
        <f t="shared" si="91"/>
        <v>0.92201742878560722</v>
      </c>
      <c r="DO586" s="1">
        <f t="shared" si="92"/>
        <v>2.8144302848575709E-2</v>
      </c>
      <c r="DP586" s="1" t="s">
        <v>1035</v>
      </c>
      <c r="DQ586" s="1" t="s">
        <v>2</v>
      </c>
      <c r="DR586" s="101">
        <f t="shared" si="93"/>
        <v>106.72</v>
      </c>
      <c r="DS586" s="100">
        <f t="shared" si="94"/>
        <v>0.92201742878560722</v>
      </c>
      <c r="DT586" s="101">
        <f t="shared" si="95"/>
        <v>983.97699999999998</v>
      </c>
      <c r="DV586" s="16">
        <f t="shared" si="96"/>
        <v>0</v>
      </c>
      <c r="DZ586" s="37" t="s">
        <v>2</v>
      </c>
      <c r="EA586" s="37" t="s">
        <v>122</v>
      </c>
      <c r="EM586" s="73" t="s">
        <v>122</v>
      </c>
      <c r="EN586" s="37"/>
      <c r="EO586" s="37"/>
      <c r="EP586" s="37"/>
      <c r="EQ586" s="37"/>
      <c r="ER586" s="37"/>
      <c r="ES586" s="37"/>
      <c r="ET586" s="37"/>
      <c r="EU586" s="37"/>
      <c r="EV586" s="37"/>
      <c r="EW586" s="37"/>
      <c r="EX586" s="37"/>
      <c r="EY586" s="37"/>
      <c r="EZ586" s="37"/>
      <c r="FA586" s="37"/>
      <c r="FB586" s="37"/>
      <c r="FC586" s="37"/>
      <c r="FD586" s="37"/>
      <c r="FE586" s="37"/>
      <c r="FF586" s="55"/>
      <c r="FG586" s="55"/>
      <c r="FH586" s="55"/>
      <c r="FI586" s="37"/>
      <c r="FJ586" s="55"/>
      <c r="FK586" s="55"/>
      <c r="FL586" s="45"/>
      <c r="FM586" s="37"/>
      <c r="FN586" s="37"/>
      <c r="FO586" s="37"/>
      <c r="FP586" s="55" t="s">
        <v>122</v>
      </c>
      <c r="FQ586" s="1" t="s">
        <v>2</v>
      </c>
      <c r="FR586" s="1" t="s">
        <v>31</v>
      </c>
      <c r="FS586" s="1" t="s">
        <v>193</v>
      </c>
      <c r="FT586" s="1" t="s">
        <v>193</v>
      </c>
      <c r="FV586" s="1" t="s">
        <v>2</v>
      </c>
    </row>
    <row r="587" spans="1:178" ht="16.25" customHeight="1" x14ac:dyDescent="0.2">
      <c r="A587" s="25" t="s">
        <v>190</v>
      </c>
      <c r="B587" s="1" t="s">
        <v>122</v>
      </c>
      <c r="C587" s="80" t="s">
        <v>795</v>
      </c>
      <c r="D587" s="1" t="s">
        <v>64</v>
      </c>
      <c r="H587" s="1" t="s">
        <v>466</v>
      </c>
      <c r="K587" s="1">
        <v>0</v>
      </c>
      <c r="AF587" s="1">
        <v>0</v>
      </c>
      <c r="BA587" s="1">
        <v>55.1</v>
      </c>
      <c r="BI587" s="1">
        <v>0.96</v>
      </c>
      <c r="BJ587" s="1">
        <v>0.05</v>
      </c>
      <c r="BV587" s="1">
        <v>0</v>
      </c>
      <c r="CQ587" s="1">
        <v>0</v>
      </c>
      <c r="DL587" s="18" t="s">
        <v>163</v>
      </c>
      <c r="DM587" s="1" t="s">
        <v>163</v>
      </c>
      <c r="DN587" s="1">
        <f t="shared" si="91"/>
        <v>0.96</v>
      </c>
      <c r="DO587" s="1">
        <f t="shared" si="92"/>
        <v>0.05</v>
      </c>
      <c r="DP587" s="1" t="s">
        <v>1030</v>
      </c>
      <c r="DQ587" s="1" t="s">
        <v>2</v>
      </c>
      <c r="DR587" s="16">
        <f t="shared" si="93"/>
        <v>55.1</v>
      </c>
      <c r="DS587" s="16">
        <f t="shared" si="94"/>
        <v>0.96</v>
      </c>
      <c r="DT587" s="101">
        <f t="shared" si="95"/>
        <v>528.96</v>
      </c>
      <c r="DV587" s="16">
        <f t="shared" si="96"/>
        <v>0</v>
      </c>
      <c r="DZ587" s="37" t="s">
        <v>2</v>
      </c>
      <c r="EA587" s="37"/>
      <c r="EM587" s="73"/>
      <c r="EN587" s="37"/>
      <c r="EO587" s="37"/>
      <c r="EP587" s="37"/>
      <c r="EQ587" s="37"/>
      <c r="ER587" s="37"/>
      <c r="ES587" s="37"/>
      <c r="ET587" s="37"/>
      <c r="EU587" s="37"/>
      <c r="EV587" s="37"/>
      <c r="EW587" s="37"/>
      <c r="EX587" s="37"/>
      <c r="EY587" s="37"/>
      <c r="EZ587" s="37"/>
      <c r="FA587" s="37"/>
      <c r="FB587" s="37"/>
      <c r="FC587" s="37"/>
      <c r="FD587" s="37"/>
      <c r="FE587" s="37"/>
      <c r="FF587" s="55"/>
      <c r="FG587" s="55"/>
      <c r="FH587" s="55"/>
      <c r="FI587" s="37"/>
      <c r="FJ587" s="55"/>
      <c r="FK587" s="55"/>
      <c r="FL587" s="45"/>
      <c r="FM587" s="37"/>
      <c r="FN587" s="37"/>
      <c r="FO587" s="37"/>
      <c r="FP587" s="55"/>
      <c r="FQ587" s="1" t="s">
        <v>2</v>
      </c>
      <c r="FR587" s="1" t="s">
        <v>31</v>
      </c>
      <c r="FS587" s="1" t="s">
        <v>193</v>
      </c>
      <c r="FT587" s="1" t="s">
        <v>193</v>
      </c>
      <c r="FV587" s="1" t="s">
        <v>2</v>
      </c>
    </row>
    <row r="588" spans="1:178" ht="16.25" customHeight="1" x14ac:dyDescent="0.2">
      <c r="A588" s="18" t="s">
        <v>177</v>
      </c>
      <c r="B588" s="1" t="s">
        <v>122</v>
      </c>
      <c r="C588" s="15" t="s">
        <v>1281</v>
      </c>
      <c r="D588" s="1" t="s">
        <v>69</v>
      </c>
      <c r="H588" s="1" t="s">
        <v>1282</v>
      </c>
      <c r="K588" s="1">
        <v>13.8</v>
      </c>
      <c r="L588" s="1">
        <v>0.34</v>
      </c>
      <c r="S588" s="1">
        <v>2.4900000000000002</v>
      </c>
      <c r="T588" s="1">
        <v>0.21</v>
      </c>
      <c r="U588" s="1">
        <v>0.16</v>
      </c>
      <c r="V588" s="1">
        <v>0.19</v>
      </c>
      <c r="AF588" s="1">
        <v>23.4</v>
      </c>
      <c r="AG588" s="1">
        <v>0.36</v>
      </c>
      <c r="AN588" s="1">
        <v>2.72</v>
      </c>
      <c r="AO588" s="1">
        <v>0.19</v>
      </c>
      <c r="AP588" s="1">
        <v>0.41</v>
      </c>
      <c r="AQ588" s="1">
        <v>0.28000000000000003</v>
      </c>
      <c r="BA588" s="1">
        <v>21</v>
      </c>
      <c r="BB588" s="1">
        <v>0.3</v>
      </c>
      <c r="BI588" s="1">
        <v>2.6</v>
      </c>
      <c r="BJ588" s="1">
        <v>0.2</v>
      </c>
      <c r="BK588" s="1">
        <v>0.3</v>
      </c>
      <c r="BL588" s="1">
        <v>0.3</v>
      </c>
      <c r="BV588" s="1">
        <v>0</v>
      </c>
      <c r="CQ588" s="1">
        <v>0</v>
      </c>
      <c r="DL588" s="18" t="s">
        <v>96</v>
      </c>
      <c r="DM588" s="1" t="s">
        <v>96</v>
      </c>
      <c r="DN588" s="1">
        <f t="shared" si="91"/>
        <v>2.6221649484536083</v>
      </c>
      <c r="DO588" s="1">
        <f t="shared" si="92"/>
        <v>0.19835051546391752</v>
      </c>
      <c r="DP588" s="1" t="s">
        <v>73</v>
      </c>
      <c r="DQ588" s="1" t="s">
        <v>2</v>
      </c>
      <c r="DR588" s="16">
        <f t="shared" si="93"/>
        <v>58.2</v>
      </c>
      <c r="DS588" s="100">
        <f t="shared" si="94"/>
        <v>2.6221649484536083</v>
      </c>
      <c r="DT588" s="102">
        <f t="shared" si="95"/>
        <v>1526.1</v>
      </c>
      <c r="DV588" s="16">
        <f t="shared" si="96"/>
        <v>0</v>
      </c>
      <c r="DZ588" s="37" t="s">
        <v>2</v>
      </c>
      <c r="EA588" s="37"/>
      <c r="EM588" s="73"/>
      <c r="EN588" s="37"/>
      <c r="EO588" s="37"/>
      <c r="EP588" s="37"/>
      <c r="EQ588" s="37"/>
      <c r="ER588" s="37"/>
      <c r="ES588" s="37"/>
      <c r="ET588" s="37"/>
      <c r="EU588" s="37"/>
      <c r="EV588" s="37"/>
      <c r="EW588" s="37"/>
      <c r="EX588" s="37"/>
      <c r="EY588" s="37"/>
      <c r="EZ588" s="37"/>
      <c r="FA588" s="37"/>
      <c r="FB588" s="37"/>
      <c r="FC588" s="37"/>
      <c r="FD588" s="37"/>
      <c r="FE588" s="37"/>
      <c r="FF588" s="55"/>
      <c r="FG588" s="55"/>
      <c r="FH588" s="55"/>
      <c r="FI588" s="37"/>
      <c r="FJ588" s="55"/>
      <c r="FK588" s="55"/>
      <c r="FL588" s="45"/>
      <c r="FM588" s="37"/>
      <c r="FN588" s="37"/>
      <c r="FO588" s="37"/>
      <c r="FP588" s="55"/>
      <c r="FQ588" s="1" t="s">
        <v>2</v>
      </c>
      <c r="FR588" s="1" t="s">
        <v>113</v>
      </c>
      <c r="FS588" s="1" t="s">
        <v>129</v>
      </c>
      <c r="FV588" s="1" t="s">
        <v>2</v>
      </c>
    </row>
    <row r="589" spans="1:178" ht="16.25" customHeight="1" x14ac:dyDescent="0.2">
      <c r="A589" s="18" t="s">
        <v>177</v>
      </c>
      <c r="B589" s="1" t="s">
        <v>122</v>
      </c>
      <c r="C589" s="15" t="s">
        <v>877</v>
      </c>
      <c r="D589" s="1" t="s">
        <v>69</v>
      </c>
      <c r="H589" s="1" t="s">
        <v>131</v>
      </c>
      <c r="K589" s="1">
        <v>1.1240000000000001</v>
      </c>
      <c r="L589" s="1">
        <v>0.28999999999999998</v>
      </c>
      <c r="M589" s="2">
        <v>0.02</v>
      </c>
      <c r="S589" s="1">
        <v>1.74</v>
      </c>
      <c r="T589" s="1">
        <v>0.06</v>
      </c>
      <c r="U589" s="1">
        <v>3.2000000000000001E-2</v>
      </c>
      <c r="V589" s="1">
        <v>3.7999999999999999E-2</v>
      </c>
      <c r="AF589" s="1">
        <v>19.199000000000002</v>
      </c>
      <c r="AG589" s="1">
        <v>0.12</v>
      </c>
      <c r="AH589" s="1">
        <v>2.8000000000000001E-2</v>
      </c>
      <c r="AN589" s="1">
        <v>0.51</v>
      </c>
      <c r="AO589" s="1">
        <v>0.02</v>
      </c>
      <c r="AP589" s="1">
        <v>3.5000000000000003E-2</v>
      </c>
      <c r="AQ589" s="1">
        <v>4.4999999999999998E-2</v>
      </c>
      <c r="BA589" s="1">
        <v>35.93</v>
      </c>
      <c r="BB589" s="1">
        <v>0.14000000000000001</v>
      </c>
      <c r="BC589" s="1">
        <v>0.01</v>
      </c>
      <c r="BI589" s="13">
        <v>0.7</v>
      </c>
      <c r="BJ589" s="1">
        <v>0.02</v>
      </c>
      <c r="BK589" s="1">
        <v>0.01</v>
      </c>
      <c r="BL589" s="1">
        <v>0.02</v>
      </c>
      <c r="BV589" s="1">
        <v>0</v>
      </c>
      <c r="CQ589" s="1">
        <v>0</v>
      </c>
      <c r="DL589" s="18" t="s">
        <v>96</v>
      </c>
      <c r="DM589" s="1" t="s">
        <v>96</v>
      </c>
      <c r="DN589" s="1">
        <f t="shared" si="91"/>
        <v>0.65593390574724908</v>
      </c>
      <c r="DO589" s="1">
        <f t="shared" si="92"/>
        <v>2.0799246262421561E-2</v>
      </c>
      <c r="DP589" s="1" t="s">
        <v>67</v>
      </c>
      <c r="DQ589" s="1" t="s">
        <v>2</v>
      </c>
      <c r="DR589" s="100">
        <f t="shared" si="93"/>
        <v>56.253</v>
      </c>
      <c r="DS589" s="100">
        <f t="shared" si="94"/>
        <v>0.65593390574724908</v>
      </c>
      <c r="DT589" s="101">
        <f t="shared" si="95"/>
        <v>368.98250000000002</v>
      </c>
      <c r="DV589" s="16">
        <f t="shared" si="96"/>
        <v>0</v>
      </c>
      <c r="DZ589" s="37" t="s">
        <v>2</v>
      </c>
      <c r="EA589" s="37"/>
      <c r="EM589" s="73"/>
      <c r="EN589" s="37"/>
      <c r="EO589" s="37"/>
      <c r="EP589" s="37"/>
      <c r="EQ589" s="37"/>
      <c r="ER589" s="37"/>
      <c r="ES589" s="37"/>
      <c r="ET589" s="37"/>
      <c r="EU589" s="37"/>
      <c r="EV589" s="37"/>
      <c r="EW589" s="37"/>
      <c r="EX589" s="37"/>
      <c r="EY589" s="37"/>
      <c r="EZ589" s="37"/>
      <c r="FA589" s="37"/>
      <c r="FB589" s="37"/>
      <c r="FC589" s="37"/>
      <c r="FD589" s="37"/>
      <c r="FE589" s="37"/>
      <c r="FF589" s="55"/>
      <c r="FG589" s="55"/>
      <c r="FH589" s="55"/>
      <c r="FI589" s="37"/>
      <c r="FJ589" s="55"/>
      <c r="FK589" s="55"/>
      <c r="FL589" s="45"/>
      <c r="FM589" s="37"/>
      <c r="FN589" s="37"/>
      <c r="FO589" s="37"/>
      <c r="FP589" s="55"/>
      <c r="FQ589" s="1" t="s">
        <v>2</v>
      </c>
      <c r="FR589" s="1" t="s">
        <v>113</v>
      </c>
      <c r="FS589" s="1" t="s">
        <v>129</v>
      </c>
      <c r="FV589" s="1" t="s">
        <v>2</v>
      </c>
    </row>
    <row r="590" spans="1:178" ht="16.25" customHeight="1" x14ac:dyDescent="0.2">
      <c r="A590" s="25" t="s">
        <v>190</v>
      </c>
      <c r="B590" s="1" t="s">
        <v>98</v>
      </c>
      <c r="C590" s="21" t="s">
        <v>1031</v>
      </c>
      <c r="D590" s="1" t="s">
        <v>69</v>
      </c>
      <c r="H590" s="1" t="s">
        <v>131</v>
      </c>
      <c r="K590" s="1">
        <v>0</v>
      </c>
      <c r="AF590" s="1">
        <v>0</v>
      </c>
      <c r="BA590" s="1">
        <v>12.25</v>
      </c>
      <c r="BI590" s="1">
        <v>0.83</v>
      </c>
      <c r="BJ590" s="1">
        <v>4.4999999999999998E-2</v>
      </c>
      <c r="BV590" s="1">
        <v>0</v>
      </c>
      <c r="CQ590" s="1">
        <v>0</v>
      </c>
      <c r="DL590" s="18" t="s">
        <v>163</v>
      </c>
      <c r="DM590" s="1" t="s">
        <v>163</v>
      </c>
      <c r="DN590" s="1">
        <f t="shared" si="91"/>
        <v>0.82999999999999985</v>
      </c>
      <c r="DO590" s="1">
        <f t="shared" si="92"/>
        <v>4.4999999999999998E-2</v>
      </c>
      <c r="DP590" s="1" t="s">
        <v>905</v>
      </c>
      <c r="DQ590" s="1" t="s">
        <v>2</v>
      </c>
      <c r="DR590" s="16">
        <f t="shared" si="93"/>
        <v>12.25</v>
      </c>
      <c r="DS590" s="16">
        <f t="shared" si="94"/>
        <v>0.82999999999999985</v>
      </c>
      <c r="DT590" s="101">
        <f t="shared" si="95"/>
        <v>101.67499999999998</v>
      </c>
      <c r="DV590" s="16">
        <f t="shared" si="96"/>
        <v>0</v>
      </c>
      <c r="DZ590" s="37" t="s">
        <v>2</v>
      </c>
      <c r="EA590" s="37" t="s">
        <v>98</v>
      </c>
      <c r="EM590" s="73" t="s">
        <v>98</v>
      </c>
      <c r="EN590" s="37"/>
      <c r="EO590" s="37"/>
      <c r="EP590" s="37"/>
      <c r="EQ590" s="37"/>
      <c r="ER590" s="37"/>
      <c r="ES590" s="37"/>
      <c r="ET590" s="37"/>
      <c r="EU590" s="37"/>
      <c r="EV590" s="37"/>
      <c r="EW590" s="37"/>
      <c r="EX590" s="37"/>
      <c r="EY590" s="37"/>
      <c r="EZ590" s="37"/>
      <c r="FA590" s="37"/>
      <c r="FB590" s="37"/>
      <c r="FC590" s="37"/>
      <c r="FD590" s="37"/>
      <c r="FE590" s="37"/>
      <c r="FF590" s="55"/>
      <c r="FG590" s="55"/>
      <c r="FH590" s="55"/>
      <c r="FI590" s="37"/>
      <c r="FJ590" s="55"/>
      <c r="FK590" s="55"/>
      <c r="FL590" s="45"/>
      <c r="FM590" s="37"/>
      <c r="FN590" s="37"/>
      <c r="FO590" s="37"/>
      <c r="FP590" s="55" t="s">
        <v>98</v>
      </c>
      <c r="FQ590" s="1" t="s">
        <v>2</v>
      </c>
      <c r="FR590" s="1" t="s">
        <v>31</v>
      </c>
      <c r="FS590" s="1" t="s">
        <v>469</v>
      </c>
      <c r="FT590" s="1" t="s">
        <v>469</v>
      </c>
      <c r="FV590" s="1" t="s">
        <v>2</v>
      </c>
    </row>
    <row r="591" spans="1:178" ht="16.25" customHeight="1" x14ac:dyDescent="0.2">
      <c r="A591" s="25" t="s">
        <v>190</v>
      </c>
      <c r="B591" s="1" t="s">
        <v>87</v>
      </c>
      <c r="C591" s="21" t="s">
        <v>332</v>
      </c>
      <c r="D591" s="1" t="s">
        <v>69</v>
      </c>
      <c r="G591" s="1" t="s">
        <v>72</v>
      </c>
      <c r="H591" s="1" t="s">
        <v>151</v>
      </c>
      <c r="J591" s="1" t="s">
        <v>92</v>
      </c>
      <c r="K591" s="1">
        <v>0</v>
      </c>
      <c r="AF591" s="1">
        <v>0</v>
      </c>
      <c r="BA591" s="1">
        <v>33.200000000000003</v>
      </c>
      <c r="BI591" s="1">
        <v>1.1299999999999999</v>
      </c>
      <c r="BV591" s="1">
        <v>0</v>
      </c>
      <c r="CQ591" s="1">
        <v>0</v>
      </c>
      <c r="DL591" s="18" t="s">
        <v>163</v>
      </c>
      <c r="DN591" s="1">
        <f t="shared" si="91"/>
        <v>1.1299999999999999</v>
      </c>
      <c r="DO591" s="1">
        <f t="shared" si="92"/>
        <v>0</v>
      </c>
      <c r="DP591" s="1" t="s">
        <v>161</v>
      </c>
      <c r="DQ591" s="1" t="s">
        <v>2</v>
      </c>
      <c r="DR591" s="16">
        <f t="shared" si="93"/>
        <v>33.200000000000003</v>
      </c>
      <c r="DS591" s="16">
        <f t="shared" si="94"/>
        <v>1.1299999999999999</v>
      </c>
      <c r="DT591" s="101">
        <f t="shared" si="95"/>
        <v>375.16</v>
      </c>
      <c r="DV591" s="16">
        <f t="shared" si="96"/>
        <v>0</v>
      </c>
      <c r="DZ591" s="37" t="s">
        <v>2</v>
      </c>
      <c r="EA591" s="37" t="s">
        <v>87</v>
      </c>
      <c r="EM591" s="73" t="s">
        <v>87</v>
      </c>
      <c r="EN591" s="37"/>
      <c r="EO591" s="37"/>
      <c r="EP591" s="37"/>
      <c r="EQ591" s="37"/>
      <c r="ER591" s="37"/>
      <c r="ES591" s="37"/>
      <c r="ET591" s="37"/>
      <c r="EU591" s="37"/>
      <c r="EV591" s="37"/>
      <c r="EW591" s="37"/>
      <c r="EX591" s="37"/>
      <c r="EY591" s="37"/>
      <c r="EZ591" s="37"/>
      <c r="FA591" s="37"/>
      <c r="FB591" s="37"/>
      <c r="FC591" s="37"/>
      <c r="FD591" s="37"/>
      <c r="FE591" s="37"/>
      <c r="FF591" s="55"/>
      <c r="FG591" s="55"/>
      <c r="FH591" s="55"/>
      <c r="FI591" s="37"/>
      <c r="FJ591" s="55"/>
      <c r="FK591" s="55"/>
      <c r="FL591" s="45"/>
      <c r="FM591" s="37"/>
      <c r="FN591" s="37"/>
      <c r="FO591" s="37"/>
      <c r="FP591" s="55" t="s">
        <v>87</v>
      </c>
      <c r="FQ591" s="1" t="s">
        <v>2</v>
      </c>
      <c r="FR591" s="1" t="s">
        <v>31</v>
      </c>
      <c r="FS591" s="1" t="s">
        <v>193</v>
      </c>
      <c r="FT591" s="1" t="s">
        <v>193</v>
      </c>
      <c r="FV591" s="1" t="s">
        <v>2</v>
      </c>
    </row>
    <row r="592" spans="1:178" ht="16.25" customHeight="1" x14ac:dyDescent="0.2">
      <c r="A592" s="25" t="s">
        <v>190</v>
      </c>
      <c r="B592" s="1" t="s">
        <v>87</v>
      </c>
      <c r="C592" s="21" t="s">
        <v>337</v>
      </c>
      <c r="D592" s="1" t="s">
        <v>69</v>
      </c>
      <c r="G592" s="1" t="s">
        <v>72</v>
      </c>
      <c r="H592" s="1" t="s">
        <v>338</v>
      </c>
      <c r="J592" s="1" t="s">
        <v>204</v>
      </c>
      <c r="K592" s="1">
        <v>0</v>
      </c>
      <c r="AF592" s="1">
        <v>0</v>
      </c>
      <c r="BA592" s="1">
        <v>70</v>
      </c>
      <c r="BI592" s="1">
        <v>1</v>
      </c>
      <c r="BV592" s="1">
        <v>0</v>
      </c>
      <c r="CQ592" s="1">
        <v>0</v>
      </c>
      <c r="DL592" s="18" t="s">
        <v>163</v>
      </c>
      <c r="DN592" s="1">
        <f t="shared" si="91"/>
        <v>1</v>
      </c>
      <c r="DO592" s="1">
        <f t="shared" si="92"/>
        <v>0</v>
      </c>
      <c r="DP592" s="1" t="s">
        <v>891</v>
      </c>
      <c r="DQ592" s="1" t="s">
        <v>2</v>
      </c>
      <c r="DR592" s="16">
        <f t="shared" si="93"/>
        <v>70</v>
      </c>
      <c r="DS592" s="16">
        <f t="shared" si="94"/>
        <v>1</v>
      </c>
      <c r="DT592" s="101">
        <f t="shared" si="95"/>
        <v>700</v>
      </c>
      <c r="DV592" s="16">
        <f t="shared" si="96"/>
        <v>0</v>
      </c>
      <c r="DZ592" s="37" t="s">
        <v>2</v>
      </c>
      <c r="EA592" s="37"/>
      <c r="EM592" s="73"/>
      <c r="EN592" s="37"/>
      <c r="EO592" s="37"/>
      <c r="EP592" s="37"/>
      <c r="EQ592" s="37"/>
      <c r="ER592" s="37"/>
      <c r="ES592" s="37"/>
      <c r="ET592" s="37"/>
      <c r="EU592" s="37"/>
      <c r="EV592" s="37"/>
      <c r="EW592" s="37"/>
      <c r="EX592" s="37"/>
      <c r="EY592" s="37"/>
      <c r="EZ592" s="37"/>
      <c r="FA592" s="37"/>
      <c r="FB592" s="37"/>
      <c r="FC592" s="37"/>
      <c r="FD592" s="37"/>
      <c r="FE592" s="37"/>
      <c r="FF592" s="55"/>
      <c r="FG592" s="55"/>
      <c r="FH592" s="55"/>
      <c r="FI592" s="37"/>
      <c r="FJ592" s="55"/>
      <c r="FK592" s="55"/>
      <c r="FL592" s="45"/>
      <c r="FM592" s="37"/>
      <c r="FN592" s="37"/>
      <c r="FO592" s="37"/>
      <c r="FP592" s="55"/>
      <c r="FQ592" s="1" t="s">
        <v>2</v>
      </c>
      <c r="FR592" s="1" t="s">
        <v>31</v>
      </c>
      <c r="FS592" s="1" t="s">
        <v>193</v>
      </c>
      <c r="FT592" s="1" t="s">
        <v>193</v>
      </c>
      <c r="FV592" s="1" t="s">
        <v>2</v>
      </c>
    </row>
    <row r="593" spans="1:178" ht="16.25" customHeight="1" x14ac:dyDescent="0.2">
      <c r="A593" s="18" t="s">
        <v>1060</v>
      </c>
      <c r="B593" s="1" t="s">
        <v>127</v>
      </c>
      <c r="C593" s="80" t="s">
        <v>1284</v>
      </c>
      <c r="D593" s="1" t="s">
        <v>69</v>
      </c>
      <c r="H593" s="1" t="s">
        <v>1285</v>
      </c>
      <c r="K593" s="1">
        <v>0</v>
      </c>
      <c r="AF593" s="1">
        <v>0</v>
      </c>
      <c r="BA593" s="14">
        <f>2*0.9072</f>
        <v>1.8144</v>
      </c>
      <c r="BB593" s="1">
        <v>0.13</v>
      </c>
      <c r="BG593" s="1">
        <v>3.3</v>
      </c>
      <c r="BI593" s="1">
        <v>0.46</v>
      </c>
      <c r="BJ593" s="1">
        <v>0.28000000000000003</v>
      </c>
      <c r="BV593" s="1">
        <v>0</v>
      </c>
      <c r="CQ593" s="1">
        <v>0</v>
      </c>
      <c r="DL593" s="18" t="s">
        <v>163</v>
      </c>
      <c r="DM593" s="1" t="s">
        <v>163</v>
      </c>
      <c r="DN593" s="1">
        <f t="shared" si="91"/>
        <v>0.46</v>
      </c>
      <c r="DO593" s="1">
        <f t="shared" si="92"/>
        <v>0.28000000000000003</v>
      </c>
      <c r="DP593" s="1" t="s">
        <v>1062</v>
      </c>
      <c r="DQ593" s="1" t="s">
        <v>2</v>
      </c>
      <c r="DR593" s="103">
        <f t="shared" si="93"/>
        <v>1.8144</v>
      </c>
      <c r="DS593" s="16">
        <f t="shared" si="94"/>
        <v>0.46</v>
      </c>
      <c r="DT593" s="101">
        <f t="shared" si="95"/>
        <v>8.3462399999999999</v>
      </c>
      <c r="DV593" s="16">
        <f t="shared" si="96"/>
        <v>0</v>
      </c>
      <c r="DZ593" s="37" t="s">
        <v>2</v>
      </c>
      <c r="EA593" s="37" t="s">
        <v>127</v>
      </c>
      <c r="EM593" s="73" t="s">
        <v>127</v>
      </c>
      <c r="EN593" s="37"/>
      <c r="EO593" s="37"/>
      <c r="EP593" s="37"/>
      <c r="EQ593" s="37"/>
      <c r="ER593" s="37"/>
      <c r="ES593" s="37"/>
      <c r="ET593" s="37"/>
      <c r="EU593" s="37"/>
      <c r="EV593" s="37"/>
      <c r="EW593" s="37"/>
      <c r="EX593" s="37"/>
      <c r="EY593" s="37"/>
      <c r="EZ593" s="37"/>
      <c r="FA593" s="37"/>
      <c r="FB593" s="37"/>
      <c r="FC593" s="37"/>
      <c r="FD593" s="37"/>
      <c r="FE593" s="37"/>
      <c r="FF593" s="55"/>
      <c r="FG593" s="55"/>
      <c r="FH593" s="55"/>
      <c r="FI593" s="37"/>
      <c r="FJ593" s="55"/>
      <c r="FK593" s="55"/>
      <c r="FL593" s="45"/>
      <c r="FM593" s="37"/>
      <c r="FN593" s="37"/>
      <c r="FO593" s="37"/>
      <c r="FP593" s="55" t="s">
        <v>127</v>
      </c>
      <c r="FQ593" s="1" t="s">
        <v>2</v>
      </c>
      <c r="FR593" s="1" t="s">
        <v>118</v>
      </c>
      <c r="FS593" s="1" t="s">
        <v>83</v>
      </c>
      <c r="FT593" s="1" t="s">
        <v>1063</v>
      </c>
      <c r="FV593" s="1" t="s">
        <v>2</v>
      </c>
    </row>
    <row r="594" spans="1:178" ht="16.25" customHeight="1" x14ac:dyDescent="0.2">
      <c r="A594" s="18" t="s">
        <v>1060</v>
      </c>
      <c r="B594" s="1" t="s">
        <v>127</v>
      </c>
      <c r="C594" s="80" t="s">
        <v>1286</v>
      </c>
      <c r="D594" s="1" t="s">
        <v>69</v>
      </c>
      <c r="H594" s="1" t="s">
        <v>1287</v>
      </c>
      <c r="K594" s="1">
        <v>0</v>
      </c>
      <c r="AF594" s="1">
        <v>0</v>
      </c>
      <c r="BA594" s="1">
        <v>3.55</v>
      </c>
      <c r="BB594" s="1">
        <v>0.34</v>
      </c>
      <c r="BG594" s="1">
        <v>4.5999999999999996</v>
      </c>
      <c r="BH594" s="1">
        <v>1.4</v>
      </c>
      <c r="BI594" s="13">
        <f>1.3*BJ594</f>
        <v>0.10400000000000001</v>
      </c>
      <c r="BJ594" s="1">
        <v>0.08</v>
      </c>
      <c r="BV594" s="1">
        <v>0</v>
      </c>
      <c r="CQ594" s="1">
        <v>0</v>
      </c>
      <c r="DL594" s="18" t="s">
        <v>163</v>
      </c>
      <c r="DM594" s="1" t="s">
        <v>163</v>
      </c>
      <c r="DN594" s="1">
        <f t="shared" si="91"/>
        <v>0.10400000000000001</v>
      </c>
      <c r="DO594" s="1">
        <f t="shared" si="92"/>
        <v>0.08</v>
      </c>
      <c r="DP594" s="1" t="s">
        <v>165</v>
      </c>
      <c r="DQ594" s="1" t="s">
        <v>2</v>
      </c>
      <c r="DR594" s="16">
        <f t="shared" si="93"/>
        <v>3.55</v>
      </c>
      <c r="DS594" s="16">
        <f t="shared" si="94"/>
        <v>0.10400000000000001</v>
      </c>
      <c r="DT594" s="101">
        <f t="shared" si="95"/>
        <v>3.6920000000000006</v>
      </c>
      <c r="DV594" s="16">
        <f t="shared" si="96"/>
        <v>0</v>
      </c>
      <c r="DZ594" s="37" t="s">
        <v>2</v>
      </c>
      <c r="EA594" s="37"/>
      <c r="EM594" s="73"/>
      <c r="EN594" s="37"/>
      <c r="EO594" s="37"/>
      <c r="EP594" s="37"/>
      <c r="EQ594" s="37"/>
      <c r="ER594" s="37"/>
      <c r="ES594" s="37"/>
      <c r="ET594" s="37"/>
      <c r="EU594" s="37"/>
      <c r="EV594" s="37"/>
      <c r="EW594" s="37"/>
      <c r="EX594" s="37"/>
      <c r="EY594" s="37"/>
      <c r="EZ594" s="37"/>
      <c r="FA594" s="37"/>
      <c r="FB594" s="37"/>
      <c r="FC594" s="37"/>
      <c r="FD594" s="37"/>
      <c r="FE594" s="37"/>
      <c r="FF594" s="55"/>
      <c r="FG594" s="55"/>
      <c r="FH594" s="55"/>
      <c r="FI594" s="37"/>
      <c r="FJ594" s="55"/>
      <c r="FK594" s="55"/>
      <c r="FL594" s="45"/>
      <c r="FM594" s="37"/>
      <c r="FN594" s="37"/>
      <c r="FO594" s="37"/>
      <c r="FP594" s="55"/>
      <c r="FQ594" s="1" t="s">
        <v>2</v>
      </c>
      <c r="FR594" s="1" t="s">
        <v>118</v>
      </c>
      <c r="FS594" s="1" t="s">
        <v>83</v>
      </c>
      <c r="FT594" s="1" t="s">
        <v>1063</v>
      </c>
      <c r="FV594" s="1" t="s">
        <v>2</v>
      </c>
    </row>
    <row r="595" spans="1:178" ht="16.25" customHeight="1" x14ac:dyDescent="0.2">
      <c r="A595" s="25" t="s">
        <v>190</v>
      </c>
      <c r="B595" s="1" t="s">
        <v>127</v>
      </c>
      <c r="C595" s="16" t="s">
        <v>796</v>
      </c>
      <c r="D595" s="1" t="s">
        <v>69</v>
      </c>
      <c r="H595" s="1" t="s">
        <v>797</v>
      </c>
      <c r="K595" s="1">
        <v>0</v>
      </c>
      <c r="AF595" s="1">
        <v>0</v>
      </c>
      <c r="BA595" s="14">
        <f>37.5*0.9072</f>
        <v>34.020000000000003</v>
      </c>
      <c r="BI595" s="1">
        <v>0.86</v>
      </c>
      <c r="BJ595" s="1">
        <v>0.09</v>
      </c>
      <c r="BV595" s="1">
        <v>0</v>
      </c>
      <c r="CQ595" s="1">
        <v>0</v>
      </c>
      <c r="DL595" s="18" t="s">
        <v>163</v>
      </c>
      <c r="DM595" s="1" t="s">
        <v>163</v>
      </c>
      <c r="DN595" s="1">
        <f t="shared" si="91"/>
        <v>0.86</v>
      </c>
      <c r="DO595" s="1">
        <f t="shared" si="92"/>
        <v>0.09</v>
      </c>
      <c r="DP595" s="1" t="s">
        <v>905</v>
      </c>
      <c r="DQ595" s="1" t="s">
        <v>2</v>
      </c>
      <c r="DR595" s="16">
        <f t="shared" si="93"/>
        <v>34.020000000000003</v>
      </c>
      <c r="DS595" s="16">
        <f t="shared" si="94"/>
        <v>0.86</v>
      </c>
      <c r="DT595" s="101">
        <f t="shared" si="95"/>
        <v>292.572</v>
      </c>
      <c r="DV595" s="16">
        <f t="shared" si="96"/>
        <v>0</v>
      </c>
      <c r="DZ595" s="37" t="s">
        <v>2</v>
      </c>
      <c r="EA595" s="37"/>
      <c r="EM595" s="73"/>
      <c r="EN595" s="37"/>
      <c r="EO595" s="37"/>
      <c r="EP595" s="37"/>
      <c r="EQ595" s="37"/>
      <c r="ER595" s="37"/>
      <c r="ES595" s="37"/>
      <c r="ET595" s="37"/>
      <c r="EU595" s="37"/>
      <c r="EV595" s="37"/>
      <c r="EW595" s="37"/>
      <c r="EX595" s="37"/>
      <c r="EY595" s="37"/>
      <c r="EZ595" s="37"/>
      <c r="FA595" s="37"/>
      <c r="FB595" s="37"/>
      <c r="FC595" s="37"/>
      <c r="FD595" s="37"/>
      <c r="FE595" s="37"/>
      <c r="FF595" s="55"/>
      <c r="FG595" s="55"/>
      <c r="FH595" s="55"/>
      <c r="FI595" s="37"/>
      <c r="FJ595" s="55"/>
      <c r="FK595" s="55"/>
      <c r="FL595" s="45"/>
      <c r="FM595" s="37"/>
      <c r="FN595" s="37"/>
      <c r="FO595" s="37"/>
      <c r="FP595" s="55"/>
      <c r="FQ595" s="1" t="s">
        <v>2</v>
      </c>
      <c r="FR595" s="1" t="s">
        <v>31</v>
      </c>
      <c r="FS595" s="1" t="s">
        <v>469</v>
      </c>
      <c r="FT595" s="1" t="s">
        <v>469</v>
      </c>
      <c r="FV595" s="1" t="s">
        <v>2</v>
      </c>
    </row>
    <row r="596" spans="1:178" ht="16.25" customHeight="1" x14ac:dyDescent="0.2">
      <c r="A596" s="25" t="s">
        <v>190</v>
      </c>
      <c r="B596" s="1" t="s">
        <v>127</v>
      </c>
      <c r="C596" s="21" t="s">
        <v>494</v>
      </c>
      <c r="D596" s="1" t="s">
        <v>69</v>
      </c>
      <c r="G596" s="1" t="s">
        <v>72</v>
      </c>
      <c r="H596" s="1" t="s">
        <v>495</v>
      </c>
      <c r="K596" s="1">
        <v>0</v>
      </c>
      <c r="AF596" s="1">
        <v>0</v>
      </c>
      <c r="BA596" s="14">
        <f>(3+3+10)*0.9072</f>
        <v>14.5152</v>
      </c>
      <c r="BI596" s="1">
        <v>0.91</v>
      </c>
      <c r="BV596" s="1">
        <v>0</v>
      </c>
      <c r="CQ596" s="1">
        <v>0</v>
      </c>
      <c r="DL596" s="18" t="s">
        <v>163</v>
      </c>
      <c r="DN596" s="1">
        <f t="shared" si="91"/>
        <v>0.91</v>
      </c>
      <c r="DO596" s="1">
        <f t="shared" si="92"/>
        <v>0</v>
      </c>
      <c r="DP596" s="1" t="s">
        <v>905</v>
      </c>
      <c r="DQ596" s="1" t="s">
        <v>2</v>
      </c>
      <c r="DR596" s="100">
        <f t="shared" si="93"/>
        <v>14.5152</v>
      </c>
      <c r="DS596" s="16">
        <f t="shared" si="94"/>
        <v>0.91</v>
      </c>
      <c r="DT596" s="101">
        <f t="shared" si="95"/>
        <v>132.08832000000001</v>
      </c>
      <c r="DV596" s="16">
        <f t="shared" si="96"/>
        <v>0</v>
      </c>
      <c r="DZ596" s="37" t="s">
        <v>2</v>
      </c>
      <c r="EA596" s="37"/>
      <c r="EM596" s="73"/>
      <c r="EN596" s="37"/>
      <c r="EO596" s="37"/>
      <c r="EP596" s="37"/>
      <c r="EQ596" s="37"/>
      <c r="ER596" s="37"/>
      <c r="ES596" s="37"/>
      <c r="ET596" s="37"/>
      <c r="EU596" s="37"/>
      <c r="EV596" s="37"/>
      <c r="EW596" s="37"/>
      <c r="EX596" s="37"/>
      <c r="EY596" s="37"/>
      <c r="EZ596" s="37"/>
      <c r="FA596" s="37"/>
      <c r="FB596" s="37"/>
      <c r="FC596" s="37"/>
      <c r="FD596" s="37"/>
      <c r="FE596" s="37"/>
      <c r="FF596" s="55"/>
      <c r="FG596" s="55"/>
      <c r="FH596" s="55"/>
      <c r="FI596" s="37"/>
      <c r="FJ596" s="55"/>
      <c r="FK596" s="55"/>
      <c r="FL596" s="45"/>
      <c r="FM596" s="37"/>
      <c r="FN596" s="37"/>
      <c r="FO596" s="37"/>
      <c r="FP596" s="55"/>
      <c r="FQ596" s="1" t="s">
        <v>2</v>
      </c>
      <c r="FR596" s="1" t="s">
        <v>31</v>
      </c>
      <c r="FS596" s="1" t="s">
        <v>469</v>
      </c>
      <c r="FT596" s="1" t="s">
        <v>469</v>
      </c>
      <c r="FV596" s="1" t="s">
        <v>2</v>
      </c>
    </row>
    <row r="597" spans="1:178" ht="16.25" customHeight="1" x14ac:dyDescent="0.2">
      <c r="A597" s="25" t="s">
        <v>190</v>
      </c>
      <c r="B597" s="1" t="s">
        <v>127</v>
      </c>
      <c r="C597" s="21" t="s">
        <v>258</v>
      </c>
      <c r="D597" s="1" t="s">
        <v>69</v>
      </c>
      <c r="G597" s="1" t="s">
        <v>72</v>
      </c>
      <c r="H597" s="1" t="s">
        <v>256</v>
      </c>
      <c r="K597" s="1">
        <v>0</v>
      </c>
      <c r="AF597" s="1">
        <v>0</v>
      </c>
      <c r="BA597" s="1">
        <v>37.5</v>
      </c>
      <c r="BI597" s="1">
        <v>1.1000000000000001</v>
      </c>
      <c r="BV597" s="1">
        <v>0</v>
      </c>
      <c r="CQ597" s="1">
        <v>0</v>
      </c>
      <c r="DL597" s="18" t="s">
        <v>163</v>
      </c>
      <c r="DN597" s="1">
        <f t="shared" si="91"/>
        <v>1.1000000000000001</v>
      </c>
      <c r="DO597" s="1">
        <f t="shared" si="92"/>
        <v>0</v>
      </c>
      <c r="DP597" s="1" t="s">
        <v>471</v>
      </c>
      <c r="DQ597" s="1" t="s">
        <v>2</v>
      </c>
      <c r="DR597" s="16">
        <f t="shared" si="93"/>
        <v>37.5</v>
      </c>
      <c r="DS597" s="16">
        <f t="shared" si="94"/>
        <v>1.1000000000000001</v>
      </c>
      <c r="DT597" s="101">
        <f t="shared" si="95"/>
        <v>412.5</v>
      </c>
      <c r="DV597" s="16">
        <f t="shared" si="96"/>
        <v>0</v>
      </c>
      <c r="DZ597" s="37" t="s">
        <v>2</v>
      </c>
      <c r="EA597" s="37"/>
      <c r="EM597" s="73"/>
      <c r="EN597" s="37"/>
      <c r="EO597" s="37"/>
      <c r="EP597" s="37"/>
      <c r="EQ597" s="37"/>
      <c r="ER597" s="37"/>
      <c r="ES597" s="37"/>
      <c r="ET597" s="37"/>
      <c r="EU597" s="37"/>
      <c r="EV597" s="37"/>
      <c r="EW597" s="37"/>
      <c r="EX597" s="37"/>
      <c r="EY597" s="37"/>
      <c r="EZ597" s="37"/>
      <c r="FA597" s="37"/>
      <c r="FB597" s="37"/>
      <c r="FC597" s="37"/>
      <c r="FD597" s="37"/>
      <c r="FE597" s="37"/>
      <c r="FF597" s="55"/>
      <c r="FG597" s="55"/>
      <c r="FH597" s="55"/>
      <c r="FI597" s="37"/>
      <c r="FJ597" s="55"/>
      <c r="FK597" s="55"/>
      <c r="FL597" s="45"/>
      <c r="FM597" s="37"/>
      <c r="FN597" s="37"/>
      <c r="FO597" s="37"/>
      <c r="FP597" s="55"/>
      <c r="FQ597" s="1" t="s">
        <v>2</v>
      </c>
      <c r="FR597" s="1" t="s">
        <v>31</v>
      </c>
      <c r="FS597" s="1" t="s">
        <v>469</v>
      </c>
      <c r="FT597" s="1" t="s">
        <v>469</v>
      </c>
      <c r="FV597" s="1" t="s">
        <v>2</v>
      </c>
    </row>
    <row r="598" spans="1:178" ht="16.25" customHeight="1" x14ac:dyDescent="0.2">
      <c r="A598" s="18" t="s">
        <v>595</v>
      </c>
      <c r="B598" s="1" t="s">
        <v>127</v>
      </c>
      <c r="C598" s="79" t="s">
        <v>255</v>
      </c>
      <c r="D598" s="1" t="s">
        <v>69</v>
      </c>
      <c r="G598" s="1" t="s">
        <v>72</v>
      </c>
      <c r="H598" s="1" t="s">
        <v>256</v>
      </c>
      <c r="K598" s="14">
        <f>5.1+3.9</f>
        <v>9</v>
      </c>
      <c r="L598" s="13">
        <v>6.9615541498893721E-2</v>
      </c>
      <c r="M598" s="13">
        <v>0.29947964814520067</v>
      </c>
      <c r="S598" s="13">
        <v>0.10076278475729883</v>
      </c>
      <c r="U598" s="14">
        <f>0.2223*(19.7*5.1+14.7*3.9)/(5.1+3.9)</f>
        <v>3.8976599999999997</v>
      </c>
      <c r="V598" s="14">
        <f>0.7777*(19.7*5.1+14.7*3.9)/(5.1+3.9)</f>
        <v>13.635673333333331</v>
      </c>
      <c r="W598" s="13">
        <v>0.10633697651532487</v>
      </c>
      <c r="AF598" s="1">
        <f>28.2+27.2</f>
        <v>55.4</v>
      </c>
      <c r="AG598" s="13">
        <v>6.9615541498893721E-2</v>
      </c>
      <c r="AH598" s="13">
        <v>0.29947964814520067</v>
      </c>
      <c r="AN598" s="13">
        <v>0.10076278475729883</v>
      </c>
      <c r="AP598" s="14">
        <f>0.2223*(17.4*28.2+15.1*27.2)/(28.2+27.2)</f>
        <v>3.6169895306859199</v>
      </c>
      <c r="AQ598" s="14">
        <f>0.7777*(17.4*28.2+15.1*27.2)/(28.2+27.2)</f>
        <v>12.653768592057761</v>
      </c>
      <c r="AR598" s="13">
        <v>0.10633697651532487</v>
      </c>
      <c r="BA598" s="1">
        <f>48.9+38.4</f>
        <v>87.3</v>
      </c>
      <c r="BB598" s="13">
        <v>6.9615541498893721E-2</v>
      </c>
      <c r="BC598" s="13">
        <v>0.29947964814520067</v>
      </c>
      <c r="BI598" s="13">
        <v>0.10076278475729883</v>
      </c>
      <c r="BK598" s="14">
        <f>0.2223*(17.1*48.9+15.4*38.4)/(48.9+38.4)</f>
        <v>3.6351015463917533</v>
      </c>
      <c r="BL598" s="14">
        <f>0.7777*(17.1*48.9+15.4*38.4)/(48.9+38.4)</f>
        <v>12.717132130584194</v>
      </c>
      <c r="BM598" s="13">
        <v>0.10633697651532487</v>
      </c>
      <c r="BN598" s="13"/>
      <c r="BO598" s="13"/>
      <c r="BV598" s="1">
        <f>3.4+2.9</f>
        <v>6.3</v>
      </c>
      <c r="BW598" s="13">
        <v>6.9615541498893721E-2</v>
      </c>
      <c r="BX598" s="13">
        <v>0.29947964814520067</v>
      </c>
      <c r="CD598" s="13">
        <v>0.10076278475729883</v>
      </c>
      <c r="CF598" s="14">
        <f>0.2223*(19.3*3.4+14.6*2.9)/(3.4+2.9)</f>
        <v>3.8094457142857148</v>
      </c>
      <c r="CG598" s="14">
        <f>0.7777*(19.3*3.4+14.6*2.9)/(3.4+2.9)</f>
        <v>13.327062222222223</v>
      </c>
      <c r="CH598" s="13">
        <v>0.10633697651532487</v>
      </c>
      <c r="CI598" s="13"/>
      <c r="CJ598" s="13"/>
      <c r="CQ598" s="1">
        <f>20.5+19.7</f>
        <v>40.200000000000003</v>
      </c>
      <c r="CR598" s="13">
        <v>6.9615541498893721E-2</v>
      </c>
      <c r="CS598" s="13">
        <v>0.29947964814520067</v>
      </c>
      <c r="CY598" s="13">
        <v>0.10076278475729883</v>
      </c>
      <c r="DA598" s="14">
        <f>0.2223*(19.2*20.5+15.1*19.7)/(20.5+19.7)</f>
        <v>3.8215139552238799</v>
      </c>
      <c r="DB598" s="14">
        <f>0.7777*(19.2*20.5+15.1*19.7)/(20.5+19.7)</f>
        <v>13.369282064676614</v>
      </c>
      <c r="DC598" s="13">
        <v>0.10633697651532487</v>
      </c>
      <c r="DD598" s="13"/>
      <c r="DE598" s="13"/>
      <c r="DL598" s="18" t="s">
        <v>96</v>
      </c>
      <c r="DN598" s="1">
        <f t="shared" si="91"/>
        <v>0.10076278475729883</v>
      </c>
      <c r="DO598" s="1">
        <f t="shared" si="92"/>
        <v>0</v>
      </c>
      <c r="DP598" s="1" t="s">
        <v>73</v>
      </c>
      <c r="DQ598" s="1" t="s">
        <v>2</v>
      </c>
      <c r="DR598" s="16">
        <f t="shared" si="93"/>
        <v>151.69999999999999</v>
      </c>
      <c r="DS598" s="100">
        <f t="shared" si="94"/>
        <v>0.10076278475729883</v>
      </c>
      <c r="DT598" s="101">
        <f t="shared" si="95"/>
        <v>152.85714447682233</v>
      </c>
      <c r="DV598" s="16">
        <f t="shared" si="96"/>
        <v>46.5</v>
      </c>
      <c r="DW598" s="100">
        <f>(BV598*CD598+CQ598*CY598)/DV598</f>
        <v>0.10076278475729886</v>
      </c>
      <c r="DX598" s="101">
        <f>1000*DV598*DW598/100</f>
        <v>46.85469491214397</v>
      </c>
      <c r="DZ598" s="37" t="s">
        <v>2</v>
      </c>
      <c r="EA598" s="37"/>
      <c r="EM598" s="73"/>
      <c r="EN598" s="37"/>
      <c r="EO598" s="37"/>
      <c r="EP598" s="37"/>
      <c r="EQ598" s="37"/>
      <c r="ER598" s="37"/>
      <c r="ES598" s="37"/>
      <c r="ET598" s="37"/>
      <c r="EU598" s="37"/>
      <c r="EV598" s="37"/>
      <c r="EW598" s="37"/>
      <c r="EX598" s="37"/>
      <c r="EY598" s="37"/>
      <c r="EZ598" s="37"/>
      <c r="FA598" s="37"/>
      <c r="FB598" s="37"/>
      <c r="FC598" s="37"/>
      <c r="FD598" s="37"/>
      <c r="FE598" s="37"/>
      <c r="FF598" s="55"/>
      <c r="FG598" s="55"/>
      <c r="FH598" s="55"/>
      <c r="FI598" s="37"/>
      <c r="FJ598" s="55"/>
      <c r="FK598" s="55"/>
      <c r="FL598" s="45"/>
      <c r="FM598" s="37"/>
      <c r="FN598" s="37"/>
      <c r="FO598" s="37"/>
      <c r="FP598" s="55"/>
      <c r="FQ598" s="1" t="s">
        <v>2</v>
      </c>
      <c r="FR598" s="1" t="s">
        <v>113</v>
      </c>
      <c r="FS598" s="1" t="s">
        <v>261</v>
      </c>
      <c r="FT598" s="1" t="s">
        <v>589</v>
      </c>
      <c r="FV598" s="1" t="s">
        <v>2</v>
      </c>
    </row>
    <row r="599" spans="1:178" ht="16.25" customHeight="1" x14ac:dyDescent="0.2">
      <c r="A599" s="18" t="s">
        <v>177</v>
      </c>
      <c r="B599" s="1" t="s">
        <v>127</v>
      </c>
      <c r="C599" s="15" t="s">
        <v>259</v>
      </c>
      <c r="D599" s="1" t="s">
        <v>69</v>
      </c>
      <c r="G599" s="1" t="s">
        <v>72</v>
      </c>
      <c r="H599" s="1" t="s">
        <v>256</v>
      </c>
      <c r="I599" s="30"/>
      <c r="K599" s="1">
        <v>0</v>
      </c>
      <c r="AF599" s="1">
        <v>0</v>
      </c>
      <c r="BA599" s="17">
        <f>145*0.9072</f>
        <v>131.54400000000001</v>
      </c>
      <c r="BB599" s="1">
        <v>0.28999999999999998</v>
      </c>
      <c r="BI599" s="1">
        <v>0.31</v>
      </c>
      <c r="BV599" s="1">
        <v>0</v>
      </c>
      <c r="CQ599" s="1">
        <v>0</v>
      </c>
      <c r="DL599" s="18" t="s">
        <v>163</v>
      </c>
      <c r="DN599" s="1">
        <f t="shared" si="91"/>
        <v>0.31</v>
      </c>
      <c r="DO599" s="1">
        <f t="shared" si="92"/>
        <v>0</v>
      </c>
      <c r="DP599" s="1" t="s">
        <v>1058</v>
      </c>
      <c r="DQ599" s="1" t="s">
        <v>2</v>
      </c>
      <c r="DR599" s="101">
        <f t="shared" si="93"/>
        <v>131.54400000000001</v>
      </c>
      <c r="DS599" s="16">
        <f t="shared" si="94"/>
        <v>0.31</v>
      </c>
      <c r="DT599" s="101">
        <f t="shared" si="95"/>
        <v>407.78640000000001</v>
      </c>
      <c r="DV599" s="16">
        <f t="shared" si="96"/>
        <v>0</v>
      </c>
      <c r="DZ599" s="37" t="s">
        <v>2</v>
      </c>
      <c r="EA599" s="37"/>
      <c r="EM599" s="73"/>
      <c r="EN599" s="37"/>
      <c r="EO599" s="37"/>
      <c r="EP599" s="37"/>
      <c r="EQ599" s="37"/>
      <c r="ER599" s="37"/>
      <c r="ES599" s="37"/>
      <c r="ET599" s="37"/>
      <c r="EU599" s="37"/>
      <c r="EV599" s="37"/>
      <c r="EW599" s="37"/>
      <c r="EX599" s="37"/>
      <c r="EY599" s="37"/>
      <c r="EZ599" s="37"/>
      <c r="FA599" s="37"/>
      <c r="FB599" s="37"/>
      <c r="FC599" s="37"/>
      <c r="FD599" s="37"/>
      <c r="FE599" s="37"/>
      <c r="FF599" s="55"/>
      <c r="FG599" s="55"/>
      <c r="FH599" s="55"/>
      <c r="FI599" s="37"/>
      <c r="FJ599" s="55"/>
      <c r="FK599" s="55"/>
      <c r="FL599" s="45"/>
      <c r="FM599" s="37"/>
      <c r="FN599" s="37"/>
      <c r="FO599" s="37"/>
      <c r="FP599" s="55"/>
      <c r="FQ599" s="1" t="s">
        <v>2</v>
      </c>
      <c r="FR599" s="1" t="s">
        <v>113</v>
      </c>
      <c r="FS599" s="1" t="s">
        <v>261</v>
      </c>
      <c r="FT599" s="1" t="s">
        <v>589</v>
      </c>
      <c r="FV599" s="1" t="s">
        <v>2</v>
      </c>
    </row>
    <row r="600" spans="1:178" ht="16.25" customHeight="1" x14ac:dyDescent="0.2">
      <c r="A600" s="18" t="s">
        <v>177</v>
      </c>
      <c r="B600" s="1" t="s">
        <v>127</v>
      </c>
      <c r="C600" s="15" t="s">
        <v>799</v>
      </c>
      <c r="D600" s="1" t="s">
        <v>69</v>
      </c>
      <c r="H600" s="1" t="s">
        <v>800</v>
      </c>
      <c r="I600" s="30"/>
      <c r="K600" s="1">
        <v>0</v>
      </c>
      <c r="AF600" s="1">
        <v>0</v>
      </c>
      <c r="BA600" s="17">
        <f>60*0.9072</f>
        <v>54.432000000000002</v>
      </c>
      <c r="BB600" s="1">
        <v>0.52</v>
      </c>
      <c r="BI600" s="1">
        <v>0.59</v>
      </c>
      <c r="BV600" s="1">
        <v>0</v>
      </c>
      <c r="CQ600" s="1">
        <v>0</v>
      </c>
      <c r="DL600" s="18" t="s">
        <v>163</v>
      </c>
      <c r="DN600" s="1">
        <f t="shared" si="91"/>
        <v>0.59</v>
      </c>
      <c r="DO600" s="1">
        <f t="shared" si="92"/>
        <v>0</v>
      </c>
      <c r="DP600" s="1" t="s">
        <v>1058</v>
      </c>
      <c r="DQ600" s="1" t="s">
        <v>2</v>
      </c>
      <c r="DR600" s="100">
        <f t="shared" si="93"/>
        <v>54.432000000000002</v>
      </c>
      <c r="DS600" s="16">
        <f t="shared" si="94"/>
        <v>0.59</v>
      </c>
      <c r="DT600" s="101">
        <f t="shared" si="95"/>
        <v>321.14879999999999</v>
      </c>
      <c r="DV600" s="16">
        <f t="shared" si="96"/>
        <v>0</v>
      </c>
      <c r="DZ600" s="37" t="s">
        <v>2</v>
      </c>
      <c r="EA600" s="37"/>
      <c r="EM600" s="73"/>
      <c r="EN600" s="37"/>
      <c r="EO600" s="37"/>
      <c r="EP600" s="37"/>
      <c r="EQ600" s="37"/>
      <c r="ER600" s="37"/>
      <c r="ES600" s="37"/>
      <c r="ET600" s="37"/>
      <c r="EU600" s="37"/>
      <c r="EV600" s="37"/>
      <c r="EW600" s="37"/>
      <c r="EX600" s="37"/>
      <c r="EY600" s="37"/>
      <c r="EZ600" s="37"/>
      <c r="FA600" s="37"/>
      <c r="FB600" s="37"/>
      <c r="FC600" s="37"/>
      <c r="FD600" s="37"/>
      <c r="FE600" s="37"/>
      <c r="FF600" s="55"/>
      <c r="FG600" s="55"/>
      <c r="FH600" s="55"/>
      <c r="FI600" s="37"/>
      <c r="FJ600" s="55"/>
      <c r="FK600" s="55"/>
      <c r="FL600" s="45"/>
      <c r="FM600" s="37"/>
      <c r="FN600" s="37"/>
      <c r="FO600" s="37"/>
      <c r="FP600" s="55"/>
      <c r="FQ600" s="1" t="s">
        <v>2</v>
      </c>
      <c r="FR600" s="1" t="s">
        <v>113</v>
      </c>
      <c r="FS600" s="1" t="s">
        <v>261</v>
      </c>
      <c r="FT600" s="1" t="s">
        <v>589</v>
      </c>
      <c r="FV600" s="1" t="s">
        <v>2</v>
      </c>
    </row>
    <row r="601" spans="1:178" ht="16.25" customHeight="1" x14ac:dyDescent="0.2">
      <c r="A601" s="18" t="s">
        <v>177</v>
      </c>
      <c r="B601" s="1" t="s">
        <v>127</v>
      </c>
      <c r="C601" s="15" t="s">
        <v>801</v>
      </c>
      <c r="D601" s="1" t="s">
        <v>69</v>
      </c>
      <c r="H601" s="1" t="s">
        <v>802</v>
      </c>
      <c r="K601" s="1">
        <v>0</v>
      </c>
      <c r="AF601" s="1">
        <v>90.4</v>
      </c>
      <c r="AG601" s="1">
        <v>0.52</v>
      </c>
      <c r="AN601" s="1">
        <v>0.16</v>
      </c>
      <c r="BA601" s="14">
        <v>217</v>
      </c>
      <c r="BB601" s="1">
        <v>0.46</v>
      </c>
      <c r="BI601" s="1">
        <v>0.15</v>
      </c>
      <c r="BV601" s="1">
        <v>0</v>
      </c>
      <c r="CQ601" s="1">
        <v>0</v>
      </c>
      <c r="DL601" s="18" t="s">
        <v>96</v>
      </c>
      <c r="DN601" s="1">
        <f t="shared" si="91"/>
        <v>0.15294079375406636</v>
      </c>
      <c r="DO601" s="1">
        <f t="shared" si="92"/>
        <v>0</v>
      </c>
      <c r="DP601" s="1" t="s">
        <v>67</v>
      </c>
      <c r="DQ601" s="1" t="s">
        <v>2</v>
      </c>
      <c r="DR601" s="16">
        <f t="shared" si="93"/>
        <v>307.39999999999998</v>
      </c>
      <c r="DS601" s="100">
        <f t="shared" si="94"/>
        <v>0.15294079375406636</v>
      </c>
      <c r="DT601" s="101">
        <f t="shared" si="95"/>
        <v>470.14</v>
      </c>
      <c r="DV601" s="16">
        <f t="shared" si="96"/>
        <v>0</v>
      </c>
      <c r="DZ601" s="37" t="s">
        <v>2</v>
      </c>
      <c r="EA601" s="37"/>
      <c r="EM601" s="73"/>
      <c r="EN601" s="37"/>
      <c r="EO601" s="37"/>
      <c r="EP601" s="37"/>
      <c r="EQ601" s="37"/>
      <c r="ER601" s="37"/>
      <c r="ES601" s="37"/>
      <c r="ET601" s="37"/>
      <c r="EU601" s="37"/>
      <c r="EV601" s="37"/>
      <c r="EW601" s="37"/>
      <c r="EX601" s="37"/>
      <c r="EY601" s="37"/>
      <c r="EZ601" s="37"/>
      <c r="FA601" s="37"/>
      <c r="FB601" s="37"/>
      <c r="FC601" s="37"/>
      <c r="FD601" s="37"/>
      <c r="FE601" s="37"/>
      <c r="FF601" s="55"/>
      <c r="FG601" s="55"/>
      <c r="FH601" s="55"/>
      <c r="FI601" s="37"/>
      <c r="FJ601" s="55"/>
      <c r="FK601" s="55"/>
      <c r="FL601" s="45"/>
      <c r="FM601" s="37"/>
      <c r="FN601" s="37"/>
      <c r="FO601" s="37"/>
      <c r="FP601" s="55"/>
      <c r="FQ601" s="1" t="s">
        <v>2</v>
      </c>
      <c r="FR601" s="1" t="s">
        <v>113</v>
      </c>
      <c r="FS601" s="1" t="s">
        <v>129</v>
      </c>
      <c r="FT601" s="1" t="s">
        <v>1043</v>
      </c>
      <c r="FV601" s="1" t="s">
        <v>2</v>
      </c>
    </row>
    <row r="602" spans="1:178" ht="16.25" customHeight="1" x14ac:dyDescent="0.2">
      <c r="A602" s="18" t="s">
        <v>177</v>
      </c>
      <c r="B602" s="1" t="s">
        <v>127</v>
      </c>
      <c r="C602" s="15" t="s">
        <v>733</v>
      </c>
      <c r="D602" s="1" t="s">
        <v>69</v>
      </c>
      <c r="H602" s="1" t="s">
        <v>734</v>
      </c>
      <c r="K602" s="1">
        <v>1.8680000000000001</v>
      </c>
      <c r="L602" s="1">
        <v>2.4</v>
      </c>
      <c r="M602" s="1">
        <v>0.3</v>
      </c>
      <c r="S602" s="1">
        <v>2.6</v>
      </c>
      <c r="T602" s="1">
        <v>0.1</v>
      </c>
      <c r="U602" s="1">
        <v>0.64</v>
      </c>
      <c r="V602" s="1">
        <v>0.43</v>
      </c>
      <c r="AF602" s="1">
        <f>0.82+1.293</f>
        <v>2.113</v>
      </c>
      <c r="AG602" s="14">
        <f>(1.8*0.82+4.2*1.293)/AF602</f>
        <v>3.2686228111689539</v>
      </c>
      <c r="AH602" s="14">
        <f>(0.2*0.82+0.5*1.293)/AF602</f>
        <v>0.38357785139611927</v>
      </c>
      <c r="AN602" s="14">
        <f>(2.4*0.82+5.2*1.293)/AF602</f>
        <v>4.1133932796971129</v>
      </c>
      <c r="AO602" s="14">
        <f>(0.1*0.82+0.1*1.293)/AF602</f>
        <v>9.9999999999999992E-2</v>
      </c>
      <c r="AP602" s="1">
        <v>0.64</v>
      </c>
      <c r="AQ602" s="1">
        <v>0.43</v>
      </c>
      <c r="BA602" s="1">
        <f>0.023+0.29</f>
        <v>0.313</v>
      </c>
      <c r="BB602" s="14">
        <f>(0.9*0.023+1.4*0.29)/BA602</f>
        <v>1.3632587859424918</v>
      </c>
      <c r="BC602" s="14">
        <f>(0.1*0.023+0.2*0.29)/BA602</f>
        <v>0.19265175718849839</v>
      </c>
      <c r="BI602" s="14">
        <f>(1*0.023+1.7*0.29)/BA602</f>
        <v>1.6485623003194885</v>
      </c>
      <c r="BJ602" s="1">
        <v>0.1</v>
      </c>
      <c r="BK602" s="1">
        <v>0.64</v>
      </c>
      <c r="BL602" s="1">
        <v>0.43</v>
      </c>
      <c r="BV602" s="1">
        <v>1.7110000000000001</v>
      </c>
      <c r="BW602" s="1">
        <v>2.1</v>
      </c>
      <c r="BX602" s="1">
        <v>0.2</v>
      </c>
      <c r="CD602" s="1">
        <v>2.1</v>
      </c>
      <c r="CE602" s="1">
        <v>0.1</v>
      </c>
      <c r="CF602" s="1">
        <v>0.64</v>
      </c>
      <c r="CG602" s="1">
        <v>0.43</v>
      </c>
      <c r="CQ602" s="1">
        <f>0.833+1.544</f>
        <v>2.3769999999999998</v>
      </c>
      <c r="CR602" s="14">
        <f>(1.3*0.833+3*1.544)/CQ602</f>
        <v>2.4042490534286918</v>
      </c>
      <c r="CS602" s="14">
        <f>(0.1*0.833+0.4*1.544)/CQ602</f>
        <v>0.294867480016828</v>
      </c>
      <c r="CY602" s="14">
        <f>(1.7*0.833+3.7*1.544)/CQ602</f>
        <v>2.9991165334455201</v>
      </c>
      <c r="CZ602" s="14">
        <f>(0.1*0.833+0.1*1.544)/CQ602</f>
        <v>0.10000000000000002</v>
      </c>
      <c r="DA602" s="1">
        <v>0.64</v>
      </c>
      <c r="DB602" s="1">
        <v>0.43</v>
      </c>
      <c r="DL602" s="18" t="s">
        <v>96</v>
      </c>
      <c r="DM602" s="1" t="s">
        <v>96</v>
      </c>
      <c r="DN602" s="1">
        <f t="shared" si="91"/>
        <v>3.2753609687936662</v>
      </c>
      <c r="DO602" s="1">
        <f t="shared" si="92"/>
        <v>0.1</v>
      </c>
      <c r="DP602" s="1" t="s">
        <v>73</v>
      </c>
      <c r="DQ602" s="1" t="s">
        <v>2</v>
      </c>
      <c r="DR602" s="16">
        <f t="shared" si="93"/>
        <v>4.2939999999999996</v>
      </c>
      <c r="DS602" s="100">
        <f t="shared" si="94"/>
        <v>3.2753609687936662</v>
      </c>
      <c r="DT602" s="101">
        <f t="shared" si="95"/>
        <v>140.64400000000003</v>
      </c>
      <c r="DV602" s="16">
        <f t="shared" si="96"/>
        <v>4.0880000000000001</v>
      </c>
      <c r="DW602" s="100">
        <f>(BV602*CD602+CQ602*CY602)/DV602</f>
        <v>2.6227984344422701</v>
      </c>
      <c r="DX602" s="101">
        <f>1000*DV602*DW602/100</f>
        <v>107.22</v>
      </c>
      <c r="DZ602" s="37" t="s">
        <v>2</v>
      </c>
      <c r="EA602" s="37"/>
      <c r="EM602" s="73"/>
      <c r="EN602" s="37"/>
      <c r="EO602" s="37"/>
      <c r="EP602" s="37"/>
      <c r="EQ602" s="37"/>
      <c r="ER602" s="37"/>
      <c r="ES602" s="37"/>
      <c r="ET602" s="37"/>
      <c r="EU602" s="37"/>
      <c r="EV602" s="37"/>
      <c r="EW602" s="37"/>
      <c r="EX602" s="37"/>
      <c r="EY602" s="37"/>
      <c r="EZ602" s="37"/>
      <c r="FA602" s="37"/>
      <c r="FB602" s="37"/>
      <c r="FC602" s="37"/>
      <c r="FD602" s="37"/>
      <c r="FE602" s="37"/>
      <c r="FF602" s="55"/>
      <c r="FG602" s="55"/>
      <c r="FH602" s="55"/>
      <c r="FI602" s="37"/>
      <c r="FJ602" s="55"/>
      <c r="FK602" s="55"/>
      <c r="FL602" s="45"/>
      <c r="FM602" s="37"/>
      <c r="FN602" s="37"/>
      <c r="FO602" s="37"/>
      <c r="FP602" s="55"/>
      <c r="FQ602" s="1" t="s">
        <v>2</v>
      </c>
      <c r="FR602" s="1" t="s">
        <v>113</v>
      </c>
      <c r="FS602" s="1" t="s">
        <v>129</v>
      </c>
      <c r="FV602" s="1" t="s">
        <v>2</v>
      </c>
    </row>
    <row r="603" spans="1:178" ht="16.25" customHeight="1" x14ac:dyDescent="0.2">
      <c r="A603" s="18" t="s">
        <v>177</v>
      </c>
      <c r="B603" s="1" t="s">
        <v>127</v>
      </c>
      <c r="C603" s="15" t="s">
        <v>351</v>
      </c>
      <c r="D603" s="1" t="s">
        <v>69</v>
      </c>
      <c r="G603" s="1" t="s">
        <v>72</v>
      </c>
      <c r="H603" s="1" t="s">
        <v>99</v>
      </c>
      <c r="K603" s="1">
        <v>291.39999999999998</v>
      </c>
      <c r="L603" s="1">
        <v>0.63</v>
      </c>
      <c r="M603" s="13">
        <f>(0.08*327.4+0.08*881.4+0.059*767.6+0.042*131.1+0.033*57.5)/(327.4+881.4+767.6+131.1+57.5)</f>
        <v>6.9005127020785234E-2</v>
      </c>
      <c r="N603" s="13">
        <f>(2.19*327.4+2.02*881.4+1.58*767.6+1.42*131.1+1.19*57.5)/(327.4+881.4+767.6+131.1+57.5)</f>
        <v>1.8313297921478058</v>
      </c>
      <c r="S603" s="13">
        <v>0.2</v>
      </c>
      <c r="T603" s="2">
        <f>(0.01048*327.4+0.01019*881.4+0.00805*767.6+0.01031*131.1+0.00929*57.5)/(327.4+881.4+767.6+131.1+57.5)</f>
        <v>9.4584822170900688E-3</v>
      </c>
      <c r="U603" s="13">
        <f>(0.141*327.4+0.148*881.4+0.116*767.6+0.071*131.1+0.052*57.5)/(327.4+881.4+767.6+131.1+57.5)</f>
        <v>0.1283835103926097</v>
      </c>
      <c r="V603" s="13">
        <f>(0.328*327.4+0.336*881.4+0.262*767.6+0.164*131.1+0.126*57.5)/(327.4+881.4+767.6+131.1+57.5)</f>
        <v>0.29256083140877603</v>
      </c>
      <c r="AF603" s="1">
        <v>818.3</v>
      </c>
      <c r="AG603" s="13">
        <v>0.56999999999999995</v>
      </c>
      <c r="AH603" s="13">
        <f>(0.08*327.4+0.08*881.4+0.059*767.6+0.042*131.1+0.033*57.5)/(327.4+881.4+767.6+131.1+57.5)</f>
        <v>6.9005127020785234E-2</v>
      </c>
      <c r="AI603" s="13">
        <f>(2.19*327.4+2.02*881.4+1.58*767.6+1.42*131.1+1.19*57.5)/(327.4+881.4+767.6+131.1+57.5)</f>
        <v>1.8313297921478058</v>
      </c>
      <c r="AN603" s="13">
        <v>0.18</v>
      </c>
      <c r="AO603" s="2">
        <f>(0.01048*327.4+0.01019*881.4+0.00805*767.6+0.01031*131.1+0.00929*57.5)/(327.4+881.4+767.6+131.1+57.5)</f>
        <v>9.4584822170900688E-3</v>
      </c>
      <c r="AP603" s="13">
        <f>(0.141*327.4+0.148*881.4+0.116*767.6+0.071*131.1+0.052*57.5)/(327.4+881.4+767.6+131.1+57.5)</f>
        <v>0.1283835103926097</v>
      </c>
      <c r="AQ603" s="13">
        <f>(0.328*327.4+0.336*881.4+0.262*767.6+0.164*131.1+0.126*57.5)/(327.4+881.4+767.6+131.1+57.5)</f>
        <v>0.29256083140877603</v>
      </c>
      <c r="BA603" s="1">
        <v>534.1</v>
      </c>
      <c r="BB603" s="13">
        <v>0.5</v>
      </c>
      <c r="BC603" s="13">
        <f>(0.08*327.4+0.08*881.4+0.059*767.6+0.042*131.1+0.033*57.5)/(327.4+881.4+767.6+131.1+57.5)</f>
        <v>6.9005127020785234E-2</v>
      </c>
      <c r="BD603" s="13">
        <f>(2.19*327.4+2.02*881.4+1.58*767.6+1.42*131.1+1.19*57.5)/(327.4+881.4+767.6+131.1+57.5)</f>
        <v>1.8313297921478058</v>
      </c>
      <c r="BI603" s="13">
        <v>0.16</v>
      </c>
      <c r="BJ603" s="2">
        <f>(0.01048*327.4+0.01019*881.4+0.00805*767.6+0.01031*131.1+0.00929*57.5)/(327.4+881.4+767.6+131.1+57.5)</f>
        <v>9.4584822170900688E-3</v>
      </c>
      <c r="BK603" s="13">
        <f>(0.141*327.4+0.148*881.4+0.116*767.6+0.071*131.1+0.052*57.5)/(327.4+881.4+767.6+131.1+57.5)</f>
        <v>0.1283835103926097</v>
      </c>
      <c r="BL603" s="13">
        <f>(0.328*327.4+0.336*881.4+0.262*767.6+0.164*131.1+0.126*57.5)/(327.4+881.4+767.6+131.1+57.5)</f>
        <v>0.29256083140877603</v>
      </c>
      <c r="BV603" s="1">
        <v>0</v>
      </c>
      <c r="CQ603" s="1">
        <v>0</v>
      </c>
      <c r="DL603" s="18" t="s">
        <v>96</v>
      </c>
      <c r="DM603" s="1" t="s">
        <v>96</v>
      </c>
      <c r="DN603" s="1">
        <f t="shared" si="91"/>
        <v>0.17704708602019711</v>
      </c>
      <c r="DO603" s="1">
        <f t="shared" si="92"/>
        <v>9.4584822170900706E-3</v>
      </c>
      <c r="DP603" s="1" t="s">
        <v>67</v>
      </c>
      <c r="DQ603" s="1" t="s">
        <v>2</v>
      </c>
      <c r="DR603" s="104">
        <f t="shared" si="93"/>
        <v>1643.7999999999997</v>
      </c>
      <c r="DS603" s="100">
        <f t="shared" si="94"/>
        <v>0.17704708602019711</v>
      </c>
      <c r="DT603" s="102">
        <f t="shared" si="95"/>
        <v>2910.3</v>
      </c>
      <c r="DV603" s="16">
        <f t="shared" si="96"/>
        <v>0</v>
      </c>
      <c r="DZ603" s="37" t="s">
        <v>2</v>
      </c>
      <c r="EA603" s="37"/>
      <c r="EM603" s="73"/>
      <c r="EN603" s="37"/>
      <c r="EO603" s="37"/>
      <c r="EP603" s="37"/>
      <c r="EQ603" s="37"/>
      <c r="ER603" s="37"/>
      <c r="ES603" s="37"/>
      <c r="ET603" s="37"/>
      <c r="EU603" s="37"/>
      <c r="EV603" s="37"/>
      <c r="EW603" s="37"/>
      <c r="EX603" s="37"/>
      <c r="EY603" s="37"/>
      <c r="EZ603" s="37"/>
      <c r="FA603" s="37"/>
      <c r="FB603" s="37"/>
      <c r="FC603" s="37"/>
      <c r="FD603" s="37"/>
      <c r="FE603" s="37"/>
      <c r="FF603" s="55"/>
      <c r="FG603" s="55"/>
      <c r="FH603" s="55"/>
      <c r="FI603" s="37"/>
      <c r="FJ603" s="55"/>
      <c r="FK603" s="55"/>
      <c r="FL603" s="45"/>
      <c r="FM603" s="37"/>
      <c r="FN603" s="37"/>
      <c r="FO603" s="37"/>
      <c r="FP603" s="55"/>
      <c r="FQ603" s="1" t="s">
        <v>2</v>
      </c>
      <c r="FR603" s="1" t="s">
        <v>113</v>
      </c>
      <c r="FS603" s="1" t="s">
        <v>129</v>
      </c>
      <c r="FT603" s="1" t="s">
        <v>1043</v>
      </c>
      <c r="FV603" s="1" t="s">
        <v>2</v>
      </c>
    </row>
    <row r="604" spans="1:178" ht="16.25" customHeight="1" x14ac:dyDescent="0.2">
      <c r="A604" s="18" t="s">
        <v>177</v>
      </c>
      <c r="B604" s="1" t="s">
        <v>127</v>
      </c>
      <c r="C604" s="15" t="s">
        <v>350</v>
      </c>
      <c r="D604" s="1" t="s">
        <v>69</v>
      </c>
      <c r="G604" s="1" t="s">
        <v>72</v>
      </c>
      <c r="H604" s="1" t="s">
        <v>99</v>
      </c>
      <c r="K604" s="1">
        <v>0</v>
      </c>
      <c r="AF604" s="1">
        <v>93.1</v>
      </c>
      <c r="AG604" s="1">
        <v>0.48</v>
      </c>
      <c r="AH604" s="13">
        <f>(0.08*327.4+0.08*881.4+0.059*767.6+0.042*131.1+0.033*57.5)/(327.4+881.4+767.6+131.1+57.5)</f>
        <v>6.9005127020785234E-2</v>
      </c>
      <c r="AI604" s="13">
        <f>(2.19*327.4+2.02*881.4+1.58*767.6+1.42*131.1+1.19*57.5)/(327.4+881.4+767.6+131.1+57.5)</f>
        <v>1.8313297921478058</v>
      </c>
      <c r="AN604" s="1">
        <v>0.17</v>
      </c>
      <c r="AO604" s="2">
        <f>(0.01048*327.4+0.01019*881.4+0.00805*767.6+0.01031*131.1+0.00929*57.5)/(327.4+881.4+767.6+131.1+57.5)</f>
        <v>9.4584822170900688E-3</v>
      </c>
      <c r="AP604" s="13">
        <f>(0.141*327.4+0.148*881.4+0.116*767.6+0.071*131.1+0.052*57.5)/(327.4+881.4+767.6+131.1+57.5)</f>
        <v>0.1283835103926097</v>
      </c>
      <c r="AQ604" s="13">
        <f>(0.328*327.4+0.336*881.4+0.262*767.6+0.164*131.1+0.126*57.5)/(327.4+881.4+767.6+131.1+57.5)</f>
        <v>0.29256083140877603</v>
      </c>
      <c r="BA604" s="1">
        <v>29.3</v>
      </c>
      <c r="BB604" s="1">
        <v>0.43</v>
      </c>
      <c r="BC604" s="13">
        <f>(0.08*327.4+0.08*881.4+0.059*767.6+0.042*131.1+0.033*57.5)/(327.4+881.4+767.6+131.1+57.5)</f>
        <v>6.9005127020785234E-2</v>
      </c>
      <c r="BD604" s="13">
        <f>(2.19*327.4+2.02*881.4+1.58*767.6+1.42*131.1+1.19*57.5)/(327.4+881.4+767.6+131.1+57.5)</f>
        <v>1.8313297921478058</v>
      </c>
      <c r="BI604" s="1">
        <v>0.15</v>
      </c>
      <c r="BJ604" s="2">
        <f>(0.01048*327.4+0.01019*881.4+0.00805*767.6+0.01031*131.1+0.00929*57.5)/(327.4+881.4+767.6+131.1+57.5)</f>
        <v>9.4584822170900688E-3</v>
      </c>
      <c r="BK604" s="13">
        <f>(0.141*327.4+0.148*881.4+0.116*767.6+0.071*131.1+0.052*57.5)/(327.4+881.4+767.6+131.1+57.5)</f>
        <v>0.1283835103926097</v>
      </c>
      <c r="BL604" s="13">
        <f>(0.328*327.4+0.336*881.4+0.262*767.6+0.164*131.1+0.126*57.5)/(327.4+881.4+767.6+131.1+57.5)</f>
        <v>0.29256083140877603</v>
      </c>
      <c r="BV604" s="1">
        <v>0</v>
      </c>
      <c r="CQ604" s="1">
        <v>0</v>
      </c>
      <c r="DL604" s="18" t="s">
        <v>96</v>
      </c>
      <c r="DM604" s="1" t="s">
        <v>96</v>
      </c>
      <c r="DN604" s="1">
        <f t="shared" si="91"/>
        <v>0.16521241830065361</v>
      </c>
      <c r="DO604" s="1">
        <f t="shared" si="92"/>
        <v>9.4584822170900688E-3</v>
      </c>
      <c r="DP604" s="1" t="s">
        <v>67</v>
      </c>
      <c r="DQ604" s="1" t="s">
        <v>2</v>
      </c>
      <c r="DR604" s="16">
        <f t="shared" si="93"/>
        <v>122.39999999999999</v>
      </c>
      <c r="DS604" s="100">
        <f t="shared" si="94"/>
        <v>0.16521241830065361</v>
      </c>
      <c r="DT604" s="101">
        <f t="shared" si="95"/>
        <v>202.22</v>
      </c>
      <c r="DV604" s="16">
        <f t="shared" si="96"/>
        <v>0</v>
      </c>
      <c r="DZ604" s="37" t="s">
        <v>2</v>
      </c>
      <c r="EA604" s="37"/>
      <c r="EM604" s="73"/>
      <c r="EN604" s="37"/>
      <c r="EO604" s="37"/>
      <c r="EP604" s="37"/>
      <c r="EQ604" s="37"/>
      <c r="ER604" s="37"/>
      <c r="ES604" s="37"/>
      <c r="ET604" s="37"/>
      <c r="EU604" s="37"/>
      <c r="EV604" s="37"/>
      <c r="EW604" s="37"/>
      <c r="EX604" s="37"/>
      <c r="EY604" s="37"/>
      <c r="EZ604" s="37"/>
      <c r="FA604" s="37"/>
      <c r="FB604" s="37"/>
      <c r="FC604" s="37"/>
      <c r="FD604" s="37"/>
      <c r="FE604" s="37"/>
      <c r="FF604" s="55"/>
      <c r="FG604" s="55"/>
      <c r="FH604" s="55"/>
      <c r="FI604" s="37"/>
      <c r="FJ604" s="55"/>
      <c r="FK604" s="55"/>
      <c r="FL604" s="45"/>
      <c r="FM604" s="37"/>
      <c r="FN604" s="37"/>
      <c r="FO604" s="37"/>
      <c r="FP604" s="55"/>
      <c r="FQ604" s="1" t="s">
        <v>2</v>
      </c>
      <c r="FR604" s="1" t="s">
        <v>113</v>
      </c>
      <c r="FS604" s="1" t="s">
        <v>129</v>
      </c>
      <c r="FT604" s="1" t="s">
        <v>1043</v>
      </c>
      <c r="FV604" s="1" t="s">
        <v>2</v>
      </c>
    </row>
    <row r="605" spans="1:178" ht="16.25" customHeight="1" x14ac:dyDescent="0.2">
      <c r="A605" s="18" t="s">
        <v>177</v>
      </c>
      <c r="B605" s="1" t="s">
        <v>127</v>
      </c>
      <c r="C605" s="15" t="s">
        <v>1067</v>
      </c>
      <c r="D605" s="1" t="s">
        <v>69</v>
      </c>
      <c r="H605" s="1" t="s">
        <v>131</v>
      </c>
      <c r="K605" s="1">
        <v>0</v>
      </c>
      <c r="AF605" s="1">
        <v>0</v>
      </c>
      <c r="BA605" s="12">
        <f>772+330+4.54</f>
        <v>1106.54</v>
      </c>
      <c r="BB605" s="13">
        <f>(0.46*772+0.86*330+1.89*4.54)/BA605</f>
        <v>0.58515787951633025</v>
      </c>
      <c r="BC605" s="1">
        <v>4.4999999999999998E-2</v>
      </c>
      <c r="BI605" s="13">
        <f>(0.12*772+0.19*330+0.36*4.54)/BA605</f>
        <v>0.14186057440309432</v>
      </c>
      <c r="BJ605" s="1">
        <v>8.0000000000000002E-3</v>
      </c>
      <c r="BK605" s="1">
        <v>5.5E-2</v>
      </c>
      <c r="BL605" s="1">
        <v>0.157</v>
      </c>
      <c r="BV605" s="1">
        <v>0</v>
      </c>
      <c r="CQ605" s="1">
        <v>0</v>
      </c>
      <c r="DL605" s="18" t="s">
        <v>163</v>
      </c>
      <c r="DM605" s="1" t="s">
        <v>163</v>
      </c>
      <c r="DN605" s="1">
        <f t="shared" si="91"/>
        <v>0.14186057440309432</v>
      </c>
      <c r="DO605" s="1">
        <f t="shared" si="92"/>
        <v>8.0000000000000002E-3</v>
      </c>
      <c r="DP605" s="1" t="s">
        <v>1049</v>
      </c>
      <c r="DQ605" s="1" t="s">
        <v>2</v>
      </c>
      <c r="DR605" s="104">
        <f t="shared" si="93"/>
        <v>1106.54</v>
      </c>
      <c r="DS605" s="100">
        <f t="shared" si="94"/>
        <v>0.14186057440309432</v>
      </c>
      <c r="DT605" s="102">
        <f t="shared" si="95"/>
        <v>1569.7439999999999</v>
      </c>
      <c r="DV605" s="16">
        <f t="shared" si="96"/>
        <v>0</v>
      </c>
      <c r="DZ605" s="37" t="s">
        <v>2</v>
      </c>
      <c r="EA605" s="37"/>
      <c r="EM605" s="73"/>
      <c r="EN605" s="37"/>
      <c r="EO605" s="37"/>
      <c r="EP605" s="37"/>
      <c r="EQ605" s="37"/>
      <c r="ER605" s="37"/>
      <c r="ES605" s="37"/>
      <c r="ET605" s="37"/>
      <c r="EU605" s="37"/>
      <c r="EV605" s="37"/>
      <c r="EW605" s="37"/>
      <c r="EX605" s="37"/>
      <c r="EY605" s="37"/>
      <c r="EZ605" s="37"/>
      <c r="FA605" s="37"/>
      <c r="FB605" s="37"/>
      <c r="FC605" s="37"/>
      <c r="FD605" s="37"/>
      <c r="FE605" s="37"/>
      <c r="FF605" s="55"/>
      <c r="FG605" s="55"/>
      <c r="FH605" s="55"/>
      <c r="FI605" s="37"/>
      <c r="FJ605" s="55"/>
      <c r="FK605" s="55"/>
      <c r="FL605" s="45"/>
      <c r="FM605" s="37"/>
      <c r="FN605" s="37"/>
      <c r="FO605" s="37"/>
      <c r="FP605" s="55"/>
      <c r="FQ605" s="1" t="s">
        <v>2</v>
      </c>
      <c r="FR605" s="1" t="s">
        <v>113</v>
      </c>
      <c r="FS605" s="1" t="s">
        <v>129</v>
      </c>
      <c r="FT605" s="1" t="s">
        <v>1043</v>
      </c>
      <c r="FV605" s="1" t="s">
        <v>2</v>
      </c>
    </row>
    <row r="606" spans="1:178" ht="16.25" customHeight="1" x14ac:dyDescent="0.2">
      <c r="A606" s="18" t="s">
        <v>177</v>
      </c>
      <c r="B606" s="1" t="s">
        <v>127</v>
      </c>
      <c r="C606" s="79" t="s">
        <v>297</v>
      </c>
      <c r="D606" s="1" t="s">
        <v>69</v>
      </c>
      <c r="G606" s="1" t="s">
        <v>72</v>
      </c>
      <c r="H606" s="1" t="s">
        <v>298</v>
      </c>
      <c r="K606" s="1">
        <v>237.2</v>
      </c>
      <c r="L606" s="1">
        <v>0.27</v>
      </c>
      <c r="M606" s="1">
        <v>3.5000000000000003E-2</v>
      </c>
      <c r="N606" s="1">
        <v>0.97</v>
      </c>
      <c r="S606" s="1">
        <v>0.08</v>
      </c>
      <c r="T606" s="1">
        <v>7.1999999999999998E-3</v>
      </c>
      <c r="U606" s="1">
        <v>6.9000000000000006E-2</v>
      </c>
      <c r="V606" s="1">
        <v>0.24099999999999999</v>
      </c>
      <c r="AF606" s="1">
        <v>412.2</v>
      </c>
      <c r="AG606" s="1">
        <v>0.23</v>
      </c>
      <c r="AH606" s="1">
        <v>3.2000000000000001E-2</v>
      </c>
      <c r="AI606" s="1">
        <v>0.87</v>
      </c>
      <c r="AN606" s="1">
        <v>7.0000000000000007E-2</v>
      </c>
      <c r="AO606" s="1">
        <v>7.0000000000000001E-3</v>
      </c>
      <c r="AP606" s="1">
        <v>6.3E-2</v>
      </c>
      <c r="AQ606" s="1">
        <v>0.21</v>
      </c>
      <c r="BA606" s="1">
        <v>508.9</v>
      </c>
      <c r="BB606" s="1">
        <v>0.24</v>
      </c>
      <c r="BC606" s="1">
        <v>3.6999999999999998E-2</v>
      </c>
      <c r="BD606" s="1">
        <v>0.93</v>
      </c>
      <c r="BI606" s="1">
        <v>7.0000000000000007E-2</v>
      </c>
      <c r="BJ606" s="1">
        <v>6.6E-3</v>
      </c>
      <c r="BK606" s="1">
        <v>7.1999999999999995E-2</v>
      </c>
      <c r="BL606" s="1">
        <v>0.23400000000000001</v>
      </c>
      <c r="BV606" s="1">
        <v>121.849</v>
      </c>
      <c r="BW606" s="1">
        <v>0.308</v>
      </c>
      <c r="BX606" s="1">
        <v>4.1000000000000002E-2</v>
      </c>
      <c r="BY606" s="1">
        <v>1.1100000000000001</v>
      </c>
      <c r="CD606" s="1">
        <v>8.6999999999999994E-2</v>
      </c>
      <c r="CE606" s="1">
        <v>7.4809999999999998E-3</v>
      </c>
      <c r="CF606" s="1">
        <v>8.2000000000000003E-2</v>
      </c>
      <c r="CG606" s="1">
        <v>0.28199999999999997</v>
      </c>
      <c r="CQ606" s="1">
        <v>132.82</v>
      </c>
      <c r="CR606" s="1">
        <v>0.28100000000000003</v>
      </c>
      <c r="CS606" s="1">
        <v>3.6999999999999998E-2</v>
      </c>
      <c r="CT606" s="1">
        <v>1.02</v>
      </c>
      <c r="CY606" s="1">
        <v>8.1000000000000003E-2</v>
      </c>
      <c r="CZ606" s="1">
        <v>7.4060000000000003E-3</v>
      </c>
      <c r="DA606" s="1">
        <v>7.8E-2</v>
      </c>
      <c r="DB606" s="1">
        <v>0.25600000000000001</v>
      </c>
      <c r="DL606" s="18" t="s">
        <v>96</v>
      </c>
      <c r="DM606" s="1" t="s">
        <v>96</v>
      </c>
      <c r="DN606" s="1">
        <f t="shared" si="91"/>
        <v>7.2047828714495388E-2</v>
      </c>
      <c r="DO606" s="1">
        <f t="shared" si="92"/>
        <v>6.8652162652162643E-3</v>
      </c>
      <c r="DP606" s="1" t="s">
        <v>185</v>
      </c>
      <c r="DQ606" s="1" t="s">
        <v>2</v>
      </c>
      <c r="DR606" s="104">
        <f t="shared" si="93"/>
        <v>1158.3</v>
      </c>
      <c r="DS606" s="103">
        <f t="shared" si="94"/>
        <v>7.2047828714495388E-2</v>
      </c>
      <c r="DT606" s="101">
        <f t="shared" si="95"/>
        <v>834.5300000000002</v>
      </c>
      <c r="DV606" s="101">
        <f t="shared" si="96"/>
        <v>254.66899999999998</v>
      </c>
      <c r="DW606" s="103">
        <f>(BV606*CD606+CQ606*CY606)/DV606</f>
        <v>8.3870761655325143E-2</v>
      </c>
      <c r="DX606" s="101">
        <f>1000*DV606*DW606/100</f>
        <v>213.59282999999996</v>
      </c>
      <c r="DZ606" s="37" t="s">
        <v>2</v>
      </c>
      <c r="EA606" s="37"/>
      <c r="EM606" s="73"/>
      <c r="EN606" s="37"/>
      <c r="EO606" s="37"/>
      <c r="EP606" s="37"/>
      <c r="EQ606" s="37"/>
      <c r="ER606" s="37"/>
      <c r="ES606" s="37"/>
      <c r="ET606" s="37"/>
      <c r="EU606" s="37"/>
      <c r="EV606" s="37"/>
      <c r="EW606" s="37"/>
      <c r="EX606" s="37"/>
      <c r="EY606" s="37"/>
      <c r="EZ606" s="37"/>
      <c r="FA606" s="37"/>
      <c r="FB606" s="37"/>
      <c r="FC606" s="37"/>
      <c r="FD606" s="37"/>
      <c r="FE606" s="37"/>
      <c r="FF606" s="55"/>
      <c r="FG606" s="55"/>
      <c r="FH606" s="55"/>
      <c r="FI606" s="37"/>
      <c r="FJ606" s="55"/>
      <c r="FK606" s="55"/>
      <c r="FL606" s="45"/>
      <c r="FM606" s="37"/>
      <c r="FN606" s="37"/>
      <c r="FO606" s="37"/>
      <c r="FP606" s="55"/>
      <c r="FQ606" s="1" t="s">
        <v>2</v>
      </c>
      <c r="FR606" s="1" t="s">
        <v>113</v>
      </c>
      <c r="FS606" s="1" t="s">
        <v>129</v>
      </c>
      <c r="FT606" s="1" t="s">
        <v>1043</v>
      </c>
      <c r="FV606" s="1" t="s">
        <v>2</v>
      </c>
    </row>
    <row r="607" spans="1:178" ht="16.25" customHeight="1" x14ac:dyDescent="0.2">
      <c r="A607" s="18" t="s">
        <v>177</v>
      </c>
      <c r="B607" s="1" t="s">
        <v>127</v>
      </c>
      <c r="C607" s="15" t="s">
        <v>391</v>
      </c>
      <c r="D607" s="1" t="s">
        <v>69</v>
      </c>
      <c r="G607" s="1" t="s">
        <v>65</v>
      </c>
      <c r="H607" s="1" t="s">
        <v>392</v>
      </c>
      <c r="K607" s="1">
        <v>0</v>
      </c>
      <c r="AF607" s="1">
        <v>3.6389999999999998</v>
      </c>
      <c r="AG607" s="1">
        <v>0.99</v>
      </c>
      <c r="AH607" s="1">
        <v>0.2</v>
      </c>
      <c r="AN607" s="1">
        <v>1.83</v>
      </c>
      <c r="AO607" s="1">
        <v>0.05</v>
      </c>
      <c r="AP607" s="1">
        <v>0.42</v>
      </c>
      <c r="AQ607" s="1">
        <v>0.26</v>
      </c>
      <c r="BA607" s="1">
        <v>4.3819999999999997</v>
      </c>
      <c r="BB607" s="1">
        <v>0.92</v>
      </c>
      <c r="BC607" s="1">
        <v>0.16</v>
      </c>
      <c r="BI607" s="1">
        <v>1.58</v>
      </c>
      <c r="BJ607" s="1">
        <v>0.04</v>
      </c>
      <c r="BK607" s="1">
        <v>0.28999999999999998</v>
      </c>
      <c r="BL607" s="1">
        <v>0.18</v>
      </c>
      <c r="BV607" s="1">
        <v>0</v>
      </c>
      <c r="CQ607" s="1">
        <v>0</v>
      </c>
      <c r="DL607" s="18" t="s">
        <v>96</v>
      </c>
      <c r="DM607" s="1" t="s">
        <v>96</v>
      </c>
      <c r="DN607" s="1">
        <f t="shared" si="91"/>
        <v>1.6934210198229651</v>
      </c>
      <c r="DO607" s="1">
        <f t="shared" si="92"/>
        <v>4.4536840792918593E-2</v>
      </c>
      <c r="DP607" s="1" t="s">
        <v>185</v>
      </c>
      <c r="DQ607" s="1" t="s">
        <v>2</v>
      </c>
      <c r="DR607" s="16">
        <f t="shared" si="93"/>
        <v>8.020999999999999</v>
      </c>
      <c r="DS607" s="100">
        <f t="shared" si="94"/>
        <v>1.6934210198229651</v>
      </c>
      <c r="DT607" s="101">
        <f t="shared" si="95"/>
        <v>135.82930000000002</v>
      </c>
      <c r="DV607" s="16">
        <f t="shared" si="96"/>
        <v>0</v>
      </c>
      <c r="DZ607" s="37" t="s">
        <v>2</v>
      </c>
      <c r="EA607" s="37"/>
      <c r="EM607" s="73"/>
      <c r="EN607" s="37"/>
      <c r="EO607" s="37"/>
      <c r="EP607" s="37"/>
      <c r="EQ607" s="37"/>
      <c r="ER607" s="37"/>
      <c r="ES607" s="37"/>
      <c r="ET607" s="37"/>
      <c r="EU607" s="37"/>
      <c r="EV607" s="37"/>
      <c r="EW607" s="37"/>
      <c r="EX607" s="37"/>
      <c r="EY607" s="37"/>
      <c r="EZ607" s="37"/>
      <c r="FA607" s="37"/>
      <c r="FB607" s="37"/>
      <c r="FC607" s="37"/>
      <c r="FD607" s="37"/>
      <c r="FE607" s="37"/>
      <c r="FF607" s="55"/>
      <c r="FG607" s="55"/>
      <c r="FH607" s="55"/>
      <c r="FI607" s="37"/>
      <c r="FJ607" s="55"/>
      <c r="FK607" s="55"/>
      <c r="FL607" s="45"/>
      <c r="FM607" s="37"/>
      <c r="FN607" s="37"/>
      <c r="FO607" s="37"/>
      <c r="FP607" s="55"/>
      <c r="FQ607" s="1" t="s">
        <v>2</v>
      </c>
      <c r="FR607" s="1" t="s">
        <v>113</v>
      </c>
      <c r="FS607" s="1" t="s">
        <v>129</v>
      </c>
      <c r="FT607" s="1" t="s">
        <v>1043</v>
      </c>
      <c r="FV607" s="1" t="s">
        <v>2</v>
      </c>
    </row>
    <row r="608" spans="1:178" ht="16.25" customHeight="1" x14ac:dyDescent="0.2">
      <c r="A608" s="18" t="s">
        <v>177</v>
      </c>
      <c r="B608" s="1" t="s">
        <v>127</v>
      </c>
      <c r="C608" s="15" t="s">
        <v>449</v>
      </c>
      <c r="D608" s="1" t="s">
        <v>69</v>
      </c>
      <c r="G608" s="1" t="s">
        <v>65</v>
      </c>
      <c r="H608" s="1" t="s">
        <v>66</v>
      </c>
      <c r="I608" s="30"/>
      <c r="K608" s="1">
        <v>0</v>
      </c>
      <c r="AF608" s="1">
        <v>0</v>
      </c>
      <c r="BA608" s="17">
        <f>272*0.9072</f>
        <v>246.75839999999999</v>
      </c>
      <c r="BB608" s="1">
        <v>0.25</v>
      </c>
      <c r="BI608" s="13">
        <f>(1/4.3)*BB608</f>
        <v>5.8139534883720929E-2</v>
      </c>
      <c r="BV608" s="1">
        <v>0</v>
      </c>
      <c r="CQ608" s="1">
        <v>0</v>
      </c>
      <c r="DL608" s="18" t="s">
        <v>163</v>
      </c>
      <c r="DN608" s="1">
        <f t="shared" si="91"/>
        <v>5.8139534883720929E-2</v>
      </c>
      <c r="DO608" s="1">
        <f t="shared" si="92"/>
        <v>0</v>
      </c>
      <c r="DP608" s="1" t="s">
        <v>1056</v>
      </c>
      <c r="DQ608" s="1" t="s">
        <v>2</v>
      </c>
      <c r="DR608" s="101">
        <f t="shared" si="93"/>
        <v>246.75839999999999</v>
      </c>
      <c r="DS608" s="103">
        <f t="shared" si="94"/>
        <v>5.8139534883720929E-2</v>
      </c>
      <c r="DT608" s="101">
        <f t="shared" si="95"/>
        <v>143.46418604651163</v>
      </c>
      <c r="DV608" s="16">
        <f t="shared" si="96"/>
        <v>0</v>
      </c>
      <c r="DZ608" s="37" t="s">
        <v>2</v>
      </c>
      <c r="EA608" s="37"/>
      <c r="EM608" s="73"/>
      <c r="EN608" s="37"/>
      <c r="EO608" s="37"/>
      <c r="EP608" s="37"/>
      <c r="EQ608" s="37"/>
      <c r="ER608" s="37"/>
      <c r="ES608" s="37"/>
      <c r="ET608" s="37"/>
      <c r="EU608" s="37"/>
      <c r="EV608" s="37"/>
      <c r="EW608" s="37"/>
      <c r="EX608" s="37"/>
      <c r="EY608" s="37"/>
      <c r="EZ608" s="37"/>
      <c r="FA608" s="37"/>
      <c r="FB608" s="37"/>
      <c r="FC608" s="37"/>
      <c r="FD608" s="37"/>
      <c r="FE608" s="37"/>
      <c r="FF608" s="55"/>
      <c r="FG608" s="55"/>
      <c r="FH608" s="55"/>
      <c r="FI608" s="37"/>
      <c r="FJ608" s="55"/>
      <c r="FK608" s="55"/>
      <c r="FL608" s="45"/>
      <c r="FM608" s="37"/>
      <c r="FN608" s="37"/>
      <c r="FO608" s="37"/>
      <c r="FP608" s="55"/>
      <c r="FQ608" s="1" t="s">
        <v>2</v>
      </c>
      <c r="FR608" s="1" t="s">
        <v>113</v>
      </c>
      <c r="FS608" s="1" t="s">
        <v>129</v>
      </c>
      <c r="FT608" s="1" t="s">
        <v>1043</v>
      </c>
      <c r="FV608" s="1" t="s">
        <v>2</v>
      </c>
    </row>
    <row r="609" spans="1:178" ht="16.25" customHeight="1" x14ac:dyDescent="0.2">
      <c r="A609" s="18" t="s">
        <v>177</v>
      </c>
      <c r="B609" s="1" t="s">
        <v>127</v>
      </c>
      <c r="C609" s="15" t="s">
        <v>378</v>
      </c>
      <c r="D609" s="1" t="s">
        <v>71</v>
      </c>
      <c r="G609" s="1" t="s">
        <v>65</v>
      </c>
      <c r="H609" s="1" t="s">
        <v>379</v>
      </c>
      <c r="K609" s="1">
        <v>0</v>
      </c>
      <c r="AF609" s="1">
        <v>0</v>
      </c>
      <c r="BA609" s="14">
        <f>0.8*0.9072</f>
        <v>0.72576000000000007</v>
      </c>
      <c r="BI609" s="1">
        <v>0.7</v>
      </c>
      <c r="BV609" s="1">
        <v>0</v>
      </c>
      <c r="CQ609" s="1">
        <v>0</v>
      </c>
      <c r="DL609" s="18" t="s">
        <v>163</v>
      </c>
      <c r="DN609" s="1">
        <f t="shared" si="91"/>
        <v>0.7</v>
      </c>
      <c r="DO609" s="1">
        <f t="shared" si="92"/>
        <v>0</v>
      </c>
      <c r="DP609" s="1" t="s">
        <v>1065</v>
      </c>
      <c r="DQ609" s="1" t="s">
        <v>2</v>
      </c>
      <c r="DR609" s="103">
        <f t="shared" si="93"/>
        <v>0.72576000000000007</v>
      </c>
      <c r="DS609" s="16">
        <f t="shared" si="94"/>
        <v>0.7</v>
      </c>
      <c r="DT609" s="101">
        <f t="shared" si="95"/>
        <v>5.0803200000000004</v>
      </c>
      <c r="DV609" s="16">
        <f t="shared" si="96"/>
        <v>0</v>
      </c>
      <c r="DZ609" s="37" t="s">
        <v>2</v>
      </c>
      <c r="EA609" s="37"/>
      <c r="EM609" s="73"/>
      <c r="EN609" s="37"/>
      <c r="EO609" s="37"/>
      <c r="EP609" s="37"/>
      <c r="EQ609" s="37"/>
      <c r="ER609" s="37"/>
      <c r="ES609" s="37"/>
      <c r="ET609" s="37"/>
      <c r="EU609" s="37"/>
      <c r="EV609" s="37"/>
      <c r="EW609" s="37"/>
      <c r="EX609" s="37"/>
      <c r="EY609" s="37"/>
      <c r="EZ609" s="37"/>
      <c r="FA609" s="37"/>
      <c r="FB609" s="37"/>
      <c r="FC609" s="37"/>
      <c r="FD609" s="37"/>
      <c r="FE609" s="37"/>
      <c r="FF609" s="55"/>
      <c r="FG609" s="55"/>
      <c r="FH609" s="55"/>
      <c r="FI609" s="37"/>
      <c r="FJ609" s="55"/>
      <c r="FK609" s="55"/>
      <c r="FL609" s="45"/>
      <c r="FM609" s="37"/>
      <c r="FN609" s="37"/>
      <c r="FO609" s="37"/>
      <c r="FP609" s="55"/>
      <c r="FQ609" s="1" t="s">
        <v>2</v>
      </c>
      <c r="FR609" s="1" t="s">
        <v>113</v>
      </c>
      <c r="FS609" s="1" t="s">
        <v>129</v>
      </c>
      <c r="FV609" s="1" t="s">
        <v>2</v>
      </c>
    </row>
    <row r="610" spans="1:178" ht="16.25" customHeight="1" x14ac:dyDescent="0.2">
      <c r="A610" s="18" t="s">
        <v>177</v>
      </c>
      <c r="B610" s="1" t="s">
        <v>127</v>
      </c>
      <c r="C610" s="79" t="s">
        <v>264</v>
      </c>
      <c r="D610" s="1" t="s">
        <v>69</v>
      </c>
      <c r="G610" s="1" t="s">
        <v>72</v>
      </c>
      <c r="H610" s="1" t="s">
        <v>89</v>
      </c>
      <c r="K610" s="1">
        <v>0</v>
      </c>
      <c r="AF610" s="1">
        <v>0</v>
      </c>
      <c r="BA610" s="1">
        <v>435.5</v>
      </c>
      <c r="BB610" s="1">
        <v>0.43</v>
      </c>
      <c r="BI610" s="1">
        <v>0.16</v>
      </c>
      <c r="BV610" s="1">
        <v>0</v>
      </c>
      <c r="CQ610" s="1">
        <v>0</v>
      </c>
      <c r="DL610" s="18" t="s">
        <v>96</v>
      </c>
      <c r="DN610" s="1">
        <f t="shared" si="91"/>
        <v>0.16</v>
      </c>
      <c r="DO610" s="1">
        <f t="shared" si="92"/>
        <v>0</v>
      </c>
      <c r="DP610" s="1" t="s">
        <v>67</v>
      </c>
      <c r="DQ610" s="1" t="s">
        <v>2</v>
      </c>
      <c r="DR610" s="16">
        <f t="shared" si="93"/>
        <v>435.5</v>
      </c>
      <c r="DS610" s="16">
        <f t="shared" si="94"/>
        <v>0.16</v>
      </c>
      <c r="DT610" s="101">
        <f t="shared" si="95"/>
        <v>696.8</v>
      </c>
      <c r="DV610" s="16">
        <f t="shared" si="96"/>
        <v>0</v>
      </c>
      <c r="DZ610" s="37" t="s">
        <v>2</v>
      </c>
      <c r="EA610" s="37"/>
      <c r="EM610" s="73"/>
      <c r="EN610" s="37"/>
      <c r="EO610" s="37"/>
      <c r="EP610" s="37"/>
      <c r="EQ610" s="37"/>
      <c r="ER610" s="37"/>
      <c r="ES610" s="37"/>
      <c r="ET610" s="37"/>
      <c r="EU610" s="37"/>
      <c r="EV610" s="37"/>
      <c r="EW610" s="37"/>
      <c r="EX610" s="37"/>
      <c r="EY610" s="37"/>
      <c r="EZ610" s="37"/>
      <c r="FA610" s="37"/>
      <c r="FB610" s="37"/>
      <c r="FC610" s="37"/>
      <c r="FD610" s="37"/>
      <c r="FE610" s="37"/>
      <c r="FF610" s="55"/>
      <c r="FG610" s="55"/>
      <c r="FH610" s="55"/>
      <c r="FI610" s="37"/>
      <c r="FJ610" s="55"/>
      <c r="FK610" s="55"/>
      <c r="FL610" s="45"/>
      <c r="FM610" s="37"/>
      <c r="FN610" s="37"/>
      <c r="FO610" s="37"/>
      <c r="FP610" s="55"/>
      <c r="FQ610" s="1" t="s">
        <v>2</v>
      </c>
      <c r="FR610" s="1" t="s">
        <v>113</v>
      </c>
      <c r="FS610" s="1" t="s">
        <v>129</v>
      </c>
      <c r="FT610" s="1" t="s">
        <v>1043</v>
      </c>
      <c r="FV610" s="1" t="s">
        <v>2</v>
      </c>
    </row>
    <row r="611" spans="1:178" ht="16.25" customHeight="1" x14ac:dyDescent="0.2">
      <c r="A611" s="18" t="s">
        <v>177</v>
      </c>
      <c r="B611" s="1" t="s">
        <v>127</v>
      </c>
      <c r="C611" s="15" t="s">
        <v>1269</v>
      </c>
      <c r="H611" s="1" t="s">
        <v>1215</v>
      </c>
      <c r="I611" s="30"/>
      <c r="K611" s="1">
        <v>0</v>
      </c>
      <c r="AF611" s="1">
        <v>0</v>
      </c>
      <c r="BA611" s="17">
        <f>38*0.9072</f>
        <v>34.473599999999998</v>
      </c>
      <c r="BB611" s="1">
        <v>0.28999999999999998</v>
      </c>
      <c r="BI611" s="13">
        <v>0.1</v>
      </c>
      <c r="BV611" s="1">
        <v>0</v>
      </c>
      <c r="CQ611" s="1">
        <v>0</v>
      </c>
      <c r="DL611" s="18" t="s">
        <v>163</v>
      </c>
      <c r="DN611" s="1">
        <f t="shared" si="91"/>
        <v>0.1</v>
      </c>
      <c r="DO611" s="1">
        <f t="shared" si="92"/>
        <v>0</v>
      </c>
      <c r="DP611" s="1" t="s">
        <v>1056</v>
      </c>
      <c r="DQ611" s="1" t="s">
        <v>2</v>
      </c>
      <c r="DR611" s="100">
        <f t="shared" si="93"/>
        <v>34.473599999999998</v>
      </c>
      <c r="DS611" s="16">
        <f t="shared" si="94"/>
        <v>0.1</v>
      </c>
      <c r="DT611" s="101">
        <f t="shared" si="95"/>
        <v>34.473600000000005</v>
      </c>
      <c r="DV611" s="16">
        <f t="shared" si="96"/>
        <v>0</v>
      </c>
      <c r="DZ611" s="37" t="s">
        <v>2</v>
      </c>
      <c r="EA611" s="37"/>
      <c r="EM611" s="73"/>
      <c r="EN611" s="37"/>
      <c r="EO611" s="37"/>
      <c r="EP611" s="37"/>
      <c r="EQ611" s="37"/>
      <c r="ER611" s="37"/>
      <c r="ES611" s="37"/>
      <c r="ET611" s="37"/>
      <c r="EU611" s="37"/>
      <c r="EV611" s="37"/>
      <c r="EW611" s="37"/>
      <c r="EX611" s="37"/>
      <c r="EY611" s="37"/>
      <c r="EZ611" s="37"/>
      <c r="FA611" s="37"/>
      <c r="FB611" s="37"/>
      <c r="FC611" s="37"/>
      <c r="FD611" s="37"/>
      <c r="FE611" s="37"/>
      <c r="FF611" s="55"/>
      <c r="FG611" s="55"/>
      <c r="FH611" s="55"/>
      <c r="FI611" s="37"/>
      <c r="FJ611" s="55"/>
      <c r="FK611" s="55"/>
      <c r="FL611" s="45"/>
      <c r="FM611" s="37"/>
      <c r="FN611" s="37"/>
      <c r="FO611" s="37"/>
      <c r="FP611" s="55"/>
      <c r="FQ611" s="1" t="s">
        <v>2</v>
      </c>
      <c r="FR611" s="1" t="s">
        <v>113</v>
      </c>
      <c r="FS611" s="1" t="s">
        <v>129</v>
      </c>
      <c r="FT611" s="1" t="s">
        <v>1043</v>
      </c>
      <c r="FV611" s="1" t="s">
        <v>2</v>
      </c>
    </row>
    <row r="612" spans="1:178" ht="16.25" customHeight="1" x14ac:dyDescent="0.2">
      <c r="A612" s="18" t="s">
        <v>177</v>
      </c>
      <c r="B612" s="1" t="s">
        <v>127</v>
      </c>
      <c r="C612" s="79" t="s">
        <v>209</v>
      </c>
      <c r="D612" s="1" t="s">
        <v>69</v>
      </c>
      <c r="E612" s="23">
        <f>-9-30/60</f>
        <v>-9.5</v>
      </c>
      <c r="F612" s="23">
        <f>148+34/60</f>
        <v>148.56666666666666</v>
      </c>
      <c r="G612" s="1" t="s">
        <v>72</v>
      </c>
      <c r="H612" s="1" t="s">
        <v>210</v>
      </c>
      <c r="K612" s="1">
        <v>0</v>
      </c>
      <c r="AF612" s="1">
        <v>0</v>
      </c>
      <c r="BA612" s="13">
        <f>0.43*0.9072</f>
        <v>0.390096</v>
      </c>
      <c r="BB612" s="1">
        <v>0.3</v>
      </c>
      <c r="BD612" s="14">
        <f>0.13*31.1/0.9072</f>
        <v>4.4565696649029984</v>
      </c>
      <c r="BI612" s="1">
        <v>0.3</v>
      </c>
      <c r="BV612" s="1">
        <v>0</v>
      </c>
      <c r="CQ612" s="1">
        <v>0</v>
      </c>
      <c r="DL612" s="18" t="s">
        <v>163</v>
      </c>
      <c r="DN612" s="1">
        <f t="shared" si="91"/>
        <v>0.3</v>
      </c>
      <c r="DO612" s="1">
        <f t="shared" si="92"/>
        <v>0</v>
      </c>
      <c r="DP612" s="1" t="s">
        <v>1069</v>
      </c>
      <c r="DQ612" s="1" t="s">
        <v>2</v>
      </c>
      <c r="DR612" s="103">
        <f t="shared" si="93"/>
        <v>0.390096</v>
      </c>
      <c r="DS612" s="16">
        <f t="shared" si="94"/>
        <v>0.3</v>
      </c>
      <c r="DT612" s="101">
        <f t="shared" si="95"/>
        <v>1.170288</v>
      </c>
      <c r="DV612" s="16">
        <f t="shared" si="96"/>
        <v>0</v>
      </c>
      <c r="DZ612" s="37" t="s">
        <v>2</v>
      </c>
      <c r="EA612" s="37"/>
      <c r="EM612" s="73"/>
      <c r="EN612" s="37"/>
      <c r="EO612" s="37"/>
      <c r="EP612" s="37"/>
      <c r="EQ612" s="37"/>
      <c r="ER612" s="37"/>
      <c r="ES612" s="37"/>
      <c r="ET612" s="37"/>
      <c r="EU612" s="37"/>
      <c r="EV612" s="37"/>
      <c r="EW612" s="37"/>
      <c r="EX612" s="37"/>
      <c r="EY612" s="37"/>
      <c r="EZ612" s="37"/>
      <c r="FA612" s="37"/>
      <c r="FB612" s="37"/>
      <c r="FC612" s="37"/>
      <c r="FD612" s="37"/>
      <c r="FE612" s="37"/>
      <c r="FF612" s="55"/>
      <c r="FG612" s="55"/>
      <c r="FH612" s="55"/>
      <c r="FI612" s="37"/>
      <c r="FJ612" s="55"/>
      <c r="FK612" s="55"/>
      <c r="FL612" s="45"/>
      <c r="FM612" s="37"/>
      <c r="FN612" s="37"/>
      <c r="FO612" s="37"/>
      <c r="FP612" s="55"/>
      <c r="FQ612" s="1" t="s">
        <v>2</v>
      </c>
      <c r="FR612" s="1" t="s">
        <v>113</v>
      </c>
      <c r="FS612" s="1" t="s">
        <v>129</v>
      </c>
      <c r="FT612" s="1" t="s">
        <v>1070</v>
      </c>
      <c r="FV612" s="1" t="s">
        <v>2</v>
      </c>
    </row>
    <row r="613" spans="1:178" ht="16.25" customHeight="1" x14ac:dyDescent="0.2">
      <c r="A613" s="18" t="s">
        <v>177</v>
      </c>
      <c r="B613" s="1" t="s">
        <v>127</v>
      </c>
      <c r="C613" s="79" t="s">
        <v>450</v>
      </c>
      <c r="D613" s="1" t="s">
        <v>69</v>
      </c>
      <c r="G613" s="1" t="s">
        <v>72</v>
      </c>
      <c r="H613" s="1" t="s">
        <v>451</v>
      </c>
      <c r="I613" s="30"/>
      <c r="K613" s="1">
        <v>0</v>
      </c>
      <c r="AF613" s="1">
        <v>0</v>
      </c>
      <c r="BA613" s="17">
        <f>(205+7)*0.9072</f>
        <v>192.32640000000001</v>
      </c>
      <c r="BB613" s="13">
        <f>(0.41*205+0.88*7)/(205+7)</f>
        <v>0.42551886792452825</v>
      </c>
      <c r="BI613" s="13">
        <f>(0.14*205+0.3*7)/(205+7)</f>
        <v>0.14528301886792455</v>
      </c>
      <c r="BV613" s="1">
        <v>0</v>
      </c>
      <c r="CQ613" s="1">
        <v>0</v>
      </c>
      <c r="DL613" s="18" t="s">
        <v>163</v>
      </c>
      <c r="DN613" s="1">
        <f t="shared" si="91"/>
        <v>0.14528301886792455</v>
      </c>
      <c r="DO613" s="1">
        <f t="shared" si="92"/>
        <v>0</v>
      </c>
      <c r="DP613" s="1" t="s">
        <v>1056</v>
      </c>
      <c r="DQ613" s="1" t="s">
        <v>2</v>
      </c>
      <c r="DR613" s="101">
        <f t="shared" si="93"/>
        <v>192.32640000000001</v>
      </c>
      <c r="DS613" s="100">
        <f t="shared" si="94"/>
        <v>0.14528301886792455</v>
      </c>
      <c r="DT613" s="101">
        <f t="shared" si="95"/>
        <v>279.41759999999999</v>
      </c>
      <c r="DV613" s="16">
        <f t="shared" si="96"/>
        <v>0</v>
      </c>
      <c r="DZ613" s="37" t="s">
        <v>2</v>
      </c>
      <c r="EA613" s="37"/>
      <c r="EM613" s="73"/>
      <c r="EN613" s="37"/>
      <c r="EO613" s="37"/>
      <c r="EP613" s="37"/>
      <c r="EQ613" s="37"/>
      <c r="ER613" s="37"/>
      <c r="ES613" s="37"/>
      <c r="ET613" s="37"/>
      <c r="EU613" s="37"/>
      <c r="EV613" s="37"/>
      <c r="EW613" s="37"/>
      <c r="EX613" s="37"/>
      <c r="EY613" s="37"/>
      <c r="EZ613" s="37"/>
      <c r="FA613" s="37"/>
      <c r="FB613" s="37"/>
      <c r="FC613" s="37"/>
      <c r="FD613" s="37"/>
      <c r="FE613" s="37"/>
      <c r="FF613" s="55"/>
      <c r="FG613" s="55"/>
      <c r="FH613" s="55"/>
      <c r="FI613" s="37"/>
      <c r="FJ613" s="55"/>
      <c r="FK613" s="55"/>
      <c r="FL613" s="45"/>
      <c r="FM613" s="37"/>
      <c r="FN613" s="37"/>
      <c r="FO613" s="37"/>
      <c r="FP613" s="55"/>
      <c r="FQ613" s="1" t="s">
        <v>2</v>
      </c>
      <c r="FR613" s="1" t="s">
        <v>113</v>
      </c>
      <c r="FS613" s="1" t="s">
        <v>129</v>
      </c>
      <c r="FV613" s="1" t="s">
        <v>2</v>
      </c>
    </row>
    <row r="614" spans="1:178" ht="16.25" customHeight="1" x14ac:dyDescent="0.2">
      <c r="A614" s="18" t="s">
        <v>177</v>
      </c>
      <c r="B614" s="1" t="s">
        <v>127</v>
      </c>
      <c r="C614" s="15" t="s">
        <v>992</v>
      </c>
      <c r="H614" s="1" t="s">
        <v>131</v>
      </c>
      <c r="I614" s="30"/>
      <c r="K614" s="1">
        <v>0</v>
      </c>
      <c r="AF614" s="1">
        <v>0</v>
      </c>
      <c r="BA614" s="17">
        <f>364*0.9072</f>
        <v>330.2208</v>
      </c>
      <c r="BB614" s="1">
        <v>0.84</v>
      </c>
      <c r="BI614" s="1">
        <v>0.19</v>
      </c>
      <c r="BV614" s="1">
        <v>0</v>
      </c>
      <c r="CQ614" s="1">
        <v>0</v>
      </c>
      <c r="DL614" s="18" t="s">
        <v>163</v>
      </c>
      <c r="DN614" s="1">
        <f t="shared" si="91"/>
        <v>0.19</v>
      </c>
      <c r="DO614" s="1">
        <f t="shared" si="92"/>
        <v>0</v>
      </c>
      <c r="DP614" s="1" t="s">
        <v>1056</v>
      </c>
      <c r="DQ614" s="1" t="s">
        <v>2</v>
      </c>
      <c r="DR614" s="101">
        <f t="shared" si="93"/>
        <v>330.2208</v>
      </c>
      <c r="DS614" s="16">
        <f t="shared" si="94"/>
        <v>0.19</v>
      </c>
      <c r="DT614" s="101">
        <f t="shared" si="95"/>
        <v>627.41951999999992</v>
      </c>
      <c r="DV614" s="16">
        <f t="shared" si="96"/>
        <v>0</v>
      </c>
      <c r="DZ614" s="37" t="s">
        <v>2</v>
      </c>
      <c r="EA614" s="37"/>
      <c r="EM614" s="73"/>
      <c r="EN614" s="37"/>
      <c r="EO614" s="37"/>
      <c r="EP614" s="37"/>
      <c r="EQ614" s="37"/>
      <c r="ER614" s="37"/>
      <c r="ES614" s="37"/>
      <c r="ET614" s="37"/>
      <c r="EU614" s="37"/>
      <c r="EV614" s="37"/>
      <c r="EW614" s="37"/>
      <c r="EX614" s="37"/>
      <c r="EY614" s="37"/>
      <c r="EZ614" s="37"/>
      <c r="FA614" s="37"/>
      <c r="FB614" s="37"/>
      <c r="FC614" s="37"/>
      <c r="FD614" s="37"/>
      <c r="FE614" s="37"/>
      <c r="FF614" s="55"/>
      <c r="FG614" s="55"/>
      <c r="FH614" s="55"/>
      <c r="FI614" s="37"/>
      <c r="FJ614" s="55"/>
      <c r="FK614" s="55"/>
      <c r="FL614" s="45"/>
      <c r="FM614" s="37"/>
      <c r="FN614" s="37"/>
      <c r="FO614" s="37"/>
      <c r="FP614" s="55"/>
      <c r="FQ614" s="1" t="s">
        <v>2</v>
      </c>
      <c r="FR614" s="1" t="s">
        <v>113</v>
      </c>
      <c r="FS614" s="1" t="s">
        <v>129</v>
      </c>
      <c r="FT614" s="1" t="s">
        <v>1043</v>
      </c>
      <c r="FV614" s="1" t="s">
        <v>2</v>
      </c>
    </row>
    <row r="615" spans="1:178" ht="16.25" customHeight="1" x14ac:dyDescent="0.2">
      <c r="A615" s="18" t="s">
        <v>177</v>
      </c>
      <c r="B615" s="1" t="s">
        <v>127</v>
      </c>
      <c r="C615" s="15" t="s">
        <v>226</v>
      </c>
      <c r="D615" s="1" t="s">
        <v>69</v>
      </c>
      <c r="G615" s="1" t="s">
        <v>72</v>
      </c>
      <c r="H615" s="1" t="s">
        <v>66</v>
      </c>
      <c r="K615" s="1">
        <v>0</v>
      </c>
      <c r="AF615" s="1">
        <v>0</v>
      </c>
      <c r="BA615" s="1">
        <v>8.0000000000000002E-3</v>
      </c>
      <c r="BB615" s="1">
        <v>0.88</v>
      </c>
      <c r="BI615" s="1">
        <v>1.57</v>
      </c>
      <c r="BV615" s="1">
        <v>0</v>
      </c>
      <c r="CQ615" s="1">
        <v>0</v>
      </c>
      <c r="DL615" s="18" t="s">
        <v>163</v>
      </c>
      <c r="DN615" s="1">
        <f t="shared" si="91"/>
        <v>1.57</v>
      </c>
      <c r="DO615" s="1">
        <f t="shared" si="92"/>
        <v>0</v>
      </c>
      <c r="DP615" s="1" t="s">
        <v>1069</v>
      </c>
      <c r="DQ615" s="1" t="s">
        <v>2</v>
      </c>
      <c r="DR615" s="16">
        <f t="shared" si="93"/>
        <v>8.0000000000000002E-3</v>
      </c>
      <c r="DS615" s="16">
        <f t="shared" si="94"/>
        <v>1.57</v>
      </c>
      <c r="DT615" s="101">
        <f t="shared" si="95"/>
        <v>0.12560000000000002</v>
      </c>
      <c r="DV615" s="16">
        <f t="shared" si="96"/>
        <v>0</v>
      </c>
      <c r="DZ615" s="37" t="s">
        <v>2</v>
      </c>
      <c r="EA615" s="37"/>
      <c r="EM615" s="73"/>
      <c r="EN615" s="37"/>
      <c r="EO615" s="37"/>
      <c r="EP615" s="37"/>
      <c r="EQ615" s="37"/>
      <c r="ER615" s="37"/>
      <c r="ES615" s="37"/>
      <c r="ET615" s="37"/>
      <c r="EU615" s="37"/>
      <c r="EV615" s="37"/>
      <c r="EW615" s="37"/>
      <c r="EX615" s="37"/>
      <c r="EY615" s="37"/>
      <c r="EZ615" s="37"/>
      <c r="FA615" s="37"/>
      <c r="FB615" s="37"/>
      <c r="FC615" s="37"/>
      <c r="FD615" s="37"/>
      <c r="FE615" s="37"/>
      <c r="FF615" s="55"/>
      <c r="FG615" s="55"/>
      <c r="FH615" s="55"/>
      <c r="FI615" s="37"/>
      <c r="FJ615" s="55"/>
      <c r="FK615" s="55"/>
      <c r="FL615" s="45"/>
      <c r="FM615" s="37"/>
      <c r="FN615" s="37"/>
      <c r="FO615" s="37"/>
      <c r="FP615" s="55"/>
      <c r="FQ615" s="1" t="s">
        <v>2</v>
      </c>
      <c r="FR615" s="1" t="s">
        <v>113</v>
      </c>
      <c r="FS615" s="1" t="s">
        <v>129</v>
      </c>
      <c r="FT615" s="1" t="s">
        <v>1070</v>
      </c>
      <c r="FV615" s="1" t="s">
        <v>2</v>
      </c>
    </row>
    <row r="616" spans="1:178" ht="16.25" customHeight="1" x14ac:dyDescent="0.2">
      <c r="A616" s="18" t="s">
        <v>177</v>
      </c>
      <c r="B616" s="1" t="s">
        <v>127</v>
      </c>
      <c r="C616" s="15" t="s">
        <v>999</v>
      </c>
      <c r="H616" s="1" t="s">
        <v>131</v>
      </c>
      <c r="K616" s="1">
        <v>0</v>
      </c>
      <c r="AF616" s="1">
        <v>0</v>
      </c>
      <c r="BA616" s="13">
        <f>0.56*0.9072</f>
        <v>0.50803200000000004</v>
      </c>
      <c r="BB616" s="1">
        <v>0.35</v>
      </c>
      <c r="BI616" s="1">
        <v>0.34</v>
      </c>
      <c r="BJ616" s="1">
        <v>0.15</v>
      </c>
      <c r="BV616" s="1">
        <v>0</v>
      </c>
      <c r="CQ616" s="1">
        <v>0</v>
      </c>
      <c r="DL616" s="18" t="s">
        <v>163</v>
      </c>
      <c r="DM616" s="1" t="s">
        <v>163</v>
      </c>
      <c r="DN616" s="1">
        <f t="shared" si="91"/>
        <v>0.34</v>
      </c>
      <c r="DO616" s="1">
        <f t="shared" si="92"/>
        <v>0.15</v>
      </c>
      <c r="DP616" s="1" t="s">
        <v>1069</v>
      </c>
      <c r="DQ616" s="1" t="s">
        <v>2</v>
      </c>
      <c r="DR616" s="103">
        <f t="shared" si="93"/>
        <v>0.50803200000000004</v>
      </c>
      <c r="DS616" s="16">
        <f t="shared" si="94"/>
        <v>0.34</v>
      </c>
      <c r="DT616" s="101">
        <f t="shared" si="95"/>
        <v>1.7273088000000001</v>
      </c>
      <c r="DV616" s="16">
        <f t="shared" si="96"/>
        <v>0</v>
      </c>
      <c r="DZ616" s="37" t="s">
        <v>2</v>
      </c>
      <c r="EA616" s="37"/>
      <c r="EM616" s="73"/>
      <c r="EN616" s="37"/>
      <c r="EO616" s="37"/>
      <c r="EP616" s="37"/>
      <c r="EQ616" s="37"/>
      <c r="ER616" s="37"/>
      <c r="ES616" s="37"/>
      <c r="ET616" s="37"/>
      <c r="EU616" s="37"/>
      <c r="EV616" s="37"/>
      <c r="EW616" s="37"/>
      <c r="EX616" s="37"/>
      <c r="EY616" s="37"/>
      <c r="EZ616" s="37"/>
      <c r="FA616" s="37"/>
      <c r="FB616" s="37"/>
      <c r="FC616" s="37"/>
      <c r="FD616" s="37"/>
      <c r="FE616" s="37"/>
      <c r="FF616" s="55"/>
      <c r="FG616" s="55"/>
      <c r="FH616" s="55"/>
      <c r="FI616" s="37"/>
      <c r="FJ616" s="55"/>
      <c r="FK616" s="55"/>
      <c r="FL616" s="45"/>
      <c r="FM616" s="37"/>
      <c r="FN616" s="37"/>
      <c r="FO616" s="37"/>
      <c r="FP616" s="55"/>
      <c r="FQ616" s="1" t="s">
        <v>2</v>
      </c>
      <c r="FR616" s="1" t="s">
        <v>113</v>
      </c>
      <c r="FS616" s="1" t="s">
        <v>129</v>
      </c>
      <c r="FT616" s="1" t="s">
        <v>1070</v>
      </c>
      <c r="FV616" s="1" t="s">
        <v>2</v>
      </c>
    </row>
    <row r="617" spans="1:178" ht="16.25" customHeight="1" x14ac:dyDescent="0.2">
      <c r="A617" s="18" t="s">
        <v>177</v>
      </c>
      <c r="B617" s="1" t="s">
        <v>127</v>
      </c>
      <c r="C617" s="79" t="s">
        <v>293</v>
      </c>
      <c r="D617" s="1" t="s">
        <v>69</v>
      </c>
      <c r="G617" s="1" t="s">
        <v>72</v>
      </c>
      <c r="H617" s="1" t="s">
        <v>81</v>
      </c>
      <c r="K617" s="1">
        <v>0</v>
      </c>
      <c r="AF617" s="1">
        <v>0</v>
      </c>
      <c r="BA617" s="17">
        <f>22*0.9072</f>
        <v>19.958400000000001</v>
      </c>
      <c r="BB617" s="1">
        <v>0.24</v>
      </c>
      <c r="BI617" s="1">
        <v>0.42</v>
      </c>
      <c r="BJ617" s="1">
        <v>0.02</v>
      </c>
      <c r="BV617" s="1">
        <v>0</v>
      </c>
      <c r="CQ617" s="1">
        <v>0</v>
      </c>
      <c r="DL617" s="18" t="s">
        <v>163</v>
      </c>
      <c r="DM617" s="1" t="s">
        <v>163</v>
      </c>
      <c r="DN617" s="1">
        <f t="shared" si="91"/>
        <v>0.42</v>
      </c>
      <c r="DO617" s="1">
        <f t="shared" si="92"/>
        <v>0.02</v>
      </c>
      <c r="DP617" s="1" t="s">
        <v>1069</v>
      </c>
      <c r="DQ617" s="1" t="s">
        <v>2</v>
      </c>
      <c r="DR617" s="100">
        <f t="shared" si="93"/>
        <v>19.958400000000001</v>
      </c>
      <c r="DS617" s="16">
        <f t="shared" si="94"/>
        <v>0.42</v>
      </c>
      <c r="DT617" s="101">
        <f t="shared" si="95"/>
        <v>83.825280000000006</v>
      </c>
      <c r="DV617" s="16">
        <f t="shared" si="96"/>
        <v>0</v>
      </c>
      <c r="DZ617" s="37" t="s">
        <v>2</v>
      </c>
      <c r="EA617" s="37"/>
      <c r="EM617" s="73"/>
      <c r="EN617" s="37"/>
      <c r="EO617" s="37"/>
      <c r="EP617" s="37"/>
      <c r="EQ617" s="37"/>
      <c r="ER617" s="37"/>
      <c r="ES617" s="37"/>
      <c r="ET617" s="37"/>
      <c r="EU617" s="37"/>
      <c r="EV617" s="37"/>
      <c r="EW617" s="37"/>
      <c r="EX617" s="37"/>
      <c r="EY617" s="37"/>
      <c r="EZ617" s="37"/>
      <c r="FA617" s="37"/>
      <c r="FB617" s="37"/>
      <c r="FC617" s="37"/>
      <c r="FD617" s="37"/>
      <c r="FE617" s="37"/>
      <c r="FF617" s="55"/>
      <c r="FG617" s="55"/>
      <c r="FH617" s="55"/>
      <c r="FI617" s="37"/>
      <c r="FJ617" s="55"/>
      <c r="FK617" s="55"/>
      <c r="FL617" s="45"/>
      <c r="FM617" s="37"/>
      <c r="FN617" s="37"/>
      <c r="FO617" s="37"/>
      <c r="FP617" s="55"/>
      <c r="FQ617" s="1" t="s">
        <v>2</v>
      </c>
      <c r="FR617" s="1" t="s">
        <v>113</v>
      </c>
      <c r="FS617" s="1" t="s">
        <v>129</v>
      </c>
      <c r="FT617" s="1" t="s">
        <v>1081</v>
      </c>
      <c r="FV617" s="1" t="s">
        <v>2</v>
      </c>
    </row>
    <row r="618" spans="1:178" ht="16.25" customHeight="1" x14ac:dyDescent="0.2">
      <c r="A618" s="18" t="s">
        <v>177</v>
      </c>
      <c r="B618" s="1" t="s">
        <v>127</v>
      </c>
      <c r="C618" s="15" t="s">
        <v>878</v>
      </c>
      <c r="D618" s="1" t="s">
        <v>69</v>
      </c>
      <c r="H618" s="1" t="s">
        <v>131</v>
      </c>
      <c r="K618" s="1">
        <v>0</v>
      </c>
      <c r="AF618" s="1">
        <v>0</v>
      </c>
      <c r="BA618" s="13">
        <f>0.4*0.9072</f>
        <v>0.36288000000000004</v>
      </c>
      <c r="BB618" s="1">
        <v>0.16</v>
      </c>
      <c r="BI618" s="1">
        <v>0.23</v>
      </c>
      <c r="BV618" s="1">
        <v>0</v>
      </c>
      <c r="CQ618" s="1">
        <v>0</v>
      </c>
      <c r="DL618" s="18" t="s">
        <v>163</v>
      </c>
      <c r="DN618" s="1">
        <f t="shared" si="91"/>
        <v>0.22999999999999998</v>
      </c>
      <c r="DO618" s="1">
        <f t="shared" si="92"/>
        <v>0</v>
      </c>
      <c r="DP618" s="1" t="s">
        <v>1079</v>
      </c>
      <c r="DQ618" s="1" t="s">
        <v>2</v>
      </c>
      <c r="DR618" s="103">
        <f t="shared" si="93"/>
        <v>0.36288000000000004</v>
      </c>
      <c r="DS618" s="16">
        <f t="shared" si="94"/>
        <v>0.22999999999999998</v>
      </c>
      <c r="DT618" s="101">
        <f t="shared" si="95"/>
        <v>0.83462400000000003</v>
      </c>
      <c r="DV618" s="16">
        <f t="shared" si="96"/>
        <v>0</v>
      </c>
      <c r="DZ618" s="37" t="s">
        <v>2</v>
      </c>
      <c r="EA618" s="37"/>
      <c r="EM618" s="73"/>
      <c r="EN618" s="37"/>
      <c r="EO618" s="37"/>
      <c r="EP618" s="37"/>
      <c r="EQ618" s="37"/>
      <c r="ER618" s="37"/>
      <c r="ES618" s="37"/>
      <c r="ET618" s="37"/>
      <c r="EU618" s="37"/>
      <c r="EV618" s="37"/>
      <c r="EW618" s="37"/>
      <c r="EX618" s="37"/>
      <c r="EY618" s="37"/>
      <c r="EZ618" s="37"/>
      <c r="FA618" s="37"/>
      <c r="FB618" s="37"/>
      <c r="FC618" s="37"/>
      <c r="FD618" s="37"/>
      <c r="FE618" s="37"/>
      <c r="FF618" s="55"/>
      <c r="FG618" s="55"/>
      <c r="FH618" s="55"/>
      <c r="FI618" s="37"/>
      <c r="FJ618" s="55"/>
      <c r="FK618" s="55"/>
      <c r="FL618" s="45"/>
      <c r="FM618" s="37"/>
      <c r="FN618" s="37"/>
      <c r="FO618" s="37"/>
      <c r="FP618" s="55"/>
      <c r="FQ618" s="1" t="s">
        <v>2</v>
      </c>
      <c r="FR618" s="1" t="s">
        <v>113</v>
      </c>
      <c r="FS618" s="1" t="s">
        <v>589</v>
      </c>
      <c r="FV618" s="1" t="s">
        <v>2</v>
      </c>
    </row>
    <row r="619" spans="1:178" ht="16.25" customHeight="1" x14ac:dyDescent="0.2">
      <c r="A619" s="18" t="s">
        <v>177</v>
      </c>
      <c r="B619" s="1" t="s">
        <v>127</v>
      </c>
      <c r="C619" s="79" t="s">
        <v>536</v>
      </c>
      <c r="D619" s="1" t="s">
        <v>69</v>
      </c>
      <c r="G619" s="1" t="s">
        <v>72</v>
      </c>
      <c r="H619" s="1" t="s">
        <v>131</v>
      </c>
      <c r="K619" s="1">
        <v>0</v>
      </c>
      <c r="AF619" s="1">
        <v>0</v>
      </c>
      <c r="BA619" s="14">
        <f>10.2*0.9072</f>
        <v>9.2534399999999994</v>
      </c>
      <c r="BB619" s="1">
        <v>0.25</v>
      </c>
      <c r="BI619" s="1">
        <v>0.26</v>
      </c>
      <c r="BV619" s="1">
        <v>0</v>
      </c>
      <c r="CQ619" s="1">
        <v>0</v>
      </c>
      <c r="DL619" s="18" t="s">
        <v>163</v>
      </c>
      <c r="DN619" s="1">
        <f t="shared" si="91"/>
        <v>0.26</v>
      </c>
      <c r="DO619" s="1">
        <f t="shared" si="92"/>
        <v>0</v>
      </c>
      <c r="DP619" s="1" t="s">
        <v>1079</v>
      </c>
      <c r="DQ619" s="1" t="s">
        <v>2</v>
      </c>
      <c r="DR619" s="103">
        <f t="shared" si="93"/>
        <v>9.2534399999999994</v>
      </c>
      <c r="DS619" s="16">
        <f t="shared" si="94"/>
        <v>0.26</v>
      </c>
      <c r="DT619" s="101">
        <f t="shared" si="95"/>
        <v>24.058943999999997</v>
      </c>
      <c r="DV619" s="16">
        <f t="shared" si="96"/>
        <v>0</v>
      </c>
      <c r="DZ619" s="37" t="s">
        <v>2</v>
      </c>
      <c r="EA619" s="37"/>
      <c r="EM619" s="73"/>
      <c r="EN619" s="37"/>
      <c r="EO619" s="37"/>
      <c r="EP619" s="37"/>
      <c r="EQ619" s="37"/>
      <c r="ER619" s="37"/>
      <c r="ES619" s="37"/>
      <c r="ET619" s="37"/>
      <c r="EU619" s="37"/>
      <c r="EV619" s="37"/>
      <c r="EW619" s="37"/>
      <c r="EX619" s="37"/>
      <c r="EY619" s="37"/>
      <c r="EZ619" s="37"/>
      <c r="FA619" s="37"/>
      <c r="FB619" s="37"/>
      <c r="FC619" s="37"/>
      <c r="FD619" s="37"/>
      <c r="FE619" s="37"/>
      <c r="FF619" s="55"/>
      <c r="FG619" s="55"/>
      <c r="FH619" s="55"/>
      <c r="FI619" s="37"/>
      <c r="FJ619" s="55"/>
      <c r="FK619" s="55"/>
      <c r="FL619" s="45"/>
      <c r="FM619" s="37"/>
      <c r="FN619" s="37"/>
      <c r="FO619" s="37"/>
      <c r="FP619" s="55"/>
      <c r="FQ619" s="1" t="s">
        <v>2</v>
      </c>
      <c r="FR619" s="1" t="s">
        <v>113</v>
      </c>
      <c r="FS619" s="1" t="s">
        <v>589</v>
      </c>
      <c r="FV619" s="1" t="s">
        <v>2</v>
      </c>
    </row>
    <row r="620" spans="1:178" ht="16.25" customHeight="1" x14ac:dyDescent="0.2">
      <c r="A620" s="18" t="s">
        <v>177</v>
      </c>
      <c r="B620" s="1" t="s">
        <v>127</v>
      </c>
      <c r="C620" s="79" t="s">
        <v>501</v>
      </c>
      <c r="D620" s="1" t="s">
        <v>69</v>
      </c>
      <c r="G620" s="1" t="s">
        <v>72</v>
      </c>
      <c r="H620" s="1" t="s">
        <v>131</v>
      </c>
      <c r="K620" s="1">
        <v>0</v>
      </c>
      <c r="AF620" s="1">
        <v>0</v>
      </c>
      <c r="BA620" s="1">
        <v>4.54</v>
      </c>
      <c r="BB620" s="1">
        <v>1.89</v>
      </c>
      <c r="BI620" s="1">
        <v>0.36</v>
      </c>
      <c r="BV620" s="1">
        <v>0</v>
      </c>
      <c r="CQ620" s="1">
        <v>0</v>
      </c>
      <c r="DL620" s="18" t="s">
        <v>163</v>
      </c>
      <c r="DN620" s="1">
        <f t="shared" si="91"/>
        <v>0.36</v>
      </c>
      <c r="DO620" s="1">
        <f t="shared" si="92"/>
        <v>0</v>
      </c>
      <c r="DP620" s="1" t="s">
        <v>1075</v>
      </c>
      <c r="DQ620" s="1" t="s">
        <v>2</v>
      </c>
      <c r="DR620" s="16">
        <f t="shared" si="93"/>
        <v>4.54</v>
      </c>
      <c r="DS620" s="16">
        <f t="shared" si="94"/>
        <v>0.36</v>
      </c>
      <c r="DT620" s="101">
        <f t="shared" si="95"/>
        <v>16.343999999999998</v>
      </c>
      <c r="DV620" s="16">
        <f t="shared" si="96"/>
        <v>0</v>
      </c>
      <c r="DZ620" s="37" t="s">
        <v>2</v>
      </c>
      <c r="EA620" s="37"/>
      <c r="EM620" s="73"/>
      <c r="EN620" s="37"/>
      <c r="EO620" s="37"/>
      <c r="EP620" s="37"/>
      <c r="EQ620" s="37"/>
      <c r="ER620" s="37"/>
      <c r="ES620" s="37"/>
      <c r="ET620" s="37"/>
      <c r="EU620" s="37"/>
      <c r="EV620" s="37"/>
      <c r="EW620" s="37"/>
      <c r="EX620" s="37"/>
      <c r="EY620" s="37"/>
      <c r="EZ620" s="37"/>
      <c r="FA620" s="37"/>
      <c r="FB620" s="37"/>
      <c r="FC620" s="37"/>
      <c r="FD620" s="37"/>
      <c r="FE620" s="37"/>
      <c r="FF620" s="55"/>
      <c r="FG620" s="55"/>
      <c r="FH620" s="55"/>
      <c r="FI620" s="37"/>
      <c r="FJ620" s="55"/>
      <c r="FK620" s="55"/>
      <c r="FL620" s="45"/>
      <c r="FM620" s="37"/>
      <c r="FN620" s="37"/>
      <c r="FO620" s="37"/>
      <c r="FP620" s="55"/>
      <c r="FQ620" s="1" t="s">
        <v>2</v>
      </c>
      <c r="FR620" s="1" t="s">
        <v>113</v>
      </c>
      <c r="FS620" s="75" t="s">
        <v>129</v>
      </c>
      <c r="FT620" s="75" t="s">
        <v>1043</v>
      </c>
      <c r="FV620" s="1" t="s">
        <v>2</v>
      </c>
    </row>
    <row r="621" spans="1:178" ht="16.25" customHeight="1" x14ac:dyDescent="0.15">
      <c r="A621" s="25" t="s">
        <v>190</v>
      </c>
      <c r="B621" s="1" t="s">
        <v>136</v>
      </c>
      <c r="C621" s="29" t="s">
        <v>879</v>
      </c>
      <c r="D621" s="81" t="s">
        <v>69</v>
      </c>
      <c r="H621" s="1" t="s">
        <v>131</v>
      </c>
      <c r="J621" s="1" t="s">
        <v>467</v>
      </c>
      <c r="K621" s="33">
        <v>0</v>
      </c>
      <c r="AF621" s="33">
        <v>0</v>
      </c>
      <c r="BA621" s="34">
        <v>11.132599999999998</v>
      </c>
      <c r="BI621" s="34">
        <v>1.3907478935738282</v>
      </c>
      <c r="BV621" s="33">
        <v>0</v>
      </c>
      <c r="CQ621" s="33">
        <v>0</v>
      </c>
      <c r="DL621" s="18" t="s">
        <v>163</v>
      </c>
      <c r="DN621" s="1">
        <f t="shared" si="91"/>
        <v>1.3907478935738282</v>
      </c>
      <c r="DO621" s="1">
        <f t="shared" si="92"/>
        <v>0</v>
      </c>
      <c r="DQ621" s="1" t="s">
        <v>2</v>
      </c>
      <c r="DR621" s="101">
        <f t="shared" si="93"/>
        <v>11.132599999999998</v>
      </c>
      <c r="DS621" s="100">
        <f t="shared" si="94"/>
        <v>1.3907478935738282</v>
      </c>
      <c r="DT621" s="101">
        <f t="shared" si="95"/>
        <v>154.82639999999998</v>
      </c>
      <c r="DV621" s="16">
        <f t="shared" si="96"/>
        <v>0</v>
      </c>
      <c r="DZ621" s="37" t="s">
        <v>2</v>
      </c>
      <c r="EA621" s="37" t="s">
        <v>136</v>
      </c>
      <c r="EM621" s="73" t="s">
        <v>136</v>
      </c>
      <c r="EN621" s="37"/>
      <c r="EO621" s="37"/>
      <c r="EP621" s="37"/>
      <c r="EQ621" s="37"/>
      <c r="ER621" s="37"/>
      <c r="ES621" s="37"/>
      <c r="ET621" s="37"/>
      <c r="EU621" s="37"/>
      <c r="EV621" s="37"/>
      <c r="EW621" s="37"/>
      <c r="EX621" s="37"/>
      <c r="EY621" s="37"/>
      <c r="EZ621" s="37"/>
      <c r="FA621" s="37"/>
      <c r="FB621" s="37"/>
      <c r="FC621" s="37"/>
      <c r="FD621" s="37"/>
      <c r="FE621" s="37"/>
      <c r="FF621" s="55"/>
      <c r="FG621" s="55"/>
      <c r="FH621" s="55"/>
      <c r="FI621" s="37"/>
      <c r="FJ621" s="55"/>
      <c r="FK621" s="55"/>
      <c r="FL621" s="45"/>
      <c r="FM621" s="37"/>
      <c r="FN621" s="37"/>
      <c r="FO621" s="37"/>
      <c r="FP621" s="55" t="s">
        <v>136</v>
      </c>
      <c r="FQ621" s="1" t="s">
        <v>2</v>
      </c>
      <c r="FR621" s="1" t="s">
        <v>31</v>
      </c>
      <c r="FS621" s="1" t="s">
        <v>469</v>
      </c>
      <c r="FT621" s="1" t="s">
        <v>469</v>
      </c>
      <c r="FV621" s="1" t="s">
        <v>2</v>
      </c>
    </row>
    <row r="622" spans="1:178" ht="16.25" customHeight="1" x14ac:dyDescent="0.2">
      <c r="A622" s="18" t="s">
        <v>177</v>
      </c>
      <c r="B622" s="1" t="s">
        <v>112</v>
      </c>
      <c r="C622" s="80" t="s">
        <v>996</v>
      </c>
      <c r="H622" s="1" t="s">
        <v>131</v>
      </c>
      <c r="K622" s="1">
        <v>5.0999999999999996</v>
      </c>
      <c r="S622" s="1">
        <v>1.56</v>
      </c>
      <c r="AF622" s="1">
        <f>4.3+30.3</f>
        <v>34.6</v>
      </c>
      <c r="AN622" s="13">
        <f>(0.69*4.3+0.96*30.3)/AF622</f>
        <v>0.92644508670520231</v>
      </c>
      <c r="BA622" s="1">
        <v>20.9</v>
      </c>
      <c r="BI622" s="1">
        <v>0.63</v>
      </c>
      <c r="BV622" s="1">
        <v>5.3</v>
      </c>
      <c r="CD622" s="1">
        <v>1.43</v>
      </c>
      <c r="CQ622" s="1">
        <v>30.1</v>
      </c>
      <c r="CY622" s="1">
        <v>0.89</v>
      </c>
      <c r="DL622" s="18" t="s">
        <v>96</v>
      </c>
      <c r="DN622" s="1">
        <f t="shared" si="91"/>
        <v>0.87752475247524742</v>
      </c>
      <c r="DO622" s="1">
        <f t="shared" si="92"/>
        <v>0</v>
      </c>
      <c r="DP622" s="1" t="s">
        <v>185</v>
      </c>
      <c r="DQ622" s="1" t="s">
        <v>2</v>
      </c>
      <c r="DR622" s="16">
        <f t="shared" si="93"/>
        <v>60.6</v>
      </c>
      <c r="DS622" s="100">
        <f t="shared" si="94"/>
        <v>0.87752475247524742</v>
      </c>
      <c r="DT622" s="101">
        <f t="shared" si="95"/>
        <v>531.78</v>
      </c>
      <c r="DV622" s="16">
        <f t="shared" si="96"/>
        <v>35.4</v>
      </c>
      <c r="DW622" s="100">
        <f>(BV622*CD622+CQ622*CY622)/DV622</f>
        <v>0.97084745762711877</v>
      </c>
      <c r="DX622" s="101">
        <f>1000*DV622*DW622/100</f>
        <v>343.68000000000006</v>
      </c>
      <c r="DZ622" s="37" t="s">
        <v>2</v>
      </c>
      <c r="EA622" s="37" t="s">
        <v>112</v>
      </c>
      <c r="EM622" s="73" t="s">
        <v>112</v>
      </c>
      <c r="EN622" s="37"/>
      <c r="EO622" s="37"/>
      <c r="EP622" s="37"/>
      <c r="EQ622" s="37"/>
      <c r="ER622" s="37"/>
      <c r="ES622" s="37"/>
      <c r="ET622" s="37"/>
      <c r="EU622" s="37"/>
      <c r="EV622" s="37"/>
      <c r="EW622" s="37"/>
      <c r="EX622" s="37"/>
      <c r="EY622" s="37"/>
      <c r="EZ622" s="37"/>
      <c r="FA622" s="37"/>
      <c r="FB622" s="37"/>
      <c r="FC622" s="37"/>
      <c r="FD622" s="37"/>
      <c r="FE622" s="37"/>
      <c r="FF622" s="55"/>
      <c r="FG622" s="55"/>
      <c r="FH622" s="55"/>
      <c r="FI622" s="37"/>
      <c r="FJ622" s="55"/>
      <c r="FK622" s="55"/>
      <c r="FL622" s="45"/>
      <c r="FM622" s="37"/>
      <c r="FN622" s="37"/>
      <c r="FO622" s="37"/>
      <c r="FP622" s="55" t="s">
        <v>112</v>
      </c>
      <c r="FQ622" s="1" t="s">
        <v>2</v>
      </c>
      <c r="FR622" s="1" t="s">
        <v>118</v>
      </c>
      <c r="FS622" s="1" t="s">
        <v>176</v>
      </c>
      <c r="FT622" s="1" t="s">
        <v>1019</v>
      </c>
      <c r="FV622" s="1" t="s">
        <v>2</v>
      </c>
    </row>
    <row r="623" spans="1:178" ht="16.25" customHeight="1" x14ac:dyDescent="0.2">
      <c r="A623" s="18" t="s">
        <v>177</v>
      </c>
      <c r="B623" s="1" t="s">
        <v>112</v>
      </c>
      <c r="C623" s="80" t="s">
        <v>1000</v>
      </c>
      <c r="F623" s="81"/>
      <c r="H623" s="1" t="s">
        <v>131</v>
      </c>
      <c r="K623" s="1">
        <v>0</v>
      </c>
      <c r="AF623" s="14">
        <f>43.656+78.218+9.196906</f>
        <v>131.07090600000001</v>
      </c>
      <c r="AG623" s="2">
        <f>(0.099*43.656+0.012*78.218+0.067*9.196906)/AF623</f>
        <v>4.4836439156070225E-2</v>
      </c>
      <c r="AN623" s="2">
        <f>(0.011*43.656+0.019*78.218+0.05*9.196906)/AF623</f>
        <v>1.8510616688649423E-2</v>
      </c>
      <c r="AO623" s="2">
        <f>(0.055*43.656+0.043*78.218+0.165*9.196906)/AF623</f>
        <v>5.5557283551545752E-2</v>
      </c>
      <c r="BA623" s="13">
        <v>54.712288999999998</v>
      </c>
      <c r="BB623" s="2">
        <v>0.03</v>
      </c>
      <c r="BI623" s="1">
        <v>2.4E-2</v>
      </c>
      <c r="BJ623" s="1">
        <v>6.6000000000000003E-2</v>
      </c>
      <c r="BV623" s="1">
        <v>0</v>
      </c>
      <c r="CQ623" s="1">
        <v>0</v>
      </c>
      <c r="DL623" s="18" t="s">
        <v>96</v>
      </c>
      <c r="DM623" s="1" t="s">
        <v>96</v>
      </c>
      <c r="DN623" s="1">
        <f t="shared" si="91"/>
        <v>2.0127214606251116E-2</v>
      </c>
      <c r="DO623" s="1">
        <f t="shared" si="92"/>
        <v>5.863261509739888E-2</v>
      </c>
      <c r="DP623" s="1" t="s">
        <v>1024</v>
      </c>
      <c r="DQ623" s="1" t="s">
        <v>2</v>
      </c>
      <c r="DR623" s="101">
        <f t="shared" si="93"/>
        <v>185.78319500000001</v>
      </c>
      <c r="DS623" s="103">
        <f t="shared" si="94"/>
        <v>2.0127214606251116E-2</v>
      </c>
      <c r="DT623" s="101">
        <f t="shared" si="95"/>
        <v>37.392982359999998</v>
      </c>
      <c r="DV623" s="16">
        <f t="shared" si="96"/>
        <v>0</v>
      </c>
      <c r="DZ623" s="37" t="s">
        <v>2</v>
      </c>
      <c r="EA623" s="37"/>
      <c r="EM623" s="73"/>
      <c r="EN623" s="37"/>
      <c r="EO623" s="37"/>
      <c r="EP623" s="37"/>
      <c r="EQ623" s="37"/>
      <c r="ER623" s="37"/>
      <c r="ES623" s="37"/>
      <c r="ET623" s="37"/>
      <c r="EU623" s="37"/>
      <c r="EV623" s="37"/>
      <c r="EW623" s="37"/>
      <c r="EX623" s="37"/>
      <c r="EY623" s="37"/>
      <c r="EZ623" s="37"/>
      <c r="FA623" s="37"/>
      <c r="FB623" s="37"/>
      <c r="FC623" s="37"/>
      <c r="FD623" s="37"/>
      <c r="FE623" s="37"/>
      <c r="FF623" s="55"/>
      <c r="FG623" s="55"/>
      <c r="FH623" s="55"/>
      <c r="FI623" s="37"/>
      <c r="FJ623" s="55"/>
      <c r="FK623" s="55"/>
      <c r="FL623" s="45"/>
      <c r="FM623" s="37"/>
      <c r="FN623" s="37"/>
      <c r="FO623" s="37"/>
      <c r="FP623" s="55"/>
      <c r="FQ623" s="1" t="s">
        <v>2</v>
      </c>
      <c r="FR623" s="1" t="s">
        <v>118</v>
      </c>
      <c r="FS623" s="1" t="s">
        <v>176</v>
      </c>
      <c r="FT623" s="1" t="s">
        <v>1025</v>
      </c>
      <c r="FV623" s="1" t="s">
        <v>2</v>
      </c>
    </row>
    <row r="624" spans="1:178" ht="16.25" customHeight="1" x14ac:dyDescent="0.2">
      <c r="A624" s="18" t="s">
        <v>177</v>
      </c>
      <c r="B624" s="1" t="s">
        <v>112</v>
      </c>
      <c r="C624" s="15" t="s">
        <v>1012</v>
      </c>
      <c r="H624" s="1" t="s">
        <v>1013</v>
      </c>
      <c r="K624" s="1">
        <v>0</v>
      </c>
      <c r="AF624" s="1">
        <v>5.65</v>
      </c>
      <c r="AG624" s="13">
        <v>0.2</v>
      </c>
      <c r="AN624" s="1">
        <v>1.01</v>
      </c>
      <c r="AO624" s="1">
        <v>7.0000000000000007E-2</v>
      </c>
      <c r="AP624" s="1">
        <v>0.03</v>
      </c>
      <c r="AQ624" s="1">
        <v>0.6</v>
      </c>
      <c r="BA624" s="1">
        <v>0.36</v>
      </c>
      <c r="BB624" s="13">
        <v>0.2</v>
      </c>
      <c r="BI624" s="1">
        <v>0.84</v>
      </c>
      <c r="BJ624" s="1">
        <v>7.0000000000000007E-2</v>
      </c>
      <c r="BK624" s="1">
        <v>0.03</v>
      </c>
      <c r="BL624" s="1">
        <v>0.6</v>
      </c>
      <c r="BV624" s="1">
        <v>0</v>
      </c>
      <c r="CQ624" s="1">
        <v>0</v>
      </c>
      <c r="DL624" s="18" t="s">
        <v>96</v>
      </c>
      <c r="DN624" s="1">
        <f t="shared" si="91"/>
        <v>0.99981697171381034</v>
      </c>
      <c r="DO624" s="1">
        <f t="shared" si="92"/>
        <v>7.0000000000000007E-2</v>
      </c>
      <c r="DP624" s="1" t="s">
        <v>1022</v>
      </c>
      <c r="DQ624" s="1" t="s">
        <v>2</v>
      </c>
      <c r="DR624" s="16">
        <f t="shared" si="93"/>
        <v>6.0100000000000007</v>
      </c>
      <c r="DS624" s="100">
        <f t="shared" si="94"/>
        <v>0.99981697171381034</v>
      </c>
      <c r="DT624" s="101">
        <f t="shared" si="95"/>
        <v>60.089000000000013</v>
      </c>
      <c r="DV624" s="16">
        <f t="shared" si="96"/>
        <v>0</v>
      </c>
      <c r="DZ624" s="37" t="s">
        <v>2</v>
      </c>
      <c r="EA624" s="37"/>
      <c r="EM624" s="73"/>
      <c r="EN624" s="37"/>
      <c r="EO624" s="37"/>
      <c r="EP624" s="37"/>
      <c r="EQ624" s="37"/>
      <c r="ER624" s="37"/>
      <c r="ES624" s="37"/>
      <c r="ET624" s="37"/>
      <c r="EU624" s="37"/>
      <c r="EV624" s="37"/>
      <c r="EW624" s="37"/>
      <c r="EX624" s="37"/>
      <c r="EY624" s="37"/>
      <c r="EZ624" s="37"/>
      <c r="FA624" s="37"/>
      <c r="FB624" s="37"/>
      <c r="FC624" s="37"/>
      <c r="FD624" s="37"/>
      <c r="FE624" s="37"/>
      <c r="FF624" s="55"/>
      <c r="FG624" s="55"/>
      <c r="FH624" s="55"/>
      <c r="FI624" s="37"/>
      <c r="FJ624" s="55"/>
      <c r="FK624" s="55"/>
      <c r="FL624" s="45"/>
      <c r="FM624" s="37"/>
      <c r="FN624" s="37"/>
      <c r="FO624" s="37"/>
      <c r="FP624" s="55"/>
      <c r="FQ624" s="1" t="s">
        <v>2</v>
      </c>
      <c r="FR624" s="1" t="s">
        <v>113</v>
      </c>
      <c r="FS624" s="1" t="s">
        <v>129</v>
      </c>
      <c r="FV624" s="1" t="s">
        <v>2</v>
      </c>
    </row>
    <row r="625" spans="1:178" ht="16.25" customHeight="1" x14ac:dyDescent="0.2">
      <c r="A625" s="18" t="s">
        <v>177</v>
      </c>
      <c r="B625" s="1" t="s">
        <v>107</v>
      </c>
      <c r="C625" s="15" t="s">
        <v>880</v>
      </c>
      <c r="D625" s="1" t="s">
        <v>69</v>
      </c>
      <c r="H625" s="1" t="s">
        <v>131</v>
      </c>
      <c r="K625" s="1">
        <v>3.55</v>
      </c>
      <c r="S625" s="1">
        <v>0.96</v>
      </c>
      <c r="AF625" s="1">
        <v>37.627000000000002</v>
      </c>
      <c r="AN625" s="1">
        <v>0.56999999999999995</v>
      </c>
      <c r="BA625" s="1">
        <v>10.55</v>
      </c>
      <c r="BI625" s="1">
        <v>0.62</v>
      </c>
      <c r="BV625" s="1">
        <v>1.72</v>
      </c>
      <c r="CD625" s="1">
        <v>1.07</v>
      </c>
      <c r="CQ625" s="1">
        <v>0.69</v>
      </c>
      <c r="CR625" s="1">
        <v>1.08</v>
      </c>
      <c r="DL625" s="18" t="s">
        <v>96</v>
      </c>
      <c r="DN625" s="1">
        <f t="shared" si="91"/>
        <v>0.60696328803139554</v>
      </c>
      <c r="DO625" s="1">
        <f t="shared" si="92"/>
        <v>0</v>
      </c>
      <c r="DP625" s="1" t="s">
        <v>164</v>
      </c>
      <c r="DQ625" s="1" t="s">
        <v>2</v>
      </c>
      <c r="DR625" s="100">
        <f t="shared" si="93"/>
        <v>51.727000000000004</v>
      </c>
      <c r="DS625" s="100">
        <f t="shared" si="94"/>
        <v>0.60696328803139554</v>
      </c>
      <c r="DT625" s="101">
        <f t="shared" si="95"/>
        <v>313.96390000000002</v>
      </c>
      <c r="DV625" s="16">
        <f t="shared" si="96"/>
        <v>2.41</v>
      </c>
      <c r="DW625" s="100">
        <f>(BV625*CD625+CQ625*CY625)/DV625</f>
        <v>0.76365145228215769</v>
      </c>
      <c r="DX625" s="101">
        <f>1000*DV625*DW625/100</f>
        <v>18.404</v>
      </c>
      <c r="DZ625" s="37" t="s">
        <v>2</v>
      </c>
      <c r="EA625" s="37" t="s">
        <v>107</v>
      </c>
      <c r="EM625" s="73" t="s">
        <v>107</v>
      </c>
      <c r="EN625" s="37"/>
      <c r="EO625" s="37"/>
      <c r="EP625" s="37"/>
      <c r="EQ625" s="37"/>
      <c r="ER625" s="37"/>
      <c r="ES625" s="37"/>
      <c r="ET625" s="37"/>
      <c r="EU625" s="37"/>
      <c r="EV625" s="37"/>
      <c r="EW625" s="37"/>
      <c r="EX625" s="37"/>
      <c r="EY625" s="37"/>
      <c r="EZ625" s="37"/>
      <c r="FA625" s="37"/>
      <c r="FB625" s="37"/>
      <c r="FC625" s="37"/>
      <c r="FD625" s="37"/>
      <c r="FE625" s="37"/>
      <c r="FF625" s="55"/>
      <c r="FG625" s="55"/>
      <c r="FH625" s="55"/>
      <c r="FI625" s="37"/>
      <c r="FJ625" s="55"/>
      <c r="FK625" s="55"/>
      <c r="FL625" s="45"/>
      <c r="FM625" s="37"/>
      <c r="FN625" s="37"/>
      <c r="FO625" s="37"/>
      <c r="FP625" s="55" t="s">
        <v>107</v>
      </c>
      <c r="FQ625" s="1" t="s">
        <v>2</v>
      </c>
      <c r="FR625" s="1" t="s">
        <v>113</v>
      </c>
      <c r="FS625" s="1" t="s">
        <v>223</v>
      </c>
      <c r="FV625" s="1" t="s">
        <v>2</v>
      </c>
    </row>
    <row r="626" spans="1:178" ht="16.25" customHeight="1" x14ac:dyDescent="0.2">
      <c r="A626" s="18" t="s">
        <v>177</v>
      </c>
      <c r="B626" s="1" t="s">
        <v>107</v>
      </c>
      <c r="C626" s="15" t="s">
        <v>1270</v>
      </c>
      <c r="H626" s="1" t="s">
        <v>1208</v>
      </c>
      <c r="K626" s="1">
        <v>38.700000000000003</v>
      </c>
      <c r="L626" s="1">
        <v>0.14000000000000001</v>
      </c>
      <c r="M626" s="13">
        <v>0.29925000000000002</v>
      </c>
      <c r="S626" s="1">
        <v>0.22</v>
      </c>
      <c r="U626" s="13">
        <v>1.9351500000000001</v>
      </c>
      <c r="V626" s="13">
        <v>1.5880200000000002</v>
      </c>
      <c r="W626" s="13">
        <v>0.16359000000000001</v>
      </c>
      <c r="X626" s="13"/>
      <c r="Y626" s="13"/>
      <c r="AF626" s="1">
        <v>138.9</v>
      </c>
      <c r="AG626" s="1">
        <v>0.14000000000000001</v>
      </c>
      <c r="AH626" s="13">
        <v>0.31574999999999998</v>
      </c>
      <c r="AN626" s="1">
        <v>0.22</v>
      </c>
      <c r="AP626" s="13">
        <v>2.0418499999999997</v>
      </c>
      <c r="AQ626" s="13">
        <v>1.6755800000000001</v>
      </c>
      <c r="AR626" s="13">
        <v>0.17261000000000001</v>
      </c>
      <c r="AS626" s="13"/>
      <c r="AT626" s="13"/>
      <c r="BA626" s="1">
        <v>47.4</v>
      </c>
      <c r="BB626" s="1">
        <v>0.14000000000000001</v>
      </c>
      <c r="BC626" s="13">
        <v>0.31725000000000003</v>
      </c>
      <c r="BI626" s="1">
        <v>0.22</v>
      </c>
      <c r="BK626" s="13">
        <v>2.0515500000000002</v>
      </c>
      <c r="BL626" s="13">
        <v>1.6835400000000003</v>
      </c>
      <c r="BM626" s="13">
        <v>0.17343000000000003</v>
      </c>
      <c r="BN626" s="13"/>
      <c r="BO626" s="13"/>
      <c r="BV626" s="1">
        <v>25.4</v>
      </c>
      <c r="BW626" s="1">
        <v>0.14000000000000001</v>
      </c>
      <c r="BX626" s="13">
        <v>0.25124999999999997</v>
      </c>
      <c r="CD626" s="1">
        <v>0.22</v>
      </c>
      <c r="CF626" s="13">
        <v>1.6247499999999999</v>
      </c>
      <c r="CG626" s="13">
        <v>1.3333000000000002</v>
      </c>
      <c r="CH626" s="13">
        <v>0.13735</v>
      </c>
      <c r="CI626" s="13"/>
      <c r="CJ626" s="13"/>
      <c r="CQ626" s="14">
        <v>27</v>
      </c>
      <c r="CR626" s="1">
        <v>0.14000000000000001</v>
      </c>
      <c r="CS626" s="13">
        <v>0.24449999999999997</v>
      </c>
      <c r="CY626" s="1">
        <v>0.22</v>
      </c>
      <c r="DA626" s="13">
        <v>1.5810999999999999</v>
      </c>
      <c r="DB626" s="13">
        <v>1.29748</v>
      </c>
      <c r="DC626" s="13">
        <v>0.13366</v>
      </c>
      <c r="DD626" s="13"/>
      <c r="DE626" s="13"/>
      <c r="DL626" s="18" t="s">
        <v>96</v>
      </c>
      <c r="DN626" s="1">
        <f t="shared" si="91"/>
        <v>0.21999999999999997</v>
      </c>
      <c r="DO626" s="1">
        <f t="shared" si="92"/>
        <v>0</v>
      </c>
      <c r="DP626" s="1" t="s">
        <v>73</v>
      </c>
      <c r="DQ626" s="1" t="s">
        <v>2</v>
      </c>
      <c r="DR626" s="16">
        <f t="shared" si="93"/>
        <v>225.00000000000003</v>
      </c>
      <c r="DS626" s="16">
        <f t="shared" si="94"/>
        <v>0.21999999999999997</v>
      </c>
      <c r="DT626" s="101">
        <f t="shared" si="95"/>
        <v>495</v>
      </c>
      <c r="DV626" s="16">
        <f t="shared" si="96"/>
        <v>52.4</v>
      </c>
      <c r="DW626" s="100">
        <f>(BV626*CD626+CQ626*CY626)/DV626</f>
        <v>0.22</v>
      </c>
      <c r="DX626" s="101">
        <f>1000*DV626*DW626/100</f>
        <v>115.28</v>
      </c>
      <c r="DZ626" s="37" t="s">
        <v>2</v>
      </c>
      <c r="EA626" s="37"/>
      <c r="EM626" s="73"/>
      <c r="EN626" s="37"/>
      <c r="EO626" s="37"/>
      <c r="EP626" s="37"/>
      <c r="EQ626" s="37"/>
      <c r="ER626" s="37"/>
      <c r="ES626" s="37"/>
      <c r="ET626" s="37"/>
      <c r="EU626" s="37"/>
      <c r="EV626" s="37"/>
      <c r="EW626" s="37"/>
      <c r="EX626" s="37"/>
      <c r="EY626" s="37"/>
      <c r="EZ626" s="37"/>
      <c r="FA626" s="37"/>
      <c r="FB626" s="37"/>
      <c r="FC626" s="37"/>
      <c r="FD626" s="37"/>
      <c r="FE626" s="37"/>
      <c r="FF626" s="55"/>
      <c r="FG626" s="55"/>
      <c r="FH626" s="55"/>
      <c r="FI626" s="37"/>
      <c r="FJ626" s="55"/>
      <c r="FK626" s="55"/>
      <c r="FL626" s="45"/>
      <c r="FM626" s="37"/>
      <c r="FN626" s="37"/>
      <c r="FO626" s="37"/>
      <c r="FP626" s="55"/>
      <c r="FQ626" s="1" t="s">
        <v>2</v>
      </c>
      <c r="FR626" s="1" t="s">
        <v>113</v>
      </c>
      <c r="FS626" s="1" t="s">
        <v>261</v>
      </c>
      <c r="FT626" s="1" t="s">
        <v>589</v>
      </c>
      <c r="FV626" s="1" t="s">
        <v>2</v>
      </c>
    </row>
    <row r="627" spans="1:178" ht="16.25" customHeight="1" x14ac:dyDescent="0.2">
      <c r="A627" s="18" t="s">
        <v>177</v>
      </c>
      <c r="B627" s="1" t="s">
        <v>107</v>
      </c>
      <c r="C627" s="15" t="s">
        <v>1271</v>
      </c>
      <c r="H627" s="1" t="s">
        <v>1272</v>
      </c>
      <c r="K627" s="1">
        <v>28.4</v>
      </c>
      <c r="L627" s="1">
        <v>0.11</v>
      </c>
      <c r="M627" s="13">
        <v>0.28859999999999997</v>
      </c>
      <c r="S627" s="1">
        <v>0.14000000000000001</v>
      </c>
      <c r="T627" s="1">
        <v>0.05</v>
      </c>
      <c r="U627" s="13">
        <v>1.7862</v>
      </c>
      <c r="V627" s="13">
        <v>1.3922999999999999</v>
      </c>
      <c r="W627" s="13">
        <v>0.15209999999999999</v>
      </c>
      <c r="X627" s="13">
        <v>0.156</v>
      </c>
      <c r="Y627" s="13">
        <v>0.12479999999999999</v>
      </c>
      <c r="AF627" s="1">
        <v>15.4</v>
      </c>
      <c r="AG627" s="1">
        <v>0.11</v>
      </c>
      <c r="AH627" s="13">
        <v>0.28119999999999995</v>
      </c>
      <c r="AN627" s="1">
        <v>0.14000000000000001</v>
      </c>
      <c r="AO627" s="1">
        <v>0.05</v>
      </c>
      <c r="AP627" s="13">
        <v>1.7403999999999999</v>
      </c>
      <c r="AQ627" s="13">
        <v>1.3565999999999998</v>
      </c>
      <c r="AR627" s="13">
        <v>0.1482</v>
      </c>
      <c r="AS627" s="13">
        <v>0.152</v>
      </c>
      <c r="AT627" s="13">
        <v>0.1216</v>
      </c>
      <c r="BA627" s="1">
        <v>13.4</v>
      </c>
      <c r="BB627" s="1">
        <v>0.11</v>
      </c>
      <c r="BC627" s="13">
        <v>0.26882985074626864</v>
      </c>
      <c r="BI627" s="1">
        <v>0.14000000000000001</v>
      </c>
      <c r="BJ627" s="1">
        <v>0.05</v>
      </c>
      <c r="BK627" s="13">
        <v>1.6638388059701492</v>
      </c>
      <c r="BL627" s="13">
        <v>1.2969223880597014</v>
      </c>
      <c r="BM627" s="13">
        <v>0.14168059701492536</v>
      </c>
      <c r="BN627" s="13">
        <v>0.1453134328358209</v>
      </c>
      <c r="BO627" s="13">
        <v>0.11625074626865671</v>
      </c>
      <c r="BV627" s="1">
        <v>10.9</v>
      </c>
      <c r="BW627" s="1">
        <v>0.11</v>
      </c>
      <c r="BX627" s="13">
        <v>0.27379999999999999</v>
      </c>
      <c r="CD627" s="1">
        <v>0.14000000000000001</v>
      </c>
      <c r="CE627" s="1">
        <v>0.05</v>
      </c>
      <c r="CF627" s="13">
        <v>1.6946000000000001</v>
      </c>
      <c r="CG627" s="13">
        <v>1.3209</v>
      </c>
      <c r="CH627" s="13">
        <v>0.14430000000000001</v>
      </c>
      <c r="CI627" s="13">
        <v>0.14800000000000002</v>
      </c>
      <c r="CJ627" s="13">
        <v>0.11840000000000001</v>
      </c>
      <c r="CQ627" s="1">
        <v>5.6</v>
      </c>
      <c r="CR627" s="1">
        <v>0.11</v>
      </c>
      <c r="CS627" s="13">
        <v>0.26639999999999997</v>
      </c>
      <c r="CY627" s="1">
        <v>0.14000000000000001</v>
      </c>
      <c r="CZ627" s="1">
        <v>0.05</v>
      </c>
      <c r="DA627" s="13">
        <v>1.6488</v>
      </c>
      <c r="DB627" s="13">
        <v>1.2851999999999999</v>
      </c>
      <c r="DC627" s="13">
        <v>0.1404</v>
      </c>
      <c r="DD627" s="13">
        <v>0.14400000000000002</v>
      </c>
      <c r="DE627" s="13">
        <v>0.11520000000000001</v>
      </c>
      <c r="DL627" s="18" t="s">
        <v>96</v>
      </c>
      <c r="DM627" s="1" t="s">
        <v>96</v>
      </c>
      <c r="DN627" s="1">
        <f t="shared" si="91"/>
        <v>0.13999999999999999</v>
      </c>
      <c r="DO627" s="1">
        <f t="shared" si="92"/>
        <v>0.05</v>
      </c>
      <c r="DP627" s="1" t="s">
        <v>73</v>
      </c>
      <c r="DQ627" s="1" t="s">
        <v>2</v>
      </c>
      <c r="DR627" s="16">
        <f t="shared" si="93"/>
        <v>57.199999999999996</v>
      </c>
      <c r="DS627" s="16">
        <f t="shared" si="94"/>
        <v>0.13999999999999999</v>
      </c>
      <c r="DT627" s="101">
        <f t="shared" si="95"/>
        <v>80.079999999999984</v>
      </c>
      <c r="DV627" s="16">
        <f t="shared" si="96"/>
        <v>16.5</v>
      </c>
      <c r="DW627" s="100">
        <f>(BV627*CD627+CQ627*CY627)/DV627</f>
        <v>0.14000000000000004</v>
      </c>
      <c r="DX627" s="101">
        <f>1000*DV627*DW627/100</f>
        <v>23.100000000000005</v>
      </c>
      <c r="DZ627" s="37" t="s">
        <v>2</v>
      </c>
      <c r="EA627" s="37"/>
      <c r="EM627" s="73"/>
      <c r="EN627" s="37"/>
      <c r="EO627" s="37"/>
      <c r="EP627" s="37"/>
      <c r="EQ627" s="37"/>
      <c r="ER627" s="37"/>
      <c r="ES627" s="37"/>
      <c r="ET627" s="37"/>
      <c r="EU627" s="37"/>
      <c r="EV627" s="37"/>
      <c r="EW627" s="37"/>
      <c r="EX627" s="37"/>
      <c r="EY627" s="37"/>
      <c r="EZ627" s="37"/>
      <c r="FA627" s="37"/>
      <c r="FB627" s="37"/>
      <c r="FC627" s="37"/>
      <c r="FD627" s="37"/>
      <c r="FE627" s="37"/>
      <c r="FF627" s="55"/>
      <c r="FG627" s="55"/>
      <c r="FH627" s="55"/>
      <c r="FI627" s="37"/>
      <c r="FJ627" s="55"/>
      <c r="FK627" s="55"/>
      <c r="FL627" s="45"/>
      <c r="FM627" s="37"/>
      <c r="FN627" s="37"/>
      <c r="FO627" s="37"/>
      <c r="FP627" s="55"/>
      <c r="FQ627" s="1" t="s">
        <v>2</v>
      </c>
      <c r="FR627" s="1" t="s">
        <v>113</v>
      </c>
      <c r="FS627" s="1" t="s">
        <v>261</v>
      </c>
      <c r="FT627" s="1" t="s">
        <v>589</v>
      </c>
      <c r="FV627" s="1" t="s">
        <v>2</v>
      </c>
    </row>
    <row r="628" spans="1:178" ht="16.25" customHeight="1" x14ac:dyDescent="0.2">
      <c r="A628" s="18" t="s">
        <v>177</v>
      </c>
      <c r="B628" s="1" t="s">
        <v>107</v>
      </c>
      <c r="C628" s="15" t="s">
        <v>804</v>
      </c>
      <c r="D628" s="1" t="s">
        <v>69</v>
      </c>
      <c r="H628" s="1" t="s">
        <v>700</v>
      </c>
      <c r="K628" s="1">
        <v>181.10000000000002</v>
      </c>
      <c r="L628" s="13">
        <v>7.781336278299282E-2</v>
      </c>
      <c r="M628" s="13">
        <v>0.25274897846493649</v>
      </c>
      <c r="S628" s="13">
        <v>0.11468801766979568</v>
      </c>
      <c r="U628" s="13">
        <v>1.7395076753175041</v>
      </c>
      <c r="V628" s="13">
        <v>1.3826855880728877</v>
      </c>
      <c r="W628" s="13">
        <v>0.14495897294312532</v>
      </c>
      <c r="X628" s="13">
        <v>0.13009138597459965</v>
      </c>
      <c r="Y628" s="13">
        <v>6.3187244616234123E-2</v>
      </c>
      <c r="AF628" s="1">
        <v>613.4</v>
      </c>
      <c r="AG628" s="13">
        <v>9.414411477013368E-2</v>
      </c>
      <c r="AH628" s="13">
        <v>0.25417732637756768</v>
      </c>
      <c r="AN628" s="13">
        <v>0.12181121617215519</v>
      </c>
      <c r="AP628" s="13">
        <v>1.7493380697750247</v>
      </c>
      <c r="AQ628" s="13">
        <v>1.3904994913596349</v>
      </c>
      <c r="AR628" s="13">
        <v>0.14577817248125205</v>
      </c>
      <c r="AS628" s="13">
        <v>0.13082656504727749</v>
      </c>
      <c r="AT628" s="13">
        <v>6.354433159439192E-2</v>
      </c>
      <c r="BA628" s="1">
        <v>207.3</v>
      </c>
      <c r="BB628" s="13">
        <v>9.2233478051133605E-2</v>
      </c>
      <c r="BC628" s="13">
        <v>0.24833941148094546</v>
      </c>
      <c r="BI628" s="13">
        <v>0.1222334780511336</v>
      </c>
      <c r="BK628" s="13">
        <v>1.7091594790159188</v>
      </c>
      <c r="BL628" s="13">
        <v>1.3585626628075251</v>
      </c>
      <c r="BM628" s="13">
        <v>0.14242995658465987</v>
      </c>
      <c r="BN628" s="13">
        <v>0.12782175590931016</v>
      </c>
      <c r="BO628" s="13">
        <v>6.2084852870236365E-2</v>
      </c>
      <c r="BV628" s="1">
        <v>93.4</v>
      </c>
      <c r="BW628" s="1">
        <v>7.0000000000000007E-2</v>
      </c>
      <c r="BX628" s="13">
        <v>0.22712000000000002</v>
      </c>
      <c r="CD628" s="13">
        <v>0.1</v>
      </c>
      <c r="CF628" s="13">
        <v>1.5631200000000001</v>
      </c>
      <c r="CG628" s="13">
        <v>1.24248</v>
      </c>
      <c r="CH628" s="13">
        <v>0.13025999999999999</v>
      </c>
      <c r="CI628" s="13">
        <v>0.1169</v>
      </c>
      <c r="CJ628" s="13">
        <v>5.6780000000000004E-2</v>
      </c>
      <c r="CQ628" s="1">
        <v>132.9</v>
      </c>
      <c r="CR628" s="1">
        <v>7.0000000000000007E-2</v>
      </c>
      <c r="CS628" s="13">
        <v>0.22984000000000002</v>
      </c>
      <c r="CY628" s="13">
        <v>0.1</v>
      </c>
      <c r="DA628" s="13">
        <v>1.5818400000000001</v>
      </c>
      <c r="DB628" s="13">
        <v>1.25736</v>
      </c>
      <c r="DC628" s="13">
        <v>0.13181999999999999</v>
      </c>
      <c r="DD628" s="13">
        <v>0.1183</v>
      </c>
      <c r="DE628" s="13">
        <v>5.7460000000000004E-2</v>
      </c>
      <c r="DL628" s="18" t="s">
        <v>96</v>
      </c>
      <c r="DN628" s="1">
        <f t="shared" si="91"/>
        <v>0.12061090037931722</v>
      </c>
      <c r="DO628" s="1">
        <f t="shared" si="92"/>
        <v>0</v>
      </c>
      <c r="DP628" s="1" t="s">
        <v>73</v>
      </c>
      <c r="DQ628" s="1" t="s">
        <v>2</v>
      </c>
      <c r="DR628" s="104">
        <f t="shared" si="93"/>
        <v>1001.8</v>
      </c>
      <c r="DS628" s="100">
        <f t="shared" si="94"/>
        <v>0.12061090037931722</v>
      </c>
      <c r="DT628" s="102">
        <f t="shared" si="95"/>
        <v>1208.28</v>
      </c>
      <c r="DV628" s="16">
        <f t="shared" si="96"/>
        <v>226.3</v>
      </c>
      <c r="DW628" s="100">
        <f>(BV628*CD628+CQ628*CY628)/DV628</f>
        <v>0.1</v>
      </c>
      <c r="DX628" s="101">
        <f>1000*DV628*DW628/100</f>
        <v>226.3</v>
      </c>
      <c r="DZ628" s="37" t="s">
        <v>2</v>
      </c>
      <c r="EA628" s="37"/>
      <c r="EM628" s="73"/>
      <c r="EN628" s="37"/>
      <c r="EO628" s="37"/>
      <c r="EP628" s="37"/>
      <c r="EQ628" s="37"/>
      <c r="ER628" s="37"/>
      <c r="ES628" s="37"/>
      <c r="ET628" s="37"/>
      <c r="EU628" s="37"/>
      <c r="EV628" s="37"/>
      <c r="EW628" s="37"/>
      <c r="EX628" s="37"/>
      <c r="EY628" s="37"/>
      <c r="EZ628" s="37"/>
      <c r="FA628" s="37"/>
      <c r="FB628" s="37"/>
      <c r="FC628" s="37"/>
      <c r="FD628" s="37"/>
      <c r="FE628" s="37"/>
      <c r="FF628" s="55"/>
      <c r="FG628" s="55"/>
      <c r="FH628" s="55"/>
      <c r="FI628" s="37"/>
      <c r="FJ628" s="55"/>
      <c r="FK628" s="55"/>
      <c r="FL628" s="45"/>
      <c r="FM628" s="37"/>
      <c r="FN628" s="37"/>
      <c r="FO628" s="37"/>
      <c r="FP628" s="55"/>
      <c r="FQ628" s="1" t="s">
        <v>2</v>
      </c>
      <c r="FR628" s="1" t="s">
        <v>113</v>
      </c>
      <c r="FS628" s="1" t="s">
        <v>261</v>
      </c>
      <c r="FT628" s="1" t="s">
        <v>589</v>
      </c>
      <c r="FV628" s="1" t="s">
        <v>2</v>
      </c>
    </row>
    <row r="629" spans="1:178" ht="16.25" customHeight="1" x14ac:dyDescent="0.2">
      <c r="A629" s="18" t="s">
        <v>177</v>
      </c>
      <c r="B629" s="1" t="s">
        <v>107</v>
      </c>
      <c r="C629" s="81"/>
      <c r="E629" s="1" t="s">
        <v>19</v>
      </c>
      <c r="F629" s="1" t="s">
        <v>20</v>
      </c>
      <c r="G629" s="1" t="s">
        <v>21</v>
      </c>
      <c r="K629" s="1">
        <v>0</v>
      </c>
      <c r="AF629" s="1">
        <v>40.17</v>
      </c>
      <c r="AG629" s="1">
        <v>0.18</v>
      </c>
      <c r="AH629" s="13">
        <v>0.4</v>
      </c>
      <c r="AN629" s="1">
        <v>0.22</v>
      </c>
      <c r="AP629" s="1">
        <v>1.86</v>
      </c>
      <c r="AQ629" s="1">
        <v>1.42</v>
      </c>
      <c r="AR629" s="1">
        <v>0.13</v>
      </c>
      <c r="BA629" s="1">
        <v>41.61</v>
      </c>
      <c r="BB629" s="1">
        <v>0.17</v>
      </c>
      <c r="BC629" s="1">
        <v>0.37</v>
      </c>
      <c r="BI629" s="1">
        <v>0.21</v>
      </c>
      <c r="BK629" s="1">
        <v>1.74</v>
      </c>
      <c r="BL629" s="1">
        <v>1.23</v>
      </c>
      <c r="BM629" s="1">
        <v>0.13</v>
      </c>
      <c r="BV629" s="1">
        <v>0</v>
      </c>
      <c r="CQ629" s="1">
        <v>0</v>
      </c>
      <c r="DL629" s="18" t="s">
        <v>96</v>
      </c>
      <c r="DN629" s="1">
        <f t="shared" si="91"/>
        <v>0.21491195891415993</v>
      </c>
      <c r="DO629" s="1">
        <f t="shared" si="92"/>
        <v>0</v>
      </c>
      <c r="DP629" s="1" t="s">
        <v>1016</v>
      </c>
      <c r="DQ629" s="1" t="s">
        <v>2</v>
      </c>
      <c r="DR629" s="16">
        <f t="shared" si="93"/>
        <v>81.78</v>
      </c>
      <c r="DS629" s="100">
        <f t="shared" si="94"/>
        <v>0.21491195891415993</v>
      </c>
      <c r="DT629" s="101">
        <f t="shared" si="95"/>
        <v>175.755</v>
      </c>
      <c r="DV629" s="16">
        <f t="shared" si="96"/>
        <v>0</v>
      </c>
      <c r="DZ629" s="37" t="s">
        <v>2</v>
      </c>
      <c r="EA629" s="37"/>
      <c r="EM629" s="73"/>
      <c r="EN629" s="37"/>
      <c r="EO629" s="37"/>
      <c r="EP629" s="37"/>
      <c r="EQ629" s="37"/>
      <c r="ER629" s="37"/>
      <c r="ES629" s="37"/>
      <c r="ET629" s="37"/>
      <c r="EU629" s="37"/>
      <c r="EV629" s="37"/>
      <c r="EW629" s="37"/>
      <c r="EX629" s="37"/>
      <c r="EY629" s="37"/>
      <c r="EZ629" s="37"/>
      <c r="FA629" s="37"/>
      <c r="FB629" s="37"/>
      <c r="FC629" s="37"/>
      <c r="FD629" s="37"/>
      <c r="FE629" s="37"/>
      <c r="FF629" s="55"/>
      <c r="FG629" s="55"/>
      <c r="FH629" s="55"/>
      <c r="FI629" s="37"/>
      <c r="FJ629" s="55"/>
      <c r="FK629" s="55"/>
      <c r="FL629" s="45"/>
      <c r="FM629" s="37"/>
      <c r="FN629" s="37"/>
      <c r="FO629" s="37"/>
      <c r="FP629" s="55"/>
      <c r="FQ629" s="1" t="s">
        <v>2</v>
      </c>
      <c r="FR629" s="1" t="s">
        <v>113</v>
      </c>
      <c r="FS629" s="1" t="s">
        <v>261</v>
      </c>
      <c r="FT629" s="1" t="s">
        <v>589</v>
      </c>
      <c r="FV629" s="1" t="s">
        <v>2</v>
      </c>
    </row>
    <row r="630" spans="1:178" ht="16.25" customHeight="1" x14ac:dyDescent="0.2">
      <c r="A630" s="18" t="s">
        <v>177</v>
      </c>
      <c r="B630" s="1" t="s">
        <v>107</v>
      </c>
      <c r="C630" s="81"/>
      <c r="K630" s="1">
        <v>0</v>
      </c>
      <c r="AF630" s="1">
        <v>0</v>
      </c>
      <c r="BA630" s="1">
        <v>9.5399999999999991</v>
      </c>
      <c r="BB630" s="1">
        <v>0.13</v>
      </c>
      <c r="BC630" s="1">
        <v>0.32</v>
      </c>
      <c r="BI630" s="1">
        <v>0.15</v>
      </c>
      <c r="BK630" s="1">
        <v>1.92</v>
      </c>
      <c r="BL630" s="1">
        <v>1.28</v>
      </c>
      <c r="BM630" s="1">
        <v>0.15</v>
      </c>
      <c r="BV630" s="1">
        <v>0</v>
      </c>
      <c r="CQ630" s="1">
        <v>0</v>
      </c>
      <c r="DL630" s="18" t="s">
        <v>96</v>
      </c>
      <c r="DN630" s="1">
        <f t="shared" si="91"/>
        <v>0.15</v>
      </c>
      <c r="DO630" s="1">
        <f t="shared" si="92"/>
        <v>0</v>
      </c>
      <c r="DP630" s="1" t="s">
        <v>1016</v>
      </c>
      <c r="DQ630" s="1" t="s">
        <v>2</v>
      </c>
      <c r="DR630" s="16">
        <f t="shared" si="93"/>
        <v>9.5399999999999991</v>
      </c>
      <c r="DS630" s="16">
        <f t="shared" si="94"/>
        <v>0.15</v>
      </c>
      <c r="DT630" s="101">
        <f t="shared" si="95"/>
        <v>14.31</v>
      </c>
      <c r="DV630" s="16">
        <f t="shared" si="96"/>
        <v>0</v>
      </c>
      <c r="DZ630" s="37" t="s">
        <v>2</v>
      </c>
      <c r="EA630" s="37"/>
      <c r="EM630" s="73"/>
      <c r="EN630" s="37"/>
      <c r="EO630" s="37"/>
      <c r="EP630" s="37"/>
      <c r="EQ630" s="37"/>
      <c r="ER630" s="37"/>
      <c r="ES630" s="37"/>
      <c r="ET630" s="37"/>
      <c r="EU630" s="37"/>
      <c r="EV630" s="37"/>
      <c r="EW630" s="37"/>
      <c r="EX630" s="37"/>
      <c r="EY630" s="37"/>
      <c r="EZ630" s="37"/>
      <c r="FA630" s="37"/>
      <c r="FB630" s="37"/>
      <c r="FC630" s="37"/>
      <c r="FD630" s="37"/>
      <c r="FE630" s="37"/>
      <c r="FF630" s="55"/>
      <c r="FG630" s="55"/>
      <c r="FH630" s="55"/>
      <c r="FI630" s="37"/>
      <c r="FJ630" s="55"/>
      <c r="FK630" s="55"/>
      <c r="FL630" s="45"/>
      <c r="FM630" s="37"/>
      <c r="FN630" s="37"/>
      <c r="FO630" s="37"/>
      <c r="FP630" s="55"/>
      <c r="FQ630" s="1" t="s">
        <v>2</v>
      </c>
      <c r="FR630" s="1" t="s">
        <v>113</v>
      </c>
      <c r="FS630" s="1" t="s">
        <v>261</v>
      </c>
      <c r="FT630" s="1" t="s">
        <v>589</v>
      </c>
      <c r="FV630" s="1" t="s">
        <v>2</v>
      </c>
    </row>
    <row r="631" spans="1:178" ht="16.25" customHeight="1" x14ac:dyDescent="0.2">
      <c r="DQ631" s="1" t="s">
        <v>2</v>
      </c>
      <c r="DZ631" s="1" t="s">
        <v>2</v>
      </c>
      <c r="FQ631" s="1" t="s">
        <v>2</v>
      </c>
      <c r="FV631" s="1" t="s">
        <v>2</v>
      </c>
    </row>
  </sheetData>
  <autoFilter ref="C1:H631" xr:uid="{41C5393A-071D-4D2C-B977-00AB8802F074}">
    <filterColumn colId="2" showButton="0"/>
    <sortState xmlns:xlrd2="http://schemas.microsoft.com/office/spreadsheetml/2017/richdata2" ref="C2:H631">
      <sortCondition ref="C1:C631"/>
    </sortState>
  </autoFilter>
  <sortState xmlns:xlrd2="http://schemas.microsoft.com/office/spreadsheetml/2017/richdata2" ref="A3:GG630">
    <sortCondition ref="B4:B630"/>
    <sortCondition ref="FR4:FR630"/>
    <sortCondition ref="FS4:FS630"/>
  </sortState>
  <mergeCells count="19">
    <mergeCell ref="EN1:FD1"/>
    <mergeCell ref="FE1:FO1"/>
    <mergeCell ref="K2:AE2"/>
    <mergeCell ref="AF2:AZ2"/>
    <mergeCell ref="BA2:BU2"/>
    <mergeCell ref="BV2:CP2"/>
    <mergeCell ref="CQ2:DK2"/>
    <mergeCell ref="DR1:DU2"/>
    <mergeCell ref="DL1:DL3"/>
    <mergeCell ref="DM1:DM3"/>
    <mergeCell ref="ED1:EE1"/>
    <mergeCell ref="EF1:EG1"/>
    <mergeCell ref="EH1:EI1"/>
    <mergeCell ref="EJ1:EK1"/>
    <mergeCell ref="E1:F1"/>
    <mergeCell ref="K1:BU1"/>
    <mergeCell ref="BV1:DK1"/>
    <mergeCell ref="EB1:EC1"/>
    <mergeCell ref="DV1:DY2"/>
  </mergeCells>
  <conditionalFormatting sqref="DO569:DO574 DO4:DO10 DO12:DO17 DO19:DO163 DO244:DO258 DO264:DO269 DO271:DO283 DO285:DO317 DO319:DO330 DO416:DO448 DO464:DO471 DO488:DO490 DO601:DO602 DO607:DO608 DO612 DO614:DO617 DO623:DO624 DO629 DO192:DO224 DO335:DO380 DO382:DO384 DO501:DO527">
    <cfRule type="cellIs" dxfId="1196" priority="555" operator="greaterThan">
      <formula>0</formula>
    </cfRule>
  </conditionalFormatting>
  <conditionalFormatting sqref="DN569:DN574 DN4:DN10 DN12:DN17 DN19:DN163 DN244:DN258 DN264:DN269 DN271:DN283 DN285:DN317 DN319:DN330 DN416:DN448 DN464:DN471 DN488:DN490 DN601:DN602 DN607:DN608 DN612 DN614:DN617 DN623:DN624 DN629 DN192:DN224 DN335:DN380 DN382:DN384 DN501:DN527">
    <cfRule type="cellIs" dxfId="1195" priority="554" operator="greaterThan">
      <formula>0</formula>
    </cfRule>
  </conditionalFormatting>
  <conditionalFormatting sqref="DM569:DM574 DM4:DM10 DM12:DM17 DM19:DM61 DM264:DM283 DM287:DM317 DM319:DM330 DM339:DM342 DM335:DM337 DM416:DM439 DM465:DM471 DM488:DM490 DM601:DM602 DM607:DM608 DM612 DM614:DM617 DM623:DM624 DM629 DM192:DM220 DM344:DM380 DM382:DM384 DM501:DM527">
    <cfRule type="notContainsBlanks" dxfId="1194" priority="553">
      <formula>LEN(TRIM(DM4))&gt;0</formula>
    </cfRule>
  </conditionalFormatting>
  <conditionalFormatting sqref="DL4:DL630">
    <cfRule type="notContainsBlanks" dxfId="1193" priority="556">
      <formula>LEN(TRIM(DL4))&gt;0</formula>
    </cfRule>
  </conditionalFormatting>
  <conditionalFormatting sqref="DO166:DO169">
    <cfRule type="cellIs" dxfId="1192" priority="527" operator="greaterThan">
      <formula>0</formula>
    </cfRule>
  </conditionalFormatting>
  <conditionalFormatting sqref="DN166:DN169">
    <cfRule type="cellIs" dxfId="1191" priority="526" operator="greaterThan">
      <formula>0</formula>
    </cfRule>
  </conditionalFormatting>
  <conditionalFormatting sqref="DM63:DM163 DM166:DM169">
    <cfRule type="notContainsBlanks" dxfId="1190" priority="524">
      <formula>LEN(TRIM(DM63))&gt;0</formula>
    </cfRule>
  </conditionalFormatting>
  <conditionalFormatting sqref="DL63:DL163 DL166:DL169">
    <cfRule type="notContainsBlanks" dxfId="1189" priority="525">
      <formula>LEN(TRIM(DL63))&gt;0</formula>
    </cfRule>
  </conditionalFormatting>
  <conditionalFormatting sqref="DO171:DO190">
    <cfRule type="cellIs" dxfId="1188" priority="523" operator="greaterThan">
      <formula>0</formula>
    </cfRule>
  </conditionalFormatting>
  <conditionalFormatting sqref="DN171:DN190">
    <cfRule type="cellIs" dxfId="1187" priority="522" operator="greaterThan">
      <formula>0</formula>
    </cfRule>
  </conditionalFormatting>
  <conditionalFormatting sqref="DM171:DM190">
    <cfRule type="notContainsBlanks" dxfId="1186" priority="520">
      <formula>LEN(TRIM(DM171))&gt;0</formula>
    </cfRule>
  </conditionalFormatting>
  <conditionalFormatting sqref="DL171:DL190">
    <cfRule type="notContainsBlanks" dxfId="1185" priority="521">
      <formula>LEN(TRIM(DL171))&gt;0</formula>
    </cfRule>
  </conditionalFormatting>
  <conditionalFormatting sqref="DM221:DM224">
    <cfRule type="notContainsBlanks" dxfId="1184" priority="516">
      <formula>LEN(TRIM(DM221))&gt;0</formula>
    </cfRule>
  </conditionalFormatting>
  <conditionalFormatting sqref="DL221:DL224">
    <cfRule type="notContainsBlanks" dxfId="1183" priority="517">
      <formula>LEN(TRIM(DL221))&gt;0</formula>
    </cfRule>
  </conditionalFormatting>
  <conditionalFormatting sqref="DO225:DO226">
    <cfRule type="cellIs" dxfId="1182" priority="515" operator="greaterThan">
      <formula>0</formula>
    </cfRule>
  </conditionalFormatting>
  <conditionalFormatting sqref="DN225:DN226">
    <cfRule type="cellIs" dxfId="1181" priority="514" operator="greaterThan">
      <formula>0</formula>
    </cfRule>
  </conditionalFormatting>
  <conditionalFormatting sqref="DM225:DM226">
    <cfRule type="notContainsBlanks" dxfId="1180" priority="512">
      <formula>LEN(TRIM(DM225))&gt;0</formula>
    </cfRule>
  </conditionalFormatting>
  <conditionalFormatting sqref="DL225:DL226">
    <cfRule type="notContainsBlanks" dxfId="1179" priority="513">
      <formula>LEN(TRIM(DL225))&gt;0</formula>
    </cfRule>
  </conditionalFormatting>
  <conditionalFormatting sqref="DO228:DO230">
    <cfRule type="cellIs" dxfId="1178" priority="511" operator="greaterThan">
      <formula>0</formula>
    </cfRule>
  </conditionalFormatting>
  <conditionalFormatting sqref="DN228:DN230">
    <cfRule type="cellIs" dxfId="1177" priority="510" operator="greaterThan">
      <formula>0</formula>
    </cfRule>
  </conditionalFormatting>
  <conditionalFormatting sqref="DM228:DM230">
    <cfRule type="notContainsBlanks" dxfId="1176" priority="508">
      <formula>LEN(TRIM(DM228))&gt;0</formula>
    </cfRule>
  </conditionalFormatting>
  <conditionalFormatting sqref="DL228:DL230">
    <cfRule type="notContainsBlanks" dxfId="1175" priority="509">
      <formula>LEN(TRIM(DL228))&gt;0</formula>
    </cfRule>
  </conditionalFormatting>
  <conditionalFormatting sqref="DO233">
    <cfRule type="cellIs" dxfId="1174" priority="507" operator="greaterThan">
      <formula>0</formula>
    </cfRule>
  </conditionalFormatting>
  <conditionalFormatting sqref="DN233">
    <cfRule type="cellIs" dxfId="1173" priority="506" operator="greaterThan">
      <formula>0</formula>
    </cfRule>
  </conditionalFormatting>
  <conditionalFormatting sqref="DM233">
    <cfRule type="notContainsBlanks" dxfId="1172" priority="504">
      <formula>LEN(TRIM(DM233))&gt;0</formula>
    </cfRule>
  </conditionalFormatting>
  <conditionalFormatting sqref="DL233">
    <cfRule type="notContainsBlanks" dxfId="1171" priority="505">
      <formula>LEN(TRIM(DL233))&gt;0</formula>
    </cfRule>
  </conditionalFormatting>
  <conditionalFormatting sqref="DO235:DO237 DO239:DO242">
    <cfRule type="cellIs" dxfId="1170" priority="503" operator="greaterThan">
      <formula>0</formula>
    </cfRule>
  </conditionalFormatting>
  <conditionalFormatting sqref="DN235:DN237 DN239:DN242">
    <cfRule type="cellIs" dxfId="1169" priority="502" operator="greaterThan">
      <formula>0</formula>
    </cfRule>
  </conditionalFormatting>
  <conditionalFormatting sqref="DM235:DM237 DM239:DM242 DM244:DM255">
    <cfRule type="notContainsBlanks" dxfId="1168" priority="500">
      <formula>LEN(TRIM(DM235))&gt;0</formula>
    </cfRule>
  </conditionalFormatting>
  <conditionalFormatting sqref="DL235:DL237 DL239:DL242 DL244:DL255">
    <cfRule type="notContainsBlanks" dxfId="1167" priority="501">
      <formula>LEN(TRIM(DL235))&gt;0</formula>
    </cfRule>
  </conditionalFormatting>
  <conditionalFormatting sqref="DO262">
    <cfRule type="cellIs" dxfId="1166" priority="499" operator="greaterThan">
      <formula>0</formula>
    </cfRule>
  </conditionalFormatting>
  <conditionalFormatting sqref="DN262">
    <cfRule type="cellIs" dxfId="1165" priority="498" operator="greaterThan">
      <formula>0</formula>
    </cfRule>
  </conditionalFormatting>
  <conditionalFormatting sqref="DM262">
    <cfRule type="notContainsBlanks" dxfId="1164" priority="496">
      <formula>LEN(TRIM(DM262))&gt;0</formula>
    </cfRule>
  </conditionalFormatting>
  <conditionalFormatting sqref="DL262">
    <cfRule type="notContainsBlanks" dxfId="1163" priority="497">
      <formula>LEN(TRIM(DL262))&gt;0</formula>
    </cfRule>
  </conditionalFormatting>
  <conditionalFormatting sqref="DM285:DM286">
    <cfRule type="notContainsBlanks" dxfId="1162" priority="493">
      <formula>LEN(TRIM(DM285))&gt;0</formula>
    </cfRule>
  </conditionalFormatting>
  <conditionalFormatting sqref="DO332:DO333">
    <cfRule type="cellIs" dxfId="1161" priority="492" operator="greaterThan">
      <formula>0</formula>
    </cfRule>
  </conditionalFormatting>
  <conditionalFormatting sqref="DN332:DN333">
    <cfRule type="cellIs" dxfId="1160" priority="491" operator="greaterThan">
      <formula>0</formula>
    </cfRule>
  </conditionalFormatting>
  <conditionalFormatting sqref="DM332:DM333">
    <cfRule type="notContainsBlanks" dxfId="1159" priority="489">
      <formula>LEN(TRIM(DM332))&gt;0</formula>
    </cfRule>
  </conditionalFormatting>
  <conditionalFormatting sqref="DL332:DL333">
    <cfRule type="notContainsBlanks" dxfId="1158" priority="490">
      <formula>LEN(TRIM(DL332))&gt;0</formula>
    </cfRule>
  </conditionalFormatting>
  <conditionalFormatting sqref="DL339:DL340">
    <cfRule type="notContainsBlanks" dxfId="1157" priority="488">
      <formula>LEN(TRIM(DL339))&gt;0</formula>
    </cfRule>
  </conditionalFormatting>
  <conditionalFormatting sqref="DO386:DO387">
    <cfRule type="cellIs" dxfId="1156" priority="482" operator="greaterThan">
      <formula>0</formula>
    </cfRule>
  </conditionalFormatting>
  <conditionalFormatting sqref="DN386:DN387">
    <cfRule type="cellIs" dxfId="1155" priority="481" operator="greaterThan">
      <formula>0</formula>
    </cfRule>
  </conditionalFormatting>
  <conditionalFormatting sqref="DM386:DM387">
    <cfRule type="notContainsBlanks" dxfId="1154" priority="479">
      <formula>LEN(TRIM(DM386))&gt;0</formula>
    </cfRule>
  </conditionalFormatting>
  <conditionalFormatting sqref="DO388:DO390">
    <cfRule type="cellIs" dxfId="1153" priority="478" operator="greaterThan">
      <formula>0</formula>
    </cfRule>
  </conditionalFormatting>
  <conditionalFormatting sqref="DN388:DN390">
    <cfRule type="cellIs" dxfId="1152" priority="477" operator="greaterThan">
      <formula>0</formula>
    </cfRule>
  </conditionalFormatting>
  <conditionalFormatting sqref="DO392:DO395">
    <cfRule type="cellIs" dxfId="1151" priority="476" operator="greaterThan">
      <formula>0</formula>
    </cfRule>
  </conditionalFormatting>
  <conditionalFormatting sqref="DN392:DN395">
    <cfRule type="cellIs" dxfId="1150" priority="475" operator="greaterThan">
      <formula>0</formula>
    </cfRule>
  </conditionalFormatting>
  <conditionalFormatting sqref="DO397:DO399">
    <cfRule type="cellIs" dxfId="1149" priority="474" operator="greaterThan">
      <formula>0</formula>
    </cfRule>
  </conditionalFormatting>
  <conditionalFormatting sqref="DN397:DN399">
    <cfRule type="cellIs" dxfId="1148" priority="473" operator="greaterThan">
      <formula>0</formula>
    </cfRule>
  </conditionalFormatting>
  <conditionalFormatting sqref="DO401">
    <cfRule type="cellIs" dxfId="1147" priority="472" operator="greaterThan">
      <formula>0</formula>
    </cfRule>
  </conditionalFormatting>
  <conditionalFormatting sqref="DN401">
    <cfRule type="cellIs" dxfId="1146" priority="471" operator="greaterThan">
      <formula>0</formula>
    </cfRule>
  </conditionalFormatting>
  <conditionalFormatting sqref="DM401">
    <cfRule type="notContainsBlanks" dxfId="1145" priority="470">
      <formula>LEN(TRIM(DM401))&gt;0</formula>
    </cfRule>
  </conditionalFormatting>
  <conditionalFormatting sqref="DO403">
    <cfRule type="cellIs" dxfId="1144" priority="469" operator="greaterThan">
      <formula>0</formula>
    </cfRule>
  </conditionalFormatting>
  <conditionalFormatting sqref="DN403">
    <cfRule type="cellIs" dxfId="1143" priority="468" operator="greaterThan">
      <formula>0</formula>
    </cfRule>
  </conditionalFormatting>
  <conditionalFormatting sqref="DO405">
    <cfRule type="cellIs" dxfId="1142" priority="467" operator="greaterThan">
      <formula>0</formula>
    </cfRule>
  </conditionalFormatting>
  <conditionalFormatting sqref="DN405">
    <cfRule type="cellIs" dxfId="1141" priority="466" operator="greaterThan">
      <formula>0</formula>
    </cfRule>
  </conditionalFormatting>
  <conditionalFormatting sqref="DM405">
    <cfRule type="notContainsBlanks" dxfId="1140" priority="464">
      <formula>LEN(TRIM(DM405))&gt;0</formula>
    </cfRule>
  </conditionalFormatting>
  <conditionalFormatting sqref="DL405">
    <cfRule type="notContainsBlanks" dxfId="1139" priority="465">
      <formula>LEN(TRIM(DL405))&gt;0</formula>
    </cfRule>
  </conditionalFormatting>
  <conditionalFormatting sqref="DO407:DO414">
    <cfRule type="cellIs" dxfId="1138" priority="463" operator="greaterThan">
      <formula>0</formula>
    </cfRule>
  </conditionalFormatting>
  <conditionalFormatting sqref="DN407:DN414">
    <cfRule type="cellIs" dxfId="1137" priority="462" operator="greaterThan">
      <formula>0</formula>
    </cfRule>
  </conditionalFormatting>
  <conditionalFormatting sqref="DM407:DM414">
    <cfRule type="notContainsBlanks" dxfId="1136" priority="460">
      <formula>LEN(TRIM(DM407))&gt;0</formula>
    </cfRule>
  </conditionalFormatting>
  <conditionalFormatting sqref="DL407:DL414">
    <cfRule type="notContainsBlanks" dxfId="1135" priority="461">
      <formula>LEN(TRIM(DL407))&gt;0</formula>
    </cfRule>
  </conditionalFormatting>
  <conditionalFormatting sqref="DO457 DO450:DO455 DO459:DO462">
    <cfRule type="cellIs" dxfId="1134" priority="459" operator="greaterThan">
      <formula>0</formula>
    </cfRule>
  </conditionalFormatting>
  <conditionalFormatting sqref="DN457 DN450:DN455 DN459:DN462">
    <cfRule type="cellIs" dxfId="1133" priority="458" operator="greaterThan">
      <formula>0</formula>
    </cfRule>
  </conditionalFormatting>
  <conditionalFormatting sqref="DM457 DM450:DM455 DM442:DM448 DM459:DM462">
    <cfRule type="notContainsBlanks" dxfId="1132" priority="456">
      <formula>LEN(TRIM(DM442))&gt;0</formula>
    </cfRule>
  </conditionalFormatting>
  <conditionalFormatting sqref="DL457 DL450:DL455 DL459:DL462">
    <cfRule type="notContainsBlanks" dxfId="1131" priority="457">
      <formula>LEN(TRIM(DL450))&gt;0</formula>
    </cfRule>
  </conditionalFormatting>
  <conditionalFormatting sqref="DO478">
    <cfRule type="cellIs" dxfId="1130" priority="452" operator="greaterThan">
      <formula>0</formula>
    </cfRule>
  </conditionalFormatting>
  <conditionalFormatting sqref="DN478">
    <cfRule type="cellIs" dxfId="1129" priority="451" operator="greaterThan">
      <formula>0</formula>
    </cfRule>
  </conditionalFormatting>
  <conditionalFormatting sqref="DM478">
    <cfRule type="notContainsBlanks" dxfId="1128" priority="449">
      <formula>LEN(TRIM(DM478))&gt;0</formula>
    </cfRule>
  </conditionalFormatting>
  <conditionalFormatting sqref="DO480">
    <cfRule type="cellIs" dxfId="1127" priority="444" operator="greaterThan">
      <formula>0</formula>
    </cfRule>
  </conditionalFormatting>
  <conditionalFormatting sqref="DN480">
    <cfRule type="cellIs" dxfId="1126" priority="443" operator="greaterThan">
      <formula>0</formula>
    </cfRule>
  </conditionalFormatting>
  <conditionalFormatting sqref="DM480">
    <cfRule type="notContainsBlanks" dxfId="1125" priority="441">
      <formula>LEN(TRIM(DM480))&gt;0</formula>
    </cfRule>
  </conditionalFormatting>
  <conditionalFormatting sqref="DL480">
    <cfRule type="notContainsBlanks" dxfId="1124" priority="442">
      <formula>LEN(TRIM(DL480))&gt;0</formula>
    </cfRule>
  </conditionalFormatting>
  <conditionalFormatting sqref="DO481:DO486">
    <cfRule type="cellIs" dxfId="1123" priority="440" operator="greaterThan">
      <formula>0</formula>
    </cfRule>
  </conditionalFormatting>
  <conditionalFormatting sqref="DN481:DN486">
    <cfRule type="cellIs" dxfId="1122" priority="439" operator="greaterThan">
      <formula>0</formula>
    </cfRule>
  </conditionalFormatting>
  <conditionalFormatting sqref="DM481:DM486">
    <cfRule type="notContainsBlanks" dxfId="1121" priority="437">
      <formula>LEN(TRIM(DM481))&gt;0</formula>
    </cfRule>
  </conditionalFormatting>
  <conditionalFormatting sqref="DL481:DL486">
    <cfRule type="notContainsBlanks" dxfId="1120" priority="438">
      <formula>LEN(TRIM(DL481))&gt;0</formula>
    </cfRule>
  </conditionalFormatting>
  <conditionalFormatting sqref="DO492:DO494">
    <cfRule type="cellIs" dxfId="1119" priority="432" operator="greaterThan">
      <formula>0</formula>
    </cfRule>
  </conditionalFormatting>
  <conditionalFormatting sqref="DN492:DN494">
    <cfRule type="cellIs" dxfId="1118" priority="431" operator="greaterThan">
      <formula>0</formula>
    </cfRule>
  </conditionalFormatting>
  <conditionalFormatting sqref="DM492:DM494">
    <cfRule type="notContainsBlanks" dxfId="1117" priority="429">
      <formula>LEN(TRIM(DM492))&gt;0</formula>
    </cfRule>
  </conditionalFormatting>
  <conditionalFormatting sqref="DL492:DL494">
    <cfRule type="notContainsBlanks" dxfId="1116" priority="430">
      <formula>LEN(TRIM(DL492))&gt;0</formula>
    </cfRule>
  </conditionalFormatting>
  <conditionalFormatting sqref="DO496:DO499">
    <cfRule type="cellIs" dxfId="1115" priority="428" operator="greaterThan">
      <formula>0</formula>
    </cfRule>
  </conditionalFormatting>
  <conditionalFormatting sqref="DN496:DN499">
    <cfRule type="cellIs" dxfId="1114" priority="427" operator="greaterThan">
      <formula>0</formula>
    </cfRule>
  </conditionalFormatting>
  <conditionalFormatting sqref="DM496:DM499">
    <cfRule type="notContainsBlanks" dxfId="1113" priority="425">
      <formula>LEN(TRIM(DM496))&gt;0</formula>
    </cfRule>
  </conditionalFormatting>
  <conditionalFormatting sqref="DL496:DL499">
    <cfRule type="notContainsBlanks" dxfId="1112" priority="426">
      <formula>LEN(TRIM(DL496))&gt;0</formula>
    </cfRule>
  </conditionalFormatting>
  <conditionalFormatting sqref="DO529">
    <cfRule type="cellIs" dxfId="1111" priority="418" operator="greaterThan">
      <formula>0</formula>
    </cfRule>
  </conditionalFormatting>
  <conditionalFormatting sqref="DN529">
    <cfRule type="cellIs" dxfId="1110" priority="417" operator="greaterThan">
      <formula>0</formula>
    </cfRule>
  </conditionalFormatting>
  <conditionalFormatting sqref="DM529">
    <cfRule type="notContainsBlanks" dxfId="1109" priority="415">
      <formula>LEN(TRIM(DM529))&gt;0</formula>
    </cfRule>
  </conditionalFormatting>
  <conditionalFormatting sqref="DL529">
    <cfRule type="notContainsBlanks" dxfId="1108" priority="416">
      <formula>LEN(TRIM(DL529))&gt;0</formula>
    </cfRule>
  </conditionalFormatting>
  <conditionalFormatting sqref="DO531:DO535">
    <cfRule type="cellIs" dxfId="1107" priority="414" operator="greaterThan">
      <formula>0</formula>
    </cfRule>
  </conditionalFormatting>
  <conditionalFormatting sqref="DN531:DN535">
    <cfRule type="cellIs" dxfId="1106" priority="413" operator="greaterThan">
      <formula>0</formula>
    </cfRule>
  </conditionalFormatting>
  <conditionalFormatting sqref="DM531:DM533">
    <cfRule type="notContainsBlanks" dxfId="1105" priority="411">
      <formula>LEN(TRIM(DM531))&gt;0</formula>
    </cfRule>
  </conditionalFormatting>
  <conditionalFormatting sqref="DL531:DL533">
    <cfRule type="notContainsBlanks" dxfId="1104" priority="412">
      <formula>LEN(TRIM(DL531))&gt;0</formula>
    </cfRule>
  </conditionalFormatting>
  <conditionalFormatting sqref="DO538">
    <cfRule type="cellIs" dxfId="1103" priority="406" operator="greaterThan">
      <formula>0</formula>
    </cfRule>
  </conditionalFormatting>
  <conditionalFormatting sqref="DN538">
    <cfRule type="cellIs" dxfId="1102" priority="405" operator="greaterThan">
      <formula>0</formula>
    </cfRule>
  </conditionalFormatting>
  <conditionalFormatting sqref="DM538">
    <cfRule type="notContainsBlanks" dxfId="1101" priority="403">
      <formula>LEN(TRIM(DM538))&gt;0</formula>
    </cfRule>
  </conditionalFormatting>
  <conditionalFormatting sqref="DO540">
    <cfRule type="cellIs" dxfId="1100" priority="402" operator="greaterThan">
      <formula>0</formula>
    </cfRule>
  </conditionalFormatting>
  <conditionalFormatting sqref="DN540">
    <cfRule type="cellIs" dxfId="1099" priority="401" operator="greaterThan">
      <formula>0</formula>
    </cfRule>
  </conditionalFormatting>
  <conditionalFormatting sqref="DM540">
    <cfRule type="notContainsBlanks" dxfId="1098" priority="399">
      <formula>LEN(TRIM(DM540))&gt;0</formula>
    </cfRule>
  </conditionalFormatting>
  <conditionalFormatting sqref="DO541">
    <cfRule type="cellIs" dxfId="1097" priority="398" operator="greaterThan">
      <formula>0</formula>
    </cfRule>
  </conditionalFormatting>
  <conditionalFormatting sqref="DN541">
    <cfRule type="cellIs" dxfId="1096" priority="397" operator="greaterThan">
      <formula>0</formula>
    </cfRule>
  </conditionalFormatting>
  <conditionalFormatting sqref="DM541">
    <cfRule type="notContainsBlanks" dxfId="1095" priority="395">
      <formula>LEN(TRIM(DM541))&gt;0</formula>
    </cfRule>
  </conditionalFormatting>
  <conditionalFormatting sqref="DO543:DO546">
    <cfRule type="cellIs" dxfId="1094" priority="394" operator="greaterThan">
      <formula>0</formula>
    </cfRule>
  </conditionalFormatting>
  <conditionalFormatting sqref="DN543:DN546">
    <cfRule type="cellIs" dxfId="1093" priority="393" operator="greaterThan">
      <formula>0</formula>
    </cfRule>
  </conditionalFormatting>
  <conditionalFormatting sqref="DM543:DM546">
    <cfRule type="notContainsBlanks" dxfId="1092" priority="391">
      <formula>LEN(TRIM(DM543))&gt;0</formula>
    </cfRule>
  </conditionalFormatting>
  <conditionalFormatting sqref="DL543:DL546">
    <cfRule type="notContainsBlanks" dxfId="1091" priority="392">
      <formula>LEN(TRIM(DL543))&gt;0</formula>
    </cfRule>
  </conditionalFormatting>
  <conditionalFormatting sqref="DO548">
    <cfRule type="cellIs" dxfId="1090" priority="390" operator="greaterThan">
      <formula>0</formula>
    </cfRule>
  </conditionalFormatting>
  <conditionalFormatting sqref="DN548">
    <cfRule type="cellIs" dxfId="1089" priority="389" operator="greaterThan">
      <formula>0</formula>
    </cfRule>
  </conditionalFormatting>
  <conditionalFormatting sqref="DM548">
    <cfRule type="notContainsBlanks" dxfId="1088" priority="387">
      <formula>LEN(TRIM(DM548))&gt;0</formula>
    </cfRule>
  </conditionalFormatting>
  <conditionalFormatting sqref="DL548">
    <cfRule type="notContainsBlanks" dxfId="1087" priority="388">
      <formula>LEN(TRIM(DL548))&gt;0</formula>
    </cfRule>
  </conditionalFormatting>
  <conditionalFormatting sqref="DO550">
    <cfRule type="cellIs" dxfId="1086" priority="386" operator="greaterThan">
      <formula>0</formula>
    </cfRule>
  </conditionalFormatting>
  <conditionalFormatting sqref="DN550">
    <cfRule type="cellIs" dxfId="1085" priority="385" operator="greaterThan">
      <formula>0</formula>
    </cfRule>
  </conditionalFormatting>
  <conditionalFormatting sqref="DM550">
    <cfRule type="notContainsBlanks" dxfId="1084" priority="383">
      <formula>LEN(TRIM(DM550))&gt;0</formula>
    </cfRule>
  </conditionalFormatting>
  <conditionalFormatting sqref="DL550">
    <cfRule type="notContainsBlanks" dxfId="1083" priority="384">
      <formula>LEN(TRIM(DL550))&gt;0</formula>
    </cfRule>
  </conditionalFormatting>
  <conditionalFormatting sqref="DO576:DO580">
    <cfRule type="cellIs" dxfId="1082" priority="382" operator="greaterThan">
      <formula>0</formula>
    </cfRule>
  </conditionalFormatting>
  <conditionalFormatting sqref="DN576:DN580">
    <cfRule type="cellIs" dxfId="1081" priority="381" operator="greaterThan">
      <formula>0</formula>
    </cfRule>
  </conditionalFormatting>
  <conditionalFormatting sqref="DM576:DM580">
    <cfRule type="notContainsBlanks" dxfId="1080" priority="379">
      <formula>LEN(TRIM(DM576))&gt;0</formula>
    </cfRule>
  </conditionalFormatting>
  <conditionalFormatting sqref="DL576:DL580">
    <cfRule type="notContainsBlanks" dxfId="1079" priority="380">
      <formula>LEN(TRIM(DL576))&gt;0</formula>
    </cfRule>
  </conditionalFormatting>
  <conditionalFormatting sqref="DO552:DO554">
    <cfRule type="cellIs" dxfId="1078" priority="378" operator="greaterThan">
      <formula>0</formula>
    </cfRule>
  </conditionalFormatting>
  <conditionalFormatting sqref="DN552:DN554">
    <cfRule type="cellIs" dxfId="1077" priority="377" operator="greaterThan">
      <formula>0</formula>
    </cfRule>
  </conditionalFormatting>
  <conditionalFormatting sqref="DM552:DM554">
    <cfRule type="notContainsBlanks" dxfId="1076" priority="376">
      <formula>LEN(TRIM(DM552))&gt;0</formula>
    </cfRule>
  </conditionalFormatting>
  <conditionalFormatting sqref="DO556:DO557">
    <cfRule type="cellIs" dxfId="1075" priority="375" operator="greaterThan">
      <formula>0</formula>
    </cfRule>
  </conditionalFormatting>
  <conditionalFormatting sqref="DN556:DN557">
    <cfRule type="cellIs" dxfId="1074" priority="374" operator="greaterThan">
      <formula>0</formula>
    </cfRule>
  </conditionalFormatting>
  <conditionalFormatting sqref="DM556:DM557">
    <cfRule type="notContainsBlanks" dxfId="1073" priority="372">
      <formula>LEN(TRIM(DM556))&gt;0</formula>
    </cfRule>
  </conditionalFormatting>
  <conditionalFormatting sqref="DL556:DL557">
    <cfRule type="notContainsBlanks" dxfId="1072" priority="373">
      <formula>LEN(TRIM(DL556))&gt;0</formula>
    </cfRule>
  </conditionalFormatting>
  <conditionalFormatting sqref="DO559:DO561">
    <cfRule type="cellIs" dxfId="1071" priority="371" operator="greaterThan">
      <formula>0</formula>
    </cfRule>
  </conditionalFormatting>
  <conditionalFormatting sqref="DN559:DN561">
    <cfRule type="cellIs" dxfId="1070" priority="370" operator="greaterThan">
      <formula>0</formula>
    </cfRule>
  </conditionalFormatting>
  <conditionalFormatting sqref="DM563">
    <cfRule type="notContainsBlanks" dxfId="1069" priority="366">
      <formula>LEN(TRIM(DM563))&gt;0</formula>
    </cfRule>
  </conditionalFormatting>
  <conditionalFormatting sqref="DL563">
    <cfRule type="notContainsBlanks" dxfId="1068" priority="367">
      <formula>LEN(TRIM(DL563))&gt;0</formula>
    </cfRule>
  </conditionalFormatting>
  <conditionalFormatting sqref="DO563:DO564">
    <cfRule type="cellIs" dxfId="1067" priority="369" operator="greaterThan">
      <formula>0</formula>
    </cfRule>
  </conditionalFormatting>
  <conditionalFormatting sqref="DN563:DN564">
    <cfRule type="cellIs" dxfId="1066" priority="368" operator="greaterThan">
      <formula>0</formula>
    </cfRule>
  </conditionalFormatting>
  <conditionalFormatting sqref="DO582">
    <cfRule type="cellIs" dxfId="1065" priority="361" operator="greaterThan">
      <formula>0</formula>
    </cfRule>
  </conditionalFormatting>
  <conditionalFormatting sqref="DN582">
    <cfRule type="cellIs" dxfId="1064" priority="360" operator="greaterThan">
      <formula>0</formula>
    </cfRule>
  </conditionalFormatting>
  <conditionalFormatting sqref="DM582">
    <cfRule type="notContainsBlanks" dxfId="1063" priority="358">
      <formula>LEN(TRIM(DM582))&gt;0</formula>
    </cfRule>
  </conditionalFormatting>
  <conditionalFormatting sqref="DL582">
    <cfRule type="notContainsBlanks" dxfId="1062" priority="359">
      <formula>LEN(TRIM(DL582))&gt;0</formula>
    </cfRule>
  </conditionalFormatting>
  <conditionalFormatting sqref="DO584">
    <cfRule type="cellIs" dxfId="1061" priority="345" operator="greaterThan">
      <formula>0</formula>
    </cfRule>
  </conditionalFormatting>
  <conditionalFormatting sqref="DN584">
    <cfRule type="cellIs" dxfId="1060" priority="344" operator="greaterThan">
      <formula>0</formula>
    </cfRule>
  </conditionalFormatting>
  <conditionalFormatting sqref="DM584">
    <cfRule type="notContainsBlanks" dxfId="1059" priority="342">
      <formula>LEN(TRIM(DM584))&gt;0</formula>
    </cfRule>
  </conditionalFormatting>
  <conditionalFormatting sqref="DL584">
    <cfRule type="notContainsBlanks" dxfId="1058" priority="343">
      <formula>LEN(TRIM(DL584))&gt;0</formula>
    </cfRule>
  </conditionalFormatting>
  <conditionalFormatting sqref="DO586">
    <cfRule type="cellIs" dxfId="1057" priority="341" operator="greaterThan">
      <formula>0</formula>
    </cfRule>
  </conditionalFormatting>
  <conditionalFormatting sqref="DN586">
    <cfRule type="cellIs" dxfId="1056" priority="340" operator="greaterThan">
      <formula>0</formula>
    </cfRule>
  </conditionalFormatting>
  <conditionalFormatting sqref="DM586">
    <cfRule type="notContainsBlanks" dxfId="1055" priority="338">
      <formula>LEN(TRIM(DM586))&gt;0</formula>
    </cfRule>
  </conditionalFormatting>
  <conditionalFormatting sqref="DL586">
    <cfRule type="notContainsBlanks" dxfId="1054" priority="339">
      <formula>LEN(TRIM(DL586))&gt;0</formula>
    </cfRule>
  </conditionalFormatting>
  <conditionalFormatting sqref="DO588:DO599">
    <cfRule type="cellIs" dxfId="1053" priority="337" operator="greaterThan">
      <formula>0</formula>
    </cfRule>
  </conditionalFormatting>
  <conditionalFormatting sqref="DN588:DN599">
    <cfRule type="cellIs" dxfId="1052" priority="336" operator="greaterThan">
      <formula>0</formula>
    </cfRule>
  </conditionalFormatting>
  <conditionalFormatting sqref="DM588:DM599">
    <cfRule type="notContainsBlanks" dxfId="1051" priority="334">
      <formula>LEN(TRIM(DM588))&gt;0</formula>
    </cfRule>
  </conditionalFormatting>
  <conditionalFormatting sqref="DL588:DL599">
    <cfRule type="notContainsBlanks" dxfId="1050" priority="335">
      <formula>LEN(TRIM(DL588))&gt;0</formula>
    </cfRule>
  </conditionalFormatting>
  <conditionalFormatting sqref="DM62">
    <cfRule type="notContainsBlanks" dxfId="1049" priority="308">
      <formula>LEN(TRIM(DM62))&gt;0</formula>
    </cfRule>
  </conditionalFormatting>
  <conditionalFormatting sqref="DL62">
    <cfRule type="notContainsBlanks" dxfId="1048" priority="309">
      <formula>LEN(TRIM(DL62))&gt;0</formula>
    </cfRule>
  </conditionalFormatting>
  <conditionalFormatting sqref="DM338">
    <cfRule type="notContainsBlanks" dxfId="1047" priority="305">
      <formula>LEN(TRIM(DM338))&gt;0</formula>
    </cfRule>
  </conditionalFormatting>
  <conditionalFormatting sqref="DL338">
    <cfRule type="notContainsBlanks" dxfId="1046" priority="306">
      <formula>LEN(TRIM(DL338))&gt;0</formula>
    </cfRule>
  </conditionalFormatting>
  <conditionalFormatting sqref="DM564">
    <cfRule type="notContainsBlanks" dxfId="1045" priority="281">
      <formula>LEN(TRIM(DM564))&gt;0</formula>
    </cfRule>
  </conditionalFormatting>
  <conditionalFormatting sqref="DL341:DL344">
    <cfRule type="notContainsBlanks" dxfId="1044" priority="304">
      <formula>LEN(TRIM(DL341))&gt;0</formula>
    </cfRule>
  </conditionalFormatting>
  <conditionalFormatting sqref="DM343">
    <cfRule type="notContainsBlanks" dxfId="1043" priority="303">
      <formula>LEN(TRIM(DM343))&gt;0</formula>
    </cfRule>
  </conditionalFormatting>
  <conditionalFormatting sqref="DL386:DL387">
    <cfRule type="notContainsBlanks" dxfId="1042" priority="302">
      <formula>LEN(TRIM(DL386))&gt;0</formula>
    </cfRule>
  </conditionalFormatting>
  <conditionalFormatting sqref="DM388:DM390">
    <cfRule type="notContainsBlanks" dxfId="1041" priority="300">
      <formula>LEN(TRIM(DM388))&gt;0</formula>
    </cfRule>
  </conditionalFormatting>
  <conditionalFormatting sqref="DL388:DL390">
    <cfRule type="notContainsBlanks" dxfId="1040" priority="301">
      <formula>LEN(TRIM(DL388))&gt;0</formula>
    </cfRule>
  </conditionalFormatting>
  <conditionalFormatting sqref="DM392:DM395">
    <cfRule type="notContainsBlanks" dxfId="1039" priority="298">
      <formula>LEN(TRIM(DM392))&gt;0</formula>
    </cfRule>
  </conditionalFormatting>
  <conditionalFormatting sqref="DL392:DL395">
    <cfRule type="notContainsBlanks" dxfId="1038" priority="299">
      <formula>LEN(TRIM(DL392))&gt;0</formula>
    </cfRule>
  </conditionalFormatting>
  <conditionalFormatting sqref="DM397:DM399">
    <cfRule type="notContainsBlanks" dxfId="1037" priority="296">
      <formula>LEN(TRIM(DM397))&gt;0</formula>
    </cfRule>
  </conditionalFormatting>
  <conditionalFormatting sqref="DL397:DL399">
    <cfRule type="notContainsBlanks" dxfId="1036" priority="297">
      <formula>LEN(TRIM(DL397))&gt;0</formula>
    </cfRule>
  </conditionalFormatting>
  <conditionalFormatting sqref="DL401">
    <cfRule type="notContainsBlanks" dxfId="1035" priority="295">
      <formula>LEN(TRIM(DL401))&gt;0</formula>
    </cfRule>
  </conditionalFormatting>
  <conditionalFormatting sqref="DM403">
    <cfRule type="notContainsBlanks" dxfId="1034" priority="293">
      <formula>LEN(TRIM(DM403))&gt;0</formula>
    </cfRule>
  </conditionalFormatting>
  <conditionalFormatting sqref="DL403">
    <cfRule type="notContainsBlanks" dxfId="1033" priority="294">
      <formula>LEN(TRIM(DL403))&gt;0</formula>
    </cfRule>
  </conditionalFormatting>
  <conditionalFormatting sqref="DM534:DM535">
    <cfRule type="notContainsBlanks" dxfId="1032" priority="288">
      <formula>LEN(TRIM(DM534))&gt;0</formula>
    </cfRule>
  </conditionalFormatting>
  <conditionalFormatting sqref="DL534:DL535">
    <cfRule type="notContainsBlanks" dxfId="1031" priority="289">
      <formula>LEN(TRIM(DL534))&gt;0</formula>
    </cfRule>
  </conditionalFormatting>
  <conditionalFormatting sqref="DL552:DL554">
    <cfRule type="notContainsBlanks" dxfId="1030" priority="285">
      <formula>LEN(TRIM(DL552))&gt;0</formula>
    </cfRule>
  </conditionalFormatting>
  <conditionalFormatting sqref="DM559:DM561">
    <cfRule type="notContainsBlanks" dxfId="1029" priority="283">
      <formula>LEN(TRIM(DM559))&gt;0</formula>
    </cfRule>
  </conditionalFormatting>
  <conditionalFormatting sqref="DL559:DL561">
    <cfRule type="notContainsBlanks" dxfId="1028" priority="284">
      <formula>LEN(TRIM(DL559))&gt;0</formula>
    </cfRule>
  </conditionalFormatting>
  <conditionalFormatting sqref="DL564">
    <cfRule type="notContainsBlanks" dxfId="1027" priority="282">
      <formula>LEN(TRIM(DL564))&gt;0</formula>
    </cfRule>
  </conditionalFormatting>
  <conditionalFormatting sqref="DM284">
    <cfRule type="notContainsBlanks" dxfId="1026" priority="272">
      <formula>LEN(TRIM(DM284))&gt;0</formula>
    </cfRule>
  </conditionalFormatting>
  <conditionalFormatting sqref="DL284">
    <cfRule type="notContainsBlanks" dxfId="1025" priority="273">
      <formula>LEN(TRIM(DL284))&gt;0</formula>
    </cfRule>
  </conditionalFormatting>
  <conditionalFormatting sqref="DO284">
    <cfRule type="cellIs" dxfId="1024" priority="271" operator="greaterThan">
      <formula>0</formula>
    </cfRule>
  </conditionalFormatting>
  <conditionalFormatting sqref="DN284">
    <cfRule type="cellIs" dxfId="1023" priority="270" operator="greaterThan">
      <formula>0</formula>
    </cfRule>
  </conditionalFormatting>
  <conditionalFormatting sqref="DO456">
    <cfRule type="cellIs" dxfId="1022" priority="253" operator="greaterThan">
      <formula>0</formula>
    </cfRule>
  </conditionalFormatting>
  <conditionalFormatting sqref="DN456">
    <cfRule type="cellIs" dxfId="1021" priority="252" operator="greaterThan">
      <formula>0</formula>
    </cfRule>
  </conditionalFormatting>
  <conditionalFormatting sqref="DM456">
    <cfRule type="notContainsBlanks" dxfId="1020" priority="250">
      <formula>LEN(TRIM(DM456))&gt;0</formula>
    </cfRule>
  </conditionalFormatting>
  <conditionalFormatting sqref="DL456">
    <cfRule type="notContainsBlanks" dxfId="1019" priority="251">
      <formula>LEN(TRIM(DL456))&gt;0</formula>
    </cfRule>
  </conditionalFormatting>
  <conditionalFormatting sqref="DO440">
    <cfRule type="cellIs" dxfId="1018" priority="249" operator="greaterThan">
      <formula>0</formula>
    </cfRule>
  </conditionalFormatting>
  <conditionalFormatting sqref="DN440">
    <cfRule type="cellIs" dxfId="1017" priority="248" operator="greaterThan">
      <formula>0</formula>
    </cfRule>
  </conditionalFormatting>
  <conditionalFormatting sqref="DM449">
    <cfRule type="notContainsBlanks" dxfId="1016" priority="243">
      <formula>LEN(TRIM(DM449))&gt;0</formula>
    </cfRule>
  </conditionalFormatting>
  <conditionalFormatting sqref="DL440">
    <cfRule type="notContainsBlanks" dxfId="1015" priority="247">
      <formula>LEN(TRIM(DL440))&gt;0</formula>
    </cfRule>
  </conditionalFormatting>
  <conditionalFormatting sqref="DO449">
    <cfRule type="cellIs" dxfId="1014" priority="246" operator="greaterThan">
      <formula>0</formula>
    </cfRule>
  </conditionalFormatting>
  <conditionalFormatting sqref="DN449">
    <cfRule type="cellIs" dxfId="1013" priority="245" operator="greaterThan">
      <formula>0</formula>
    </cfRule>
  </conditionalFormatting>
  <conditionalFormatting sqref="DM441">
    <cfRule type="notContainsBlanks" dxfId="1012" priority="235">
      <formula>LEN(TRIM(DM441))&gt;0</formula>
    </cfRule>
  </conditionalFormatting>
  <conditionalFormatting sqref="DL449">
    <cfRule type="notContainsBlanks" dxfId="1011" priority="244">
      <formula>LEN(TRIM(DL449))&gt;0</formula>
    </cfRule>
  </conditionalFormatting>
  <conditionalFormatting sqref="DO449">
    <cfRule type="cellIs" dxfId="1010" priority="242" operator="greaterThan">
      <formula>0</formula>
    </cfRule>
  </conditionalFormatting>
  <conditionalFormatting sqref="DN449">
    <cfRule type="cellIs" dxfId="1009" priority="241" operator="greaterThan">
      <formula>0</formula>
    </cfRule>
  </conditionalFormatting>
  <conditionalFormatting sqref="DM449">
    <cfRule type="notContainsBlanks" dxfId="1008" priority="239">
      <formula>LEN(TRIM(DM449))&gt;0</formula>
    </cfRule>
  </conditionalFormatting>
  <conditionalFormatting sqref="DL449">
    <cfRule type="notContainsBlanks" dxfId="1007" priority="240">
      <formula>LEN(TRIM(DL449))&gt;0</formula>
    </cfRule>
  </conditionalFormatting>
  <conditionalFormatting sqref="DM440">
    <cfRule type="notContainsBlanks" dxfId="1006" priority="238">
      <formula>LEN(TRIM(DM440))&gt;0</formula>
    </cfRule>
  </conditionalFormatting>
  <conditionalFormatting sqref="DM440">
    <cfRule type="notContainsBlanks" dxfId="1005" priority="237">
      <formula>LEN(TRIM(DM440))&gt;0</formula>
    </cfRule>
  </conditionalFormatting>
  <conditionalFormatting sqref="DM441">
    <cfRule type="notContainsBlanks" dxfId="1004" priority="236">
      <formula>LEN(TRIM(DM441))&gt;0</formula>
    </cfRule>
  </conditionalFormatting>
  <conditionalFormatting sqref="DM458">
    <cfRule type="notContainsBlanks" dxfId="1003" priority="231">
      <formula>LEN(TRIM(DM458))&gt;0</formula>
    </cfRule>
  </conditionalFormatting>
  <conditionalFormatting sqref="DM458">
    <cfRule type="notContainsBlanks" dxfId="1002" priority="227">
      <formula>LEN(TRIM(DM458))&gt;0</formula>
    </cfRule>
  </conditionalFormatting>
  <conditionalFormatting sqref="DO458">
    <cfRule type="cellIs" dxfId="1001" priority="234" operator="greaterThan">
      <formula>0</formula>
    </cfRule>
  </conditionalFormatting>
  <conditionalFormatting sqref="DN458">
    <cfRule type="cellIs" dxfId="1000" priority="233" operator="greaterThan">
      <formula>0</formula>
    </cfRule>
  </conditionalFormatting>
  <conditionalFormatting sqref="DL458">
    <cfRule type="notContainsBlanks" dxfId="999" priority="232">
      <formula>LEN(TRIM(DL458))&gt;0</formula>
    </cfRule>
  </conditionalFormatting>
  <conditionalFormatting sqref="DO458">
    <cfRule type="cellIs" dxfId="998" priority="230" operator="greaterThan">
      <formula>0</formula>
    </cfRule>
  </conditionalFormatting>
  <conditionalFormatting sqref="DN458">
    <cfRule type="cellIs" dxfId="997" priority="229" operator="greaterThan">
      <formula>0</formula>
    </cfRule>
  </conditionalFormatting>
  <conditionalFormatting sqref="DM567">
    <cfRule type="notContainsBlanks" dxfId="996" priority="215">
      <formula>LEN(TRIM(DM567))&gt;0</formula>
    </cfRule>
  </conditionalFormatting>
  <conditionalFormatting sqref="DL458">
    <cfRule type="notContainsBlanks" dxfId="995" priority="228">
      <formula>LEN(TRIM(DL458))&gt;0</formula>
    </cfRule>
  </conditionalFormatting>
  <conditionalFormatting sqref="DL256:DL258">
    <cfRule type="notContainsBlanks" dxfId="994" priority="226">
      <formula>LEN(TRIM(DL256))&gt;0</formula>
    </cfRule>
  </conditionalFormatting>
  <conditionalFormatting sqref="DO260">
    <cfRule type="cellIs" dxfId="993" priority="225" operator="greaterThan">
      <formula>0</formula>
    </cfRule>
  </conditionalFormatting>
  <conditionalFormatting sqref="DN260">
    <cfRule type="cellIs" dxfId="992" priority="224" operator="greaterThan">
      <formula>0</formula>
    </cfRule>
  </conditionalFormatting>
  <conditionalFormatting sqref="DL260">
    <cfRule type="notContainsBlanks" dxfId="991" priority="223">
      <formula>LEN(TRIM(DL260))&gt;0</formula>
    </cfRule>
  </conditionalFormatting>
  <conditionalFormatting sqref="DO165">
    <cfRule type="cellIs" dxfId="990" priority="222" operator="greaterThan">
      <formula>0</formula>
    </cfRule>
  </conditionalFormatting>
  <conditionalFormatting sqref="DN165">
    <cfRule type="cellIs" dxfId="989" priority="221" operator="greaterThan">
      <formula>0</formula>
    </cfRule>
  </conditionalFormatting>
  <conditionalFormatting sqref="DM165">
    <cfRule type="notContainsBlanks" dxfId="988" priority="219">
      <formula>LEN(TRIM(DM165))&gt;0</formula>
    </cfRule>
  </conditionalFormatting>
  <conditionalFormatting sqref="DL165">
    <cfRule type="notContainsBlanks" dxfId="987" priority="220">
      <formula>LEN(TRIM(DL165))&gt;0</formula>
    </cfRule>
  </conditionalFormatting>
  <conditionalFormatting sqref="DO567">
    <cfRule type="cellIs" dxfId="986" priority="218" operator="greaterThan">
      <formula>0</formula>
    </cfRule>
  </conditionalFormatting>
  <conditionalFormatting sqref="DN567">
    <cfRule type="cellIs" dxfId="985" priority="217" operator="greaterThan">
      <formula>0</formula>
    </cfRule>
  </conditionalFormatting>
  <conditionalFormatting sqref="DL567">
    <cfRule type="notContainsBlanks" dxfId="984" priority="216">
      <formula>LEN(TRIM(DL567))&gt;0</formula>
    </cfRule>
  </conditionalFormatting>
  <conditionalFormatting sqref="DO566">
    <cfRule type="cellIs" dxfId="983" priority="214" operator="greaterThan">
      <formula>0</formula>
    </cfRule>
  </conditionalFormatting>
  <conditionalFormatting sqref="DN566">
    <cfRule type="cellIs" dxfId="982" priority="213" operator="greaterThan">
      <formula>0</formula>
    </cfRule>
  </conditionalFormatting>
  <conditionalFormatting sqref="DM566">
    <cfRule type="notContainsBlanks" dxfId="981" priority="211">
      <formula>LEN(TRIM(DM566))&gt;0</formula>
    </cfRule>
  </conditionalFormatting>
  <conditionalFormatting sqref="DL566">
    <cfRule type="notContainsBlanks" dxfId="980" priority="212">
      <formula>LEN(TRIM(DL566))&gt;0</formula>
    </cfRule>
  </conditionalFormatting>
  <conditionalFormatting sqref="DO568">
    <cfRule type="cellIs" dxfId="979" priority="210" operator="greaterThan">
      <formula>0</formula>
    </cfRule>
  </conditionalFormatting>
  <conditionalFormatting sqref="DN568">
    <cfRule type="cellIs" dxfId="978" priority="209" operator="greaterThan">
      <formula>0</formula>
    </cfRule>
  </conditionalFormatting>
  <conditionalFormatting sqref="DM568">
    <cfRule type="notContainsBlanks" dxfId="977" priority="207">
      <formula>LEN(TRIM(DM568))&gt;0</formula>
    </cfRule>
  </conditionalFormatting>
  <conditionalFormatting sqref="DL568">
    <cfRule type="notContainsBlanks" dxfId="976" priority="208">
      <formula>LEN(TRIM(DL568))&gt;0</formula>
    </cfRule>
  </conditionalFormatting>
  <conditionalFormatting sqref="DO259">
    <cfRule type="cellIs" dxfId="975" priority="202" operator="greaterThan">
      <formula>0</formula>
    </cfRule>
  </conditionalFormatting>
  <conditionalFormatting sqref="DN259">
    <cfRule type="cellIs" dxfId="974" priority="201" operator="greaterThan">
      <formula>0</formula>
    </cfRule>
  </conditionalFormatting>
  <conditionalFormatting sqref="DL259">
    <cfRule type="notContainsBlanks" dxfId="973" priority="200">
      <formula>LEN(TRIM(DL259))&gt;0</formula>
    </cfRule>
  </conditionalFormatting>
  <conditionalFormatting sqref="DO231">
    <cfRule type="cellIs" dxfId="972" priority="199" operator="greaterThan">
      <formula>0</formula>
    </cfRule>
  </conditionalFormatting>
  <conditionalFormatting sqref="DN231">
    <cfRule type="cellIs" dxfId="971" priority="198" operator="greaterThan">
      <formula>0</formula>
    </cfRule>
  </conditionalFormatting>
  <conditionalFormatting sqref="DM231">
    <cfRule type="notContainsBlanks" dxfId="970" priority="196">
      <formula>LEN(TRIM(DM231))&gt;0</formula>
    </cfRule>
  </conditionalFormatting>
  <conditionalFormatting sqref="DL231">
    <cfRule type="notContainsBlanks" dxfId="969" priority="197">
      <formula>LEN(TRIM(DL231))&gt;0</formula>
    </cfRule>
  </conditionalFormatting>
  <conditionalFormatting sqref="DM318">
    <cfRule type="notContainsBlanks" dxfId="968" priority="190">
      <formula>LEN(TRIM(DM318))&gt;0</formula>
    </cfRule>
  </conditionalFormatting>
  <conditionalFormatting sqref="DL318">
    <cfRule type="notContainsBlanks" dxfId="967" priority="191">
      <formula>LEN(TRIM(DL318))&gt;0</formula>
    </cfRule>
  </conditionalFormatting>
  <conditionalFormatting sqref="DO243">
    <cfRule type="cellIs" dxfId="966" priority="189" operator="greaterThan">
      <formula>0</formula>
    </cfRule>
  </conditionalFormatting>
  <conditionalFormatting sqref="DN243">
    <cfRule type="cellIs" dxfId="965" priority="188" operator="greaterThan">
      <formula>0</formula>
    </cfRule>
  </conditionalFormatting>
  <conditionalFormatting sqref="DM243">
    <cfRule type="notContainsBlanks" dxfId="964" priority="186">
      <formula>LEN(TRIM(DM243))&gt;0</formula>
    </cfRule>
  </conditionalFormatting>
  <conditionalFormatting sqref="DL243">
    <cfRule type="notContainsBlanks" dxfId="963" priority="187">
      <formula>LEN(TRIM(DL243))&gt;0</formula>
    </cfRule>
  </conditionalFormatting>
  <conditionalFormatting sqref="DO536">
    <cfRule type="cellIs" dxfId="962" priority="185" operator="greaterThan">
      <formula>0</formula>
    </cfRule>
  </conditionalFormatting>
  <conditionalFormatting sqref="DN536">
    <cfRule type="cellIs" dxfId="961" priority="184" operator="greaterThan">
      <formula>0</formula>
    </cfRule>
  </conditionalFormatting>
  <conditionalFormatting sqref="DM536">
    <cfRule type="notContainsBlanks" dxfId="960" priority="182">
      <formula>LEN(TRIM(DM536))&gt;0</formula>
    </cfRule>
  </conditionalFormatting>
  <conditionalFormatting sqref="DL536">
    <cfRule type="notContainsBlanks" dxfId="959" priority="183">
      <formula>LEN(TRIM(DL536))&gt;0</formula>
    </cfRule>
  </conditionalFormatting>
  <conditionalFormatting sqref="DO164">
    <cfRule type="cellIs" dxfId="958" priority="181" operator="greaterThan">
      <formula>0</formula>
    </cfRule>
  </conditionalFormatting>
  <conditionalFormatting sqref="DN164">
    <cfRule type="cellIs" dxfId="957" priority="180" operator="greaterThan">
      <formula>0</formula>
    </cfRule>
  </conditionalFormatting>
  <conditionalFormatting sqref="DM164">
    <cfRule type="notContainsBlanks" dxfId="956" priority="178">
      <formula>LEN(TRIM(DM164))&gt;0</formula>
    </cfRule>
  </conditionalFormatting>
  <conditionalFormatting sqref="DL164">
    <cfRule type="notContainsBlanks" dxfId="955" priority="179">
      <formula>LEN(TRIM(DL164))&gt;0</formula>
    </cfRule>
  </conditionalFormatting>
  <conditionalFormatting sqref="DM464">
    <cfRule type="notContainsBlanks" dxfId="954" priority="176">
      <formula>LEN(TRIM(DM464))&gt;0</formula>
    </cfRule>
  </conditionalFormatting>
  <conditionalFormatting sqref="DM476:DM477">
    <cfRule type="notContainsBlanks" dxfId="953" priority="173">
      <formula>LEN(TRIM(DM476))&gt;0</formula>
    </cfRule>
  </conditionalFormatting>
  <conditionalFormatting sqref="DL464">
    <cfRule type="notContainsBlanks" dxfId="952" priority="177">
      <formula>LEN(TRIM(DL464))&gt;0</formula>
    </cfRule>
  </conditionalFormatting>
  <conditionalFormatting sqref="DO476:DO477">
    <cfRule type="cellIs" dxfId="951" priority="175" operator="greaterThan">
      <formula>0</formula>
    </cfRule>
  </conditionalFormatting>
  <conditionalFormatting sqref="DN476:DN477">
    <cfRule type="cellIs" dxfId="950" priority="174" operator="greaterThan">
      <formula>0</formula>
    </cfRule>
  </conditionalFormatting>
  <conditionalFormatting sqref="DO474:DO475">
    <cfRule type="cellIs" dxfId="949" priority="172" operator="greaterThan">
      <formula>0</formula>
    </cfRule>
  </conditionalFormatting>
  <conditionalFormatting sqref="DN474:DN475">
    <cfRule type="cellIs" dxfId="948" priority="171" operator="greaterThan">
      <formula>0</formula>
    </cfRule>
  </conditionalFormatting>
  <conditionalFormatting sqref="DM474:DM475">
    <cfRule type="notContainsBlanks" dxfId="947" priority="170">
      <formula>LEN(TRIM(DM474))&gt;0</formula>
    </cfRule>
  </conditionalFormatting>
  <conditionalFormatting sqref="DM472:DM473">
    <cfRule type="notContainsBlanks" dxfId="946" priority="167">
      <formula>LEN(TRIM(DM472))&gt;0</formula>
    </cfRule>
  </conditionalFormatting>
  <conditionalFormatting sqref="DO472:DO473">
    <cfRule type="cellIs" dxfId="945" priority="169" operator="greaterThan">
      <formula>0</formula>
    </cfRule>
  </conditionalFormatting>
  <conditionalFormatting sqref="DN472:DN473">
    <cfRule type="cellIs" dxfId="944" priority="168" operator="greaterThan">
      <formula>0</formula>
    </cfRule>
  </conditionalFormatting>
  <conditionalFormatting sqref="DL469">
    <cfRule type="notContainsBlanks" dxfId="943" priority="166">
      <formula>LEN(TRIM(DL469))&gt;0</formula>
    </cfRule>
  </conditionalFormatting>
  <conditionalFormatting sqref="DL468">
    <cfRule type="notContainsBlanks" dxfId="942" priority="165">
      <formula>LEN(TRIM(DL468))&gt;0</formula>
    </cfRule>
  </conditionalFormatting>
  <conditionalFormatting sqref="DL467">
    <cfRule type="notContainsBlanks" dxfId="941" priority="164">
      <formula>LEN(TRIM(DL467))&gt;0</formula>
    </cfRule>
  </conditionalFormatting>
  <conditionalFormatting sqref="DL470:DL471">
    <cfRule type="notContainsBlanks" dxfId="940" priority="163">
      <formula>LEN(TRIM(DL470))&gt;0</formula>
    </cfRule>
  </conditionalFormatting>
  <conditionalFormatting sqref="DL472:DL478">
    <cfRule type="notContainsBlanks" dxfId="939" priority="162">
      <formula>LEN(TRIM(DL472))&gt;0</formula>
    </cfRule>
  </conditionalFormatting>
  <conditionalFormatting sqref="DN318">
    <cfRule type="cellIs" dxfId="938" priority="161" operator="greaterThan">
      <formula>0</formula>
    </cfRule>
  </conditionalFormatting>
  <conditionalFormatting sqref="DO318">
    <cfRule type="cellIs" dxfId="937" priority="160" operator="greaterThan">
      <formula>0</formula>
    </cfRule>
  </conditionalFormatting>
  <conditionalFormatting sqref="DO270">
    <cfRule type="cellIs" dxfId="936" priority="159" operator="greaterThan">
      <formula>0</formula>
    </cfRule>
  </conditionalFormatting>
  <conditionalFormatting sqref="DN270">
    <cfRule type="cellIs" dxfId="935" priority="158" operator="greaterThan">
      <formula>0</formula>
    </cfRule>
  </conditionalFormatting>
  <conditionalFormatting sqref="DN603">
    <cfRule type="cellIs" dxfId="934" priority="156" operator="greaterThan">
      <formula>0</formula>
    </cfRule>
  </conditionalFormatting>
  <conditionalFormatting sqref="DM603">
    <cfRule type="notContainsBlanks" dxfId="933" priority="155">
      <formula>LEN(TRIM(DM603))&gt;0</formula>
    </cfRule>
  </conditionalFormatting>
  <conditionalFormatting sqref="DL603">
    <cfRule type="notContainsBlanks" dxfId="932" priority="157">
      <formula>LEN(TRIM(DL603))&gt;0</formula>
    </cfRule>
  </conditionalFormatting>
  <conditionalFormatting sqref="DO603">
    <cfRule type="cellIs" dxfId="931" priority="154" operator="greaterThan">
      <formula>0</formula>
    </cfRule>
  </conditionalFormatting>
  <conditionalFormatting sqref="DN604">
    <cfRule type="cellIs" dxfId="930" priority="152" operator="greaterThan">
      <formula>0</formula>
    </cfRule>
  </conditionalFormatting>
  <conditionalFormatting sqref="DM604">
    <cfRule type="notContainsBlanks" dxfId="929" priority="151">
      <formula>LEN(TRIM(DM604))&gt;0</formula>
    </cfRule>
  </conditionalFormatting>
  <conditionalFormatting sqref="DL604">
    <cfRule type="notContainsBlanks" dxfId="928" priority="153">
      <formula>LEN(TRIM(DL604))&gt;0</formula>
    </cfRule>
  </conditionalFormatting>
  <conditionalFormatting sqref="DO604">
    <cfRule type="cellIs" dxfId="927" priority="150" operator="greaterThan">
      <formula>0</formula>
    </cfRule>
  </conditionalFormatting>
  <conditionalFormatting sqref="DN605">
    <cfRule type="cellIs" dxfId="926" priority="148" operator="greaterThan">
      <formula>0</formula>
    </cfRule>
  </conditionalFormatting>
  <conditionalFormatting sqref="DM605">
    <cfRule type="notContainsBlanks" dxfId="925" priority="147">
      <formula>LEN(TRIM(DM605))&gt;0</formula>
    </cfRule>
  </conditionalFormatting>
  <conditionalFormatting sqref="DL605">
    <cfRule type="notContainsBlanks" dxfId="924" priority="149">
      <formula>LEN(TRIM(DL605))&gt;0</formula>
    </cfRule>
  </conditionalFormatting>
  <conditionalFormatting sqref="DO605">
    <cfRule type="cellIs" dxfId="923" priority="146" operator="greaterThan">
      <formula>0</formula>
    </cfRule>
  </conditionalFormatting>
  <conditionalFormatting sqref="DN606">
    <cfRule type="cellIs" dxfId="922" priority="144" operator="greaterThan">
      <formula>0</formula>
    </cfRule>
  </conditionalFormatting>
  <conditionalFormatting sqref="DM606">
    <cfRule type="notContainsBlanks" dxfId="921" priority="143">
      <formula>LEN(TRIM(DM606))&gt;0</formula>
    </cfRule>
  </conditionalFormatting>
  <conditionalFormatting sqref="DL606">
    <cfRule type="notContainsBlanks" dxfId="920" priority="145">
      <formula>LEN(TRIM(DL606))&gt;0</formula>
    </cfRule>
  </conditionalFormatting>
  <conditionalFormatting sqref="DO606">
    <cfRule type="cellIs" dxfId="919" priority="142" operator="greaterThan">
      <formula>0</formula>
    </cfRule>
  </conditionalFormatting>
  <conditionalFormatting sqref="DN609">
    <cfRule type="cellIs" dxfId="918" priority="140" operator="greaterThan">
      <formula>0</formula>
    </cfRule>
  </conditionalFormatting>
  <conditionalFormatting sqref="DM609">
    <cfRule type="notContainsBlanks" dxfId="917" priority="139">
      <formula>LEN(TRIM(DM609))&gt;0</formula>
    </cfRule>
  </conditionalFormatting>
  <conditionalFormatting sqref="DL609">
    <cfRule type="notContainsBlanks" dxfId="916" priority="141">
      <formula>LEN(TRIM(DL609))&gt;0</formula>
    </cfRule>
  </conditionalFormatting>
  <conditionalFormatting sqref="DO609">
    <cfRule type="cellIs" dxfId="915" priority="138" operator="greaterThan">
      <formula>0</formula>
    </cfRule>
  </conditionalFormatting>
  <conditionalFormatting sqref="DN610">
    <cfRule type="cellIs" dxfId="914" priority="136" operator="greaterThan">
      <formula>0</formula>
    </cfRule>
  </conditionalFormatting>
  <conditionalFormatting sqref="DM610">
    <cfRule type="notContainsBlanks" dxfId="913" priority="135">
      <formula>LEN(TRIM(DM610))&gt;0</formula>
    </cfRule>
  </conditionalFormatting>
  <conditionalFormatting sqref="DL610">
    <cfRule type="notContainsBlanks" dxfId="912" priority="137">
      <formula>LEN(TRIM(DL610))&gt;0</formula>
    </cfRule>
  </conditionalFormatting>
  <conditionalFormatting sqref="DO610">
    <cfRule type="cellIs" dxfId="911" priority="134" operator="greaterThan">
      <formula>0</formula>
    </cfRule>
  </conditionalFormatting>
  <conditionalFormatting sqref="DN611">
    <cfRule type="cellIs" dxfId="910" priority="132" operator="greaterThan">
      <formula>0</formula>
    </cfRule>
  </conditionalFormatting>
  <conditionalFormatting sqref="DM611">
    <cfRule type="notContainsBlanks" dxfId="909" priority="131">
      <formula>LEN(TRIM(DM611))&gt;0</formula>
    </cfRule>
  </conditionalFormatting>
  <conditionalFormatting sqref="DL611">
    <cfRule type="notContainsBlanks" dxfId="908" priority="133">
      <formula>LEN(TRIM(DL611))&gt;0</formula>
    </cfRule>
  </conditionalFormatting>
  <conditionalFormatting sqref="DO611">
    <cfRule type="cellIs" dxfId="907" priority="130" operator="greaterThan">
      <formula>0</formula>
    </cfRule>
  </conditionalFormatting>
  <conditionalFormatting sqref="DN613">
    <cfRule type="cellIs" dxfId="906" priority="128" operator="greaterThan">
      <formula>0</formula>
    </cfRule>
  </conditionalFormatting>
  <conditionalFormatting sqref="DM613">
    <cfRule type="notContainsBlanks" dxfId="905" priority="127">
      <formula>LEN(TRIM(DM613))&gt;0</formula>
    </cfRule>
  </conditionalFormatting>
  <conditionalFormatting sqref="DL613">
    <cfRule type="notContainsBlanks" dxfId="904" priority="129">
      <formula>LEN(TRIM(DL613))&gt;0</formula>
    </cfRule>
  </conditionalFormatting>
  <conditionalFormatting sqref="DO613">
    <cfRule type="cellIs" dxfId="903" priority="126" operator="greaterThan">
      <formula>0</formula>
    </cfRule>
  </conditionalFormatting>
  <conditionalFormatting sqref="DN618">
    <cfRule type="cellIs" dxfId="902" priority="124" operator="greaterThan">
      <formula>0</formula>
    </cfRule>
  </conditionalFormatting>
  <conditionalFormatting sqref="DM618">
    <cfRule type="notContainsBlanks" dxfId="901" priority="123">
      <formula>LEN(TRIM(DM618))&gt;0</formula>
    </cfRule>
  </conditionalFormatting>
  <conditionalFormatting sqref="DL618">
    <cfRule type="notContainsBlanks" dxfId="900" priority="125">
      <formula>LEN(TRIM(DL618))&gt;0</formula>
    </cfRule>
  </conditionalFormatting>
  <conditionalFormatting sqref="DO618">
    <cfRule type="cellIs" dxfId="899" priority="122" operator="greaterThan">
      <formula>0</formula>
    </cfRule>
  </conditionalFormatting>
  <conditionalFormatting sqref="DN619">
    <cfRule type="cellIs" dxfId="898" priority="120" operator="greaterThan">
      <formula>0</formula>
    </cfRule>
  </conditionalFormatting>
  <conditionalFormatting sqref="DM619">
    <cfRule type="notContainsBlanks" dxfId="897" priority="119">
      <formula>LEN(TRIM(DM619))&gt;0</formula>
    </cfRule>
  </conditionalFormatting>
  <conditionalFormatting sqref="DL619">
    <cfRule type="notContainsBlanks" dxfId="896" priority="121">
      <formula>LEN(TRIM(DL619))&gt;0</formula>
    </cfRule>
  </conditionalFormatting>
  <conditionalFormatting sqref="DO619">
    <cfRule type="cellIs" dxfId="895" priority="118" operator="greaterThan">
      <formula>0</formula>
    </cfRule>
  </conditionalFormatting>
  <conditionalFormatting sqref="DN620">
    <cfRule type="cellIs" dxfId="894" priority="116" operator="greaterThan">
      <formula>0</formula>
    </cfRule>
  </conditionalFormatting>
  <conditionalFormatting sqref="DM620">
    <cfRule type="notContainsBlanks" dxfId="893" priority="115">
      <formula>LEN(TRIM(DM620))&gt;0</formula>
    </cfRule>
  </conditionalFormatting>
  <conditionalFormatting sqref="DL620">
    <cfRule type="notContainsBlanks" dxfId="892" priority="117">
      <formula>LEN(TRIM(DL620))&gt;0</formula>
    </cfRule>
  </conditionalFormatting>
  <conditionalFormatting sqref="DO620">
    <cfRule type="cellIs" dxfId="891" priority="114" operator="greaterThan">
      <formula>0</formula>
    </cfRule>
  </conditionalFormatting>
  <conditionalFormatting sqref="DN621">
    <cfRule type="cellIs" dxfId="890" priority="112" operator="greaterThan">
      <formula>0</formula>
    </cfRule>
  </conditionalFormatting>
  <conditionalFormatting sqref="DM621">
    <cfRule type="notContainsBlanks" dxfId="889" priority="111">
      <formula>LEN(TRIM(DM621))&gt;0</formula>
    </cfRule>
  </conditionalFormatting>
  <conditionalFormatting sqref="DL621">
    <cfRule type="notContainsBlanks" dxfId="888" priority="113">
      <formula>LEN(TRIM(DL621))&gt;0</formula>
    </cfRule>
  </conditionalFormatting>
  <conditionalFormatting sqref="DO621">
    <cfRule type="cellIs" dxfId="887" priority="110" operator="greaterThan">
      <formula>0</formula>
    </cfRule>
  </conditionalFormatting>
  <conditionalFormatting sqref="DN622">
    <cfRule type="cellIs" dxfId="886" priority="108" operator="greaterThan">
      <formula>0</formula>
    </cfRule>
  </conditionalFormatting>
  <conditionalFormatting sqref="DM622">
    <cfRule type="notContainsBlanks" dxfId="885" priority="107">
      <formula>LEN(TRIM(DM622))&gt;0</formula>
    </cfRule>
  </conditionalFormatting>
  <conditionalFormatting sqref="DL622">
    <cfRule type="notContainsBlanks" dxfId="884" priority="109">
      <formula>LEN(TRIM(DL622))&gt;0</formula>
    </cfRule>
  </conditionalFormatting>
  <conditionalFormatting sqref="DO622">
    <cfRule type="cellIs" dxfId="883" priority="106" operator="greaterThan">
      <formula>0</formula>
    </cfRule>
  </conditionalFormatting>
  <conditionalFormatting sqref="DN625">
    <cfRule type="cellIs" dxfId="882" priority="104" operator="greaterThan">
      <formula>0</formula>
    </cfRule>
  </conditionalFormatting>
  <conditionalFormatting sqref="DM625">
    <cfRule type="notContainsBlanks" dxfId="881" priority="103">
      <formula>LEN(TRIM(DM625))&gt;0</formula>
    </cfRule>
  </conditionalFormatting>
  <conditionalFormatting sqref="DL625">
    <cfRule type="notContainsBlanks" dxfId="880" priority="105">
      <formula>LEN(TRIM(DL625))&gt;0</formula>
    </cfRule>
  </conditionalFormatting>
  <conditionalFormatting sqref="DO625">
    <cfRule type="cellIs" dxfId="879" priority="102" operator="greaterThan">
      <formula>0</formula>
    </cfRule>
  </conditionalFormatting>
  <conditionalFormatting sqref="DN626">
    <cfRule type="cellIs" dxfId="878" priority="96" operator="greaterThan">
      <formula>0</formula>
    </cfRule>
  </conditionalFormatting>
  <conditionalFormatting sqref="DM626">
    <cfRule type="notContainsBlanks" dxfId="877" priority="95">
      <formula>LEN(TRIM(DM626))&gt;0</formula>
    </cfRule>
  </conditionalFormatting>
  <conditionalFormatting sqref="DL626">
    <cfRule type="notContainsBlanks" dxfId="876" priority="97">
      <formula>LEN(TRIM(DL626))&gt;0</formula>
    </cfRule>
  </conditionalFormatting>
  <conditionalFormatting sqref="DO626">
    <cfRule type="cellIs" dxfId="875" priority="94" operator="greaterThan">
      <formula>0</formula>
    </cfRule>
  </conditionalFormatting>
  <conditionalFormatting sqref="DN627">
    <cfRule type="cellIs" dxfId="874" priority="92" operator="greaterThan">
      <formula>0</formula>
    </cfRule>
  </conditionalFormatting>
  <conditionalFormatting sqref="DM627">
    <cfRule type="notContainsBlanks" dxfId="873" priority="91">
      <formula>LEN(TRIM(DM627))&gt;0</formula>
    </cfRule>
  </conditionalFormatting>
  <conditionalFormatting sqref="DL627">
    <cfRule type="notContainsBlanks" dxfId="872" priority="93">
      <formula>LEN(TRIM(DL627))&gt;0</formula>
    </cfRule>
  </conditionalFormatting>
  <conditionalFormatting sqref="DO627">
    <cfRule type="cellIs" dxfId="871" priority="90" operator="greaterThan">
      <formula>0</formula>
    </cfRule>
  </conditionalFormatting>
  <conditionalFormatting sqref="DN628">
    <cfRule type="cellIs" dxfId="870" priority="88" operator="greaterThan">
      <formula>0</formula>
    </cfRule>
  </conditionalFormatting>
  <conditionalFormatting sqref="DM628">
    <cfRule type="notContainsBlanks" dxfId="869" priority="87">
      <formula>LEN(TRIM(DM628))&gt;0</formula>
    </cfRule>
  </conditionalFormatting>
  <conditionalFormatting sqref="DL628">
    <cfRule type="notContainsBlanks" dxfId="868" priority="89">
      <formula>LEN(TRIM(DL628))&gt;0</formula>
    </cfRule>
  </conditionalFormatting>
  <conditionalFormatting sqref="DO628">
    <cfRule type="cellIs" dxfId="867" priority="86" operator="greaterThan">
      <formula>0</formula>
    </cfRule>
  </conditionalFormatting>
  <conditionalFormatting sqref="DN630">
    <cfRule type="cellIs" dxfId="866" priority="84" operator="greaterThan">
      <formula>0</formula>
    </cfRule>
  </conditionalFormatting>
  <conditionalFormatting sqref="DM630">
    <cfRule type="notContainsBlanks" dxfId="865" priority="83">
      <formula>LEN(TRIM(DM630))&gt;0</formula>
    </cfRule>
  </conditionalFormatting>
  <conditionalFormatting sqref="DL630">
    <cfRule type="notContainsBlanks" dxfId="864" priority="85">
      <formula>LEN(TRIM(DL630))&gt;0</formula>
    </cfRule>
  </conditionalFormatting>
  <conditionalFormatting sqref="DO630">
    <cfRule type="cellIs" dxfId="863" priority="82" operator="greaterThan">
      <formula>0</formula>
    </cfRule>
  </conditionalFormatting>
  <conditionalFormatting sqref="DL334">
    <cfRule type="notContainsBlanks" dxfId="862" priority="4">
      <formula>LEN(TRIM(DL334))&gt;0</formula>
    </cfRule>
  </conditionalFormatting>
  <conditionalFormatting sqref="DM331">
    <cfRule type="notContainsBlanks" dxfId="861" priority="2">
      <formula>LEN(TRIM(DM331))&gt;0</formula>
    </cfRule>
  </conditionalFormatting>
  <conditionalFormatting sqref="DL331">
    <cfRule type="notContainsBlanks" dxfId="860" priority="3">
      <formula>LEN(TRIM(DL331))&gt;0</formula>
    </cfRule>
  </conditionalFormatting>
  <conditionalFormatting sqref="DL537:DL542">
    <cfRule type="notContainsBlanks" dxfId="859" priority="1">
      <formula>LEN(TRIM(DL537))&gt;0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725AA-C0F8-3944-92CD-BB00E3E146FF}">
  <sheetPr filterMode="1"/>
  <dimension ref="A1:R631"/>
  <sheetViews>
    <sheetView tabSelected="1" topLeftCell="B1" zoomScale="185" workbookViewId="0">
      <pane xSplit="2" ySplit="3" topLeftCell="D219" activePane="bottomRight" state="frozen"/>
      <selection activeCell="B1" sqref="B1"/>
      <selection pane="topRight" activeCell="D1" sqref="D1"/>
      <selection pane="bottomLeft" activeCell="B4" sqref="B4"/>
      <selection pane="bottomRight" activeCell="D223" sqref="D223"/>
    </sheetView>
  </sheetViews>
  <sheetFormatPr baseColWidth="10" defaultRowHeight="15" x14ac:dyDescent="0.2"/>
  <cols>
    <col min="1" max="1" width="12.6640625" style="81" customWidth="1"/>
    <col min="2" max="2" width="14.6640625" style="81" customWidth="1"/>
    <col min="3" max="3" width="36.6640625" style="81" customWidth="1"/>
    <col min="4" max="4" width="22.6640625" style="81" customWidth="1"/>
    <col min="5" max="5" width="6.6640625" style="81" customWidth="1"/>
    <col min="6" max="6" width="2.6640625" style="81" customWidth="1"/>
    <col min="7" max="7" width="8.83203125" style="81" customWidth="1"/>
    <col min="8" max="8" width="7.1640625" style="107" hidden="1" customWidth="1"/>
    <col min="9" max="9" width="12.1640625" style="107" bestFit="1" customWidth="1"/>
    <col min="10" max="10" width="5.1640625" style="107" customWidth="1"/>
    <col min="11" max="11" width="9.33203125" style="107" customWidth="1"/>
    <col min="12" max="12" width="8.6640625" style="107" bestFit="1" customWidth="1"/>
    <col min="13" max="13" width="5.83203125" style="107" customWidth="1"/>
    <col min="14" max="14" width="10.1640625" style="107" bestFit="1" customWidth="1"/>
    <col min="15" max="15" width="15.83203125" style="81" bestFit="1" customWidth="1"/>
    <col min="17" max="17" width="7" style="107" customWidth="1"/>
    <col min="18" max="18" width="6.5" style="107" customWidth="1"/>
  </cols>
  <sheetData>
    <row r="1" spans="1:18" x14ac:dyDescent="0.2">
      <c r="A1" s="81" t="s">
        <v>3</v>
      </c>
      <c r="B1" s="81" t="s">
        <v>4</v>
      </c>
      <c r="C1" s="81" t="s">
        <v>5</v>
      </c>
      <c r="D1" s="81" t="s">
        <v>9</v>
      </c>
      <c r="E1" s="81" t="s">
        <v>6</v>
      </c>
      <c r="F1" s="81" t="s">
        <v>8</v>
      </c>
      <c r="G1" s="81" t="s">
        <v>11</v>
      </c>
      <c r="H1" s="107" t="s">
        <v>16</v>
      </c>
      <c r="I1" s="107" t="s">
        <v>16</v>
      </c>
      <c r="L1" s="107" t="s">
        <v>15</v>
      </c>
      <c r="O1" s="81" t="s">
        <v>17</v>
      </c>
    </row>
    <row r="2" spans="1:18" x14ac:dyDescent="0.2">
      <c r="A2" s="81" t="s">
        <v>18</v>
      </c>
      <c r="F2" s="81" t="s">
        <v>21</v>
      </c>
      <c r="G2" s="81" t="s">
        <v>23</v>
      </c>
      <c r="O2" s="98" t="s">
        <v>33</v>
      </c>
    </row>
    <row r="3" spans="1:18" x14ac:dyDescent="0.2">
      <c r="H3" s="107" t="s">
        <v>59</v>
      </c>
      <c r="I3" s="107" t="s">
        <v>59</v>
      </c>
      <c r="J3" s="107" t="s">
        <v>42</v>
      </c>
      <c r="K3" s="107" t="s">
        <v>54</v>
      </c>
      <c r="L3" s="107" t="s">
        <v>59</v>
      </c>
      <c r="M3" s="107" t="s">
        <v>42</v>
      </c>
      <c r="N3" s="107" t="s">
        <v>54</v>
      </c>
      <c r="O3" s="81" t="s">
        <v>60</v>
      </c>
      <c r="Q3" s="107" t="s">
        <v>54</v>
      </c>
      <c r="R3" s="107" t="s">
        <v>54</v>
      </c>
    </row>
    <row r="4" spans="1:18" x14ac:dyDescent="0.2">
      <c r="A4" s="18" t="s">
        <v>177</v>
      </c>
      <c r="B4" s="111" t="s">
        <v>85</v>
      </c>
      <c r="C4" s="110" t="s">
        <v>874</v>
      </c>
      <c r="D4" s="81" t="s">
        <v>249</v>
      </c>
      <c r="E4" s="81" t="s">
        <v>64</v>
      </c>
      <c r="H4" s="107">
        <v>640.19299999999998</v>
      </c>
      <c r="I4" s="107">
        <v>640193000</v>
      </c>
      <c r="J4" s="107">
        <v>0.96036690498021682</v>
      </c>
      <c r="K4" s="107">
        <v>6148201.6999999993</v>
      </c>
      <c r="L4" s="108">
        <v>2149.5</v>
      </c>
      <c r="M4" s="107">
        <v>0.73</v>
      </c>
      <c r="N4" s="109">
        <v>15708000</v>
      </c>
      <c r="O4" s="111" t="s">
        <v>113</v>
      </c>
      <c r="Q4" s="107">
        <v>6148.2016999999996</v>
      </c>
      <c r="R4" s="109">
        <v>15708</v>
      </c>
    </row>
    <row r="5" spans="1:18" x14ac:dyDescent="0.2">
      <c r="A5" s="25" t="s">
        <v>190</v>
      </c>
      <c r="B5" s="81" t="s">
        <v>74</v>
      </c>
      <c r="C5" s="79" t="s">
        <v>494</v>
      </c>
      <c r="D5" s="81" t="s">
        <v>495</v>
      </c>
      <c r="E5" s="81" t="s">
        <v>69</v>
      </c>
      <c r="F5" s="81" t="s">
        <v>72</v>
      </c>
      <c r="G5" s="98" t="s">
        <v>211</v>
      </c>
      <c r="H5" s="107">
        <v>0</v>
      </c>
      <c r="I5" s="107">
        <v>0</v>
      </c>
      <c r="K5" s="107">
        <v>0</v>
      </c>
      <c r="L5" s="107">
        <v>635</v>
      </c>
      <c r="M5" s="107">
        <v>1.47</v>
      </c>
      <c r="N5" s="109">
        <v>9335000</v>
      </c>
      <c r="O5" s="111" t="s">
        <v>31</v>
      </c>
      <c r="R5" s="109">
        <v>9335</v>
      </c>
    </row>
    <row r="6" spans="1:18" x14ac:dyDescent="0.2">
      <c r="A6" s="18" t="s">
        <v>1303</v>
      </c>
      <c r="B6" s="81" t="s">
        <v>150</v>
      </c>
      <c r="C6" s="112" t="s">
        <v>1307</v>
      </c>
      <c r="D6" s="81" t="s">
        <v>1308</v>
      </c>
      <c r="E6" s="81" t="s">
        <v>69</v>
      </c>
      <c r="F6" s="81" t="s">
        <v>200</v>
      </c>
      <c r="G6" s="81" t="s">
        <v>188</v>
      </c>
      <c r="H6" s="107">
        <v>0</v>
      </c>
      <c r="I6" s="107">
        <v>0</v>
      </c>
      <c r="K6" s="107">
        <v>0</v>
      </c>
      <c r="L6" s="107">
        <v>713.6</v>
      </c>
      <c r="M6" s="107">
        <v>1.3</v>
      </c>
      <c r="N6" s="109">
        <v>9293000</v>
      </c>
      <c r="O6" s="111" t="s">
        <v>118</v>
      </c>
      <c r="R6" s="109">
        <v>9293</v>
      </c>
    </row>
    <row r="7" spans="1:18" x14ac:dyDescent="0.2">
      <c r="A7" s="18" t="s">
        <v>177</v>
      </c>
      <c r="B7" s="111" t="s">
        <v>85</v>
      </c>
      <c r="C7" s="110" t="s">
        <v>811</v>
      </c>
      <c r="D7" s="81" t="s">
        <v>131</v>
      </c>
      <c r="E7" s="81" t="s">
        <v>69</v>
      </c>
      <c r="H7" s="107">
        <v>0</v>
      </c>
      <c r="I7" s="107">
        <v>0</v>
      </c>
      <c r="K7" s="107">
        <v>0</v>
      </c>
      <c r="L7" s="109">
        <v>2774</v>
      </c>
      <c r="M7" s="107">
        <v>0.28999999999999998</v>
      </c>
      <c r="N7" s="109">
        <v>8044000</v>
      </c>
      <c r="O7" s="111" t="s">
        <v>113</v>
      </c>
      <c r="R7" s="109">
        <v>8044</v>
      </c>
    </row>
    <row r="8" spans="1:18" x14ac:dyDescent="0.2">
      <c r="A8" s="18" t="s">
        <v>1273</v>
      </c>
      <c r="B8" s="81" t="s">
        <v>149</v>
      </c>
      <c r="C8" s="110" t="s">
        <v>1277</v>
      </c>
      <c r="D8" s="81" t="s">
        <v>1009</v>
      </c>
      <c r="E8" s="81" t="s">
        <v>64</v>
      </c>
      <c r="H8" s="107">
        <v>1200.3</v>
      </c>
      <c r="I8" s="107">
        <v>1200300000</v>
      </c>
      <c r="J8" s="107">
        <v>0.19</v>
      </c>
      <c r="K8" s="107">
        <v>2280570</v>
      </c>
      <c r="L8" s="108">
        <v>3683.5</v>
      </c>
      <c r="M8" s="107">
        <v>0.19</v>
      </c>
      <c r="N8" s="109">
        <v>6999000</v>
      </c>
      <c r="O8" s="111" t="s">
        <v>113</v>
      </c>
      <c r="Q8" s="107">
        <v>2280.5700000000002</v>
      </c>
      <c r="R8" s="109">
        <v>6999</v>
      </c>
    </row>
    <row r="9" spans="1:18" x14ac:dyDescent="0.2">
      <c r="A9" s="18" t="s">
        <v>1303</v>
      </c>
      <c r="B9" s="81" t="s">
        <v>150</v>
      </c>
      <c r="C9" s="112" t="s">
        <v>1309</v>
      </c>
      <c r="D9" s="81" t="s">
        <v>1311</v>
      </c>
      <c r="E9" s="81" t="s">
        <v>69</v>
      </c>
      <c r="F9" s="81" t="s">
        <v>200</v>
      </c>
      <c r="G9" s="81" t="s">
        <v>188</v>
      </c>
      <c r="H9" s="107">
        <v>0</v>
      </c>
      <c r="I9" s="107">
        <v>0</v>
      </c>
      <c r="K9" s="107">
        <v>0</v>
      </c>
      <c r="L9" s="107">
        <v>448</v>
      </c>
      <c r="M9" s="107">
        <v>1.39</v>
      </c>
      <c r="N9" s="109">
        <v>6227000</v>
      </c>
      <c r="O9" s="111" t="s">
        <v>118</v>
      </c>
      <c r="R9" s="109">
        <v>6227</v>
      </c>
    </row>
    <row r="10" spans="1:18" x14ac:dyDescent="0.2">
      <c r="A10" s="25" t="s">
        <v>190</v>
      </c>
      <c r="B10" s="111" t="s">
        <v>85</v>
      </c>
      <c r="C10" s="113" t="s">
        <v>865</v>
      </c>
      <c r="D10" s="81" t="s">
        <v>131</v>
      </c>
      <c r="E10" s="81" t="s">
        <v>69</v>
      </c>
      <c r="H10" s="107">
        <v>0</v>
      </c>
      <c r="I10" s="107">
        <v>0</v>
      </c>
      <c r="K10" s="107">
        <v>0</v>
      </c>
      <c r="L10" s="107">
        <v>770</v>
      </c>
      <c r="M10" s="107">
        <v>0.77</v>
      </c>
      <c r="N10" s="109">
        <v>5929000</v>
      </c>
      <c r="O10" s="111" t="s">
        <v>31</v>
      </c>
      <c r="R10" s="109">
        <v>5929</v>
      </c>
    </row>
    <row r="11" spans="1:18" x14ac:dyDescent="0.2">
      <c r="A11" s="18" t="s">
        <v>177</v>
      </c>
      <c r="B11" s="81" t="s">
        <v>82</v>
      </c>
      <c r="C11" s="80" t="s">
        <v>673</v>
      </c>
      <c r="D11" s="81" t="s">
        <v>367</v>
      </c>
      <c r="E11" s="81" t="s">
        <v>69</v>
      </c>
      <c r="H11" s="107">
        <v>1028.048</v>
      </c>
      <c r="I11" s="107">
        <v>1028048000</v>
      </c>
      <c r="J11" s="107">
        <v>0.27110823619130625</v>
      </c>
      <c r="K11" s="107">
        <v>2787122.8000000003</v>
      </c>
      <c r="L11" s="108">
        <v>2165.4</v>
      </c>
      <c r="M11" s="107">
        <v>0.26</v>
      </c>
      <c r="N11" s="109">
        <v>5704000</v>
      </c>
      <c r="O11" s="111" t="s">
        <v>113</v>
      </c>
      <c r="Q11" s="107">
        <v>2787.1228000000001</v>
      </c>
      <c r="R11" s="109">
        <v>5704</v>
      </c>
    </row>
    <row r="12" spans="1:18" x14ac:dyDescent="0.2">
      <c r="A12" s="25" t="s">
        <v>190</v>
      </c>
      <c r="B12" s="81" t="s">
        <v>74</v>
      </c>
      <c r="C12" s="113" t="s">
        <v>479</v>
      </c>
      <c r="D12" s="81" t="s">
        <v>480</v>
      </c>
      <c r="E12" s="81" t="s">
        <v>71</v>
      </c>
      <c r="G12" s="81" t="s">
        <v>187</v>
      </c>
      <c r="H12" s="107">
        <v>0</v>
      </c>
      <c r="I12" s="107">
        <v>0</v>
      </c>
      <c r="K12" s="107">
        <v>0</v>
      </c>
      <c r="L12" s="107">
        <v>440.4</v>
      </c>
      <c r="M12" s="107">
        <v>1.25</v>
      </c>
      <c r="N12" s="109">
        <v>5513000</v>
      </c>
      <c r="O12" s="111" t="s">
        <v>31</v>
      </c>
      <c r="R12" s="109">
        <v>5513</v>
      </c>
    </row>
    <row r="13" spans="1:18" x14ac:dyDescent="0.2">
      <c r="A13" s="18" t="s">
        <v>1303</v>
      </c>
      <c r="B13" s="81" t="s">
        <v>150</v>
      </c>
      <c r="C13" s="112" t="s">
        <v>1304</v>
      </c>
      <c r="D13" s="81" t="s">
        <v>201</v>
      </c>
      <c r="E13" s="81" t="s">
        <v>69</v>
      </c>
      <c r="F13" s="81" t="s">
        <v>200</v>
      </c>
      <c r="G13" s="81" t="s">
        <v>188</v>
      </c>
      <c r="H13" s="107">
        <v>0</v>
      </c>
      <c r="I13" s="107">
        <v>0</v>
      </c>
      <c r="K13" s="107">
        <v>0</v>
      </c>
      <c r="L13" s="107">
        <v>423.4</v>
      </c>
      <c r="M13" s="107">
        <v>1.3</v>
      </c>
      <c r="N13" s="109">
        <v>5485000</v>
      </c>
      <c r="O13" s="111" t="s">
        <v>118</v>
      </c>
      <c r="R13" s="109">
        <v>5485</v>
      </c>
    </row>
    <row r="14" spans="1:18" x14ac:dyDescent="0.2">
      <c r="A14" s="25" t="s">
        <v>190</v>
      </c>
      <c r="B14" s="111" t="s">
        <v>74</v>
      </c>
      <c r="C14" s="113" t="s">
        <v>475</v>
      </c>
      <c r="D14" s="81" t="s">
        <v>474</v>
      </c>
      <c r="E14" s="81" t="s">
        <v>64</v>
      </c>
      <c r="G14" s="81" t="s">
        <v>467</v>
      </c>
      <c r="H14" s="107">
        <v>134.5</v>
      </c>
      <c r="I14" s="107">
        <v>134500000</v>
      </c>
      <c r="J14" s="107">
        <v>1.8680579925650558</v>
      </c>
      <c r="K14" s="107">
        <v>2512538</v>
      </c>
      <c r="L14" s="107">
        <v>286.60000000000002</v>
      </c>
      <c r="M14" s="107">
        <v>1.89</v>
      </c>
      <c r="N14" s="109">
        <v>5405000</v>
      </c>
      <c r="O14" s="111" t="s">
        <v>31</v>
      </c>
      <c r="Q14" s="107">
        <v>2512.538</v>
      </c>
      <c r="R14" s="109">
        <v>5405</v>
      </c>
    </row>
    <row r="15" spans="1:18" x14ac:dyDescent="0.2">
      <c r="A15" s="18" t="s">
        <v>177</v>
      </c>
      <c r="B15" s="81" t="s">
        <v>82</v>
      </c>
      <c r="C15" s="80" t="s">
        <v>791</v>
      </c>
      <c r="D15" s="81" t="s">
        <v>792</v>
      </c>
      <c r="E15" s="81" t="s">
        <v>69</v>
      </c>
      <c r="H15" s="107">
        <v>0</v>
      </c>
      <c r="I15" s="107">
        <v>0</v>
      </c>
      <c r="K15" s="107">
        <v>0</v>
      </c>
      <c r="L15" s="108">
        <v>2215.4</v>
      </c>
      <c r="M15" s="107">
        <v>0.22</v>
      </c>
      <c r="N15" s="109">
        <v>4874000</v>
      </c>
      <c r="O15" s="111" t="s">
        <v>113</v>
      </c>
      <c r="R15" s="109">
        <v>4874</v>
      </c>
    </row>
    <row r="16" spans="1:18" x14ac:dyDescent="0.2">
      <c r="A16" s="25" t="s">
        <v>190</v>
      </c>
      <c r="B16" s="81" t="s">
        <v>77</v>
      </c>
      <c r="C16" s="113" t="s">
        <v>575</v>
      </c>
      <c r="D16" s="81" t="s">
        <v>576</v>
      </c>
      <c r="E16" s="81" t="s">
        <v>64</v>
      </c>
      <c r="F16" s="81" t="s">
        <v>72</v>
      </c>
      <c r="G16" s="81" t="s">
        <v>467</v>
      </c>
      <c r="H16" s="107">
        <v>36.299999999999997</v>
      </c>
      <c r="I16" s="107">
        <v>36300000</v>
      </c>
      <c r="J16" s="107">
        <v>2.5306611570247934</v>
      </c>
      <c r="K16" s="107">
        <v>918630</v>
      </c>
      <c r="L16" s="107">
        <v>189.6</v>
      </c>
      <c r="M16" s="107">
        <v>2.42</v>
      </c>
      <c r="N16" s="109">
        <v>4585000</v>
      </c>
      <c r="O16" s="111" t="s">
        <v>31</v>
      </c>
      <c r="Q16" s="107">
        <v>918.63</v>
      </c>
      <c r="R16" s="109">
        <v>4585</v>
      </c>
    </row>
    <row r="17" spans="1:18" x14ac:dyDescent="0.2">
      <c r="A17" s="18" t="s">
        <v>177</v>
      </c>
      <c r="B17" s="111" t="s">
        <v>85</v>
      </c>
      <c r="C17" s="110" t="s">
        <v>826</v>
      </c>
      <c r="D17" s="81" t="s">
        <v>131</v>
      </c>
      <c r="E17" s="81" t="s">
        <v>69</v>
      </c>
      <c r="H17" s="107">
        <v>0</v>
      </c>
      <c r="I17" s="107">
        <v>0</v>
      </c>
      <c r="K17" s="107">
        <v>0</v>
      </c>
      <c r="L17" s="109">
        <v>1125</v>
      </c>
      <c r="M17" s="107">
        <v>0.4</v>
      </c>
      <c r="N17" s="109">
        <v>4500000</v>
      </c>
      <c r="O17" s="111" t="s">
        <v>113</v>
      </c>
      <c r="R17" s="109">
        <v>4500</v>
      </c>
    </row>
    <row r="18" spans="1:18" x14ac:dyDescent="0.2">
      <c r="A18" s="25" t="s">
        <v>190</v>
      </c>
      <c r="B18" s="81" t="s">
        <v>142</v>
      </c>
      <c r="C18" s="113" t="s">
        <v>1137</v>
      </c>
      <c r="D18" s="81" t="s">
        <v>1138</v>
      </c>
      <c r="E18" s="81" t="s">
        <v>69</v>
      </c>
      <c r="H18" s="107">
        <v>0</v>
      </c>
      <c r="I18" s="107">
        <v>0</v>
      </c>
      <c r="K18" s="107">
        <v>0</v>
      </c>
      <c r="L18" s="107">
        <v>400</v>
      </c>
      <c r="M18" s="107">
        <v>1.1000000000000001</v>
      </c>
      <c r="N18" s="109">
        <v>4400000</v>
      </c>
      <c r="O18" s="111" t="s">
        <v>31</v>
      </c>
      <c r="R18" s="109">
        <v>4400</v>
      </c>
    </row>
    <row r="19" spans="1:18" x14ac:dyDescent="0.2">
      <c r="A19" s="25" t="s">
        <v>190</v>
      </c>
      <c r="B19" s="81" t="s">
        <v>84</v>
      </c>
      <c r="C19" s="113" t="s">
        <v>809</v>
      </c>
      <c r="D19" s="81" t="s">
        <v>810</v>
      </c>
      <c r="E19" s="81" t="s">
        <v>69</v>
      </c>
      <c r="H19" s="107">
        <v>0</v>
      </c>
      <c r="I19" s="107">
        <v>0</v>
      </c>
      <c r="K19" s="107">
        <v>0</v>
      </c>
      <c r="L19" s="107">
        <v>293</v>
      </c>
      <c r="M19" s="107">
        <v>1.46</v>
      </c>
      <c r="N19" s="109">
        <v>4278000</v>
      </c>
      <c r="O19" s="111" t="s">
        <v>31</v>
      </c>
      <c r="R19" s="109">
        <v>4278</v>
      </c>
    </row>
    <row r="20" spans="1:18" x14ac:dyDescent="0.2">
      <c r="A20" s="18" t="s">
        <v>177</v>
      </c>
      <c r="B20" s="78" t="s">
        <v>105</v>
      </c>
      <c r="C20" s="80" t="s">
        <v>985</v>
      </c>
      <c r="D20" s="81" t="s">
        <v>986</v>
      </c>
      <c r="E20" s="98" t="s">
        <v>6</v>
      </c>
      <c r="H20" s="107">
        <v>0</v>
      </c>
      <c r="I20" s="107">
        <v>0</v>
      </c>
      <c r="K20" s="107">
        <v>0</v>
      </c>
      <c r="L20" s="107">
        <v>361.9</v>
      </c>
      <c r="M20" s="107">
        <v>1.18</v>
      </c>
      <c r="N20" s="109">
        <v>4271000</v>
      </c>
      <c r="O20" s="111" t="s">
        <v>113</v>
      </c>
      <c r="R20" s="109">
        <v>4271</v>
      </c>
    </row>
    <row r="21" spans="1:18" x14ac:dyDescent="0.2">
      <c r="A21" s="18" t="s">
        <v>177</v>
      </c>
      <c r="B21" s="81" t="s">
        <v>103</v>
      </c>
      <c r="C21" s="112" t="s">
        <v>974</v>
      </c>
      <c r="D21" s="81" t="s">
        <v>975</v>
      </c>
      <c r="E21" s="81" t="s">
        <v>64</v>
      </c>
      <c r="G21" s="81" t="s">
        <v>92</v>
      </c>
      <c r="H21" s="107">
        <v>0</v>
      </c>
      <c r="I21" s="107">
        <v>0</v>
      </c>
      <c r="K21" s="107">
        <v>0</v>
      </c>
      <c r="L21" s="109">
        <v>1525</v>
      </c>
      <c r="M21" s="107">
        <v>0.27</v>
      </c>
      <c r="N21" s="109">
        <v>4072000</v>
      </c>
      <c r="O21" s="111" t="s">
        <v>118</v>
      </c>
      <c r="R21" s="109">
        <v>4072</v>
      </c>
    </row>
    <row r="22" spans="1:18" x14ac:dyDescent="0.2">
      <c r="A22" s="25" t="s">
        <v>190</v>
      </c>
      <c r="B22" s="81" t="s">
        <v>142</v>
      </c>
      <c r="C22" s="79" t="s">
        <v>1139</v>
      </c>
      <c r="D22" s="81" t="s">
        <v>1138</v>
      </c>
      <c r="E22" s="81" t="s">
        <v>69</v>
      </c>
      <c r="H22" s="107">
        <v>0</v>
      </c>
      <c r="I22" s="107">
        <v>0</v>
      </c>
      <c r="K22" s="107">
        <v>0</v>
      </c>
      <c r="L22" s="107">
        <v>310</v>
      </c>
      <c r="M22" s="107">
        <v>1.3</v>
      </c>
      <c r="N22" s="109">
        <v>4030000</v>
      </c>
      <c r="O22" s="111" t="s">
        <v>31</v>
      </c>
      <c r="R22" s="109">
        <v>4030</v>
      </c>
    </row>
    <row r="23" spans="1:18" x14ac:dyDescent="0.2">
      <c r="A23" s="25" t="s">
        <v>190</v>
      </c>
      <c r="B23" s="81" t="s">
        <v>79</v>
      </c>
      <c r="C23" s="79" t="s">
        <v>619</v>
      </c>
      <c r="D23" s="81" t="s">
        <v>611</v>
      </c>
      <c r="E23" s="81" t="s">
        <v>69</v>
      </c>
      <c r="H23" s="107">
        <v>0</v>
      </c>
      <c r="I23" s="107">
        <v>0</v>
      </c>
      <c r="K23" s="107">
        <v>0</v>
      </c>
      <c r="L23" s="107">
        <v>306.60000000000002</v>
      </c>
      <c r="M23" s="107">
        <v>1.28</v>
      </c>
      <c r="N23" s="109">
        <v>3914000</v>
      </c>
      <c r="O23" s="111" t="s">
        <v>31</v>
      </c>
      <c r="R23" s="109">
        <v>3914</v>
      </c>
    </row>
    <row r="24" spans="1:18" x14ac:dyDescent="0.2">
      <c r="A24" s="25" t="s">
        <v>190</v>
      </c>
      <c r="B24" s="81" t="s">
        <v>77</v>
      </c>
      <c r="C24" s="79" t="s">
        <v>573</v>
      </c>
      <c r="D24" s="81" t="s">
        <v>574</v>
      </c>
      <c r="E24" s="81" t="s">
        <v>64</v>
      </c>
      <c r="F24" s="81" t="s">
        <v>72</v>
      </c>
      <c r="G24" s="81" t="s">
        <v>467</v>
      </c>
      <c r="H24" s="107">
        <v>41.8</v>
      </c>
      <c r="I24" s="107">
        <v>41800000</v>
      </c>
      <c r="J24" s="107">
        <v>2.219593301435407</v>
      </c>
      <c r="K24" s="107">
        <v>927790.00000000023</v>
      </c>
      <c r="L24" s="107">
        <v>139.4</v>
      </c>
      <c r="M24" s="107">
        <v>2.4700000000000002</v>
      </c>
      <c r="N24" s="109">
        <v>3439000</v>
      </c>
      <c r="O24" s="111" t="s">
        <v>31</v>
      </c>
      <c r="Q24" s="107">
        <v>927.79000000000019</v>
      </c>
      <c r="R24" s="109">
        <v>3439</v>
      </c>
    </row>
    <row r="25" spans="1:18" x14ac:dyDescent="0.2">
      <c r="A25" s="18" t="s">
        <v>177</v>
      </c>
      <c r="B25" s="81" t="s">
        <v>85</v>
      </c>
      <c r="C25" s="80" t="s">
        <v>838</v>
      </c>
      <c r="D25" s="81" t="s">
        <v>249</v>
      </c>
      <c r="E25" s="81" t="s">
        <v>64</v>
      </c>
      <c r="H25" s="107">
        <v>100.91800000000001</v>
      </c>
      <c r="I25" s="107">
        <v>100918000</v>
      </c>
      <c r="J25" s="107">
        <v>0.57446639846211767</v>
      </c>
      <c r="K25" s="107">
        <v>579739.99999999988</v>
      </c>
      <c r="L25" s="107">
        <v>471.5</v>
      </c>
      <c r="M25" s="107">
        <v>0.67</v>
      </c>
      <c r="N25" s="109">
        <v>3167000</v>
      </c>
      <c r="O25" s="111" t="s">
        <v>113</v>
      </c>
      <c r="Q25" s="107">
        <v>579.7399999999999</v>
      </c>
      <c r="R25" s="109">
        <v>3167</v>
      </c>
    </row>
    <row r="26" spans="1:18" x14ac:dyDescent="0.2">
      <c r="A26" s="25" t="s">
        <v>190</v>
      </c>
      <c r="B26" s="81" t="s">
        <v>74</v>
      </c>
      <c r="C26" s="79" t="s">
        <v>465</v>
      </c>
      <c r="D26" s="81" t="s">
        <v>466</v>
      </c>
      <c r="E26" s="81" t="s">
        <v>69</v>
      </c>
      <c r="G26" s="81" t="s">
        <v>467</v>
      </c>
      <c r="H26" s="107">
        <v>0</v>
      </c>
      <c r="I26" s="107">
        <v>0</v>
      </c>
      <c r="K26" s="107">
        <v>0</v>
      </c>
      <c r="L26" s="107">
        <v>175</v>
      </c>
      <c r="M26" s="107">
        <v>1.77</v>
      </c>
      <c r="N26" s="109">
        <v>3098000</v>
      </c>
      <c r="O26" s="111" t="s">
        <v>31</v>
      </c>
      <c r="R26" s="109">
        <v>3098</v>
      </c>
    </row>
    <row r="27" spans="1:18" x14ac:dyDescent="0.2">
      <c r="A27" s="25" t="s">
        <v>190</v>
      </c>
      <c r="B27" s="81" t="s">
        <v>142</v>
      </c>
      <c r="C27" s="79" t="s">
        <v>1143</v>
      </c>
      <c r="D27" s="81" t="s">
        <v>1138</v>
      </c>
      <c r="E27" s="81" t="s">
        <v>69</v>
      </c>
      <c r="H27" s="107">
        <v>0</v>
      </c>
      <c r="I27" s="107">
        <v>0</v>
      </c>
      <c r="K27" s="107">
        <v>0</v>
      </c>
      <c r="L27" s="107">
        <v>234</v>
      </c>
      <c r="M27" s="107">
        <v>1.3</v>
      </c>
      <c r="N27" s="109">
        <v>3042000</v>
      </c>
      <c r="O27" s="111" t="s">
        <v>31</v>
      </c>
      <c r="R27" s="109">
        <v>3042</v>
      </c>
    </row>
    <row r="28" spans="1:18" x14ac:dyDescent="0.2">
      <c r="A28" s="18" t="s">
        <v>177</v>
      </c>
      <c r="B28" s="81" t="s">
        <v>127</v>
      </c>
      <c r="C28" s="110" t="s">
        <v>1046</v>
      </c>
      <c r="D28" s="81" t="s">
        <v>1042</v>
      </c>
      <c r="E28" s="81" t="s">
        <v>69</v>
      </c>
      <c r="H28" s="107">
        <v>0</v>
      </c>
      <c r="I28" s="107">
        <v>0</v>
      </c>
      <c r="K28" s="107">
        <v>0</v>
      </c>
      <c r="L28" s="108">
        <v>1643.8</v>
      </c>
      <c r="M28" s="107">
        <v>0.18</v>
      </c>
      <c r="N28" s="109">
        <v>2910000</v>
      </c>
      <c r="O28" s="111" t="s">
        <v>113</v>
      </c>
      <c r="R28" s="109">
        <v>2910</v>
      </c>
    </row>
    <row r="29" spans="1:18" x14ac:dyDescent="0.2">
      <c r="A29" s="18" t="s">
        <v>177</v>
      </c>
      <c r="B29" s="81" t="s">
        <v>82</v>
      </c>
      <c r="C29" s="112" t="s">
        <v>662</v>
      </c>
      <c r="D29" s="81" t="s">
        <v>663</v>
      </c>
      <c r="E29" s="81" t="s">
        <v>69</v>
      </c>
      <c r="H29" s="107">
        <v>0</v>
      </c>
      <c r="I29" s="107">
        <v>0</v>
      </c>
      <c r="K29" s="107">
        <v>0</v>
      </c>
      <c r="L29" s="108">
        <v>2411.5</v>
      </c>
      <c r="M29" s="107">
        <v>0.12</v>
      </c>
      <c r="N29" s="109">
        <v>2797000</v>
      </c>
      <c r="O29" s="111" t="s">
        <v>118</v>
      </c>
      <c r="R29" s="109">
        <v>2797</v>
      </c>
    </row>
    <row r="30" spans="1:18" x14ac:dyDescent="0.2">
      <c r="A30" s="25" t="s">
        <v>190</v>
      </c>
      <c r="B30" s="111" t="s">
        <v>74</v>
      </c>
      <c r="C30" s="113" t="s">
        <v>478</v>
      </c>
      <c r="D30" s="81" t="s">
        <v>474</v>
      </c>
      <c r="E30" s="81" t="s">
        <v>64</v>
      </c>
      <c r="G30" s="81" t="s">
        <v>467</v>
      </c>
      <c r="H30" s="107">
        <v>53.96</v>
      </c>
      <c r="I30" s="107">
        <v>53960000</v>
      </c>
      <c r="J30" s="107">
        <v>1.6244773906597481</v>
      </c>
      <c r="K30" s="107">
        <v>876568</v>
      </c>
      <c r="L30" s="107">
        <v>166.7</v>
      </c>
      <c r="M30" s="107">
        <v>1.65</v>
      </c>
      <c r="N30" s="109">
        <v>2749000</v>
      </c>
      <c r="O30" s="111" t="s">
        <v>31</v>
      </c>
      <c r="Q30" s="107">
        <v>876.56799999999998</v>
      </c>
      <c r="R30" s="109">
        <v>2749</v>
      </c>
    </row>
    <row r="31" spans="1:18" x14ac:dyDescent="0.2">
      <c r="A31" s="18" t="s">
        <v>190</v>
      </c>
      <c r="B31" s="81" t="s">
        <v>63</v>
      </c>
      <c r="C31" s="79" t="s">
        <v>250</v>
      </c>
      <c r="D31" s="81" t="s">
        <v>249</v>
      </c>
      <c r="E31" s="81" t="s">
        <v>69</v>
      </c>
      <c r="F31" s="81" t="s">
        <v>72</v>
      </c>
      <c r="G31" s="98" t="s">
        <v>211</v>
      </c>
      <c r="H31" s="107">
        <v>0</v>
      </c>
      <c r="I31" s="107">
        <v>0</v>
      </c>
      <c r="K31" s="107">
        <v>0</v>
      </c>
      <c r="L31" s="107">
        <v>339</v>
      </c>
      <c r="M31" s="107">
        <v>0.81</v>
      </c>
      <c r="N31" s="109">
        <v>2746000</v>
      </c>
      <c r="O31" s="111" t="s">
        <v>31</v>
      </c>
      <c r="R31" s="109">
        <v>2746</v>
      </c>
    </row>
    <row r="32" spans="1:18" x14ac:dyDescent="0.2">
      <c r="A32" s="18" t="s">
        <v>1273</v>
      </c>
      <c r="B32" s="81" t="s">
        <v>149</v>
      </c>
      <c r="C32" s="110" t="s">
        <v>1274</v>
      </c>
      <c r="D32" s="81" t="s">
        <v>1275</v>
      </c>
      <c r="E32" s="81" t="s">
        <v>69</v>
      </c>
      <c r="H32" s="107">
        <v>124.7</v>
      </c>
      <c r="I32" s="107">
        <v>124700000</v>
      </c>
      <c r="J32" s="107">
        <v>0.34</v>
      </c>
      <c r="K32" s="107">
        <v>423980</v>
      </c>
      <c r="L32" s="107">
        <v>852</v>
      </c>
      <c r="M32" s="107">
        <v>0.31</v>
      </c>
      <c r="N32" s="109">
        <v>2676000</v>
      </c>
      <c r="O32" s="111" t="s">
        <v>113</v>
      </c>
      <c r="Q32" s="107">
        <v>423.98</v>
      </c>
      <c r="R32" s="109">
        <v>2676</v>
      </c>
    </row>
    <row r="33" spans="1:18" x14ac:dyDescent="0.2">
      <c r="A33" s="18" t="s">
        <v>177</v>
      </c>
      <c r="B33" s="81" t="s">
        <v>63</v>
      </c>
      <c r="C33" s="80" t="s">
        <v>226</v>
      </c>
      <c r="D33" s="81" t="s">
        <v>66</v>
      </c>
      <c r="E33" s="81" t="s">
        <v>69</v>
      </c>
      <c r="F33" s="81" t="s">
        <v>72</v>
      </c>
      <c r="G33" s="81" t="s">
        <v>70</v>
      </c>
      <c r="H33" s="107">
        <v>153</v>
      </c>
      <c r="I33" s="107">
        <v>153000000</v>
      </c>
      <c r="J33" s="107">
        <v>0.6062745098039215</v>
      </c>
      <c r="K33" s="107">
        <v>927599.99999999988</v>
      </c>
      <c r="L33" s="107">
        <v>440</v>
      </c>
      <c r="M33" s="107">
        <v>0.61</v>
      </c>
      <c r="N33" s="109">
        <v>2664000</v>
      </c>
      <c r="O33" s="111" t="s">
        <v>113</v>
      </c>
      <c r="Q33" s="107">
        <v>927.59999999999991</v>
      </c>
      <c r="R33" s="109">
        <v>2664</v>
      </c>
    </row>
    <row r="34" spans="1:18" x14ac:dyDescent="0.2">
      <c r="A34" s="25" t="s">
        <v>190</v>
      </c>
      <c r="B34" s="81" t="s">
        <v>74</v>
      </c>
      <c r="C34" s="113" t="s">
        <v>493</v>
      </c>
      <c r="D34" s="81" t="s">
        <v>131</v>
      </c>
      <c r="E34" s="81" t="s">
        <v>69</v>
      </c>
      <c r="F34" s="81" t="s">
        <v>72</v>
      </c>
      <c r="G34" s="98" t="s">
        <v>211</v>
      </c>
      <c r="H34" s="107">
        <v>0</v>
      </c>
      <c r="I34" s="107">
        <v>0</v>
      </c>
      <c r="K34" s="107">
        <v>0</v>
      </c>
      <c r="L34" s="107">
        <v>162</v>
      </c>
      <c r="M34" s="107">
        <v>1.62</v>
      </c>
      <c r="N34" s="109">
        <v>2624000</v>
      </c>
      <c r="O34" s="111" t="s">
        <v>31</v>
      </c>
      <c r="R34" s="109">
        <v>2624</v>
      </c>
    </row>
    <row r="35" spans="1:18" x14ac:dyDescent="0.2">
      <c r="A35" s="25" t="s">
        <v>190</v>
      </c>
      <c r="B35" s="81" t="s">
        <v>75</v>
      </c>
      <c r="C35" s="79" t="s">
        <v>529</v>
      </c>
      <c r="D35" s="81" t="s">
        <v>530</v>
      </c>
      <c r="E35" s="81" t="s">
        <v>69</v>
      </c>
      <c r="F35" s="81" t="s">
        <v>72</v>
      </c>
      <c r="H35" s="107">
        <v>0</v>
      </c>
      <c r="I35" s="107">
        <v>0</v>
      </c>
      <c r="K35" s="107">
        <v>0</v>
      </c>
      <c r="L35" s="107">
        <v>200</v>
      </c>
      <c r="M35" s="107">
        <v>1.3</v>
      </c>
      <c r="N35" s="109">
        <v>2600000</v>
      </c>
      <c r="O35" s="111" t="s">
        <v>31</v>
      </c>
      <c r="R35" s="109">
        <v>2600</v>
      </c>
    </row>
    <row r="36" spans="1:18" x14ac:dyDescent="0.2">
      <c r="A36" s="18" t="s">
        <v>190</v>
      </c>
      <c r="B36" s="81" t="s">
        <v>63</v>
      </c>
      <c r="C36" s="113" t="s">
        <v>258</v>
      </c>
      <c r="D36" s="81" t="s">
        <v>256</v>
      </c>
      <c r="E36" s="81" t="s">
        <v>69</v>
      </c>
      <c r="F36" s="81" t="s">
        <v>72</v>
      </c>
      <c r="G36" s="81" t="s">
        <v>70</v>
      </c>
      <c r="H36" s="107">
        <v>0</v>
      </c>
      <c r="I36" s="107">
        <v>0</v>
      </c>
      <c r="K36" s="107">
        <v>0</v>
      </c>
      <c r="L36" s="107">
        <v>330</v>
      </c>
      <c r="M36" s="107">
        <v>0.75</v>
      </c>
      <c r="N36" s="109">
        <v>2475000</v>
      </c>
      <c r="O36" s="111" t="s">
        <v>31</v>
      </c>
      <c r="R36" s="109">
        <v>2475</v>
      </c>
    </row>
    <row r="37" spans="1:18" x14ac:dyDescent="0.2">
      <c r="A37" s="18" t="s">
        <v>190</v>
      </c>
      <c r="B37" s="81" t="s">
        <v>63</v>
      </c>
      <c r="C37" s="79" t="s">
        <v>229</v>
      </c>
      <c r="D37" s="81" t="s">
        <v>81</v>
      </c>
      <c r="E37" s="81" t="s">
        <v>64</v>
      </c>
      <c r="F37" s="81" t="s">
        <v>72</v>
      </c>
      <c r="G37" s="81" t="s">
        <v>204</v>
      </c>
      <c r="H37" s="107">
        <v>101.6</v>
      </c>
      <c r="I37" s="107">
        <v>101600000</v>
      </c>
      <c r="J37" s="107">
        <v>1.05</v>
      </c>
      <c r="K37" s="107">
        <v>1066800</v>
      </c>
      <c r="L37" s="107">
        <v>230.9</v>
      </c>
      <c r="M37" s="107">
        <v>1</v>
      </c>
      <c r="N37" s="109">
        <v>2298000</v>
      </c>
      <c r="O37" s="111" t="s">
        <v>31</v>
      </c>
      <c r="Q37" s="107">
        <v>1066.8</v>
      </c>
      <c r="R37" s="109">
        <v>2298</v>
      </c>
    </row>
    <row r="38" spans="1:18" x14ac:dyDescent="0.2">
      <c r="A38" s="25" t="s">
        <v>190</v>
      </c>
      <c r="B38" s="81" t="s">
        <v>135</v>
      </c>
      <c r="C38" s="79" t="s">
        <v>1107</v>
      </c>
      <c r="D38" s="81" t="s">
        <v>186</v>
      </c>
      <c r="E38" s="81" t="s">
        <v>64</v>
      </c>
      <c r="G38" s="81" t="s">
        <v>467</v>
      </c>
      <c r="H38" s="107">
        <v>37.200000000000003</v>
      </c>
      <c r="I38" s="107">
        <v>37200000</v>
      </c>
      <c r="J38" s="107">
        <v>1.2376344086021505</v>
      </c>
      <c r="K38" s="107">
        <v>460400</v>
      </c>
      <c r="L38" s="107">
        <v>266</v>
      </c>
      <c r="M38" s="107">
        <v>0.86</v>
      </c>
      <c r="N38" s="109">
        <v>2293000</v>
      </c>
      <c r="O38" s="111" t="s">
        <v>31</v>
      </c>
      <c r="Q38" s="107">
        <v>460.4</v>
      </c>
      <c r="R38" s="109">
        <v>2293</v>
      </c>
    </row>
    <row r="39" spans="1:18" x14ac:dyDescent="0.2">
      <c r="A39" s="18" t="s">
        <v>1303</v>
      </c>
      <c r="B39" s="81" t="s">
        <v>150</v>
      </c>
      <c r="C39" s="112" t="s">
        <v>1315</v>
      </c>
      <c r="D39" s="81" t="s">
        <v>1317</v>
      </c>
      <c r="E39" s="81" t="s">
        <v>69</v>
      </c>
      <c r="F39" s="81" t="s">
        <v>200</v>
      </c>
      <c r="G39" s="81" t="s">
        <v>188</v>
      </c>
      <c r="H39" s="107">
        <v>0</v>
      </c>
      <c r="I39" s="107">
        <v>0</v>
      </c>
      <c r="K39" s="107">
        <v>0</v>
      </c>
      <c r="L39" s="107">
        <v>188.4</v>
      </c>
      <c r="M39" s="107">
        <v>1.19</v>
      </c>
      <c r="N39" s="109">
        <v>2242000</v>
      </c>
      <c r="O39" s="111" t="s">
        <v>118</v>
      </c>
      <c r="R39" s="109">
        <v>2242</v>
      </c>
    </row>
    <row r="40" spans="1:18" x14ac:dyDescent="0.2">
      <c r="A40" s="25" t="s">
        <v>190</v>
      </c>
      <c r="B40" s="81" t="s">
        <v>74</v>
      </c>
      <c r="C40" s="79" t="s">
        <v>486</v>
      </c>
      <c r="D40" s="81" t="s">
        <v>474</v>
      </c>
      <c r="E40" s="81" t="s">
        <v>69</v>
      </c>
      <c r="G40" s="81" t="s">
        <v>467</v>
      </c>
      <c r="H40" s="107">
        <v>28.87</v>
      </c>
      <c r="I40" s="107">
        <v>28870000</v>
      </c>
      <c r="J40" s="107">
        <v>1.8902009005888467</v>
      </c>
      <c r="K40" s="107">
        <v>545701</v>
      </c>
      <c r="L40" s="107">
        <v>116.9</v>
      </c>
      <c r="M40" s="107">
        <v>1.92</v>
      </c>
      <c r="N40" s="109">
        <v>2241000</v>
      </c>
      <c r="O40" s="111" t="s">
        <v>31</v>
      </c>
      <c r="Q40" s="107">
        <v>545.70100000000002</v>
      </c>
      <c r="R40" s="109">
        <v>2241</v>
      </c>
    </row>
    <row r="41" spans="1:18" x14ac:dyDescent="0.2">
      <c r="A41" s="18" t="s">
        <v>177</v>
      </c>
      <c r="B41" s="81" t="s">
        <v>82</v>
      </c>
      <c r="C41" s="80" t="s">
        <v>659</v>
      </c>
      <c r="D41" s="81" t="s">
        <v>660</v>
      </c>
      <c r="E41" s="81" t="s">
        <v>69</v>
      </c>
      <c r="H41" s="107">
        <v>0</v>
      </c>
      <c r="I41" s="107">
        <v>0</v>
      </c>
      <c r="K41" s="107">
        <v>0</v>
      </c>
      <c r="L41" s="107">
        <v>910.9</v>
      </c>
      <c r="M41" s="107">
        <v>0.24</v>
      </c>
      <c r="N41" s="109">
        <v>2229000</v>
      </c>
      <c r="O41" s="111" t="s">
        <v>113</v>
      </c>
      <c r="R41" s="109">
        <v>2229</v>
      </c>
    </row>
    <row r="42" spans="1:18" x14ac:dyDescent="0.2">
      <c r="A42" s="25" t="s">
        <v>190</v>
      </c>
      <c r="B42" s="81" t="s">
        <v>74</v>
      </c>
      <c r="C42" s="79" t="s">
        <v>470</v>
      </c>
      <c r="D42" s="81" t="s">
        <v>131</v>
      </c>
      <c r="E42" s="81" t="s">
        <v>69</v>
      </c>
      <c r="F42" s="81" t="s">
        <v>72</v>
      </c>
      <c r="G42" s="98" t="s">
        <v>216</v>
      </c>
      <c r="H42" s="107">
        <v>0</v>
      </c>
      <c r="I42" s="107">
        <v>0</v>
      </c>
      <c r="K42" s="107">
        <v>0</v>
      </c>
      <c r="L42" s="107">
        <v>194.6</v>
      </c>
      <c r="M42" s="107">
        <v>1.1000000000000001</v>
      </c>
      <c r="N42" s="109">
        <v>2141000</v>
      </c>
      <c r="O42" s="111" t="s">
        <v>31</v>
      </c>
      <c r="R42" s="109">
        <v>2141</v>
      </c>
    </row>
    <row r="43" spans="1:18" x14ac:dyDescent="0.2">
      <c r="A43" s="18" t="s">
        <v>190</v>
      </c>
      <c r="B43" s="81" t="s">
        <v>63</v>
      </c>
      <c r="C43" s="113" t="s">
        <v>458</v>
      </c>
      <c r="D43" s="81" t="s">
        <v>131</v>
      </c>
      <c r="E43" s="81" t="s">
        <v>69</v>
      </c>
      <c r="F43" s="81" t="s">
        <v>72</v>
      </c>
      <c r="G43" s="98" t="s">
        <v>204</v>
      </c>
      <c r="H43" s="107">
        <v>0</v>
      </c>
      <c r="I43" s="107">
        <v>0</v>
      </c>
      <c r="K43" s="107">
        <v>0</v>
      </c>
      <c r="L43" s="107">
        <v>305</v>
      </c>
      <c r="M43" s="107">
        <v>0.69</v>
      </c>
      <c r="N43" s="109">
        <v>2101000</v>
      </c>
      <c r="O43" s="111" t="s">
        <v>31</v>
      </c>
      <c r="R43" s="109">
        <v>2101</v>
      </c>
    </row>
    <row r="44" spans="1:18" x14ac:dyDescent="0.2">
      <c r="A44" s="25" t="s">
        <v>190</v>
      </c>
      <c r="B44" s="81" t="s">
        <v>141</v>
      </c>
      <c r="C44" s="113" t="s">
        <v>1129</v>
      </c>
      <c r="D44" s="81" t="s">
        <v>1130</v>
      </c>
      <c r="E44" s="81" t="s">
        <v>64</v>
      </c>
      <c r="H44" s="107">
        <v>152.5</v>
      </c>
      <c r="I44" s="107">
        <v>152500000</v>
      </c>
      <c r="J44" s="107">
        <v>0.93327213114754104</v>
      </c>
      <c r="K44" s="107">
        <v>1423240</v>
      </c>
      <c r="L44" s="107">
        <v>228.8</v>
      </c>
      <c r="M44" s="107">
        <v>0.91</v>
      </c>
      <c r="N44" s="109">
        <v>2074000</v>
      </c>
      <c r="O44" s="111" t="s">
        <v>31</v>
      </c>
      <c r="Q44" s="107">
        <v>1423.24</v>
      </c>
      <c r="R44" s="109">
        <v>2074</v>
      </c>
    </row>
    <row r="45" spans="1:18" x14ac:dyDescent="0.2">
      <c r="A45" s="25" t="s">
        <v>190</v>
      </c>
      <c r="B45" s="81" t="s">
        <v>77</v>
      </c>
      <c r="C45" s="79" t="s">
        <v>577</v>
      </c>
      <c r="D45" s="81" t="s">
        <v>466</v>
      </c>
      <c r="E45" s="81" t="s">
        <v>69</v>
      </c>
      <c r="F45" s="81" t="s">
        <v>72</v>
      </c>
      <c r="G45" s="81" t="s">
        <v>204</v>
      </c>
      <c r="H45" s="107">
        <v>0</v>
      </c>
      <c r="I45" s="107">
        <v>0</v>
      </c>
      <c r="K45" s="107">
        <v>0</v>
      </c>
      <c r="L45" s="107">
        <v>150</v>
      </c>
      <c r="M45" s="107">
        <v>1.38</v>
      </c>
      <c r="N45" s="109">
        <v>2070000</v>
      </c>
      <c r="O45" s="111" t="s">
        <v>31</v>
      </c>
      <c r="R45" s="109">
        <v>2070</v>
      </c>
    </row>
    <row r="46" spans="1:18" x14ac:dyDescent="0.2">
      <c r="A46" s="25" t="s">
        <v>190</v>
      </c>
      <c r="B46" s="81" t="s">
        <v>134</v>
      </c>
      <c r="C46" s="113" t="s">
        <v>1332</v>
      </c>
      <c r="D46" s="81" t="s">
        <v>1103</v>
      </c>
      <c r="E46" s="81" t="s">
        <v>64</v>
      </c>
      <c r="H46" s="107">
        <v>0</v>
      </c>
      <c r="I46" s="107">
        <v>0</v>
      </c>
      <c r="K46" s="107">
        <v>0</v>
      </c>
      <c r="L46" s="107">
        <v>151.30000000000001</v>
      </c>
      <c r="M46" s="107">
        <v>1.35</v>
      </c>
      <c r="N46" s="109">
        <v>2042000</v>
      </c>
      <c r="O46" s="111" t="s">
        <v>31</v>
      </c>
      <c r="R46" s="109">
        <v>2042</v>
      </c>
    </row>
    <row r="47" spans="1:18" x14ac:dyDescent="0.2">
      <c r="A47" s="25" t="s">
        <v>190</v>
      </c>
      <c r="B47" s="81" t="s">
        <v>74</v>
      </c>
      <c r="C47" s="79" t="s">
        <v>487</v>
      </c>
      <c r="D47" s="81" t="s">
        <v>466</v>
      </c>
      <c r="E47" s="81" t="s">
        <v>64</v>
      </c>
      <c r="F47" s="81" t="s">
        <v>72</v>
      </c>
      <c r="G47" s="81" t="s">
        <v>467</v>
      </c>
      <c r="H47" s="107">
        <v>116.5</v>
      </c>
      <c r="I47" s="107">
        <v>116500000</v>
      </c>
      <c r="J47" s="107">
        <v>1.7448583690987125</v>
      </c>
      <c r="K47" s="107">
        <v>2032760</v>
      </c>
      <c r="L47" s="107">
        <v>116.5</v>
      </c>
      <c r="M47" s="107">
        <v>1.74</v>
      </c>
      <c r="N47" s="109">
        <v>2033000</v>
      </c>
      <c r="O47" s="111" t="s">
        <v>31</v>
      </c>
      <c r="Q47" s="107">
        <v>2032.76</v>
      </c>
      <c r="R47" s="109">
        <v>2033</v>
      </c>
    </row>
    <row r="48" spans="1:18" x14ac:dyDescent="0.2">
      <c r="A48" s="25" t="s">
        <v>190</v>
      </c>
      <c r="B48" s="81" t="s">
        <v>142</v>
      </c>
      <c r="C48" s="79" t="s">
        <v>1141</v>
      </c>
      <c r="D48" s="81" t="s">
        <v>1138</v>
      </c>
      <c r="E48" s="81" t="s">
        <v>69</v>
      </c>
      <c r="H48" s="107">
        <v>0</v>
      </c>
      <c r="I48" s="107">
        <v>0</v>
      </c>
      <c r="K48" s="107">
        <v>0</v>
      </c>
      <c r="L48" s="107">
        <v>200</v>
      </c>
      <c r="M48" s="107">
        <v>1</v>
      </c>
      <c r="N48" s="109">
        <v>2000000</v>
      </c>
      <c r="O48" s="111" t="s">
        <v>31</v>
      </c>
      <c r="R48" s="109">
        <v>2000</v>
      </c>
    </row>
    <row r="49" spans="1:18" x14ac:dyDescent="0.2">
      <c r="A49" s="25" t="s">
        <v>190</v>
      </c>
      <c r="B49" s="81" t="s">
        <v>117</v>
      </c>
      <c r="C49" s="79" t="s">
        <v>1026</v>
      </c>
      <c r="D49" s="81" t="s">
        <v>1027</v>
      </c>
      <c r="E49" s="81" t="s">
        <v>69</v>
      </c>
      <c r="H49" s="107">
        <v>0</v>
      </c>
      <c r="I49" s="107">
        <v>0</v>
      </c>
      <c r="K49" s="107">
        <v>0</v>
      </c>
      <c r="L49" s="107">
        <v>150.19999999999999</v>
      </c>
      <c r="M49" s="107">
        <v>1.31</v>
      </c>
      <c r="N49" s="109">
        <v>1972000</v>
      </c>
      <c r="O49" s="111" t="s">
        <v>31</v>
      </c>
      <c r="R49" s="109">
        <v>1972</v>
      </c>
    </row>
    <row r="50" spans="1:18" x14ac:dyDescent="0.2">
      <c r="A50" s="18" t="s">
        <v>190</v>
      </c>
      <c r="B50" s="81" t="s">
        <v>63</v>
      </c>
      <c r="C50" s="79" t="s">
        <v>262</v>
      </c>
      <c r="D50" s="81" t="s">
        <v>263</v>
      </c>
      <c r="E50" s="81" t="s">
        <v>71</v>
      </c>
      <c r="F50" s="81" t="s">
        <v>72</v>
      </c>
      <c r="G50" s="81" t="s">
        <v>204</v>
      </c>
      <c r="H50" s="107">
        <v>197.2</v>
      </c>
      <c r="I50" s="107">
        <v>197200000</v>
      </c>
      <c r="J50" s="107">
        <v>0.60074036511156192</v>
      </c>
      <c r="K50" s="107">
        <v>1184660</v>
      </c>
      <c r="L50" s="107">
        <v>338.7</v>
      </c>
      <c r="M50" s="107">
        <v>0.56999999999999995</v>
      </c>
      <c r="N50" s="109">
        <v>1946000</v>
      </c>
      <c r="O50" s="111" t="s">
        <v>31</v>
      </c>
      <c r="Q50" s="107">
        <v>1184.6600000000001</v>
      </c>
      <c r="R50" s="109">
        <v>1946</v>
      </c>
    </row>
    <row r="51" spans="1:18" x14ac:dyDescent="0.2">
      <c r="A51" s="25" t="s">
        <v>190</v>
      </c>
      <c r="B51" s="81" t="s">
        <v>145</v>
      </c>
      <c r="C51" s="79" t="s">
        <v>1158</v>
      </c>
      <c r="D51" s="81" t="s">
        <v>1159</v>
      </c>
      <c r="E51" s="81" t="s">
        <v>69</v>
      </c>
      <c r="H51" s="107">
        <v>68.132000000000005</v>
      </c>
      <c r="I51" s="107">
        <v>68132000</v>
      </c>
      <c r="J51" s="107">
        <v>0.66</v>
      </c>
      <c r="K51" s="107">
        <v>449671.2</v>
      </c>
      <c r="L51" s="107">
        <v>316.5</v>
      </c>
      <c r="M51" s="107">
        <v>0.61</v>
      </c>
      <c r="N51" s="109">
        <v>1935000</v>
      </c>
      <c r="O51" s="111" t="s">
        <v>31</v>
      </c>
      <c r="Q51" s="107">
        <v>449.6712</v>
      </c>
      <c r="R51" s="109">
        <v>1935</v>
      </c>
    </row>
    <row r="52" spans="1:18" x14ac:dyDescent="0.2">
      <c r="A52" s="25" t="s">
        <v>190</v>
      </c>
      <c r="B52" s="81" t="s">
        <v>79</v>
      </c>
      <c r="C52" s="79" t="s">
        <v>607</v>
      </c>
      <c r="D52" s="81" t="s">
        <v>582</v>
      </c>
      <c r="E52" s="81" t="s">
        <v>69</v>
      </c>
      <c r="H52" s="107">
        <v>0</v>
      </c>
      <c r="I52" s="107">
        <v>0</v>
      </c>
      <c r="K52" s="107">
        <v>0</v>
      </c>
      <c r="L52" s="107">
        <v>197.1</v>
      </c>
      <c r="M52" s="107">
        <v>0.96</v>
      </c>
      <c r="N52" s="109">
        <v>1883000</v>
      </c>
      <c r="O52" s="111" t="s">
        <v>31</v>
      </c>
      <c r="R52" s="109">
        <v>1883</v>
      </c>
    </row>
    <row r="53" spans="1:18" x14ac:dyDescent="0.2">
      <c r="A53" s="25" t="s">
        <v>190</v>
      </c>
      <c r="B53" s="81" t="s">
        <v>74</v>
      </c>
      <c r="C53" s="113" t="s">
        <v>485</v>
      </c>
      <c r="D53" s="81" t="s">
        <v>474</v>
      </c>
      <c r="E53" s="81" t="s">
        <v>69</v>
      </c>
      <c r="G53" s="98" t="s">
        <v>211</v>
      </c>
      <c r="H53" s="107">
        <v>5.51</v>
      </c>
      <c r="I53" s="107">
        <v>5510000</v>
      </c>
      <c r="J53" s="107">
        <v>1.5549727767695101</v>
      </c>
      <c r="K53" s="107">
        <v>85679</v>
      </c>
      <c r="L53" s="107">
        <v>128.69999999999999</v>
      </c>
      <c r="M53" s="107">
        <v>1.45</v>
      </c>
      <c r="N53" s="109">
        <v>1871000</v>
      </c>
      <c r="O53" s="111" t="s">
        <v>31</v>
      </c>
      <c r="Q53" s="107">
        <v>85.679000000000002</v>
      </c>
      <c r="R53" s="109">
        <v>1871</v>
      </c>
    </row>
    <row r="54" spans="1:18" x14ac:dyDescent="0.2">
      <c r="A54" s="25" t="s">
        <v>190</v>
      </c>
      <c r="B54" s="111" t="s">
        <v>74</v>
      </c>
      <c r="C54" s="79" t="s">
        <v>477</v>
      </c>
      <c r="D54" s="81" t="s">
        <v>474</v>
      </c>
      <c r="E54" s="81" t="s">
        <v>64</v>
      </c>
      <c r="G54" s="81" t="s">
        <v>211</v>
      </c>
      <c r="H54" s="107">
        <v>64.5</v>
      </c>
      <c r="I54" s="107">
        <v>64500000</v>
      </c>
      <c r="J54" s="107">
        <v>1.3775782945736432</v>
      </c>
      <c r="K54" s="107">
        <v>888537.99999999988</v>
      </c>
      <c r="L54" s="107">
        <v>131.30000000000001</v>
      </c>
      <c r="M54" s="107">
        <v>1.41</v>
      </c>
      <c r="N54" s="109">
        <v>1847000</v>
      </c>
      <c r="O54" s="111" t="s">
        <v>31</v>
      </c>
      <c r="Q54" s="107">
        <v>888.5379999999999</v>
      </c>
      <c r="R54" s="109">
        <v>1847</v>
      </c>
    </row>
    <row r="55" spans="1:18" x14ac:dyDescent="0.2">
      <c r="A55" s="25" t="s">
        <v>190</v>
      </c>
      <c r="B55" s="119" t="s">
        <v>137</v>
      </c>
      <c r="C55" s="113" t="s">
        <v>1114</v>
      </c>
      <c r="D55" s="81" t="s">
        <v>1112</v>
      </c>
      <c r="E55" s="81" t="s">
        <v>64</v>
      </c>
      <c r="G55" s="81" t="s">
        <v>467</v>
      </c>
      <c r="H55" s="107">
        <v>0</v>
      </c>
      <c r="I55" s="107">
        <v>0</v>
      </c>
      <c r="K55" s="107">
        <v>0</v>
      </c>
      <c r="L55" s="107">
        <v>210.8</v>
      </c>
      <c r="M55" s="107">
        <v>0.83</v>
      </c>
      <c r="N55" s="109">
        <v>1749000</v>
      </c>
      <c r="O55" s="111" t="s">
        <v>31</v>
      </c>
      <c r="R55" s="109">
        <v>1749</v>
      </c>
    </row>
    <row r="56" spans="1:18" x14ac:dyDescent="0.2">
      <c r="A56" s="25" t="s">
        <v>190</v>
      </c>
      <c r="B56" s="81" t="s">
        <v>79</v>
      </c>
      <c r="C56" s="79" t="s">
        <v>605</v>
      </c>
      <c r="D56" s="81" t="s">
        <v>466</v>
      </c>
      <c r="E56" s="81" t="s">
        <v>64</v>
      </c>
      <c r="H56" s="107">
        <v>113.80000000000001</v>
      </c>
      <c r="I56" s="107">
        <v>113800000.00000001</v>
      </c>
      <c r="J56" s="107">
        <v>1.5293497363796131</v>
      </c>
      <c r="K56" s="107">
        <v>1740400</v>
      </c>
      <c r="L56" s="107">
        <v>113.8</v>
      </c>
      <c r="M56" s="107">
        <v>1.53</v>
      </c>
      <c r="N56" s="109">
        <v>1740000</v>
      </c>
      <c r="O56" s="111" t="s">
        <v>31</v>
      </c>
      <c r="Q56" s="107">
        <v>1740.4</v>
      </c>
      <c r="R56" s="109">
        <v>1740</v>
      </c>
    </row>
    <row r="57" spans="1:18" x14ac:dyDescent="0.2">
      <c r="A57" s="25" t="s">
        <v>190</v>
      </c>
      <c r="B57" s="111" t="s">
        <v>74</v>
      </c>
      <c r="C57" s="113" t="s">
        <v>491</v>
      </c>
      <c r="D57" s="81" t="s">
        <v>466</v>
      </c>
      <c r="E57" s="81" t="s">
        <v>69</v>
      </c>
      <c r="G57" s="81" t="s">
        <v>467</v>
      </c>
      <c r="H57" s="107">
        <v>0</v>
      </c>
      <c r="I57" s="107">
        <v>0</v>
      </c>
      <c r="K57" s="107">
        <v>0</v>
      </c>
      <c r="L57" s="107">
        <v>97</v>
      </c>
      <c r="M57" s="107">
        <v>1.78</v>
      </c>
      <c r="N57" s="109">
        <v>1727000</v>
      </c>
      <c r="O57" s="111" t="s">
        <v>31</v>
      </c>
      <c r="R57" s="109">
        <v>1727</v>
      </c>
    </row>
    <row r="58" spans="1:18" x14ac:dyDescent="0.2">
      <c r="A58" s="25" t="s">
        <v>190</v>
      </c>
      <c r="B58" s="81" t="s">
        <v>93</v>
      </c>
      <c r="C58" s="79" t="s">
        <v>897</v>
      </c>
      <c r="D58" s="81" t="s">
        <v>131</v>
      </c>
      <c r="E58" s="81" t="s">
        <v>69</v>
      </c>
      <c r="H58" s="107">
        <v>0</v>
      </c>
      <c r="I58" s="107">
        <v>0</v>
      </c>
      <c r="K58" s="107">
        <v>0</v>
      </c>
      <c r="L58" s="107">
        <v>244.6</v>
      </c>
      <c r="M58" s="107">
        <v>0.7</v>
      </c>
      <c r="N58" s="109">
        <v>1712000</v>
      </c>
      <c r="O58" s="111" t="s">
        <v>31</v>
      </c>
      <c r="R58" s="109">
        <v>1712</v>
      </c>
    </row>
    <row r="59" spans="1:18" x14ac:dyDescent="0.2">
      <c r="A59" s="25" t="s">
        <v>190</v>
      </c>
      <c r="B59" s="81" t="s">
        <v>75</v>
      </c>
      <c r="C59" s="113" t="s">
        <v>532</v>
      </c>
      <c r="D59" s="81" t="s">
        <v>533</v>
      </c>
      <c r="E59" s="81" t="s">
        <v>69</v>
      </c>
      <c r="F59" s="81" t="s">
        <v>72</v>
      </c>
      <c r="G59" s="81" t="s">
        <v>204</v>
      </c>
      <c r="H59" s="107">
        <v>126.27</v>
      </c>
      <c r="I59" s="107">
        <v>126270000</v>
      </c>
      <c r="J59" s="107">
        <v>0.95</v>
      </c>
      <c r="K59" s="107">
        <v>1199565</v>
      </c>
      <c r="L59" s="107">
        <v>198.9</v>
      </c>
      <c r="M59" s="107">
        <v>0.86</v>
      </c>
      <c r="N59" s="109">
        <v>1710000</v>
      </c>
      <c r="O59" s="111" t="s">
        <v>31</v>
      </c>
      <c r="Q59" s="107">
        <v>1199.5650000000001</v>
      </c>
      <c r="R59" s="109">
        <v>1710</v>
      </c>
    </row>
    <row r="60" spans="1:18" x14ac:dyDescent="0.2">
      <c r="A60" s="18" t="s">
        <v>190</v>
      </c>
      <c r="B60" s="81" t="s">
        <v>63</v>
      </c>
      <c r="C60" s="113" t="s">
        <v>264</v>
      </c>
      <c r="D60" s="81" t="s">
        <v>89</v>
      </c>
      <c r="E60" s="81" t="s">
        <v>69</v>
      </c>
      <c r="F60" s="81" t="s">
        <v>72</v>
      </c>
      <c r="G60" s="81" t="s">
        <v>204</v>
      </c>
      <c r="H60" s="107">
        <v>168.4</v>
      </c>
      <c r="I60" s="107">
        <v>168400000</v>
      </c>
      <c r="J60" s="107">
        <v>0.93000000000000016</v>
      </c>
      <c r="K60" s="107">
        <v>1566120.0000000002</v>
      </c>
      <c r="L60" s="107">
        <v>182.6</v>
      </c>
      <c r="M60" s="107">
        <v>0.92</v>
      </c>
      <c r="N60" s="109">
        <v>1682000</v>
      </c>
      <c r="O60" s="111" t="s">
        <v>31</v>
      </c>
      <c r="Q60" s="107">
        <v>1566.1200000000003</v>
      </c>
      <c r="R60" s="109">
        <v>1682</v>
      </c>
    </row>
    <row r="61" spans="1:18" x14ac:dyDescent="0.2">
      <c r="A61" s="25" t="s">
        <v>190</v>
      </c>
      <c r="B61" s="81" t="s">
        <v>79</v>
      </c>
      <c r="C61" s="113" t="s">
        <v>581</v>
      </c>
      <c r="D61" s="81" t="s">
        <v>582</v>
      </c>
      <c r="E61" s="81" t="s">
        <v>69</v>
      </c>
      <c r="H61" s="107">
        <v>0</v>
      </c>
      <c r="I61" s="107">
        <v>0</v>
      </c>
      <c r="K61" s="107">
        <v>0</v>
      </c>
      <c r="L61" s="107">
        <v>132.30000000000001</v>
      </c>
      <c r="M61" s="107">
        <v>1.27</v>
      </c>
      <c r="N61" s="109">
        <v>1680000</v>
      </c>
      <c r="O61" s="111" t="s">
        <v>31</v>
      </c>
      <c r="R61" s="109">
        <v>1680</v>
      </c>
    </row>
    <row r="62" spans="1:18" x14ac:dyDescent="0.2">
      <c r="A62" s="25" t="s">
        <v>190</v>
      </c>
      <c r="B62" s="81" t="s">
        <v>134</v>
      </c>
      <c r="C62" s="113" t="s">
        <v>1105</v>
      </c>
      <c r="D62" s="81" t="s">
        <v>131</v>
      </c>
      <c r="E62" s="81" t="s">
        <v>69</v>
      </c>
      <c r="H62" s="107">
        <v>0</v>
      </c>
      <c r="I62" s="107">
        <v>0</v>
      </c>
      <c r="K62" s="107">
        <v>0</v>
      </c>
      <c r="L62" s="107">
        <v>134.9</v>
      </c>
      <c r="M62" s="107">
        <v>1.24</v>
      </c>
      <c r="N62" s="109">
        <v>1673000</v>
      </c>
      <c r="O62" s="111" t="s">
        <v>31</v>
      </c>
      <c r="R62" s="109">
        <v>1673</v>
      </c>
    </row>
    <row r="63" spans="1:18" x14ac:dyDescent="0.2">
      <c r="A63" s="18" t="s">
        <v>177</v>
      </c>
      <c r="B63" s="81" t="s">
        <v>63</v>
      </c>
      <c r="C63" s="80" t="s">
        <v>221</v>
      </c>
      <c r="D63" s="81" t="s">
        <v>66</v>
      </c>
      <c r="E63" s="81" t="s">
        <v>64</v>
      </c>
      <c r="F63" s="81" t="s">
        <v>222</v>
      </c>
      <c r="G63" s="81" t="s">
        <v>70</v>
      </c>
      <c r="H63" s="107">
        <v>11.2</v>
      </c>
      <c r="I63" s="107">
        <v>11200000</v>
      </c>
      <c r="J63" s="107">
        <v>1.2135714285714287</v>
      </c>
      <c r="K63" s="107">
        <v>135920.00000000003</v>
      </c>
      <c r="L63" s="107">
        <v>211.4</v>
      </c>
      <c r="M63" s="107">
        <v>0.76</v>
      </c>
      <c r="N63" s="109">
        <v>1616000</v>
      </c>
      <c r="O63" s="111" t="s">
        <v>113</v>
      </c>
      <c r="Q63" s="107">
        <v>135.92000000000002</v>
      </c>
      <c r="R63" s="109">
        <v>1616</v>
      </c>
    </row>
    <row r="64" spans="1:18" x14ac:dyDescent="0.2">
      <c r="A64" s="25" t="s">
        <v>190</v>
      </c>
      <c r="B64" s="81" t="s">
        <v>75</v>
      </c>
      <c r="C64" s="79" t="s">
        <v>521</v>
      </c>
      <c r="D64" s="81" t="s">
        <v>522</v>
      </c>
      <c r="E64" s="81" t="s">
        <v>518</v>
      </c>
      <c r="F64" s="81" t="s">
        <v>72</v>
      </c>
      <c r="G64" s="81" t="s">
        <v>523</v>
      </c>
      <c r="H64" s="107">
        <v>0</v>
      </c>
      <c r="I64" s="107">
        <v>0</v>
      </c>
      <c r="K64" s="107">
        <v>0</v>
      </c>
      <c r="L64" s="107">
        <v>144.69999999999999</v>
      </c>
      <c r="M64" s="107">
        <v>1.1000000000000001</v>
      </c>
      <c r="N64" s="109">
        <v>1592000</v>
      </c>
      <c r="O64" s="111" t="s">
        <v>31</v>
      </c>
      <c r="R64" s="109">
        <v>1592</v>
      </c>
    </row>
    <row r="65" spans="1:18" x14ac:dyDescent="0.2">
      <c r="A65" s="25" t="s">
        <v>190</v>
      </c>
      <c r="B65" s="81" t="s">
        <v>77</v>
      </c>
      <c r="C65" s="79" t="s">
        <v>571</v>
      </c>
      <c r="D65" s="81" t="s">
        <v>466</v>
      </c>
      <c r="E65" s="81" t="s">
        <v>64</v>
      </c>
      <c r="F65" s="81" t="s">
        <v>72</v>
      </c>
      <c r="G65" s="81" t="s">
        <v>204</v>
      </c>
      <c r="H65" s="107">
        <v>0</v>
      </c>
      <c r="I65" s="107">
        <v>0</v>
      </c>
      <c r="K65" s="107">
        <v>0</v>
      </c>
      <c r="L65" s="107">
        <v>111.2</v>
      </c>
      <c r="M65" s="107">
        <v>1.42</v>
      </c>
      <c r="N65" s="109">
        <v>1573000</v>
      </c>
      <c r="O65" s="111" t="s">
        <v>31</v>
      </c>
      <c r="R65" s="109">
        <v>1573</v>
      </c>
    </row>
    <row r="66" spans="1:18" x14ac:dyDescent="0.2">
      <c r="A66" s="18" t="s">
        <v>177</v>
      </c>
      <c r="B66" s="81" t="s">
        <v>127</v>
      </c>
      <c r="C66" s="80" t="s">
        <v>1048</v>
      </c>
      <c r="D66" s="81" t="s">
        <v>189</v>
      </c>
      <c r="E66" s="81" t="s">
        <v>69</v>
      </c>
      <c r="H66" s="107">
        <v>0</v>
      </c>
      <c r="I66" s="107">
        <v>0</v>
      </c>
      <c r="K66" s="107">
        <v>0</v>
      </c>
      <c r="L66" s="108">
        <v>1106.5</v>
      </c>
      <c r="M66" s="107">
        <v>0.14000000000000001</v>
      </c>
      <c r="N66" s="109">
        <v>1570000</v>
      </c>
      <c r="O66" s="111" t="s">
        <v>113</v>
      </c>
      <c r="R66" s="109">
        <v>1570</v>
      </c>
    </row>
    <row r="67" spans="1:18" x14ac:dyDescent="0.2">
      <c r="A67" s="18" t="s">
        <v>190</v>
      </c>
      <c r="B67" s="81" t="s">
        <v>197</v>
      </c>
      <c r="C67" s="79" t="s">
        <v>206</v>
      </c>
      <c r="D67" s="81" t="s">
        <v>207</v>
      </c>
      <c r="E67" s="81" t="s">
        <v>69</v>
      </c>
      <c r="F67" s="81" t="s">
        <v>72</v>
      </c>
      <c r="G67" s="98" t="s">
        <v>208</v>
      </c>
      <c r="H67" s="107">
        <v>0</v>
      </c>
      <c r="I67" s="107">
        <v>0</v>
      </c>
      <c r="K67" s="107">
        <v>0</v>
      </c>
      <c r="L67" s="107">
        <v>162.5</v>
      </c>
      <c r="M67" s="107">
        <v>0.94</v>
      </c>
      <c r="N67" s="109">
        <v>1528000</v>
      </c>
      <c r="O67" s="111" t="s">
        <v>31</v>
      </c>
      <c r="R67" s="109">
        <v>1528</v>
      </c>
    </row>
    <row r="68" spans="1:18" x14ac:dyDescent="0.2">
      <c r="A68" s="18" t="s">
        <v>177</v>
      </c>
      <c r="B68" s="81" t="s">
        <v>122</v>
      </c>
      <c r="C68" s="80" t="s">
        <v>1037</v>
      </c>
      <c r="D68" s="81" t="s">
        <v>1038</v>
      </c>
      <c r="E68" s="81" t="s">
        <v>69</v>
      </c>
      <c r="H68" s="107">
        <v>0</v>
      </c>
      <c r="I68" s="107">
        <v>0</v>
      </c>
      <c r="K68" s="107">
        <v>0</v>
      </c>
      <c r="L68" s="107">
        <v>58.2</v>
      </c>
      <c r="M68" s="107">
        <v>2.62</v>
      </c>
      <c r="N68" s="109">
        <v>1526000</v>
      </c>
      <c r="O68" s="111" t="s">
        <v>113</v>
      </c>
      <c r="R68" s="109">
        <v>1526</v>
      </c>
    </row>
    <row r="69" spans="1:18" x14ac:dyDescent="0.2">
      <c r="A69" s="36" t="s">
        <v>1324</v>
      </c>
      <c r="B69" s="82" t="s">
        <v>149</v>
      </c>
      <c r="C69" s="110" t="s">
        <v>1198</v>
      </c>
      <c r="D69" s="81" t="s">
        <v>1199</v>
      </c>
      <c r="H69" s="107">
        <v>0</v>
      </c>
      <c r="I69" s="107">
        <v>0</v>
      </c>
      <c r="K69" s="107">
        <v>0</v>
      </c>
      <c r="L69" s="107">
        <v>811.8</v>
      </c>
      <c r="M69" s="107">
        <v>0.18</v>
      </c>
      <c r="N69" s="109">
        <v>1484000</v>
      </c>
      <c r="O69" s="111" t="s">
        <v>113</v>
      </c>
      <c r="R69" s="107">
        <v>1484</v>
      </c>
    </row>
    <row r="70" spans="1:18" x14ac:dyDescent="0.2">
      <c r="A70" s="25" t="s">
        <v>190</v>
      </c>
      <c r="B70" s="81" t="s">
        <v>75</v>
      </c>
      <c r="C70" s="79" t="s">
        <v>503</v>
      </c>
      <c r="D70" s="81" t="s">
        <v>504</v>
      </c>
      <c r="E70" s="81" t="s">
        <v>64</v>
      </c>
      <c r="F70" s="81" t="s">
        <v>72</v>
      </c>
      <c r="G70" s="81" t="s">
        <v>505</v>
      </c>
      <c r="H70" s="107">
        <v>109.97</v>
      </c>
      <c r="I70" s="107">
        <v>109970000</v>
      </c>
      <c r="J70" s="107">
        <v>1.2011928707829409</v>
      </c>
      <c r="K70" s="107">
        <v>1320951.8000000003</v>
      </c>
      <c r="L70" s="107">
        <v>112.465</v>
      </c>
      <c r="M70" s="107">
        <v>1.27</v>
      </c>
      <c r="N70" s="109">
        <v>1423000</v>
      </c>
      <c r="O70" s="111" t="s">
        <v>31</v>
      </c>
      <c r="Q70" s="107">
        <v>1320.9518000000003</v>
      </c>
      <c r="R70" s="109">
        <v>1423</v>
      </c>
    </row>
    <row r="71" spans="1:18" x14ac:dyDescent="0.2">
      <c r="A71" s="25" t="s">
        <v>190</v>
      </c>
      <c r="B71" s="81" t="s">
        <v>91</v>
      </c>
      <c r="C71" s="113" t="s">
        <v>896</v>
      </c>
      <c r="D71" s="81" t="s">
        <v>131</v>
      </c>
      <c r="E71" s="81" t="s">
        <v>69</v>
      </c>
      <c r="H71" s="107">
        <v>0</v>
      </c>
      <c r="I71" s="107">
        <v>0</v>
      </c>
      <c r="K71" s="107">
        <v>0</v>
      </c>
      <c r="L71" s="107">
        <v>166.3</v>
      </c>
      <c r="M71" s="107">
        <v>0.84</v>
      </c>
      <c r="N71" s="109">
        <v>1405000</v>
      </c>
      <c r="O71" s="111" t="s">
        <v>31</v>
      </c>
      <c r="R71" s="109">
        <v>1405</v>
      </c>
    </row>
    <row r="72" spans="1:18" x14ac:dyDescent="0.2">
      <c r="A72" s="18" t="s">
        <v>190</v>
      </c>
      <c r="B72" s="81" t="s">
        <v>63</v>
      </c>
      <c r="C72" s="113" t="s">
        <v>252</v>
      </c>
      <c r="D72" s="81" t="s">
        <v>253</v>
      </c>
      <c r="E72" s="81" t="s">
        <v>71</v>
      </c>
      <c r="F72" s="81" t="s">
        <v>72</v>
      </c>
      <c r="G72" s="81" t="s">
        <v>204</v>
      </c>
      <c r="H72" s="107">
        <v>0</v>
      </c>
      <c r="I72" s="107">
        <v>0</v>
      </c>
      <c r="K72" s="107">
        <v>0</v>
      </c>
      <c r="L72" s="107">
        <v>169.8</v>
      </c>
      <c r="M72" s="107">
        <v>0.83</v>
      </c>
      <c r="N72" s="109">
        <v>1403000</v>
      </c>
      <c r="O72" s="111" t="s">
        <v>31</v>
      </c>
      <c r="R72" s="109">
        <v>1403</v>
      </c>
    </row>
    <row r="73" spans="1:18" x14ac:dyDescent="0.2">
      <c r="A73" s="18" t="s">
        <v>190</v>
      </c>
      <c r="B73" s="81" t="s">
        <v>63</v>
      </c>
      <c r="C73" s="79" t="s">
        <v>457</v>
      </c>
      <c r="D73" s="81" t="s">
        <v>429</v>
      </c>
      <c r="E73" s="81" t="s">
        <v>69</v>
      </c>
      <c r="F73" s="81" t="s">
        <v>72</v>
      </c>
      <c r="G73" s="98" t="s">
        <v>211</v>
      </c>
      <c r="H73" s="107">
        <v>0</v>
      </c>
      <c r="I73" s="107">
        <v>0</v>
      </c>
      <c r="K73" s="107">
        <v>0</v>
      </c>
      <c r="L73" s="107">
        <v>212</v>
      </c>
      <c r="M73" s="107">
        <v>0.63</v>
      </c>
      <c r="N73" s="109">
        <v>1343000</v>
      </c>
      <c r="O73" s="111" t="s">
        <v>31</v>
      </c>
      <c r="R73" s="109">
        <v>1343</v>
      </c>
    </row>
    <row r="74" spans="1:18" x14ac:dyDescent="0.2">
      <c r="A74" s="18" t="s">
        <v>190</v>
      </c>
      <c r="B74" s="81" t="s">
        <v>197</v>
      </c>
      <c r="C74" s="79" t="s">
        <v>209</v>
      </c>
      <c r="D74" s="81" t="s">
        <v>210</v>
      </c>
      <c r="E74" s="81" t="s">
        <v>69</v>
      </c>
      <c r="F74" s="81" t="s">
        <v>72</v>
      </c>
      <c r="G74" s="81" t="s">
        <v>211</v>
      </c>
      <c r="H74" s="107">
        <v>0</v>
      </c>
      <c r="I74" s="107">
        <v>0</v>
      </c>
      <c r="K74" s="107">
        <v>0</v>
      </c>
      <c r="L74" s="107">
        <v>125</v>
      </c>
      <c r="M74" s="107">
        <v>1.05</v>
      </c>
      <c r="N74" s="109">
        <v>1314000</v>
      </c>
      <c r="O74" s="111" t="s">
        <v>31</v>
      </c>
      <c r="R74" s="109">
        <v>1314</v>
      </c>
    </row>
    <row r="75" spans="1:18" x14ac:dyDescent="0.2">
      <c r="A75" s="18" t="s">
        <v>177</v>
      </c>
      <c r="B75" s="81" t="s">
        <v>63</v>
      </c>
      <c r="C75" s="80" t="s">
        <v>224</v>
      </c>
      <c r="D75" s="81" t="s">
        <v>66</v>
      </c>
      <c r="E75" s="81" t="s">
        <v>64</v>
      </c>
      <c r="F75" s="81" t="s">
        <v>72</v>
      </c>
      <c r="G75" s="81" t="s">
        <v>70</v>
      </c>
      <c r="H75" s="107">
        <v>22.330000000000002</v>
      </c>
      <c r="I75" s="107">
        <v>22330000</v>
      </c>
      <c r="J75" s="107">
        <v>0.54218540080609035</v>
      </c>
      <c r="K75" s="107">
        <v>121070</v>
      </c>
      <c r="L75" s="107">
        <v>242</v>
      </c>
      <c r="M75" s="107">
        <v>0.54</v>
      </c>
      <c r="N75" s="109">
        <v>1296000</v>
      </c>
      <c r="O75" s="111" t="s">
        <v>113</v>
      </c>
      <c r="Q75" s="107">
        <v>121.07</v>
      </c>
      <c r="R75" s="109">
        <v>1296</v>
      </c>
    </row>
    <row r="76" spans="1:18" x14ac:dyDescent="0.2">
      <c r="A76" s="18" t="s">
        <v>190</v>
      </c>
      <c r="B76" s="81" t="s">
        <v>197</v>
      </c>
      <c r="C76" s="79" t="s">
        <v>202</v>
      </c>
      <c r="D76" s="81" t="s">
        <v>203</v>
      </c>
      <c r="E76" s="81" t="s">
        <v>64</v>
      </c>
      <c r="F76" s="81" t="s">
        <v>72</v>
      </c>
      <c r="G76" s="81" t="s">
        <v>204</v>
      </c>
      <c r="H76" s="107">
        <v>57</v>
      </c>
      <c r="I76" s="107">
        <v>57000000</v>
      </c>
      <c r="J76" s="107">
        <v>0.89999999999999991</v>
      </c>
      <c r="K76" s="107">
        <v>512999.99999999988</v>
      </c>
      <c r="L76" s="107">
        <v>136</v>
      </c>
      <c r="M76" s="107">
        <v>0.94</v>
      </c>
      <c r="N76" s="109">
        <v>1284000</v>
      </c>
      <c r="O76" s="111" t="s">
        <v>31</v>
      </c>
      <c r="Q76" s="107">
        <v>512.99999999999989</v>
      </c>
      <c r="R76" s="109">
        <v>1284</v>
      </c>
    </row>
    <row r="77" spans="1:18" x14ac:dyDescent="0.2">
      <c r="A77" s="18" t="s">
        <v>177</v>
      </c>
      <c r="B77" s="81" t="s">
        <v>63</v>
      </c>
      <c r="C77" s="110" t="s">
        <v>248</v>
      </c>
      <c r="D77" s="81" t="s">
        <v>249</v>
      </c>
      <c r="E77" s="81" t="s">
        <v>69</v>
      </c>
      <c r="F77" s="81" t="s">
        <v>72</v>
      </c>
      <c r="G77" s="81" t="s">
        <v>70</v>
      </c>
      <c r="H77" s="107">
        <v>0</v>
      </c>
      <c r="I77" s="107">
        <v>0</v>
      </c>
      <c r="K77" s="107">
        <v>0</v>
      </c>
      <c r="L77" s="107">
        <v>185.2</v>
      </c>
      <c r="M77" s="107">
        <v>0.68</v>
      </c>
      <c r="N77" s="109">
        <v>1259000</v>
      </c>
      <c r="O77" s="111" t="s">
        <v>113</v>
      </c>
      <c r="R77" s="109">
        <v>1259</v>
      </c>
    </row>
    <row r="78" spans="1:18" x14ac:dyDescent="0.2">
      <c r="A78" s="25" t="s">
        <v>190</v>
      </c>
      <c r="B78" s="111" t="s">
        <v>74</v>
      </c>
      <c r="C78" s="79" t="s">
        <v>473</v>
      </c>
      <c r="D78" s="81" t="s">
        <v>474</v>
      </c>
      <c r="E78" s="81" t="s">
        <v>64</v>
      </c>
      <c r="G78" s="81" t="s">
        <v>211</v>
      </c>
      <c r="H78" s="107">
        <v>12.75</v>
      </c>
      <c r="I78" s="107">
        <v>12750000</v>
      </c>
      <c r="J78" s="107">
        <v>1.6816549019607845</v>
      </c>
      <c r="K78" s="107">
        <v>214411.00000000003</v>
      </c>
      <c r="L78" s="107">
        <v>88.3</v>
      </c>
      <c r="M78" s="107">
        <v>1.42</v>
      </c>
      <c r="N78" s="109">
        <v>1250000</v>
      </c>
      <c r="O78" s="111" t="s">
        <v>31</v>
      </c>
      <c r="Q78" s="107">
        <v>214.41100000000003</v>
      </c>
      <c r="R78" s="109">
        <v>1250</v>
      </c>
    </row>
    <row r="79" spans="1:18" x14ac:dyDescent="0.2">
      <c r="A79" s="36" t="s">
        <v>1324</v>
      </c>
      <c r="B79" s="82" t="s">
        <v>149</v>
      </c>
      <c r="C79" s="80" t="s">
        <v>1264</v>
      </c>
      <c r="D79" s="81" t="s">
        <v>1009</v>
      </c>
      <c r="H79" s="107">
        <v>0</v>
      </c>
      <c r="I79" s="107">
        <v>0</v>
      </c>
      <c r="K79" s="107">
        <v>0</v>
      </c>
      <c r="L79" s="107">
        <v>649.6</v>
      </c>
      <c r="M79" s="107">
        <v>0.19</v>
      </c>
      <c r="N79" s="109">
        <v>1245700</v>
      </c>
      <c r="O79" s="111" t="s">
        <v>113</v>
      </c>
      <c r="R79" s="107">
        <v>1245.7</v>
      </c>
    </row>
    <row r="80" spans="1:18" x14ac:dyDescent="0.2">
      <c r="A80" s="18" t="s">
        <v>177</v>
      </c>
      <c r="B80" s="81" t="s">
        <v>107</v>
      </c>
      <c r="C80" s="80" t="s">
        <v>1012</v>
      </c>
      <c r="D80" s="81" t="s">
        <v>1013</v>
      </c>
      <c r="H80" s="107">
        <v>226.3</v>
      </c>
      <c r="I80" s="107">
        <v>226300000</v>
      </c>
      <c r="J80" s="107">
        <v>0.1</v>
      </c>
      <c r="K80" s="107">
        <v>226300</v>
      </c>
      <c r="L80" s="108">
        <v>1001.8</v>
      </c>
      <c r="M80" s="107">
        <v>0.12</v>
      </c>
      <c r="N80" s="109">
        <v>1208000</v>
      </c>
      <c r="O80" s="111" t="s">
        <v>113</v>
      </c>
      <c r="Q80" s="107">
        <v>226.3</v>
      </c>
      <c r="R80" s="109">
        <v>1208</v>
      </c>
    </row>
    <row r="81" spans="1:18" x14ac:dyDescent="0.2">
      <c r="A81" s="25" t="s">
        <v>190</v>
      </c>
      <c r="B81" s="81" t="s">
        <v>76</v>
      </c>
      <c r="C81" s="79" t="s">
        <v>565</v>
      </c>
      <c r="D81" s="81" t="s">
        <v>566</v>
      </c>
      <c r="E81" s="81" t="s">
        <v>69</v>
      </c>
      <c r="F81" s="81" t="s">
        <v>72</v>
      </c>
      <c r="H81" s="107">
        <v>0</v>
      </c>
      <c r="I81" s="107">
        <v>0</v>
      </c>
      <c r="K81" s="107">
        <v>0</v>
      </c>
      <c r="L81" s="107">
        <v>110</v>
      </c>
      <c r="M81" s="107">
        <v>1.0900000000000001</v>
      </c>
      <c r="N81" s="109">
        <v>1199000</v>
      </c>
      <c r="O81" s="111" t="s">
        <v>31</v>
      </c>
      <c r="R81" s="109">
        <v>1199</v>
      </c>
    </row>
    <row r="82" spans="1:18" x14ac:dyDescent="0.2">
      <c r="A82" s="25" t="s">
        <v>190</v>
      </c>
      <c r="B82" s="111" t="s">
        <v>75</v>
      </c>
      <c r="C82" s="79" t="s">
        <v>528</v>
      </c>
      <c r="D82" s="81" t="s">
        <v>131</v>
      </c>
      <c r="E82" s="81" t="s">
        <v>69</v>
      </c>
      <c r="F82" s="81" t="s">
        <v>72</v>
      </c>
      <c r="H82" s="107">
        <v>0</v>
      </c>
      <c r="I82" s="107">
        <v>0</v>
      </c>
      <c r="K82" s="107">
        <v>0</v>
      </c>
      <c r="L82" s="107">
        <v>87</v>
      </c>
      <c r="M82" s="107">
        <v>1.37</v>
      </c>
      <c r="N82" s="109">
        <v>1192000</v>
      </c>
      <c r="O82" s="111" t="s">
        <v>31</v>
      </c>
      <c r="R82" s="109">
        <v>1192</v>
      </c>
    </row>
    <row r="83" spans="1:18" x14ac:dyDescent="0.2">
      <c r="A83" s="18" t="s">
        <v>177</v>
      </c>
      <c r="B83" s="81" t="s">
        <v>82</v>
      </c>
      <c r="C83" s="80" t="s">
        <v>799</v>
      </c>
      <c r="D83" s="81" t="s">
        <v>800</v>
      </c>
      <c r="E83" s="81" t="s">
        <v>69</v>
      </c>
      <c r="H83" s="107">
        <v>0</v>
      </c>
      <c r="I83" s="107">
        <v>0</v>
      </c>
      <c r="K83" s="107">
        <v>0</v>
      </c>
      <c r="L83" s="107">
        <v>431.5</v>
      </c>
      <c r="M83" s="107">
        <v>0.27</v>
      </c>
      <c r="N83" s="109">
        <v>1168000</v>
      </c>
      <c r="O83" s="111" t="s">
        <v>113</v>
      </c>
      <c r="R83" s="109">
        <v>1168</v>
      </c>
    </row>
    <row r="84" spans="1:18" x14ac:dyDescent="0.2">
      <c r="A84" s="18" t="s">
        <v>177</v>
      </c>
      <c r="B84" s="81" t="s">
        <v>85</v>
      </c>
      <c r="C84" s="32" t="s">
        <v>841</v>
      </c>
      <c r="D84" s="81" t="s">
        <v>842</v>
      </c>
      <c r="E84" s="81" t="s">
        <v>69</v>
      </c>
      <c r="H84" s="107">
        <v>89</v>
      </c>
      <c r="I84" s="107">
        <v>89000000</v>
      </c>
      <c r="J84" s="107">
        <v>0.74698876404494385</v>
      </c>
      <c r="K84" s="107">
        <v>664820</v>
      </c>
      <c r="L84" s="107">
        <v>155.19999999999999</v>
      </c>
      <c r="M84" s="107">
        <v>0.75</v>
      </c>
      <c r="N84" s="109">
        <v>1164000</v>
      </c>
      <c r="O84" s="111" t="s">
        <v>118</v>
      </c>
      <c r="Q84" s="107">
        <v>664.82</v>
      </c>
      <c r="R84" s="109">
        <v>1164</v>
      </c>
    </row>
    <row r="85" spans="1:18" x14ac:dyDescent="0.2">
      <c r="A85" s="18" t="s">
        <v>177</v>
      </c>
      <c r="B85" s="111" t="s">
        <v>149</v>
      </c>
      <c r="C85" s="110" t="s">
        <v>1297</v>
      </c>
      <c r="D85" s="81" t="s">
        <v>1298</v>
      </c>
      <c r="E85" s="81" t="s">
        <v>69</v>
      </c>
      <c r="H85" s="107">
        <v>0</v>
      </c>
      <c r="I85" s="107">
        <v>0</v>
      </c>
      <c r="K85" s="107">
        <v>0</v>
      </c>
      <c r="L85" s="107">
        <v>605.4</v>
      </c>
      <c r="M85" s="107">
        <v>0.19</v>
      </c>
      <c r="N85" s="109">
        <v>1149000</v>
      </c>
      <c r="O85" s="111" t="s">
        <v>113</v>
      </c>
      <c r="R85" s="109">
        <v>1149</v>
      </c>
    </row>
    <row r="86" spans="1:18" x14ac:dyDescent="0.2">
      <c r="A86" s="18" t="s">
        <v>177</v>
      </c>
      <c r="B86" s="81" t="s">
        <v>85</v>
      </c>
      <c r="C86" s="31" t="s">
        <v>832</v>
      </c>
      <c r="D86" s="81" t="s">
        <v>833</v>
      </c>
      <c r="E86" s="81" t="s">
        <v>69</v>
      </c>
      <c r="H86" s="107">
        <v>0</v>
      </c>
      <c r="I86" s="107">
        <v>0</v>
      </c>
      <c r="K86" s="107">
        <v>0</v>
      </c>
      <c r="L86" s="107">
        <v>311.2</v>
      </c>
      <c r="M86" s="107">
        <v>0.37</v>
      </c>
      <c r="N86" s="109">
        <v>1140000</v>
      </c>
      <c r="O86" s="111" t="s">
        <v>113</v>
      </c>
      <c r="R86" s="109">
        <v>1140</v>
      </c>
    </row>
    <row r="87" spans="1:18" x14ac:dyDescent="0.2">
      <c r="A87" s="36" t="s">
        <v>1324</v>
      </c>
      <c r="B87" s="111" t="s">
        <v>149</v>
      </c>
      <c r="C87" s="110" t="s">
        <v>1200</v>
      </c>
      <c r="D87" s="81" t="s">
        <v>1201</v>
      </c>
      <c r="H87" s="107">
        <v>158.21999999999997</v>
      </c>
      <c r="I87" s="107">
        <v>158219999.99999997</v>
      </c>
      <c r="J87" s="107">
        <v>0.10319434963974215</v>
      </c>
      <c r="K87" s="107">
        <v>163274.1</v>
      </c>
      <c r="L87" s="107">
        <v>722.6</v>
      </c>
      <c r="M87" s="107">
        <v>0.16</v>
      </c>
      <c r="N87" s="109">
        <v>1130800</v>
      </c>
      <c r="O87" s="111" t="s">
        <v>113</v>
      </c>
      <c r="Q87" s="107">
        <v>163.2741</v>
      </c>
      <c r="R87" s="107">
        <v>1130.8</v>
      </c>
    </row>
    <row r="88" spans="1:18" x14ac:dyDescent="0.2">
      <c r="A88" s="25" t="s">
        <v>190</v>
      </c>
      <c r="B88" s="81" t="s">
        <v>91</v>
      </c>
      <c r="C88" s="79" t="s">
        <v>895</v>
      </c>
      <c r="D88" s="81" t="s">
        <v>131</v>
      </c>
      <c r="E88" s="81" t="s">
        <v>64</v>
      </c>
      <c r="H88" s="107">
        <v>0</v>
      </c>
      <c r="I88" s="107">
        <v>0</v>
      </c>
      <c r="K88" s="107">
        <v>0</v>
      </c>
      <c r="L88" s="107">
        <v>130</v>
      </c>
      <c r="M88" s="107">
        <v>0.86</v>
      </c>
      <c r="N88" s="109">
        <v>1124000</v>
      </c>
      <c r="O88" s="111" t="s">
        <v>31</v>
      </c>
      <c r="R88" s="109">
        <v>1124</v>
      </c>
    </row>
    <row r="89" spans="1:18" x14ac:dyDescent="0.2">
      <c r="A89" s="25" t="s">
        <v>190</v>
      </c>
      <c r="B89" s="81" t="s">
        <v>139</v>
      </c>
      <c r="C89" s="79" t="s">
        <v>1118</v>
      </c>
      <c r="D89" s="81" t="s">
        <v>1119</v>
      </c>
      <c r="E89" s="81" t="s">
        <v>64</v>
      </c>
      <c r="H89" s="107">
        <v>71.2</v>
      </c>
      <c r="I89" s="107">
        <v>71200000</v>
      </c>
      <c r="J89" s="107">
        <v>1.309550561797753</v>
      </c>
      <c r="K89" s="107">
        <v>932400.00000000012</v>
      </c>
      <c r="L89" s="107">
        <v>76.5</v>
      </c>
      <c r="M89" s="107">
        <v>1.46</v>
      </c>
      <c r="N89" s="109">
        <v>1120000</v>
      </c>
      <c r="O89" s="111" t="s">
        <v>31</v>
      </c>
      <c r="Q89" s="107">
        <v>932.40000000000009</v>
      </c>
      <c r="R89" s="109">
        <v>1120</v>
      </c>
    </row>
    <row r="90" spans="1:18" x14ac:dyDescent="0.2">
      <c r="A90" s="18" t="s">
        <v>177</v>
      </c>
      <c r="B90" s="81" t="s">
        <v>82</v>
      </c>
      <c r="C90" s="80" t="s">
        <v>744</v>
      </c>
      <c r="D90" s="81" t="s">
        <v>81</v>
      </c>
      <c r="E90" s="81" t="s">
        <v>64</v>
      </c>
      <c r="H90" s="107">
        <v>11.27</v>
      </c>
      <c r="I90" s="107">
        <v>11270000</v>
      </c>
      <c r="J90" s="107">
        <v>2.7883850931677019</v>
      </c>
      <c r="K90" s="107">
        <v>314251</v>
      </c>
      <c r="L90" s="107">
        <v>34.700000000000003</v>
      </c>
      <c r="M90" s="107">
        <v>3.2</v>
      </c>
      <c r="N90" s="109">
        <v>1111000</v>
      </c>
      <c r="O90" s="111" t="s">
        <v>113</v>
      </c>
      <c r="Q90" s="107">
        <v>314.25099999999998</v>
      </c>
      <c r="R90" s="109">
        <v>1111</v>
      </c>
    </row>
    <row r="91" spans="1:18" x14ac:dyDescent="0.2">
      <c r="A91" s="25" t="s">
        <v>190</v>
      </c>
      <c r="B91" s="81" t="s">
        <v>75</v>
      </c>
      <c r="C91" s="79" t="s">
        <v>513</v>
      </c>
      <c r="D91" s="81" t="s">
        <v>511</v>
      </c>
      <c r="E91" s="81" t="s">
        <v>69</v>
      </c>
      <c r="F91" s="81" t="s">
        <v>72</v>
      </c>
      <c r="G91" s="81" t="s">
        <v>187</v>
      </c>
      <c r="H91" s="107">
        <v>35.694000000000003</v>
      </c>
      <c r="I91" s="107">
        <v>35694000</v>
      </c>
      <c r="J91" s="107">
        <v>1.3618577351935899</v>
      </c>
      <c r="K91" s="107">
        <v>486101.49999999994</v>
      </c>
      <c r="L91" s="107">
        <v>89.89</v>
      </c>
      <c r="M91" s="107">
        <v>1.19</v>
      </c>
      <c r="N91" s="109">
        <v>1073000</v>
      </c>
      <c r="O91" s="111" t="s">
        <v>31</v>
      </c>
      <c r="Q91" s="107">
        <v>486.10149999999993</v>
      </c>
      <c r="R91" s="109">
        <v>1073</v>
      </c>
    </row>
    <row r="92" spans="1:18" x14ac:dyDescent="0.2">
      <c r="A92" s="25" t="s">
        <v>190</v>
      </c>
      <c r="B92" s="81" t="s">
        <v>74</v>
      </c>
      <c r="C92" s="79" t="s">
        <v>481</v>
      </c>
      <c r="D92" s="81" t="s">
        <v>482</v>
      </c>
      <c r="E92" s="81" t="s">
        <v>69</v>
      </c>
      <c r="G92" s="81" t="s">
        <v>216</v>
      </c>
      <c r="H92" s="107">
        <v>0</v>
      </c>
      <c r="I92" s="107">
        <v>0</v>
      </c>
      <c r="K92" s="107">
        <v>0</v>
      </c>
      <c r="L92" s="107">
        <v>88</v>
      </c>
      <c r="M92" s="107">
        <v>1.2</v>
      </c>
      <c r="N92" s="109">
        <v>1056000</v>
      </c>
      <c r="O92" s="111" t="s">
        <v>31</v>
      </c>
      <c r="R92" s="109">
        <v>1056</v>
      </c>
    </row>
    <row r="93" spans="1:18" x14ac:dyDescent="0.2">
      <c r="A93" s="25" t="s">
        <v>190</v>
      </c>
      <c r="B93" s="111" t="s">
        <v>97</v>
      </c>
      <c r="C93" s="113" t="s">
        <v>904</v>
      </c>
      <c r="D93" s="81" t="s">
        <v>131</v>
      </c>
      <c r="E93" s="81" t="s">
        <v>69</v>
      </c>
      <c r="H93" s="107">
        <v>0</v>
      </c>
      <c r="I93" s="107">
        <v>0</v>
      </c>
      <c r="K93" s="107">
        <v>0</v>
      </c>
      <c r="L93" s="107">
        <v>150</v>
      </c>
      <c r="M93" s="107">
        <v>0.7</v>
      </c>
      <c r="N93" s="109">
        <v>1050000</v>
      </c>
      <c r="O93" s="111" t="s">
        <v>31</v>
      </c>
      <c r="R93" s="109">
        <v>1050</v>
      </c>
    </row>
    <row r="94" spans="1:18" x14ac:dyDescent="0.2">
      <c r="A94" s="25" t="s">
        <v>190</v>
      </c>
      <c r="B94" s="81" t="s">
        <v>79</v>
      </c>
      <c r="C94" s="79" t="s">
        <v>610</v>
      </c>
      <c r="D94" s="81" t="s">
        <v>611</v>
      </c>
      <c r="E94" s="81" t="s">
        <v>64</v>
      </c>
      <c r="H94" s="107">
        <v>52</v>
      </c>
      <c r="I94" s="107">
        <v>52000000</v>
      </c>
      <c r="J94" s="107">
        <v>1.3100961538461537</v>
      </c>
      <c r="K94" s="107">
        <v>681250</v>
      </c>
      <c r="L94" s="107">
        <v>81.5</v>
      </c>
      <c r="M94" s="107">
        <v>1.28</v>
      </c>
      <c r="N94" s="109">
        <v>1041000</v>
      </c>
      <c r="O94" s="111" t="s">
        <v>31</v>
      </c>
      <c r="Q94" s="107">
        <v>681.25</v>
      </c>
      <c r="R94" s="109">
        <v>1041</v>
      </c>
    </row>
    <row r="95" spans="1:18" x14ac:dyDescent="0.2">
      <c r="A95" s="18" t="s">
        <v>177</v>
      </c>
      <c r="B95" s="111" t="s">
        <v>147</v>
      </c>
      <c r="C95" s="112" t="s">
        <v>1172</v>
      </c>
      <c r="D95" s="81" t="s">
        <v>1173</v>
      </c>
      <c r="E95" s="81" t="s">
        <v>69</v>
      </c>
      <c r="H95" s="107">
        <v>0</v>
      </c>
      <c r="I95" s="107">
        <v>0</v>
      </c>
      <c r="K95" s="107">
        <v>0</v>
      </c>
      <c r="L95" s="109">
        <v>3062</v>
      </c>
      <c r="M95" s="107">
        <v>3.4000000000000002E-2</v>
      </c>
      <c r="N95" s="109">
        <v>1041000</v>
      </c>
      <c r="O95" s="111" t="s">
        <v>118</v>
      </c>
      <c r="R95" s="109">
        <v>1041</v>
      </c>
    </row>
    <row r="96" spans="1:18" x14ac:dyDescent="0.2">
      <c r="A96" s="25" t="s">
        <v>190</v>
      </c>
      <c r="B96" s="81" t="s">
        <v>79</v>
      </c>
      <c r="C96" s="113" t="s">
        <v>633</v>
      </c>
      <c r="D96" s="81" t="s">
        <v>634</v>
      </c>
      <c r="E96" s="81" t="s">
        <v>69</v>
      </c>
      <c r="H96" s="107">
        <v>0</v>
      </c>
      <c r="I96" s="107">
        <v>0</v>
      </c>
      <c r="K96" s="107">
        <v>0</v>
      </c>
      <c r="L96" s="107">
        <v>58</v>
      </c>
      <c r="M96" s="107">
        <v>1.77</v>
      </c>
      <c r="N96" s="109">
        <v>1028000</v>
      </c>
      <c r="O96" s="111" t="s">
        <v>31</v>
      </c>
      <c r="R96" s="109">
        <v>1028</v>
      </c>
    </row>
    <row r="97" spans="1:18" x14ac:dyDescent="0.2">
      <c r="A97" s="36" t="s">
        <v>1323</v>
      </c>
      <c r="B97" s="82" t="s">
        <v>149</v>
      </c>
      <c r="C97" s="110" t="s">
        <v>1237</v>
      </c>
      <c r="D97" s="81" t="s">
        <v>669</v>
      </c>
      <c r="H97" s="107">
        <v>283.53658536585374</v>
      </c>
      <c r="I97" s="107">
        <v>283536585.36585373</v>
      </c>
      <c r="J97" s="107">
        <v>0.1394411983000251</v>
      </c>
      <c r="K97" s="107">
        <v>395366.81225312006</v>
      </c>
      <c r="L97" s="107">
        <v>664.3</v>
      </c>
      <c r="M97" s="107">
        <v>0.15</v>
      </c>
      <c r="N97" s="109">
        <v>1024200</v>
      </c>
      <c r="O97" s="111" t="s">
        <v>113</v>
      </c>
      <c r="Q97" s="107">
        <v>395.36681225312009</v>
      </c>
      <c r="R97" s="107">
        <v>1024.2</v>
      </c>
    </row>
    <row r="98" spans="1:18" x14ac:dyDescent="0.2">
      <c r="A98" s="18" t="s">
        <v>177</v>
      </c>
      <c r="B98" s="78" t="s">
        <v>105</v>
      </c>
      <c r="C98" s="80" t="s">
        <v>992</v>
      </c>
      <c r="D98" s="81" t="s">
        <v>131</v>
      </c>
      <c r="H98" s="107">
        <v>0</v>
      </c>
      <c r="I98" s="107">
        <v>0</v>
      </c>
      <c r="K98" s="107">
        <v>0</v>
      </c>
      <c r="L98" s="107">
        <v>157</v>
      </c>
      <c r="M98" s="107">
        <v>0.64</v>
      </c>
      <c r="N98" s="109">
        <v>1005000</v>
      </c>
      <c r="O98" s="111" t="s">
        <v>113</v>
      </c>
      <c r="R98" s="109">
        <v>1005</v>
      </c>
    </row>
    <row r="99" spans="1:18" x14ac:dyDescent="0.2">
      <c r="A99" s="25" t="s">
        <v>190</v>
      </c>
      <c r="B99" s="81" t="s">
        <v>122</v>
      </c>
      <c r="C99" s="113" t="s">
        <v>1032</v>
      </c>
      <c r="D99" s="81" t="s">
        <v>1033</v>
      </c>
      <c r="E99" s="81" t="s">
        <v>69</v>
      </c>
      <c r="G99" s="98" t="s">
        <v>1034</v>
      </c>
      <c r="H99" s="107">
        <v>0</v>
      </c>
      <c r="I99" s="107">
        <v>0</v>
      </c>
      <c r="K99" s="107">
        <v>0</v>
      </c>
      <c r="L99" s="107">
        <v>106.7</v>
      </c>
      <c r="M99" s="107">
        <v>0.92</v>
      </c>
      <c r="N99" s="109">
        <v>984000</v>
      </c>
      <c r="O99" s="111" t="s">
        <v>31</v>
      </c>
      <c r="R99" s="107">
        <v>984</v>
      </c>
    </row>
    <row r="100" spans="1:18" x14ac:dyDescent="0.2">
      <c r="A100" s="36" t="s">
        <v>1323</v>
      </c>
      <c r="B100" s="82" t="s">
        <v>149</v>
      </c>
      <c r="C100" s="80" t="s">
        <v>1218</v>
      </c>
      <c r="D100" s="98" t="s">
        <v>1185</v>
      </c>
      <c r="H100" s="107">
        <v>106.9</v>
      </c>
      <c r="I100" s="107">
        <v>106900000</v>
      </c>
      <c r="J100" s="107">
        <v>6.7717492984097294E-2</v>
      </c>
      <c r="K100" s="107">
        <v>72390.000000000015</v>
      </c>
      <c r="L100" s="107">
        <v>452.8</v>
      </c>
      <c r="M100" s="107">
        <v>0.21</v>
      </c>
      <c r="N100" s="109">
        <v>945700</v>
      </c>
      <c r="O100" s="111" t="s">
        <v>113</v>
      </c>
      <c r="Q100" s="107">
        <v>72.390000000000015</v>
      </c>
      <c r="R100" s="107">
        <v>945.7</v>
      </c>
    </row>
    <row r="101" spans="1:18" x14ac:dyDescent="0.2">
      <c r="A101" s="18" t="s">
        <v>190</v>
      </c>
      <c r="B101" s="81" t="s">
        <v>63</v>
      </c>
      <c r="C101" s="113" t="s">
        <v>294</v>
      </c>
      <c r="D101" s="81" t="s">
        <v>295</v>
      </c>
      <c r="E101" s="81" t="s">
        <v>69</v>
      </c>
      <c r="F101" s="81" t="s">
        <v>72</v>
      </c>
      <c r="G101" s="98" t="s">
        <v>204</v>
      </c>
      <c r="H101" s="107">
        <v>147.4</v>
      </c>
      <c r="I101" s="107">
        <v>147400000</v>
      </c>
      <c r="J101" s="107">
        <v>0.56109905020352779</v>
      </c>
      <c r="K101" s="107">
        <v>827060</v>
      </c>
      <c r="L101" s="107">
        <v>183.3</v>
      </c>
      <c r="M101" s="107">
        <v>0.5</v>
      </c>
      <c r="N101" s="109">
        <v>922200</v>
      </c>
      <c r="O101" s="111" t="s">
        <v>31</v>
      </c>
      <c r="Q101" s="107">
        <v>827.06</v>
      </c>
      <c r="R101" s="107">
        <v>922.2</v>
      </c>
    </row>
    <row r="102" spans="1:18" x14ac:dyDescent="0.2">
      <c r="A102" s="25" t="s">
        <v>190</v>
      </c>
      <c r="B102" s="81" t="s">
        <v>142</v>
      </c>
      <c r="C102" s="79" t="s">
        <v>1135</v>
      </c>
      <c r="D102" s="81" t="s">
        <v>1133</v>
      </c>
      <c r="E102" s="81" t="s">
        <v>64</v>
      </c>
      <c r="G102" s="81" t="s">
        <v>204</v>
      </c>
      <c r="H102" s="107">
        <v>34</v>
      </c>
      <c r="I102" s="107">
        <v>34000000</v>
      </c>
      <c r="J102" s="107">
        <v>1.1777058823529409</v>
      </c>
      <c r="K102" s="107">
        <v>400419.99999999988</v>
      </c>
      <c r="L102" s="107">
        <v>90.03</v>
      </c>
      <c r="M102" s="107">
        <v>1.02</v>
      </c>
      <c r="N102" s="109">
        <v>917700</v>
      </c>
      <c r="O102" s="111" t="s">
        <v>31</v>
      </c>
      <c r="Q102" s="107">
        <v>400.4199999999999</v>
      </c>
      <c r="R102" s="107">
        <v>917.7</v>
      </c>
    </row>
    <row r="103" spans="1:18" x14ac:dyDescent="0.2">
      <c r="A103" s="25" t="s">
        <v>190</v>
      </c>
      <c r="B103" s="81" t="s">
        <v>79</v>
      </c>
      <c r="C103" s="113" t="s">
        <v>627</v>
      </c>
      <c r="D103" s="81" t="s">
        <v>131</v>
      </c>
      <c r="E103" s="81" t="s">
        <v>69</v>
      </c>
      <c r="H103" s="107">
        <v>0</v>
      </c>
      <c r="I103" s="107">
        <v>0</v>
      </c>
      <c r="K103" s="107">
        <v>0</v>
      </c>
      <c r="L103" s="107">
        <v>61</v>
      </c>
      <c r="M103" s="107">
        <v>1.5</v>
      </c>
      <c r="N103" s="109">
        <v>915000</v>
      </c>
      <c r="O103" s="111" t="s">
        <v>31</v>
      </c>
      <c r="R103" s="107">
        <v>915</v>
      </c>
    </row>
    <row r="104" spans="1:18" x14ac:dyDescent="0.2">
      <c r="A104" s="25" t="s">
        <v>190</v>
      </c>
      <c r="B104" s="81" t="s">
        <v>140</v>
      </c>
      <c r="C104" s="79" t="s">
        <v>1126</v>
      </c>
      <c r="D104" s="81" t="s">
        <v>1127</v>
      </c>
      <c r="E104" s="81" t="s">
        <v>71</v>
      </c>
      <c r="H104" s="107">
        <v>0</v>
      </c>
      <c r="I104" s="107">
        <v>0</v>
      </c>
      <c r="K104" s="107">
        <v>0</v>
      </c>
      <c r="L104" s="107">
        <v>107.4</v>
      </c>
      <c r="M104" s="107">
        <v>0.84</v>
      </c>
      <c r="N104" s="109">
        <v>902200</v>
      </c>
      <c r="O104" s="111" t="s">
        <v>31</v>
      </c>
      <c r="R104" s="107">
        <v>902.2</v>
      </c>
    </row>
    <row r="105" spans="1:18" x14ac:dyDescent="0.2">
      <c r="A105" s="25" t="s">
        <v>190</v>
      </c>
      <c r="B105" s="81" t="s">
        <v>79</v>
      </c>
      <c r="C105" s="113" t="s">
        <v>584</v>
      </c>
      <c r="D105" s="81" t="s">
        <v>582</v>
      </c>
      <c r="E105" s="81" t="s">
        <v>69</v>
      </c>
      <c r="H105" s="107">
        <v>0</v>
      </c>
      <c r="I105" s="107">
        <v>0</v>
      </c>
      <c r="K105" s="107">
        <v>0</v>
      </c>
      <c r="L105" s="107">
        <v>72.95</v>
      </c>
      <c r="M105" s="107">
        <v>1.22</v>
      </c>
      <c r="N105" s="109">
        <v>889500</v>
      </c>
      <c r="O105" s="111" t="s">
        <v>31</v>
      </c>
      <c r="R105" s="107">
        <v>889.5</v>
      </c>
    </row>
    <row r="106" spans="1:18" x14ac:dyDescent="0.2">
      <c r="A106" s="18" t="s">
        <v>1273</v>
      </c>
      <c r="B106" s="81" t="s">
        <v>149</v>
      </c>
      <c r="C106" s="80" t="s">
        <v>1286</v>
      </c>
      <c r="D106" s="81" t="s">
        <v>1287</v>
      </c>
      <c r="E106" s="81" t="s">
        <v>69</v>
      </c>
      <c r="H106" s="107">
        <v>0</v>
      </c>
      <c r="I106" s="107">
        <v>0</v>
      </c>
      <c r="K106" s="107">
        <v>0</v>
      </c>
      <c r="L106" s="107">
        <v>521.6</v>
      </c>
      <c r="M106" s="107">
        <v>0.17</v>
      </c>
      <c r="N106" s="109">
        <v>876000</v>
      </c>
      <c r="O106" s="111" t="s">
        <v>113</v>
      </c>
      <c r="R106" s="107">
        <v>876</v>
      </c>
    </row>
    <row r="107" spans="1:18" x14ac:dyDescent="0.2">
      <c r="A107" s="18" t="s">
        <v>177</v>
      </c>
      <c r="B107" s="81" t="s">
        <v>82</v>
      </c>
      <c r="C107" s="110" t="s">
        <v>767</v>
      </c>
      <c r="D107" s="81" t="s">
        <v>466</v>
      </c>
      <c r="E107" s="81" t="s">
        <v>64</v>
      </c>
      <c r="H107" s="107">
        <v>61.699999999999996</v>
      </c>
      <c r="I107" s="107">
        <v>61699999.999999993</v>
      </c>
      <c r="J107" s="107">
        <v>1.3987196110210696</v>
      </c>
      <c r="K107" s="107">
        <v>863009.99999999988</v>
      </c>
      <c r="L107" s="107">
        <v>61.7</v>
      </c>
      <c r="M107" s="107">
        <v>1.4</v>
      </c>
      <c r="N107" s="109">
        <v>863000</v>
      </c>
      <c r="O107" s="111" t="s">
        <v>113</v>
      </c>
      <c r="Q107" s="107">
        <v>863.00999999999988</v>
      </c>
      <c r="R107" s="107">
        <v>863</v>
      </c>
    </row>
    <row r="108" spans="1:18" x14ac:dyDescent="0.2">
      <c r="A108" s="25" t="s">
        <v>190</v>
      </c>
      <c r="B108" s="81" t="s">
        <v>76</v>
      </c>
      <c r="C108" s="79" t="s">
        <v>568</v>
      </c>
      <c r="D108" s="81" t="s">
        <v>569</v>
      </c>
      <c r="E108" s="81" t="s">
        <v>64</v>
      </c>
      <c r="F108" s="81" t="s">
        <v>72</v>
      </c>
      <c r="G108" s="81" t="s">
        <v>467</v>
      </c>
      <c r="H108" s="107">
        <v>0</v>
      </c>
      <c r="I108" s="107">
        <v>0</v>
      </c>
      <c r="K108" s="107">
        <v>0</v>
      </c>
      <c r="L108" s="107">
        <v>40</v>
      </c>
      <c r="M108" s="107">
        <v>2.15</v>
      </c>
      <c r="N108" s="109">
        <v>860000</v>
      </c>
      <c r="O108" s="111" t="s">
        <v>31</v>
      </c>
      <c r="R108" s="107">
        <v>860</v>
      </c>
    </row>
    <row r="109" spans="1:18" x14ac:dyDescent="0.2">
      <c r="A109" s="36" t="s">
        <v>1324</v>
      </c>
      <c r="B109" s="82" t="s">
        <v>149</v>
      </c>
      <c r="C109" s="80" t="s">
        <v>1206</v>
      </c>
      <c r="D109" s="81" t="s">
        <v>1009</v>
      </c>
      <c r="H109" s="107">
        <v>0</v>
      </c>
      <c r="I109" s="107">
        <v>0</v>
      </c>
      <c r="K109" s="107">
        <v>0</v>
      </c>
      <c r="L109" s="107">
        <v>567.5</v>
      </c>
      <c r="M109" s="107">
        <v>0.15</v>
      </c>
      <c r="N109" s="109">
        <v>847500</v>
      </c>
      <c r="O109" s="111" t="s">
        <v>113</v>
      </c>
      <c r="R109" s="107">
        <v>847.5</v>
      </c>
    </row>
    <row r="110" spans="1:18" x14ac:dyDescent="0.2">
      <c r="A110" s="25" t="s">
        <v>190</v>
      </c>
      <c r="B110" s="111" t="s">
        <v>74</v>
      </c>
      <c r="C110" s="113" t="s">
        <v>488</v>
      </c>
      <c r="D110" s="81" t="s">
        <v>489</v>
      </c>
      <c r="E110" s="81" t="s">
        <v>69</v>
      </c>
      <c r="G110" s="81" t="s">
        <v>216</v>
      </c>
      <c r="H110" s="107">
        <v>0</v>
      </c>
      <c r="I110" s="107">
        <v>0</v>
      </c>
      <c r="K110" s="107">
        <v>0</v>
      </c>
      <c r="L110" s="107">
        <v>56</v>
      </c>
      <c r="M110" s="107">
        <v>1.5</v>
      </c>
      <c r="N110" s="109">
        <v>840000</v>
      </c>
      <c r="O110" s="111" t="s">
        <v>31</v>
      </c>
      <c r="R110" s="107">
        <v>840</v>
      </c>
    </row>
    <row r="111" spans="1:18" x14ac:dyDescent="0.2">
      <c r="A111" s="18" t="s">
        <v>177</v>
      </c>
      <c r="B111" s="81" t="s">
        <v>127</v>
      </c>
      <c r="C111" s="110" t="s">
        <v>1050</v>
      </c>
      <c r="D111" s="81" t="s">
        <v>1051</v>
      </c>
      <c r="E111" s="81" t="s">
        <v>69</v>
      </c>
      <c r="H111" s="107">
        <v>254.66899999999998</v>
      </c>
      <c r="I111" s="107">
        <v>254668999.99999997</v>
      </c>
      <c r="J111" s="107">
        <v>8.3870761655325143E-2</v>
      </c>
      <c r="K111" s="107">
        <v>213592.82999999996</v>
      </c>
      <c r="L111" s="108">
        <v>1158.3</v>
      </c>
      <c r="M111" s="107">
        <v>7.1999999999999995E-2</v>
      </c>
      <c r="N111" s="109">
        <v>834500</v>
      </c>
      <c r="O111" s="111" t="s">
        <v>113</v>
      </c>
      <c r="Q111" s="107">
        <v>213.59282999999996</v>
      </c>
      <c r="R111" s="107">
        <v>834.5</v>
      </c>
    </row>
    <row r="112" spans="1:18" x14ac:dyDescent="0.2">
      <c r="A112" s="18" t="s">
        <v>177</v>
      </c>
      <c r="B112" s="81" t="s">
        <v>63</v>
      </c>
      <c r="C112" s="110" t="s">
        <v>351</v>
      </c>
      <c r="D112" s="81" t="s">
        <v>99</v>
      </c>
      <c r="E112" s="81" t="s">
        <v>69</v>
      </c>
      <c r="F112" s="81" t="s">
        <v>72</v>
      </c>
      <c r="G112" s="81" t="s">
        <v>70</v>
      </c>
      <c r="H112" s="107">
        <v>0</v>
      </c>
      <c r="I112" s="107">
        <v>0</v>
      </c>
      <c r="K112" s="107">
        <v>0</v>
      </c>
      <c r="L112" s="107">
        <v>243.3</v>
      </c>
      <c r="M112" s="107">
        <v>0.34</v>
      </c>
      <c r="N112" s="109">
        <v>825100</v>
      </c>
      <c r="O112" s="111" t="s">
        <v>113</v>
      </c>
      <c r="R112" s="107">
        <v>825.1</v>
      </c>
    </row>
    <row r="113" spans="1:18" x14ac:dyDescent="0.2">
      <c r="A113" s="25" t="s">
        <v>190</v>
      </c>
      <c r="B113" s="81" t="s">
        <v>91</v>
      </c>
      <c r="C113" s="113" t="s">
        <v>892</v>
      </c>
      <c r="D113" s="81" t="s">
        <v>131</v>
      </c>
      <c r="E113" s="81" t="s">
        <v>69</v>
      </c>
      <c r="H113" s="107">
        <v>0</v>
      </c>
      <c r="I113" s="107">
        <v>0</v>
      </c>
      <c r="K113" s="107">
        <v>0</v>
      </c>
      <c r="L113" s="107">
        <v>81.06</v>
      </c>
      <c r="M113" s="107">
        <v>1.01</v>
      </c>
      <c r="N113" s="109">
        <v>821000</v>
      </c>
      <c r="O113" s="111" t="s">
        <v>31</v>
      </c>
      <c r="R113" s="107">
        <v>821</v>
      </c>
    </row>
    <row r="114" spans="1:18" x14ac:dyDescent="0.2">
      <c r="A114" s="25" t="s">
        <v>190</v>
      </c>
      <c r="B114" s="81" t="s">
        <v>75</v>
      </c>
      <c r="C114" s="79" t="s">
        <v>519</v>
      </c>
      <c r="D114" s="81" t="s">
        <v>520</v>
      </c>
      <c r="E114" s="81" t="s">
        <v>64</v>
      </c>
      <c r="F114" s="81" t="s">
        <v>72</v>
      </c>
      <c r="G114" s="81" t="s">
        <v>505</v>
      </c>
      <c r="H114" s="107">
        <v>48.853999999999999</v>
      </c>
      <c r="I114" s="107">
        <v>48854000</v>
      </c>
      <c r="J114" s="107">
        <v>1.2007025013304951</v>
      </c>
      <c r="K114" s="107">
        <v>586591.20000000007</v>
      </c>
      <c r="L114" s="107">
        <v>61.36</v>
      </c>
      <c r="M114" s="107">
        <v>1.32</v>
      </c>
      <c r="N114" s="109">
        <v>811900</v>
      </c>
      <c r="O114" s="111" t="s">
        <v>31</v>
      </c>
      <c r="Q114" s="107">
        <v>586.59120000000007</v>
      </c>
      <c r="R114" s="107">
        <v>811.9</v>
      </c>
    </row>
    <row r="115" spans="1:18" x14ac:dyDescent="0.2">
      <c r="A115" s="18" t="s">
        <v>177</v>
      </c>
      <c r="B115" s="81" t="s">
        <v>82</v>
      </c>
      <c r="C115" s="80" t="s">
        <v>766</v>
      </c>
      <c r="D115" s="81" t="s">
        <v>81</v>
      </c>
      <c r="E115" s="81" t="s">
        <v>64</v>
      </c>
      <c r="H115" s="107">
        <v>20.77</v>
      </c>
      <c r="I115" s="107">
        <v>20770000</v>
      </c>
      <c r="J115" s="107">
        <v>1.8389118921521426</v>
      </c>
      <c r="K115" s="107">
        <v>381942.00000000006</v>
      </c>
      <c r="L115" s="107">
        <v>53.93</v>
      </c>
      <c r="M115" s="107">
        <v>1.49</v>
      </c>
      <c r="N115" s="109">
        <v>803600</v>
      </c>
      <c r="O115" s="111" t="s">
        <v>113</v>
      </c>
      <c r="Q115" s="107">
        <v>381.94200000000006</v>
      </c>
      <c r="R115" s="107">
        <v>803.6</v>
      </c>
    </row>
    <row r="116" spans="1:18" x14ac:dyDescent="0.2">
      <c r="A116" s="18" t="s">
        <v>177</v>
      </c>
      <c r="B116" s="81" t="s">
        <v>149</v>
      </c>
      <c r="C116" s="80" t="s">
        <v>1295</v>
      </c>
      <c r="D116" s="81" t="s">
        <v>1296</v>
      </c>
      <c r="E116" s="81" t="s">
        <v>64</v>
      </c>
      <c r="H116" s="107">
        <v>84.46</v>
      </c>
      <c r="I116" s="107">
        <v>84460000</v>
      </c>
      <c r="J116" s="107">
        <v>0.30993488041676537</v>
      </c>
      <c r="K116" s="107">
        <v>261771.00000000003</v>
      </c>
      <c r="L116" s="107">
        <v>218.6</v>
      </c>
      <c r="M116" s="107">
        <v>0.36</v>
      </c>
      <c r="N116" s="109">
        <v>791900</v>
      </c>
      <c r="O116" s="111" t="s">
        <v>113</v>
      </c>
      <c r="Q116" s="107">
        <v>261.77100000000002</v>
      </c>
      <c r="R116" s="107">
        <v>791.9</v>
      </c>
    </row>
    <row r="117" spans="1:18" x14ac:dyDescent="0.2">
      <c r="A117" s="18" t="s">
        <v>177</v>
      </c>
      <c r="B117" s="111" t="s">
        <v>147</v>
      </c>
      <c r="C117" s="16" t="s">
        <v>1170</v>
      </c>
      <c r="D117" s="81" t="s">
        <v>1171</v>
      </c>
      <c r="E117" s="81" t="s">
        <v>69</v>
      </c>
      <c r="H117" s="107">
        <v>0</v>
      </c>
      <c r="I117" s="107">
        <v>0</v>
      </c>
      <c r="K117" s="107">
        <v>0</v>
      </c>
      <c r="L117" s="109">
        <v>2600</v>
      </c>
      <c r="M117" s="107">
        <v>0.03</v>
      </c>
      <c r="N117" s="109">
        <v>780000</v>
      </c>
      <c r="O117" s="111" t="s">
        <v>118</v>
      </c>
      <c r="R117" s="107">
        <v>780</v>
      </c>
    </row>
    <row r="118" spans="1:18" x14ac:dyDescent="0.2">
      <c r="A118" s="36" t="s">
        <v>1323</v>
      </c>
      <c r="B118" s="82" t="s">
        <v>149</v>
      </c>
      <c r="C118" s="110" t="s">
        <v>1270</v>
      </c>
      <c r="D118" s="81" t="s">
        <v>1208</v>
      </c>
      <c r="H118" s="107">
        <v>92.92</v>
      </c>
      <c r="I118" s="107">
        <v>92920000</v>
      </c>
      <c r="J118" s="107">
        <v>0.13552238484718035</v>
      </c>
      <c r="K118" s="107">
        <v>125927.39999999998</v>
      </c>
      <c r="L118" s="107">
        <v>548.9</v>
      </c>
      <c r="M118" s="107">
        <v>0.14000000000000001</v>
      </c>
      <c r="N118" s="109">
        <v>760800</v>
      </c>
      <c r="O118" s="111" t="s">
        <v>113</v>
      </c>
      <c r="Q118" s="107">
        <v>125.92739999999998</v>
      </c>
      <c r="R118" s="107">
        <v>760.8</v>
      </c>
    </row>
    <row r="119" spans="1:18" x14ac:dyDescent="0.2">
      <c r="A119" s="18" t="s">
        <v>177</v>
      </c>
      <c r="B119" s="81" t="s">
        <v>85</v>
      </c>
      <c r="C119" s="31" t="s">
        <v>837</v>
      </c>
      <c r="D119" s="81" t="s">
        <v>833</v>
      </c>
      <c r="E119" s="81" t="s">
        <v>69</v>
      </c>
      <c r="H119" s="107">
        <v>0</v>
      </c>
      <c r="I119" s="107">
        <v>0</v>
      </c>
      <c r="K119" s="107">
        <v>0</v>
      </c>
      <c r="L119" s="107">
        <v>190.6</v>
      </c>
      <c r="M119" s="107">
        <v>0.39</v>
      </c>
      <c r="N119" s="109">
        <v>741700</v>
      </c>
      <c r="O119" s="111" t="s">
        <v>113</v>
      </c>
      <c r="R119" s="107">
        <v>741.7</v>
      </c>
    </row>
    <row r="120" spans="1:18" x14ac:dyDescent="0.2">
      <c r="A120" s="25" t="s">
        <v>190</v>
      </c>
      <c r="B120" s="81" t="s">
        <v>79</v>
      </c>
      <c r="C120" s="113" t="s">
        <v>615</v>
      </c>
      <c r="D120" s="81" t="s">
        <v>616</v>
      </c>
      <c r="E120" s="81" t="s">
        <v>69</v>
      </c>
      <c r="H120" s="107">
        <v>0</v>
      </c>
      <c r="I120" s="107">
        <v>0</v>
      </c>
      <c r="K120" s="107">
        <v>0</v>
      </c>
      <c r="L120" s="107">
        <v>72.209999999999994</v>
      </c>
      <c r="M120" s="107">
        <v>1</v>
      </c>
      <c r="N120" s="109">
        <v>722500</v>
      </c>
      <c r="O120" s="111" t="s">
        <v>31</v>
      </c>
      <c r="R120" s="107">
        <v>722.5</v>
      </c>
    </row>
    <row r="121" spans="1:18" x14ac:dyDescent="0.2">
      <c r="A121" s="25" t="s">
        <v>190</v>
      </c>
      <c r="B121" s="111" t="s">
        <v>85</v>
      </c>
      <c r="C121" s="79" t="s">
        <v>819</v>
      </c>
      <c r="D121" s="81" t="s">
        <v>131</v>
      </c>
      <c r="E121" s="81" t="s">
        <v>69</v>
      </c>
      <c r="H121" s="107">
        <v>0</v>
      </c>
      <c r="I121" s="107">
        <v>0</v>
      </c>
      <c r="K121" s="107">
        <v>0</v>
      </c>
      <c r="L121" s="107">
        <v>45</v>
      </c>
      <c r="M121" s="107">
        <v>1.6</v>
      </c>
      <c r="N121" s="109">
        <v>720000</v>
      </c>
      <c r="O121" s="111" t="s">
        <v>31</v>
      </c>
      <c r="R121" s="107">
        <v>720</v>
      </c>
    </row>
    <row r="122" spans="1:18" x14ac:dyDescent="0.2">
      <c r="A122" s="25" t="s">
        <v>190</v>
      </c>
      <c r="B122" s="111" t="s">
        <v>79</v>
      </c>
      <c r="C122" s="113" t="s">
        <v>631</v>
      </c>
      <c r="D122" s="81" t="s">
        <v>131</v>
      </c>
      <c r="E122" s="81" t="s">
        <v>69</v>
      </c>
      <c r="H122" s="107">
        <v>0</v>
      </c>
      <c r="I122" s="107">
        <v>0</v>
      </c>
      <c r="K122" s="107">
        <v>0</v>
      </c>
      <c r="L122" s="107">
        <v>45.6</v>
      </c>
      <c r="M122" s="107">
        <v>1.55</v>
      </c>
      <c r="N122" s="109">
        <v>706800</v>
      </c>
      <c r="O122" s="111" t="s">
        <v>31</v>
      </c>
      <c r="R122" s="107">
        <v>706.8</v>
      </c>
    </row>
    <row r="123" spans="1:18" x14ac:dyDescent="0.2">
      <c r="A123" s="25" t="s">
        <v>190</v>
      </c>
      <c r="B123" s="81" t="s">
        <v>87</v>
      </c>
      <c r="C123" s="113" t="s">
        <v>889</v>
      </c>
      <c r="D123" s="81" t="s">
        <v>890</v>
      </c>
      <c r="E123" s="81" t="s">
        <v>64</v>
      </c>
      <c r="G123" s="81" t="s">
        <v>204</v>
      </c>
      <c r="H123" s="107">
        <v>0</v>
      </c>
      <c r="I123" s="107">
        <v>0</v>
      </c>
      <c r="K123" s="107">
        <v>0</v>
      </c>
      <c r="L123" s="107">
        <v>70</v>
      </c>
      <c r="M123" s="107">
        <v>1</v>
      </c>
      <c r="N123" s="109">
        <v>700000</v>
      </c>
      <c r="O123" s="111" t="s">
        <v>31</v>
      </c>
      <c r="R123" s="107">
        <v>700</v>
      </c>
    </row>
    <row r="124" spans="1:18" x14ac:dyDescent="0.2">
      <c r="A124" s="18" t="s">
        <v>177</v>
      </c>
      <c r="B124" s="81" t="s">
        <v>127</v>
      </c>
      <c r="C124" s="80" t="s">
        <v>1066</v>
      </c>
      <c r="D124" s="81" t="s">
        <v>1042</v>
      </c>
      <c r="E124" s="81" t="s">
        <v>69</v>
      </c>
      <c r="H124" s="107">
        <v>0</v>
      </c>
      <c r="I124" s="107">
        <v>0</v>
      </c>
      <c r="K124" s="107">
        <v>0</v>
      </c>
      <c r="L124" s="107">
        <v>435.5</v>
      </c>
      <c r="M124" s="107">
        <v>0.16</v>
      </c>
      <c r="N124" s="109">
        <v>696800</v>
      </c>
      <c r="O124" s="111" t="s">
        <v>113</v>
      </c>
      <c r="R124" s="107">
        <v>696.8</v>
      </c>
    </row>
    <row r="125" spans="1:18" x14ac:dyDescent="0.2">
      <c r="A125" s="25" t="s">
        <v>190</v>
      </c>
      <c r="B125" s="81" t="s">
        <v>75</v>
      </c>
      <c r="C125" s="79" t="s">
        <v>549</v>
      </c>
      <c r="D125" s="81" t="s">
        <v>550</v>
      </c>
      <c r="E125" s="81" t="s">
        <v>69</v>
      </c>
      <c r="F125" s="81" t="s">
        <v>72</v>
      </c>
      <c r="G125" s="81" t="s">
        <v>187</v>
      </c>
      <c r="H125" s="107">
        <v>0</v>
      </c>
      <c r="I125" s="107">
        <v>0</v>
      </c>
      <c r="K125" s="107">
        <v>0</v>
      </c>
      <c r="L125" s="107">
        <v>44.89</v>
      </c>
      <c r="M125" s="107">
        <v>1.55</v>
      </c>
      <c r="N125" s="109">
        <v>696600</v>
      </c>
      <c r="O125" s="111" t="s">
        <v>31</v>
      </c>
      <c r="R125" s="107">
        <v>696.6</v>
      </c>
    </row>
    <row r="126" spans="1:18" x14ac:dyDescent="0.2">
      <c r="A126" s="36" t="s">
        <v>1323</v>
      </c>
      <c r="B126" s="82" t="s">
        <v>149</v>
      </c>
      <c r="C126" s="110" t="s">
        <v>1254</v>
      </c>
      <c r="D126" s="81" t="s">
        <v>685</v>
      </c>
      <c r="H126" s="107">
        <v>223.69249146757679</v>
      </c>
      <c r="I126" s="107">
        <v>223692491.46757677</v>
      </c>
      <c r="J126" s="107">
        <v>0.1654653130287648</v>
      </c>
      <c r="K126" s="107">
        <v>370133.48122866888</v>
      </c>
      <c r="L126" s="107">
        <v>510.8</v>
      </c>
      <c r="M126" s="107">
        <v>0.14000000000000001</v>
      </c>
      <c r="N126" s="109">
        <v>692000</v>
      </c>
      <c r="O126" s="111" t="s">
        <v>113</v>
      </c>
      <c r="Q126" s="107">
        <v>370.13348122866887</v>
      </c>
      <c r="R126" s="107">
        <v>692</v>
      </c>
    </row>
    <row r="127" spans="1:18" x14ac:dyDescent="0.2">
      <c r="A127" s="25" t="s">
        <v>190</v>
      </c>
      <c r="B127" s="81" t="s">
        <v>74</v>
      </c>
      <c r="C127" s="113" t="s">
        <v>496</v>
      </c>
      <c r="E127" s="81" t="s">
        <v>69</v>
      </c>
      <c r="F127" s="81" t="s">
        <v>72</v>
      </c>
      <c r="H127" s="107">
        <v>0</v>
      </c>
      <c r="I127" s="107">
        <v>0</v>
      </c>
      <c r="K127" s="107">
        <v>0</v>
      </c>
      <c r="L127" s="107">
        <v>37.06</v>
      </c>
      <c r="M127" s="107">
        <v>1.82</v>
      </c>
      <c r="N127" s="109">
        <v>673300</v>
      </c>
      <c r="O127" s="111" t="s">
        <v>31</v>
      </c>
      <c r="R127" s="107">
        <v>673.3</v>
      </c>
    </row>
    <row r="128" spans="1:18" x14ac:dyDescent="0.2">
      <c r="A128" s="25" t="s">
        <v>190</v>
      </c>
      <c r="B128" s="111" t="s">
        <v>117</v>
      </c>
      <c r="C128" s="79" t="s">
        <v>1029</v>
      </c>
      <c r="D128" s="81" t="s">
        <v>131</v>
      </c>
      <c r="E128" s="81" t="s">
        <v>69</v>
      </c>
      <c r="H128" s="107">
        <v>0</v>
      </c>
      <c r="I128" s="107">
        <v>0</v>
      </c>
      <c r="K128" s="107">
        <v>0</v>
      </c>
      <c r="L128" s="107">
        <v>46</v>
      </c>
      <c r="M128" s="107">
        <v>1.45</v>
      </c>
      <c r="N128" s="109">
        <v>667000</v>
      </c>
      <c r="O128" s="111" t="s">
        <v>31</v>
      </c>
      <c r="R128" s="107">
        <v>667</v>
      </c>
    </row>
    <row r="129" spans="1:18" x14ac:dyDescent="0.2">
      <c r="A129" s="25" t="s">
        <v>190</v>
      </c>
      <c r="B129" s="111" t="s">
        <v>143</v>
      </c>
      <c r="C129" s="79" t="s">
        <v>1144</v>
      </c>
      <c r="D129" s="81" t="s">
        <v>1145</v>
      </c>
      <c r="E129" s="81" t="s">
        <v>69</v>
      </c>
      <c r="H129" s="107">
        <v>0</v>
      </c>
      <c r="I129" s="107">
        <v>0</v>
      </c>
      <c r="K129" s="107">
        <v>0</v>
      </c>
      <c r="L129" s="107">
        <v>63.9</v>
      </c>
      <c r="M129" s="107">
        <v>1.03</v>
      </c>
      <c r="N129" s="109">
        <v>658200</v>
      </c>
      <c r="O129" s="111" t="s">
        <v>31</v>
      </c>
      <c r="R129" s="107">
        <v>658.2</v>
      </c>
    </row>
    <row r="130" spans="1:18" x14ac:dyDescent="0.2">
      <c r="A130" s="18" t="s">
        <v>177</v>
      </c>
      <c r="B130" s="81" t="s">
        <v>82</v>
      </c>
      <c r="C130" s="80" t="s">
        <v>795</v>
      </c>
      <c r="D130" s="81" t="s">
        <v>466</v>
      </c>
      <c r="E130" s="81" t="s">
        <v>64</v>
      </c>
      <c r="H130" s="107">
        <v>31</v>
      </c>
      <c r="I130" s="107">
        <v>31000000</v>
      </c>
      <c r="J130" s="107">
        <v>2.12</v>
      </c>
      <c r="K130" s="107">
        <v>657200</v>
      </c>
      <c r="L130" s="107">
        <v>31</v>
      </c>
      <c r="M130" s="107">
        <v>2.12</v>
      </c>
      <c r="N130" s="109">
        <v>657200</v>
      </c>
      <c r="O130" s="111" t="s">
        <v>113</v>
      </c>
      <c r="Q130" s="107">
        <v>657.2</v>
      </c>
      <c r="R130" s="107">
        <v>657.2</v>
      </c>
    </row>
    <row r="131" spans="1:18" x14ac:dyDescent="0.2">
      <c r="A131" s="18" t="s">
        <v>190</v>
      </c>
      <c r="B131" s="81" t="s">
        <v>63</v>
      </c>
      <c r="C131" s="113" t="s">
        <v>340</v>
      </c>
      <c r="D131" s="81" t="s">
        <v>341</v>
      </c>
      <c r="E131" s="81" t="s">
        <v>69</v>
      </c>
      <c r="F131" s="81" t="s">
        <v>72</v>
      </c>
      <c r="G131" s="81" t="s">
        <v>211</v>
      </c>
      <c r="H131" s="107">
        <v>0</v>
      </c>
      <c r="I131" s="107">
        <v>0</v>
      </c>
      <c r="K131" s="107">
        <v>0</v>
      </c>
      <c r="L131" s="107">
        <v>70.900000000000006</v>
      </c>
      <c r="M131" s="107">
        <v>0.92</v>
      </c>
      <c r="N131" s="109">
        <v>649700</v>
      </c>
      <c r="O131" s="111" t="s">
        <v>31</v>
      </c>
      <c r="R131" s="107">
        <v>649.70000000000005</v>
      </c>
    </row>
    <row r="132" spans="1:18" x14ac:dyDescent="0.2">
      <c r="A132" s="36" t="s">
        <v>1324</v>
      </c>
      <c r="B132" s="82" t="s">
        <v>149</v>
      </c>
      <c r="C132" s="80" t="s">
        <v>1243</v>
      </c>
      <c r="D132" s="81" t="s">
        <v>1244</v>
      </c>
      <c r="H132" s="107">
        <v>47.6</v>
      </c>
      <c r="I132" s="107">
        <v>47600000</v>
      </c>
      <c r="J132" s="107">
        <v>0.13</v>
      </c>
      <c r="K132" s="107">
        <v>61880</v>
      </c>
      <c r="L132" s="107">
        <v>479.4</v>
      </c>
      <c r="M132" s="107">
        <v>0.13</v>
      </c>
      <c r="N132" s="109">
        <v>644500</v>
      </c>
      <c r="O132" s="111" t="s">
        <v>113</v>
      </c>
      <c r="Q132" s="107">
        <v>61.88</v>
      </c>
      <c r="R132" s="107">
        <v>644.5</v>
      </c>
    </row>
    <row r="133" spans="1:18" x14ac:dyDescent="0.2">
      <c r="A133" s="18" t="s">
        <v>190</v>
      </c>
      <c r="B133" s="81" t="s">
        <v>63</v>
      </c>
      <c r="C133" s="113" t="s">
        <v>281</v>
      </c>
      <c r="D133" s="81" t="s">
        <v>278</v>
      </c>
      <c r="E133" s="81" t="s">
        <v>69</v>
      </c>
      <c r="F133" s="81" t="s">
        <v>72</v>
      </c>
      <c r="G133" s="81" t="s">
        <v>211</v>
      </c>
      <c r="H133" s="107">
        <v>0</v>
      </c>
      <c r="I133" s="107">
        <v>0</v>
      </c>
      <c r="K133" s="107">
        <v>0</v>
      </c>
      <c r="L133" s="107">
        <v>114.3</v>
      </c>
      <c r="M133" s="107">
        <v>0.56000000000000005</v>
      </c>
      <c r="N133" s="109">
        <v>640100</v>
      </c>
      <c r="O133" s="111" t="s">
        <v>31</v>
      </c>
      <c r="R133" s="107">
        <v>640.1</v>
      </c>
    </row>
    <row r="134" spans="1:18" x14ac:dyDescent="0.2">
      <c r="A134" s="25" t="s">
        <v>190</v>
      </c>
      <c r="B134" s="81" t="s">
        <v>79</v>
      </c>
      <c r="C134" s="79" t="s">
        <v>632</v>
      </c>
      <c r="D134" s="81" t="s">
        <v>131</v>
      </c>
      <c r="E134" s="81" t="s">
        <v>69</v>
      </c>
      <c r="H134" s="107">
        <v>0</v>
      </c>
      <c r="I134" s="107">
        <v>0</v>
      </c>
      <c r="K134" s="107">
        <v>0</v>
      </c>
      <c r="L134" s="107">
        <v>49.97</v>
      </c>
      <c r="M134" s="107">
        <v>1.26</v>
      </c>
      <c r="N134" s="109">
        <v>629600</v>
      </c>
      <c r="O134" s="111" t="s">
        <v>31</v>
      </c>
      <c r="R134" s="107">
        <v>629.6</v>
      </c>
    </row>
    <row r="135" spans="1:18" x14ac:dyDescent="0.2">
      <c r="A135" s="18" t="s">
        <v>177</v>
      </c>
      <c r="B135" s="111" t="s">
        <v>127</v>
      </c>
      <c r="C135" s="110" t="s">
        <v>1072</v>
      </c>
      <c r="D135" s="81" t="s">
        <v>131</v>
      </c>
      <c r="E135" s="81" t="s">
        <v>69</v>
      </c>
      <c r="H135" s="107">
        <v>0</v>
      </c>
      <c r="I135" s="107">
        <v>0</v>
      </c>
      <c r="K135" s="107">
        <v>0</v>
      </c>
      <c r="L135" s="107">
        <v>330.2</v>
      </c>
      <c r="M135" s="107">
        <v>0.19</v>
      </c>
      <c r="N135" s="109">
        <v>627400</v>
      </c>
      <c r="O135" s="111" t="s">
        <v>113</v>
      </c>
      <c r="R135" s="107">
        <v>627.4</v>
      </c>
    </row>
    <row r="136" spans="1:18" x14ac:dyDescent="0.2">
      <c r="A136" s="18" t="s">
        <v>190</v>
      </c>
      <c r="B136" s="111" t="s">
        <v>63</v>
      </c>
      <c r="C136" s="113" t="s">
        <v>237</v>
      </c>
      <c r="D136" s="81" t="s">
        <v>172</v>
      </c>
      <c r="E136" s="81" t="s">
        <v>69</v>
      </c>
      <c r="F136" s="81" t="s">
        <v>72</v>
      </c>
      <c r="G136" s="81" t="s">
        <v>204</v>
      </c>
      <c r="H136" s="107">
        <v>0</v>
      </c>
      <c r="I136" s="107">
        <v>0</v>
      </c>
      <c r="K136" s="107">
        <v>0</v>
      </c>
      <c r="L136" s="107">
        <v>96.5</v>
      </c>
      <c r="M136" s="107">
        <v>0.65</v>
      </c>
      <c r="N136" s="109">
        <v>627300</v>
      </c>
      <c r="O136" s="111" t="s">
        <v>31</v>
      </c>
      <c r="R136" s="107">
        <v>627.29999999999995</v>
      </c>
    </row>
    <row r="137" spans="1:18" x14ac:dyDescent="0.2">
      <c r="A137" s="18" t="s">
        <v>190</v>
      </c>
      <c r="B137" s="111" t="s">
        <v>63</v>
      </c>
      <c r="C137" s="113" t="s">
        <v>234</v>
      </c>
      <c r="D137" s="81" t="s">
        <v>172</v>
      </c>
      <c r="E137" s="81" t="s">
        <v>69</v>
      </c>
      <c r="F137" s="81" t="s">
        <v>72</v>
      </c>
      <c r="G137" s="81" t="s">
        <v>204</v>
      </c>
      <c r="H137" s="107">
        <v>0</v>
      </c>
      <c r="I137" s="107">
        <v>0</v>
      </c>
      <c r="K137" s="107">
        <v>0</v>
      </c>
      <c r="L137" s="107">
        <v>83</v>
      </c>
      <c r="M137" s="107">
        <v>0.75</v>
      </c>
      <c r="N137" s="109">
        <v>626100</v>
      </c>
      <c r="O137" s="111" t="s">
        <v>31</v>
      </c>
      <c r="R137" s="107">
        <v>626.1</v>
      </c>
    </row>
    <row r="138" spans="1:18" x14ac:dyDescent="0.2">
      <c r="A138" s="18" t="s">
        <v>177</v>
      </c>
      <c r="B138" s="81" t="s">
        <v>85</v>
      </c>
      <c r="C138" s="80" t="s">
        <v>852</v>
      </c>
      <c r="D138" s="81" t="s">
        <v>249</v>
      </c>
      <c r="E138" s="81" t="s">
        <v>853</v>
      </c>
      <c r="H138" s="107">
        <v>0</v>
      </c>
      <c r="I138" s="107">
        <v>0</v>
      </c>
      <c r="K138" s="107">
        <v>0</v>
      </c>
      <c r="L138" s="107">
        <v>206.8</v>
      </c>
      <c r="M138" s="107">
        <v>0.3</v>
      </c>
      <c r="N138" s="109">
        <v>620400</v>
      </c>
      <c r="O138" s="111" t="s">
        <v>113</v>
      </c>
      <c r="R138" s="107">
        <v>620.4</v>
      </c>
    </row>
    <row r="139" spans="1:18" x14ac:dyDescent="0.2">
      <c r="A139" s="18" t="s">
        <v>190</v>
      </c>
      <c r="B139" s="81" t="s">
        <v>63</v>
      </c>
      <c r="C139" s="113" t="s">
        <v>297</v>
      </c>
      <c r="D139" s="81" t="s">
        <v>298</v>
      </c>
      <c r="E139" s="81" t="s">
        <v>69</v>
      </c>
      <c r="F139" s="81" t="s">
        <v>72</v>
      </c>
      <c r="G139" s="81" t="s">
        <v>204</v>
      </c>
      <c r="H139" s="107">
        <v>0</v>
      </c>
      <c r="I139" s="107">
        <v>0</v>
      </c>
      <c r="K139" s="107">
        <v>0</v>
      </c>
      <c r="L139" s="107">
        <v>80.5</v>
      </c>
      <c r="M139" s="107">
        <v>0.77</v>
      </c>
      <c r="N139" s="109">
        <v>619900</v>
      </c>
      <c r="O139" s="111" t="s">
        <v>31</v>
      </c>
      <c r="R139" s="107">
        <v>619.9</v>
      </c>
    </row>
    <row r="140" spans="1:18" x14ac:dyDescent="0.2">
      <c r="A140" s="25" t="s">
        <v>190</v>
      </c>
      <c r="B140" s="81" t="s">
        <v>75</v>
      </c>
      <c r="C140" s="113" t="s">
        <v>508</v>
      </c>
      <c r="D140" s="81" t="s">
        <v>509</v>
      </c>
      <c r="E140" s="81" t="s">
        <v>64</v>
      </c>
      <c r="F140" s="81" t="s">
        <v>72</v>
      </c>
      <c r="G140" s="81" t="s">
        <v>187</v>
      </c>
      <c r="H140" s="107">
        <v>36.342671000000003</v>
      </c>
      <c r="I140" s="107">
        <v>36342671</v>
      </c>
      <c r="J140" s="107">
        <v>1.2226758630371444</v>
      </c>
      <c r="K140" s="107">
        <v>444353.06629999995</v>
      </c>
      <c r="L140" s="107">
        <v>54.16</v>
      </c>
      <c r="M140" s="107">
        <v>1.1399999999999999</v>
      </c>
      <c r="N140" s="109">
        <v>617100</v>
      </c>
      <c r="O140" s="111" t="s">
        <v>31</v>
      </c>
      <c r="Q140" s="107">
        <v>444.35306629999997</v>
      </c>
      <c r="R140" s="107">
        <v>617.1</v>
      </c>
    </row>
    <row r="141" spans="1:18" x14ac:dyDescent="0.2">
      <c r="A141" s="25" t="s">
        <v>190</v>
      </c>
      <c r="B141" s="81" t="s">
        <v>85</v>
      </c>
      <c r="C141" s="79" t="s">
        <v>816</v>
      </c>
      <c r="D141" s="81" t="s">
        <v>817</v>
      </c>
      <c r="E141" s="81" t="s">
        <v>71</v>
      </c>
      <c r="H141" s="107">
        <v>0</v>
      </c>
      <c r="I141" s="107">
        <v>0</v>
      </c>
      <c r="K141" s="107">
        <v>0</v>
      </c>
      <c r="L141" s="107">
        <v>70.37</v>
      </c>
      <c r="M141" s="107">
        <v>0.86</v>
      </c>
      <c r="N141" s="109">
        <v>603300</v>
      </c>
      <c r="O141" s="111" t="s">
        <v>31</v>
      </c>
      <c r="R141" s="107">
        <v>603.29999999999995</v>
      </c>
    </row>
    <row r="142" spans="1:18" x14ac:dyDescent="0.2">
      <c r="A142" s="25" t="s">
        <v>190</v>
      </c>
      <c r="B142" s="81" t="s">
        <v>74</v>
      </c>
      <c r="C142" s="79" t="s">
        <v>476</v>
      </c>
      <c r="D142" s="81" t="s">
        <v>131</v>
      </c>
      <c r="E142" s="81" t="s">
        <v>69</v>
      </c>
      <c r="F142" s="81" t="s">
        <v>72</v>
      </c>
      <c r="G142" s="98" t="s">
        <v>216</v>
      </c>
      <c r="H142" s="107">
        <v>0</v>
      </c>
      <c r="I142" s="107">
        <v>0</v>
      </c>
      <c r="K142" s="107">
        <v>0</v>
      </c>
      <c r="L142" s="107">
        <v>27</v>
      </c>
      <c r="M142" s="107">
        <v>2.2000000000000002</v>
      </c>
      <c r="N142" s="109">
        <v>594000</v>
      </c>
      <c r="O142" s="111" t="s">
        <v>31</v>
      </c>
      <c r="R142" s="107">
        <v>594</v>
      </c>
    </row>
    <row r="143" spans="1:18" x14ac:dyDescent="0.2">
      <c r="A143" s="25" t="s">
        <v>190</v>
      </c>
      <c r="B143" s="81" t="s">
        <v>75</v>
      </c>
      <c r="C143" s="79" t="s">
        <v>525</v>
      </c>
      <c r="D143" s="81" t="s">
        <v>526</v>
      </c>
      <c r="E143" s="81" t="s">
        <v>518</v>
      </c>
      <c r="F143" s="81" t="s">
        <v>72</v>
      </c>
      <c r="G143" s="81" t="s">
        <v>187</v>
      </c>
      <c r="H143" s="107">
        <v>0</v>
      </c>
      <c r="I143" s="107">
        <v>0</v>
      </c>
      <c r="K143" s="107">
        <v>0</v>
      </c>
      <c r="L143" s="107">
        <v>55.83</v>
      </c>
      <c r="M143" s="107">
        <v>1.06</v>
      </c>
      <c r="N143" s="109">
        <v>594000</v>
      </c>
      <c r="O143" s="111" t="s">
        <v>31</v>
      </c>
      <c r="R143" s="107">
        <v>594</v>
      </c>
    </row>
    <row r="144" spans="1:18" x14ac:dyDescent="0.2">
      <c r="A144" s="36" t="s">
        <v>1323</v>
      </c>
      <c r="B144" s="111" t="s">
        <v>149</v>
      </c>
      <c r="C144" s="110" t="s">
        <v>1240</v>
      </c>
      <c r="D144" s="81" t="s">
        <v>1241</v>
      </c>
      <c r="H144" s="107">
        <v>0</v>
      </c>
      <c r="I144" s="107">
        <v>0</v>
      </c>
      <c r="K144" s="107">
        <v>0</v>
      </c>
      <c r="L144" s="107">
        <v>383.1</v>
      </c>
      <c r="M144" s="107">
        <v>0.15</v>
      </c>
      <c r="N144" s="109">
        <v>590500</v>
      </c>
      <c r="O144" s="111" t="s">
        <v>113</v>
      </c>
      <c r="R144" s="107">
        <v>590.5</v>
      </c>
    </row>
    <row r="145" spans="1:18" x14ac:dyDescent="0.2">
      <c r="A145" s="25" t="s">
        <v>190</v>
      </c>
      <c r="B145" s="81" t="s">
        <v>75</v>
      </c>
      <c r="C145" s="79" t="s">
        <v>546</v>
      </c>
      <c r="D145" s="81" t="s">
        <v>547</v>
      </c>
      <c r="E145" s="81" t="s">
        <v>69</v>
      </c>
      <c r="F145" s="81" t="s">
        <v>72</v>
      </c>
      <c r="G145" s="81" t="s">
        <v>187</v>
      </c>
      <c r="H145" s="107">
        <v>0</v>
      </c>
      <c r="I145" s="107">
        <v>0</v>
      </c>
      <c r="K145" s="107">
        <v>0</v>
      </c>
      <c r="L145" s="107">
        <v>52.746000000000002</v>
      </c>
      <c r="M145" s="107">
        <v>1.1100000000000001</v>
      </c>
      <c r="N145" s="109">
        <v>587000</v>
      </c>
      <c r="O145" s="111" t="s">
        <v>31</v>
      </c>
      <c r="R145" s="107">
        <v>587</v>
      </c>
    </row>
    <row r="146" spans="1:18" x14ac:dyDescent="0.2">
      <c r="A146" s="36" t="s">
        <v>1324</v>
      </c>
      <c r="B146" s="114" t="s">
        <v>149</v>
      </c>
      <c r="C146" s="110" t="s">
        <v>1212</v>
      </c>
      <c r="D146" s="81" t="s">
        <v>1213</v>
      </c>
      <c r="H146" s="107">
        <v>0</v>
      </c>
      <c r="I146" s="107">
        <v>0</v>
      </c>
      <c r="K146" s="107">
        <v>0</v>
      </c>
      <c r="L146" s="107">
        <v>355</v>
      </c>
      <c r="M146" s="107">
        <v>0.16</v>
      </c>
      <c r="N146" s="109">
        <v>585500</v>
      </c>
      <c r="O146" s="111" t="s">
        <v>113</v>
      </c>
      <c r="R146" s="107">
        <v>585.5</v>
      </c>
    </row>
    <row r="147" spans="1:18" x14ac:dyDescent="0.2">
      <c r="A147" s="36" t="s">
        <v>1323</v>
      </c>
      <c r="B147" s="82" t="s">
        <v>149</v>
      </c>
      <c r="C147" s="110" t="s">
        <v>1187</v>
      </c>
      <c r="D147" s="81" t="s">
        <v>1009</v>
      </c>
      <c r="H147" s="107">
        <v>40.5</v>
      </c>
      <c r="I147" s="107">
        <v>40500000</v>
      </c>
      <c r="J147" s="107">
        <v>0.12029629629629628</v>
      </c>
      <c r="K147" s="107">
        <v>48719.999999999993</v>
      </c>
      <c r="L147" s="107">
        <v>364.4</v>
      </c>
      <c r="M147" s="107">
        <v>0.16</v>
      </c>
      <c r="N147" s="109">
        <v>578400</v>
      </c>
      <c r="O147" s="111" t="s">
        <v>113</v>
      </c>
      <c r="Q147" s="107">
        <v>48.719999999999992</v>
      </c>
      <c r="R147" s="107">
        <v>578.4</v>
      </c>
    </row>
    <row r="148" spans="1:18" x14ac:dyDescent="0.2">
      <c r="A148" s="25" t="s">
        <v>190</v>
      </c>
      <c r="B148" s="81" t="s">
        <v>80</v>
      </c>
      <c r="C148" s="79" t="s">
        <v>636</v>
      </c>
      <c r="D148" s="81" t="s">
        <v>637</v>
      </c>
      <c r="E148" s="81" t="s">
        <v>69</v>
      </c>
      <c r="H148" s="107">
        <v>0</v>
      </c>
      <c r="I148" s="107">
        <v>0</v>
      </c>
      <c r="K148" s="107">
        <v>0</v>
      </c>
      <c r="L148" s="107">
        <v>44.89</v>
      </c>
      <c r="M148" s="107">
        <v>1.28</v>
      </c>
      <c r="N148" s="109">
        <v>574600</v>
      </c>
      <c r="O148" s="111" t="s">
        <v>31</v>
      </c>
      <c r="R148" s="107">
        <v>574.6</v>
      </c>
    </row>
    <row r="149" spans="1:18" x14ac:dyDescent="0.2">
      <c r="A149" s="36" t="s">
        <v>1324</v>
      </c>
      <c r="B149" s="111" t="s">
        <v>149</v>
      </c>
      <c r="C149" s="110" t="s">
        <v>1260</v>
      </c>
      <c r="D149" s="81" t="s">
        <v>1236</v>
      </c>
      <c r="H149" s="107">
        <v>0</v>
      </c>
      <c r="I149" s="107">
        <v>0</v>
      </c>
      <c r="K149" s="107">
        <v>0</v>
      </c>
      <c r="L149" s="107">
        <v>605.79999999999995</v>
      </c>
      <c r="M149" s="107">
        <v>0.09</v>
      </c>
      <c r="N149" s="109">
        <v>571700</v>
      </c>
      <c r="O149" s="111" t="s">
        <v>113</v>
      </c>
      <c r="R149" s="107">
        <v>571.70000000000005</v>
      </c>
    </row>
    <row r="150" spans="1:18" x14ac:dyDescent="0.2">
      <c r="A150" s="25" t="s">
        <v>190</v>
      </c>
      <c r="B150" s="81" t="s">
        <v>143</v>
      </c>
      <c r="C150" s="79" t="s">
        <v>1148</v>
      </c>
      <c r="D150" s="81" t="s">
        <v>1145</v>
      </c>
      <c r="E150" s="81" t="s">
        <v>69</v>
      </c>
      <c r="H150" s="107">
        <v>0</v>
      </c>
      <c r="I150" s="107">
        <v>0</v>
      </c>
      <c r="K150" s="107">
        <v>0</v>
      </c>
      <c r="L150" s="107">
        <v>64.599999999999994</v>
      </c>
      <c r="M150" s="107">
        <v>0.88</v>
      </c>
      <c r="N150" s="109">
        <v>568500</v>
      </c>
      <c r="O150" s="111" t="s">
        <v>31</v>
      </c>
      <c r="R150" s="107">
        <v>568.5</v>
      </c>
    </row>
    <row r="151" spans="1:18" x14ac:dyDescent="0.2">
      <c r="A151" s="18" t="s">
        <v>190</v>
      </c>
      <c r="B151" s="81" t="s">
        <v>63</v>
      </c>
      <c r="C151" s="113" t="s">
        <v>235</v>
      </c>
      <c r="D151" s="81" t="s">
        <v>172</v>
      </c>
      <c r="E151" s="81" t="s">
        <v>69</v>
      </c>
      <c r="F151" s="81" t="s">
        <v>72</v>
      </c>
      <c r="G151" s="81" t="s">
        <v>204</v>
      </c>
      <c r="H151" s="107">
        <v>0</v>
      </c>
      <c r="I151" s="107">
        <v>0</v>
      </c>
      <c r="K151" s="107">
        <v>0</v>
      </c>
      <c r="L151" s="107">
        <v>87</v>
      </c>
      <c r="M151" s="107">
        <v>0.65</v>
      </c>
      <c r="N151" s="109">
        <v>567400</v>
      </c>
      <c r="O151" s="111" t="s">
        <v>31</v>
      </c>
      <c r="R151" s="107">
        <v>567.4</v>
      </c>
    </row>
    <row r="152" spans="1:18" x14ac:dyDescent="0.2">
      <c r="A152" s="36" t="s">
        <v>1323</v>
      </c>
      <c r="B152" s="82" t="s">
        <v>149</v>
      </c>
      <c r="C152" s="80" t="s">
        <v>1188</v>
      </c>
      <c r="D152" s="81" t="s">
        <v>1189</v>
      </c>
      <c r="H152" s="107">
        <v>125.22</v>
      </c>
      <c r="I152" s="107">
        <v>125220000</v>
      </c>
      <c r="J152" s="107">
        <v>0.18218974604695737</v>
      </c>
      <c r="K152" s="107">
        <v>228138.00000000003</v>
      </c>
      <c r="L152" s="107">
        <v>348</v>
      </c>
      <c r="M152" s="107">
        <v>0.16</v>
      </c>
      <c r="N152" s="109">
        <v>563300</v>
      </c>
      <c r="O152" s="111" t="s">
        <v>113</v>
      </c>
      <c r="Q152" s="107">
        <v>228.13800000000003</v>
      </c>
      <c r="R152" s="107">
        <v>563.29999999999995</v>
      </c>
    </row>
    <row r="153" spans="1:18" x14ac:dyDescent="0.2">
      <c r="A153" s="25" t="s">
        <v>190</v>
      </c>
      <c r="B153" s="81" t="s">
        <v>74</v>
      </c>
      <c r="C153" s="113" t="s">
        <v>484</v>
      </c>
      <c r="D153" s="81" t="s">
        <v>474</v>
      </c>
      <c r="E153" s="81" t="s">
        <v>64</v>
      </c>
      <c r="G153" s="81" t="s">
        <v>467</v>
      </c>
      <c r="H153" s="107">
        <v>18.810000000000002</v>
      </c>
      <c r="I153" s="107">
        <v>18810000.000000004</v>
      </c>
      <c r="J153" s="107">
        <v>1.8070866560340244</v>
      </c>
      <c r="K153" s="107">
        <v>339913</v>
      </c>
      <c r="L153" s="107">
        <v>30.75</v>
      </c>
      <c r="M153" s="107">
        <v>1.81</v>
      </c>
      <c r="N153" s="109">
        <v>557500</v>
      </c>
      <c r="O153" s="111" t="s">
        <v>31</v>
      </c>
      <c r="Q153" s="107">
        <v>339.91300000000001</v>
      </c>
      <c r="R153" s="107">
        <v>557.5</v>
      </c>
    </row>
    <row r="154" spans="1:18" x14ac:dyDescent="0.2">
      <c r="A154" s="18" t="s">
        <v>190</v>
      </c>
      <c r="B154" s="81" t="s">
        <v>63</v>
      </c>
      <c r="C154" s="113" t="s">
        <v>243</v>
      </c>
      <c r="D154" s="81" t="s">
        <v>172</v>
      </c>
      <c r="E154" s="81" t="s">
        <v>69</v>
      </c>
      <c r="F154" s="81" t="s">
        <v>72</v>
      </c>
      <c r="G154" s="81" t="s">
        <v>204</v>
      </c>
      <c r="H154" s="107">
        <v>0</v>
      </c>
      <c r="I154" s="107">
        <v>0</v>
      </c>
      <c r="K154" s="107">
        <v>0</v>
      </c>
      <c r="L154" s="107">
        <v>75</v>
      </c>
      <c r="M154" s="107">
        <v>0.73</v>
      </c>
      <c r="N154" s="109">
        <v>547500</v>
      </c>
      <c r="O154" s="111" t="s">
        <v>31</v>
      </c>
      <c r="R154" s="107">
        <v>547.5</v>
      </c>
    </row>
    <row r="155" spans="1:18" x14ac:dyDescent="0.2">
      <c r="A155" s="36" t="s">
        <v>1324</v>
      </c>
      <c r="B155" s="111" t="s">
        <v>149</v>
      </c>
      <c r="C155" s="80" t="s">
        <v>1227</v>
      </c>
      <c r="D155" s="81" t="s">
        <v>1228</v>
      </c>
      <c r="H155" s="107">
        <v>0</v>
      </c>
      <c r="I155" s="107">
        <v>0</v>
      </c>
      <c r="K155" s="107">
        <v>0</v>
      </c>
      <c r="L155" s="107">
        <v>279.8</v>
      </c>
      <c r="M155" s="107">
        <v>0.19</v>
      </c>
      <c r="N155" s="109">
        <v>544200</v>
      </c>
      <c r="O155" s="111" t="s">
        <v>113</v>
      </c>
      <c r="R155" s="107">
        <v>544.20000000000005</v>
      </c>
    </row>
    <row r="156" spans="1:18" x14ac:dyDescent="0.2">
      <c r="A156" s="25" t="s">
        <v>190</v>
      </c>
      <c r="B156" s="81" t="s">
        <v>142</v>
      </c>
      <c r="C156" s="79" t="s">
        <v>1132</v>
      </c>
      <c r="D156" s="81" t="s">
        <v>1133</v>
      </c>
      <c r="E156" s="81" t="s">
        <v>64</v>
      </c>
      <c r="G156" s="81" t="s">
        <v>204</v>
      </c>
      <c r="H156" s="107">
        <v>9.6000000000000014</v>
      </c>
      <c r="I156" s="107">
        <v>9600000.0000000019</v>
      </c>
      <c r="J156" s="107">
        <v>1.1029166666666665</v>
      </c>
      <c r="K156" s="107">
        <v>105880</v>
      </c>
      <c r="L156" s="107">
        <v>54.63</v>
      </c>
      <c r="M156" s="107">
        <v>0.99</v>
      </c>
      <c r="N156" s="109">
        <v>541000</v>
      </c>
      <c r="O156" s="111" t="s">
        <v>31</v>
      </c>
      <c r="Q156" s="107">
        <v>105.88</v>
      </c>
      <c r="R156" s="107">
        <v>541</v>
      </c>
    </row>
    <row r="157" spans="1:18" x14ac:dyDescent="0.2">
      <c r="A157" s="25" t="s">
        <v>190</v>
      </c>
      <c r="B157" s="111" t="s">
        <v>134</v>
      </c>
      <c r="C157" s="113" t="s">
        <v>1104</v>
      </c>
      <c r="D157" s="81" t="s">
        <v>131</v>
      </c>
      <c r="E157" s="81" t="s">
        <v>69</v>
      </c>
      <c r="H157" s="107">
        <v>0</v>
      </c>
      <c r="I157" s="107">
        <v>0</v>
      </c>
      <c r="K157" s="107">
        <v>0</v>
      </c>
      <c r="L157" s="107">
        <v>40</v>
      </c>
      <c r="M157" s="107">
        <v>1.35</v>
      </c>
      <c r="N157" s="109">
        <v>540000</v>
      </c>
      <c r="O157" s="111" t="s">
        <v>31</v>
      </c>
      <c r="R157" s="107">
        <v>540</v>
      </c>
    </row>
    <row r="158" spans="1:18" x14ac:dyDescent="0.2">
      <c r="A158" s="18" t="s">
        <v>177</v>
      </c>
      <c r="B158" s="111" t="s">
        <v>112</v>
      </c>
      <c r="C158" s="112" t="s">
        <v>1018</v>
      </c>
      <c r="D158" s="81" t="s">
        <v>263</v>
      </c>
      <c r="E158" s="81" t="s">
        <v>69</v>
      </c>
      <c r="H158" s="107">
        <v>35.4</v>
      </c>
      <c r="I158" s="107">
        <v>35400000</v>
      </c>
      <c r="J158" s="107">
        <v>0.97084745762711877</v>
      </c>
      <c r="K158" s="107">
        <v>343680.00000000006</v>
      </c>
      <c r="L158" s="107">
        <v>60.6</v>
      </c>
      <c r="M158" s="107">
        <v>0.88</v>
      </c>
      <c r="N158" s="109">
        <v>531800</v>
      </c>
      <c r="O158" s="111" t="s">
        <v>118</v>
      </c>
      <c r="Q158" s="107">
        <v>343.68000000000006</v>
      </c>
      <c r="R158" s="107">
        <v>531.79999999999995</v>
      </c>
    </row>
    <row r="159" spans="1:18" x14ac:dyDescent="0.2">
      <c r="A159" s="25" t="s">
        <v>190</v>
      </c>
      <c r="B159" s="81" t="s">
        <v>122</v>
      </c>
      <c r="C159" s="113" t="s">
        <v>1036</v>
      </c>
      <c r="D159" s="81" t="s">
        <v>131</v>
      </c>
      <c r="E159" s="81" t="s">
        <v>69</v>
      </c>
      <c r="H159" s="107">
        <v>0</v>
      </c>
      <c r="I159" s="107">
        <v>0</v>
      </c>
      <c r="K159" s="107">
        <v>0</v>
      </c>
      <c r="L159" s="107">
        <v>55.1</v>
      </c>
      <c r="M159" s="107">
        <v>0.96</v>
      </c>
      <c r="N159" s="109">
        <v>529000</v>
      </c>
      <c r="O159" s="111" t="s">
        <v>31</v>
      </c>
      <c r="R159" s="107">
        <v>529</v>
      </c>
    </row>
    <row r="160" spans="1:18" x14ac:dyDescent="0.2">
      <c r="A160" s="25" t="s">
        <v>190</v>
      </c>
      <c r="B160" s="111" t="s">
        <v>117</v>
      </c>
      <c r="C160" s="79" t="s">
        <v>1031</v>
      </c>
      <c r="D160" s="81" t="s">
        <v>131</v>
      </c>
      <c r="E160" s="81" t="s">
        <v>69</v>
      </c>
      <c r="H160" s="107">
        <v>0</v>
      </c>
      <c r="I160" s="107">
        <v>0</v>
      </c>
      <c r="K160" s="107">
        <v>0</v>
      </c>
      <c r="L160" s="107">
        <v>38</v>
      </c>
      <c r="M160" s="107">
        <v>1.38</v>
      </c>
      <c r="N160" s="109">
        <v>524400</v>
      </c>
      <c r="O160" s="111" t="s">
        <v>31</v>
      </c>
      <c r="R160" s="107">
        <v>524.4</v>
      </c>
    </row>
    <row r="161" spans="1:18" x14ac:dyDescent="0.2">
      <c r="A161" s="25" t="s">
        <v>190</v>
      </c>
      <c r="B161" s="81" t="s">
        <v>75</v>
      </c>
      <c r="C161" s="113" t="s">
        <v>535</v>
      </c>
      <c r="D161" s="81" t="s">
        <v>499</v>
      </c>
      <c r="E161" s="81" t="s">
        <v>69</v>
      </c>
      <c r="F161" s="81" t="s">
        <v>72</v>
      </c>
      <c r="H161" s="107">
        <v>0</v>
      </c>
      <c r="I161" s="107">
        <v>0</v>
      </c>
      <c r="K161" s="107">
        <v>0</v>
      </c>
      <c r="L161" s="107">
        <v>43.37</v>
      </c>
      <c r="M161" s="107">
        <v>1.2</v>
      </c>
      <c r="N161" s="109">
        <v>520400</v>
      </c>
      <c r="O161" s="111" t="s">
        <v>31</v>
      </c>
      <c r="R161" s="107">
        <v>520.4</v>
      </c>
    </row>
    <row r="162" spans="1:18" x14ac:dyDescent="0.2">
      <c r="A162" s="18" t="s">
        <v>1273</v>
      </c>
      <c r="B162" s="111" t="s">
        <v>149</v>
      </c>
      <c r="C162" s="80" t="s">
        <v>1278</v>
      </c>
      <c r="D162" s="81" t="s">
        <v>669</v>
      </c>
      <c r="E162" s="81" t="s">
        <v>69</v>
      </c>
      <c r="H162" s="107">
        <v>0</v>
      </c>
      <c r="I162" s="107">
        <v>0</v>
      </c>
      <c r="K162" s="107">
        <v>0</v>
      </c>
      <c r="L162" s="107">
        <v>233.1</v>
      </c>
      <c r="M162" s="107">
        <v>0.22</v>
      </c>
      <c r="N162" s="109">
        <v>506000</v>
      </c>
      <c r="O162" s="111" t="s">
        <v>113</v>
      </c>
      <c r="R162" s="107">
        <v>506</v>
      </c>
    </row>
    <row r="163" spans="1:18" x14ac:dyDescent="0.2">
      <c r="A163" s="25" t="s">
        <v>190</v>
      </c>
      <c r="B163" s="81" t="s">
        <v>142</v>
      </c>
      <c r="C163" s="79" t="s">
        <v>1142</v>
      </c>
      <c r="D163" s="81" t="s">
        <v>1138</v>
      </c>
      <c r="E163" s="81" t="s">
        <v>69</v>
      </c>
      <c r="H163" s="107">
        <v>0</v>
      </c>
      <c r="I163" s="107">
        <v>0</v>
      </c>
      <c r="K163" s="107">
        <v>0</v>
      </c>
      <c r="L163" s="107">
        <v>44.8</v>
      </c>
      <c r="M163" s="107">
        <v>1.1100000000000001</v>
      </c>
      <c r="N163" s="109">
        <v>497300</v>
      </c>
      <c r="O163" s="111" t="s">
        <v>31</v>
      </c>
      <c r="R163" s="107">
        <v>497.3</v>
      </c>
    </row>
    <row r="164" spans="1:18" x14ac:dyDescent="0.2">
      <c r="A164" s="18" t="s">
        <v>177</v>
      </c>
      <c r="B164" s="81" t="s">
        <v>107</v>
      </c>
      <c r="C164" s="80" t="s">
        <v>1008</v>
      </c>
      <c r="D164" s="81" t="s">
        <v>1009</v>
      </c>
      <c r="H164" s="107">
        <v>52.4</v>
      </c>
      <c r="I164" s="107">
        <v>52400000</v>
      </c>
      <c r="J164" s="107">
        <v>0.22</v>
      </c>
      <c r="K164" s="107">
        <v>115280</v>
      </c>
      <c r="L164" s="107">
        <v>225</v>
      </c>
      <c r="M164" s="107">
        <v>0.22</v>
      </c>
      <c r="N164" s="109">
        <v>495000</v>
      </c>
      <c r="O164" s="111" t="s">
        <v>113</v>
      </c>
      <c r="Q164" s="107">
        <v>115.28</v>
      </c>
      <c r="R164" s="107">
        <v>495</v>
      </c>
    </row>
    <row r="165" spans="1:18" x14ac:dyDescent="0.2">
      <c r="A165" s="25" t="s">
        <v>190</v>
      </c>
      <c r="B165" s="111" t="s">
        <v>75</v>
      </c>
      <c r="C165" s="79" t="s">
        <v>553</v>
      </c>
      <c r="D165" s="81" t="s">
        <v>554</v>
      </c>
      <c r="E165" s="81" t="s">
        <v>69</v>
      </c>
      <c r="F165" s="81" t="s">
        <v>72</v>
      </c>
      <c r="G165" s="81" t="s">
        <v>187</v>
      </c>
      <c r="H165" s="107">
        <v>0</v>
      </c>
      <c r="I165" s="107">
        <v>0</v>
      </c>
      <c r="K165" s="107">
        <v>0</v>
      </c>
      <c r="L165" s="107">
        <v>42.38</v>
      </c>
      <c r="M165" s="107">
        <v>1.1599999999999999</v>
      </c>
      <c r="N165" s="109">
        <v>491600</v>
      </c>
      <c r="O165" s="111" t="s">
        <v>31</v>
      </c>
      <c r="R165" s="107">
        <v>491.6</v>
      </c>
    </row>
    <row r="166" spans="1:18" x14ac:dyDescent="0.2">
      <c r="A166" s="18" t="s">
        <v>177</v>
      </c>
      <c r="B166" s="111" t="s">
        <v>85</v>
      </c>
      <c r="C166" s="31" t="s">
        <v>836</v>
      </c>
      <c r="D166" s="81" t="s">
        <v>833</v>
      </c>
      <c r="E166" s="81" t="s">
        <v>69</v>
      </c>
      <c r="H166" s="107">
        <v>0</v>
      </c>
      <c r="I166" s="107">
        <v>0</v>
      </c>
      <c r="K166" s="107">
        <v>0</v>
      </c>
      <c r="L166" s="107">
        <v>91.07</v>
      </c>
      <c r="M166" s="107">
        <v>0.54</v>
      </c>
      <c r="N166" s="109">
        <v>488100</v>
      </c>
      <c r="O166" s="111" t="s">
        <v>113</v>
      </c>
      <c r="R166" s="107">
        <v>488.1</v>
      </c>
    </row>
    <row r="167" spans="1:18" x14ac:dyDescent="0.2">
      <c r="A167" s="18" t="s">
        <v>190</v>
      </c>
      <c r="B167" s="111" t="s">
        <v>63</v>
      </c>
      <c r="C167" s="113" t="s">
        <v>290</v>
      </c>
      <c r="D167" s="81" t="s">
        <v>172</v>
      </c>
      <c r="E167" s="81" t="s">
        <v>69</v>
      </c>
      <c r="F167" s="81" t="s">
        <v>72</v>
      </c>
      <c r="G167" s="81" t="s">
        <v>204</v>
      </c>
      <c r="H167" s="107">
        <v>0</v>
      </c>
      <c r="I167" s="107">
        <v>0</v>
      </c>
      <c r="K167" s="107">
        <v>0</v>
      </c>
      <c r="L167" s="107">
        <v>63.8</v>
      </c>
      <c r="M167" s="107">
        <v>0.75</v>
      </c>
      <c r="N167" s="109">
        <v>476100</v>
      </c>
      <c r="O167" s="111" t="s">
        <v>31</v>
      </c>
      <c r="R167" s="107">
        <v>476.1</v>
      </c>
    </row>
    <row r="168" spans="1:18" x14ac:dyDescent="0.2">
      <c r="A168" s="18" t="s">
        <v>190</v>
      </c>
      <c r="B168" s="111" t="s">
        <v>197</v>
      </c>
      <c r="C168" s="79" t="s">
        <v>212</v>
      </c>
      <c r="D168" s="81" t="s">
        <v>213</v>
      </c>
      <c r="E168" s="81" t="s">
        <v>69</v>
      </c>
      <c r="F168" s="81" t="s">
        <v>72</v>
      </c>
      <c r="G168" s="81" t="s">
        <v>211</v>
      </c>
      <c r="H168" s="107">
        <v>0</v>
      </c>
      <c r="I168" s="107">
        <v>0</v>
      </c>
      <c r="K168" s="107">
        <v>0</v>
      </c>
      <c r="L168" s="107">
        <v>70</v>
      </c>
      <c r="M168" s="107">
        <v>0.68</v>
      </c>
      <c r="N168" s="109">
        <v>476000</v>
      </c>
      <c r="O168" s="111" t="s">
        <v>31</v>
      </c>
      <c r="R168" s="107">
        <v>476</v>
      </c>
    </row>
    <row r="169" spans="1:18" x14ac:dyDescent="0.2">
      <c r="A169" s="18" t="s">
        <v>177</v>
      </c>
      <c r="B169" s="82" t="s">
        <v>127</v>
      </c>
      <c r="C169" s="80" t="s">
        <v>1041</v>
      </c>
      <c r="D169" s="81" t="s">
        <v>1042</v>
      </c>
      <c r="E169" s="81" t="s">
        <v>69</v>
      </c>
      <c r="H169" s="107">
        <v>0</v>
      </c>
      <c r="I169" s="107">
        <v>0</v>
      </c>
      <c r="K169" s="107">
        <v>0</v>
      </c>
      <c r="L169" s="107">
        <v>307.39999999999998</v>
      </c>
      <c r="M169" s="107">
        <v>0.15</v>
      </c>
      <c r="N169" s="109">
        <v>470100</v>
      </c>
      <c r="O169" s="111" t="s">
        <v>113</v>
      </c>
      <c r="R169" s="107">
        <v>470.1</v>
      </c>
    </row>
    <row r="170" spans="1:18" x14ac:dyDescent="0.2">
      <c r="A170" s="25" t="s">
        <v>190</v>
      </c>
      <c r="B170" s="117" t="s">
        <v>75</v>
      </c>
      <c r="C170" s="79" t="s">
        <v>540</v>
      </c>
      <c r="D170" s="81" t="s">
        <v>541</v>
      </c>
      <c r="E170" s="81" t="s">
        <v>69</v>
      </c>
      <c r="F170" s="81" t="s">
        <v>72</v>
      </c>
      <c r="G170" s="81" t="s">
        <v>204</v>
      </c>
      <c r="H170" s="107">
        <v>0</v>
      </c>
      <c r="I170" s="107">
        <v>0</v>
      </c>
      <c r="K170" s="107">
        <v>0</v>
      </c>
      <c r="L170" s="107">
        <v>45.18</v>
      </c>
      <c r="M170" s="107">
        <v>1</v>
      </c>
      <c r="N170" s="109">
        <v>452600</v>
      </c>
      <c r="O170" s="111" t="s">
        <v>31</v>
      </c>
      <c r="R170" s="107">
        <v>452.6</v>
      </c>
    </row>
    <row r="171" spans="1:18" x14ac:dyDescent="0.2">
      <c r="A171" s="18" t="s">
        <v>1303</v>
      </c>
      <c r="B171" s="82" t="s">
        <v>150</v>
      </c>
      <c r="C171" s="16" t="s">
        <v>1312</v>
      </c>
      <c r="D171" s="81" t="s">
        <v>1314</v>
      </c>
      <c r="E171" s="81" t="s">
        <v>69</v>
      </c>
      <c r="F171" s="81" t="s">
        <v>200</v>
      </c>
      <c r="G171" s="81" t="s">
        <v>188</v>
      </c>
      <c r="H171" s="107">
        <v>0</v>
      </c>
      <c r="I171" s="107">
        <v>0</v>
      </c>
      <c r="K171" s="107">
        <v>0</v>
      </c>
      <c r="L171" s="107">
        <v>33.700000000000003</v>
      </c>
      <c r="M171" s="107">
        <v>1.31</v>
      </c>
      <c r="N171" s="109">
        <v>443000</v>
      </c>
      <c r="O171" s="111" t="s">
        <v>118</v>
      </c>
      <c r="R171" s="107">
        <v>443</v>
      </c>
    </row>
    <row r="172" spans="1:18" x14ac:dyDescent="0.2">
      <c r="A172" s="25" t="s">
        <v>190</v>
      </c>
      <c r="B172" s="82" t="s">
        <v>75</v>
      </c>
      <c r="C172" s="113" t="s">
        <v>510</v>
      </c>
      <c r="D172" s="81" t="s">
        <v>511</v>
      </c>
      <c r="E172" s="81" t="s">
        <v>64</v>
      </c>
      <c r="F172" s="81" t="s">
        <v>72</v>
      </c>
      <c r="G172" s="81" t="s">
        <v>187</v>
      </c>
      <c r="H172" s="107">
        <v>25.215</v>
      </c>
      <c r="I172" s="107">
        <v>25215000</v>
      </c>
      <c r="J172" s="107">
        <v>1.3425282569898869</v>
      </c>
      <c r="K172" s="107">
        <v>338518.49999999994</v>
      </c>
      <c r="L172" s="107">
        <v>34.18</v>
      </c>
      <c r="M172" s="107">
        <v>1.29</v>
      </c>
      <c r="N172" s="109">
        <v>441200</v>
      </c>
      <c r="O172" s="111" t="s">
        <v>31</v>
      </c>
      <c r="Q172" s="107">
        <v>338.51849999999996</v>
      </c>
      <c r="R172" s="107">
        <v>441.2</v>
      </c>
    </row>
    <row r="173" spans="1:18" x14ac:dyDescent="0.2">
      <c r="A173" s="25" t="s">
        <v>190</v>
      </c>
      <c r="B173" s="82" t="s">
        <v>137</v>
      </c>
      <c r="C173" s="79" t="s">
        <v>1111</v>
      </c>
      <c r="D173" s="81" t="s">
        <v>1112</v>
      </c>
      <c r="E173" s="81" t="s">
        <v>64</v>
      </c>
      <c r="G173" s="81" t="s">
        <v>467</v>
      </c>
      <c r="H173" s="107">
        <v>0</v>
      </c>
      <c r="I173" s="107">
        <v>0</v>
      </c>
      <c r="K173" s="107">
        <v>0</v>
      </c>
      <c r="L173" s="107">
        <v>57.1</v>
      </c>
      <c r="M173" s="107">
        <v>0.77</v>
      </c>
      <c r="N173" s="109">
        <v>439700</v>
      </c>
      <c r="O173" s="111" t="s">
        <v>31</v>
      </c>
      <c r="R173" s="107">
        <v>439.7</v>
      </c>
    </row>
    <row r="174" spans="1:18" x14ac:dyDescent="0.2">
      <c r="A174" s="25" t="s">
        <v>190</v>
      </c>
      <c r="B174" s="82" t="s">
        <v>142</v>
      </c>
      <c r="C174" s="79" t="s">
        <v>1136</v>
      </c>
      <c r="D174" s="81" t="s">
        <v>1133</v>
      </c>
      <c r="E174" s="81" t="s">
        <v>64</v>
      </c>
      <c r="G174" s="81" t="s">
        <v>204</v>
      </c>
      <c r="H174" s="107">
        <v>9.9</v>
      </c>
      <c r="I174" s="107">
        <v>9900000</v>
      </c>
      <c r="J174" s="107">
        <v>1.1734343434343435</v>
      </c>
      <c r="K174" s="107">
        <v>116170</v>
      </c>
      <c r="L174" s="107">
        <v>47.14</v>
      </c>
      <c r="M174" s="107">
        <v>0.92</v>
      </c>
      <c r="N174" s="109">
        <v>434700</v>
      </c>
      <c r="O174" s="111" t="s">
        <v>31</v>
      </c>
      <c r="Q174" s="107">
        <v>116.17</v>
      </c>
      <c r="R174" s="107">
        <v>434.7</v>
      </c>
    </row>
    <row r="175" spans="1:18" x14ac:dyDescent="0.2">
      <c r="A175" s="18" t="s">
        <v>177</v>
      </c>
      <c r="B175" s="111" t="s">
        <v>85</v>
      </c>
      <c r="C175" s="110" t="s">
        <v>857</v>
      </c>
      <c r="D175" s="81" t="s">
        <v>131</v>
      </c>
      <c r="E175" s="81" t="s">
        <v>69</v>
      </c>
      <c r="H175" s="107">
        <v>0</v>
      </c>
      <c r="I175" s="107">
        <v>0</v>
      </c>
      <c r="K175" s="107">
        <v>0</v>
      </c>
      <c r="L175" s="107">
        <v>131.19999999999999</v>
      </c>
      <c r="M175" s="107">
        <v>0.33</v>
      </c>
      <c r="N175" s="109">
        <v>433000</v>
      </c>
      <c r="O175" s="111" t="s">
        <v>113</v>
      </c>
      <c r="R175" s="107">
        <v>433</v>
      </c>
    </row>
    <row r="176" spans="1:18" x14ac:dyDescent="0.2">
      <c r="A176" s="18" t="s">
        <v>177</v>
      </c>
      <c r="B176" s="115" t="s">
        <v>105</v>
      </c>
      <c r="C176" s="80" t="s">
        <v>1004</v>
      </c>
      <c r="D176" s="81" t="s">
        <v>131</v>
      </c>
      <c r="H176" s="107">
        <v>0</v>
      </c>
      <c r="I176" s="107">
        <v>0</v>
      </c>
      <c r="K176" s="107">
        <v>0</v>
      </c>
      <c r="L176" s="107">
        <v>80</v>
      </c>
      <c r="M176" s="107">
        <v>0.54</v>
      </c>
      <c r="N176" s="109">
        <v>432000</v>
      </c>
      <c r="O176" s="111" t="s">
        <v>113</v>
      </c>
      <c r="R176" s="107">
        <v>432</v>
      </c>
    </row>
    <row r="177" spans="1:18" x14ac:dyDescent="0.2">
      <c r="A177" s="25" t="s">
        <v>190</v>
      </c>
      <c r="B177" s="111" t="s">
        <v>79</v>
      </c>
      <c r="C177" s="113" t="s">
        <v>623</v>
      </c>
      <c r="D177" s="81" t="s">
        <v>131</v>
      </c>
      <c r="E177" s="81" t="s">
        <v>69</v>
      </c>
      <c r="H177" s="107">
        <v>0</v>
      </c>
      <c r="I177" s="107">
        <v>0</v>
      </c>
      <c r="K177" s="107">
        <v>0</v>
      </c>
      <c r="L177" s="107">
        <v>38.6</v>
      </c>
      <c r="M177" s="107">
        <v>1.1000000000000001</v>
      </c>
      <c r="N177" s="109">
        <v>424600</v>
      </c>
      <c r="O177" s="111" t="s">
        <v>31</v>
      </c>
      <c r="R177" s="107">
        <v>424.6</v>
      </c>
    </row>
    <row r="178" spans="1:18" x14ac:dyDescent="0.2">
      <c r="A178" s="18" t="s">
        <v>177</v>
      </c>
      <c r="B178" s="82" t="s">
        <v>103</v>
      </c>
      <c r="C178" s="80" t="s">
        <v>939</v>
      </c>
      <c r="D178" s="81" t="s">
        <v>940</v>
      </c>
      <c r="E178" s="81" t="s">
        <v>64</v>
      </c>
      <c r="H178" s="107">
        <v>128.6</v>
      </c>
      <c r="I178" s="107">
        <v>128600000</v>
      </c>
      <c r="J178" s="107">
        <v>0.14541529837105699</v>
      </c>
      <c r="K178" s="107">
        <v>187004.07370517927</v>
      </c>
      <c r="L178" s="107">
        <v>286.3</v>
      </c>
      <c r="M178" s="107">
        <v>0.15</v>
      </c>
      <c r="N178" s="109">
        <v>418200</v>
      </c>
      <c r="O178" s="111" t="s">
        <v>113</v>
      </c>
      <c r="Q178" s="107">
        <v>187.00407370517928</v>
      </c>
      <c r="R178" s="107">
        <v>418.2</v>
      </c>
    </row>
    <row r="179" spans="1:18" x14ac:dyDescent="0.2">
      <c r="A179" s="18" t="s">
        <v>177</v>
      </c>
      <c r="B179" s="111" t="s">
        <v>85</v>
      </c>
      <c r="C179" s="80" t="s">
        <v>855</v>
      </c>
      <c r="D179" s="81" t="s">
        <v>131</v>
      </c>
      <c r="E179" s="81" t="s">
        <v>69</v>
      </c>
      <c r="H179" s="107">
        <v>0</v>
      </c>
      <c r="I179" s="107">
        <v>0</v>
      </c>
      <c r="K179" s="107">
        <v>0</v>
      </c>
      <c r="L179" s="107">
        <v>8.16</v>
      </c>
      <c r="M179" s="107">
        <v>5.0999999999999996</v>
      </c>
      <c r="N179" s="109">
        <v>416200</v>
      </c>
      <c r="O179" s="111" t="s">
        <v>113</v>
      </c>
      <c r="R179" s="107">
        <v>416.2</v>
      </c>
    </row>
    <row r="180" spans="1:18" x14ac:dyDescent="0.2">
      <c r="A180" s="18" t="s">
        <v>177</v>
      </c>
      <c r="B180" s="111" t="s">
        <v>85</v>
      </c>
      <c r="C180" s="80" t="s">
        <v>820</v>
      </c>
      <c r="D180" s="81" t="s">
        <v>131</v>
      </c>
      <c r="E180" s="81" t="s">
        <v>69</v>
      </c>
      <c r="H180" s="107">
        <v>0</v>
      </c>
      <c r="I180" s="107">
        <v>0</v>
      </c>
      <c r="K180" s="107">
        <v>0</v>
      </c>
      <c r="L180" s="107">
        <v>143</v>
      </c>
      <c r="M180" s="107">
        <v>0.28999999999999998</v>
      </c>
      <c r="N180" s="109">
        <v>414700</v>
      </c>
      <c r="O180" s="111" t="s">
        <v>113</v>
      </c>
      <c r="R180" s="107">
        <v>414.7</v>
      </c>
    </row>
    <row r="181" spans="1:18" x14ac:dyDescent="0.2">
      <c r="A181" s="25" t="s">
        <v>190</v>
      </c>
      <c r="B181" s="111" t="s">
        <v>127</v>
      </c>
      <c r="C181" s="79" t="s">
        <v>1085</v>
      </c>
      <c r="D181" s="81" t="s">
        <v>131</v>
      </c>
      <c r="E181" s="81" t="s">
        <v>69</v>
      </c>
      <c r="H181" s="107">
        <v>0</v>
      </c>
      <c r="I181" s="107">
        <v>0</v>
      </c>
      <c r="K181" s="107">
        <v>0</v>
      </c>
      <c r="L181" s="107">
        <v>37.5</v>
      </c>
      <c r="M181" s="107">
        <v>1.1000000000000001</v>
      </c>
      <c r="N181" s="109">
        <v>412500</v>
      </c>
      <c r="O181" s="111" t="s">
        <v>31</v>
      </c>
      <c r="R181" s="107">
        <v>412.5</v>
      </c>
    </row>
    <row r="182" spans="1:18" x14ac:dyDescent="0.2">
      <c r="A182" s="18" t="s">
        <v>190</v>
      </c>
      <c r="B182" s="111" t="s">
        <v>63</v>
      </c>
      <c r="C182" s="79" t="s">
        <v>238</v>
      </c>
      <c r="D182" s="81" t="s">
        <v>172</v>
      </c>
      <c r="E182" s="81" t="s">
        <v>69</v>
      </c>
      <c r="F182" s="81" t="s">
        <v>72</v>
      </c>
      <c r="G182" s="81" t="s">
        <v>204</v>
      </c>
      <c r="H182" s="107">
        <v>0</v>
      </c>
      <c r="I182" s="107">
        <v>0</v>
      </c>
      <c r="K182" s="107">
        <v>0</v>
      </c>
      <c r="L182" s="107">
        <v>63.3</v>
      </c>
      <c r="M182" s="107">
        <v>0.65</v>
      </c>
      <c r="N182" s="109">
        <v>410500</v>
      </c>
      <c r="O182" s="111" t="s">
        <v>31</v>
      </c>
      <c r="R182" s="107">
        <v>410.5</v>
      </c>
    </row>
    <row r="183" spans="1:18" x14ac:dyDescent="0.2">
      <c r="A183" s="18" t="s">
        <v>177</v>
      </c>
      <c r="B183" s="111" t="s">
        <v>127</v>
      </c>
      <c r="C183" s="80" t="s">
        <v>1057</v>
      </c>
      <c r="D183" s="81" t="s">
        <v>131</v>
      </c>
      <c r="E183" s="81" t="s">
        <v>69</v>
      </c>
      <c r="H183" s="107">
        <v>0</v>
      </c>
      <c r="I183" s="107">
        <v>0</v>
      </c>
      <c r="K183" s="107">
        <v>0</v>
      </c>
      <c r="L183" s="107">
        <v>131.5</v>
      </c>
      <c r="M183" s="107">
        <v>0.31</v>
      </c>
      <c r="N183" s="109">
        <v>407800</v>
      </c>
      <c r="O183" s="111" t="s">
        <v>113</v>
      </c>
      <c r="R183" s="107">
        <v>407.8</v>
      </c>
    </row>
    <row r="184" spans="1:18" x14ac:dyDescent="0.2">
      <c r="A184" s="18" t="s">
        <v>1273</v>
      </c>
      <c r="B184" s="111" t="s">
        <v>149</v>
      </c>
      <c r="C184" s="110" t="s">
        <v>1284</v>
      </c>
      <c r="D184" s="81" t="s">
        <v>1285</v>
      </c>
      <c r="E184" s="81" t="s">
        <v>69</v>
      </c>
      <c r="H184" s="107">
        <v>0</v>
      </c>
      <c r="I184" s="107">
        <v>0</v>
      </c>
      <c r="K184" s="107">
        <v>0</v>
      </c>
      <c r="L184" s="107">
        <v>313.10000000000002</v>
      </c>
      <c r="M184" s="107">
        <v>0.13</v>
      </c>
      <c r="N184" s="109">
        <v>407000</v>
      </c>
      <c r="O184" s="111" t="s">
        <v>113</v>
      </c>
      <c r="R184" s="107">
        <v>407</v>
      </c>
    </row>
    <row r="185" spans="1:18" x14ac:dyDescent="0.2">
      <c r="A185" s="36" t="s">
        <v>1323</v>
      </c>
      <c r="B185" s="111" t="s">
        <v>149</v>
      </c>
      <c r="C185" s="80" t="s">
        <v>1267</v>
      </c>
      <c r="D185" s="81" t="s">
        <v>1268</v>
      </c>
      <c r="H185" s="107">
        <v>42.82352941176471</v>
      </c>
      <c r="I185" s="107">
        <v>42823529.411764711</v>
      </c>
      <c r="J185" s="107">
        <v>0.11846153846153844</v>
      </c>
      <c r="K185" s="107">
        <v>50729.411764705881</v>
      </c>
      <c r="L185" s="107">
        <v>256.2</v>
      </c>
      <c r="M185" s="107">
        <v>0.16</v>
      </c>
      <c r="N185" s="109">
        <v>406200</v>
      </c>
      <c r="O185" s="111" t="s">
        <v>113</v>
      </c>
      <c r="Q185" s="107">
        <v>50.72941176470588</v>
      </c>
      <c r="R185" s="107">
        <v>406.2</v>
      </c>
    </row>
    <row r="186" spans="1:18" x14ac:dyDescent="0.2">
      <c r="A186" s="18" t="s">
        <v>177</v>
      </c>
      <c r="B186" s="118" t="s">
        <v>105</v>
      </c>
      <c r="C186" s="80" t="s">
        <v>999</v>
      </c>
      <c r="D186" s="81" t="s">
        <v>131</v>
      </c>
      <c r="H186" s="107">
        <v>0</v>
      </c>
      <c r="I186" s="107">
        <v>0</v>
      </c>
      <c r="K186" s="107">
        <v>0</v>
      </c>
      <c r="L186" s="107">
        <v>90</v>
      </c>
      <c r="M186" s="107">
        <v>0.45</v>
      </c>
      <c r="N186" s="109">
        <v>405000</v>
      </c>
      <c r="O186" s="111" t="s">
        <v>113</v>
      </c>
      <c r="R186" s="107">
        <v>405</v>
      </c>
    </row>
    <row r="187" spans="1:18" x14ac:dyDescent="0.2">
      <c r="A187" s="25" t="s">
        <v>190</v>
      </c>
      <c r="B187" s="111" t="s">
        <v>75</v>
      </c>
      <c r="C187" s="79" t="s">
        <v>538</v>
      </c>
      <c r="D187" s="81" t="s">
        <v>131</v>
      </c>
      <c r="E187" s="81" t="s">
        <v>69</v>
      </c>
      <c r="F187" s="81" t="s">
        <v>72</v>
      </c>
      <c r="G187" s="81" t="s">
        <v>216</v>
      </c>
      <c r="H187" s="107">
        <v>0</v>
      </c>
      <c r="I187" s="107">
        <v>0</v>
      </c>
      <c r="K187" s="107">
        <v>0</v>
      </c>
      <c r="L187" s="107">
        <v>24</v>
      </c>
      <c r="M187" s="107">
        <v>1.68</v>
      </c>
      <c r="N187" s="109">
        <v>403200</v>
      </c>
      <c r="O187" s="111" t="s">
        <v>31</v>
      </c>
      <c r="R187" s="107">
        <v>403.2</v>
      </c>
    </row>
    <row r="188" spans="1:18" x14ac:dyDescent="0.2">
      <c r="A188" s="25" t="s">
        <v>190</v>
      </c>
      <c r="B188" s="82" t="s">
        <v>75</v>
      </c>
      <c r="C188" s="113" t="s">
        <v>501</v>
      </c>
      <c r="D188" s="81" t="s">
        <v>131</v>
      </c>
      <c r="E188" s="81" t="s">
        <v>69</v>
      </c>
      <c r="F188" s="81" t="s">
        <v>72</v>
      </c>
      <c r="G188" s="81" t="s">
        <v>187</v>
      </c>
      <c r="H188" s="107">
        <v>0</v>
      </c>
      <c r="I188" s="107">
        <v>0</v>
      </c>
      <c r="K188" s="107">
        <v>0</v>
      </c>
      <c r="L188" s="107">
        <v>23</v>
      </c>
      <c r="M188" s="107">
        <v>1.75</v>
      </c>
      <c r="N188" s="109">
        <v>402500</v>
      </c>
      <c r="O188" s="111" t="s">
        <v>31</v>
      </c>
      <c r="R188" s="107">
        <v>402.5</v>
      </c>
    </row>
    <row r="189" spans="1:18" x14ac:dyDescent="0.2">
      <c r="A189" s="18" t="s">
        <v>177</v>
      </c>
      <c r="B189" s="82" t="s">
        <v>79</v>
      </c>
      <c r="C189" s="110" t="s">
        <v>590</v>
      </c>
      <c r="D189" s="81" t="s">
        <v>131</v>
      </c>
      <c r="E189" s="81" t="s">
        <v>69</v>
      </c>
      <c r="H189" s="107">
        <v>0</v>
      </c>
      <c r="I189" s="107">
        <v>0</v>
      </c>
      <c r="K189" s="107">
        <v>0</v>
      </c>
      <c r="L189" s="107">
        <v>200</v>
      </c>
      <c r="M189" s="107">
        <v>0.2</v>
      </c>
      <c r="N189" s="109">
        <v>400000</v>
      </c>
      <c r="O189" s="111" t="s">
        <v>113</v>
      </c>
      <c r="R189" s="107">
        <v>400</v>
      </c>
    </row>
    <row r="190" spans="1:18" x14ac:dyDescent="0.2">
      <c r="A190" s="18" t="s">
        <v>190</v>
      </c>
      <c r="B190" s="82" t="s">
        <v>63</v>
      </c>
      <c r="C190" s="79" t="s">
        <v>288</v>
      </c>
      <c r="D190" s="81" t="s">
        <v>289</v>
      </c>
      <c r="E190" s="81" t="s">
        <v>69</v>
      </c>
      <c r="F190" s="81" t="s">
        <v>72</v>
      </c>
      <c r="G190" s="81" t="s">
        <v>204</v>
      </c>
      <c r="H190" s="107">
        <v>3.7570000000000001</v>
      </c>
      <c r="I190" s="107">
        <v>3757000</v>
      </c>
      <c r="J190" s="107">
        <v>0.65</v>
      </c>
      <c r="K190" s="107">
        <v>24420.5</v>
      </c>
      <c r="L190" s="107">
        <v>55.52</v>
      </c>
      <c r="M190" s="107">
        <v>0.72</v>
      </c>
      <c r="N190" s="109">
        <v>398100</v>
      </c>
      <c r="O190" s="111" t="s">
        <v>31</v>
      </c>
      <c r="Q190" s="107">
        <v>24.420500000000001</v>
      </c>
      <c r="R190" s="107">
        <v>398.1</v>
      </c>
    </row>
    <row r="191" spans="1:18" x14ac:dyDescent="0.2">
      <c r="A191" s="25" t="s">
        <v>190</v>
      </c>
      <c r="B191" s="111" t="s">
        <v>86</v>
      </c>
      <c r="C191" s="113" t="s">
        <v>881</v>
      </c>
      <c r="D191" s="81" t="s">
        <v>131</v>
      </c>
      <c r="E191" s="81" t="s">
        <v>69</v>
      </c>
      <c r="H191" s="107">
        <v>0</v>
      </c>
      <c r="I191" s="107">
        <v>0</v>
      </c>
      <c r="K191" s="107">
        <v>0</v>
      </c>
      <c r="L191" s="107">
        <v>44.4</v>
      </c>
      <c r="M191" s="107">
        <v>0.89</v>
      </c>
      <c r="N191" s="109">
        <v>395200</v>
      </c>
      <c r="O191" s="111" t="s">
        <v>31</v>
      </c>
      <c r="R191" s="107">
        <v>395.2</v>
      </c>
    </row>
    <row r="192" spans="1:18" x14ac:dyDescent="0.2">
      <c r="A192" s="25" t="s">
        <v>190</v>
      </c>
      <c r="B192" s="111" t="s">
        <v>75</v>
      </c>
      <c r="C192" s="113" t="s">
        <v>559</v>
      </c>
      <c r="D192" s="81" t="s">
        <v>560</v>
      </c>
      <c r="E192" s="81" t="s">
        <v>64</v>
      </c>
      <c r="F192" s="81" t="s">
        <v>72</v>
      </c>
      <c r="G192" s="81" t="s">
        <v>187</v>
      </c>
      <c r="H192" s="107">
        <v>0</v>
      </c>
      <c r="I192" s="107">
        <v>0</v>
      </c>
      <c r="K192" s="107">
        <v>0</v>
      </c>
      <c r="L192" s="107">
        <v>42.36</v>
      </c>
      <c r="M192" s="107">
        <v>0.91</v>
      </c>
      <c r="N192" s="109">
        <v>385000</v>
      </c>
      <c r="O192" s="111" t="s">
        <v>31</v>
      </c>
      <c r="R192" s="107">
        <v>385</v>
      </c>
    </row>
    <row r="193" spans="1:18" x14ac:dyDescent="0.2">
      <c r="A193" s="25" t="s">
        <v>190</v>
      </c>
      <c r="B193" s="119" t="s">
        <v>75</v>
      </c>
      <c r="C193" s="113" t="s">
        <v>517</v>
      </c>
      <c r="D193" s="81" t="s">
        <v>511</v>
      </c>
      <c r="E193" s="81" t="s">
        <v>518</v>
      </c>
      <c r="F193" s="81" t="s">
        <v>72</v>
      </c>
      <c r="G193" s="81" t="s">
        <v>187</v>
      </c>
      <c r="H193" s="107">
        <v>0</v>
      </c>
      <c r="I193" s="107">
        <v>0</v>
      </c>
      <c r="K193" s="107">
        <v>0</v>
      </c>
      <c r="L193" s="107">
        <v>34.31</v>
      </c>
      <c r="M193" s="107">
        <v>1.1100000000000001</v>
      </c>
      <c r="N193" s="109">
        <v>380800</v>
      </c>
      <c r="O193" s="111" t="s">
        <v>31</v>
      </c>
      <c r="R193" s="107">
        <v>380.8</v>
      </c>
    </row>
    <row r="194" spans="1:18" x14ac:dyDescent="0.2">
      <c r="A194" s="25" t="s">
        <v>190</v>
      </c>
      <c r="B194" s="119" t="s">
        <v>87</v>
      </c>
      <c r="C194" s="113" t="s">
        <v>888</v>
      </c>
      <c r="D194" s="81" t="s">
        <v>131</v>
      </c>
      <c r="E194" s="81" t="s">
        <v>69</v>
      </c>
      <c r="G194" s="81" t="s">
        <v>92</v>
      </c>
      <c r="H194" s="107">
        <v>0</v>
      </c>
      <c r="I194" s="107">
        <v>0</v>
      </c>
      <c r="K194" s="107">
        <v>0</v>
      </c>
      <c r="L194" s="107">
        <v>33.200000000000003</v>
      </c>
      <c r="M194" s="107">
        <v>1.1299999999999999</v>
      </c>
      <c r="N194" s="109">
        <v>375200</v>
      </c>
      <c r="O194" s="111" t="s">
        <v>31</v>
      </c>
      <c r="R194" s="107">
        <v>375.2</v>
      </c>
    </row>
    <row r="195" spans="1:18" x14ac:dyDescent="0.2">
      <c r="A195" s="18" t="s">
        <v>177</v>
      </c>
      <c r="B195" s="119" t="s">
        <v>122</v>
      </c>
      <c r="C195" s="110" t="s">
        <v>1039</v>
      </c>
      <c r="D195" s="81" t="s">
        <v>1040</v>
      </c>
      <c r="E195" s="81" t="s">
        <v>69</v>
      </c>
      <c r="H195" s="107">
        <v>0</v>
      </c>
      <c r="I195" s="107">
        <v>0</v>
      </c>
      <c r="K195" s="107">
        <v>0</v>
      </c>
      <c r="L195" s="107">
        <v>56.25</v>
      </c>
      <c r="M195" s="107">
        <v>0.66</v>
      </c>
      <c r="N195" s="109">
        <v>369000</v>
      </c>
      <c r="O195" s="111" t="s">
        <v>113</v>
      </c>
      <c r="R195" s="107">
        <v>369</v>
      </c>
    </row>
    <row r="196" spans="1:18" x14ac:dyDescent="0.2">
      <c r="A196" s="18" t="s">
        <v>190</v>
      </c>
      <c r="B196" s="82" t="s">
        <v>63</v>
      </c>
      <c r="C196" s="79" t="s">
        <v>268</v>
      </c>
      <c r="D196" s="81" t="s">
        <v>266</v>
      </c>
      <c r="E196" s="81" t="s">
        <v>69</v>
      </c>
      <c r="F196" s="81" t="s">
        <v>72</v>
      </c>
      <c r="G196" s="81" t="s">
        <v>92</v>
      </c>
      <c r="H196" s="107">
        <v>32.200000000000003</v>
      </c>
      <c r="I196" s="107">
        <v>32200000.000000004</v>
      </c>
      <c r="J196" s="107">
        <v>0.87</v>
      </c>
      <c r="K196" s="107">
        <v>280140.00000000006</v>
      </c>
      <c r="L196" s="107">
        <v>36.5</v>
      </c>
      <c r="M196" s="107">
        <v>1.01</v>
      </c>
      <c r="N196" s="109">
        <v>368100</v>
      </c>
      <c r="O196" s="111" t="s">
        <v>31</v>
      </c>
      <c r="Q196" s="107">
        <v>280.14000000000004</v>
      </c>
      <c r="R196" s="107">
        <v>368.1</v>
      </c>
    </row>
    <row r="197" spans="1:18" x14ac:dyDescent="0.2">
      <c r="A197" s="36" t="s">
        <v>1324</v>
      </c>
      <c r="B197" s="111" t="s">
        <v>149</v>
      </c>
      <c r="C197" s="80" t="s">
        <v>1202</v>
      </c>
      <c r="D197" s="81" t="s">
        <v>1203</v>
      </c>
      <c r="H197" s="107">
        <v>0</v>
      </c>
      <c r="I197" s="107">
        <v>0</v>
      </c>
      <c r="K197" s="107">
        <v>0</v>
      </c>
      <c r="L197" s="107">
        <v>259.8</v>
      </c>
      <c r="M197" s="107">
        <v>0.14000000000000001</v>
      </c>
      <c r="N197" s="109">
        <v>365400</v>
      </c>
      <c r="O197" s="111" t="s">
        <v>113</v>
      </c>
      <c r="R197" s="107">
        <v>365.4</v>
      </c>
    </row>
    <row r="198" spans="1:18" x14ac:dyDescent="0.2">
      <c r="A198" s="18" t="s">
        <v>190</v>
      </c>
      <c r="B198" s="82" t="s">
        <v>63</v>
      </c>
      <c r="C198" s="113" t="s">
        <v>242</v>
      </c>
      <c r="D198" s="81" t="s">
        <v>172</v>
      </c>
      <c r="E198" s="81" t="s">
        <v>69</v>
      </c>
      <c r="F198" s="81" t="s">
        <v>72</v>
      </c>
      <c r="G198" s="81" t="s">
        <v>204</v>
      </c>
      <c r="H198" s="107">
        <v>0</v>
      </c>
      <c r="I198" s="107">
        <v>0</v>
      </c>
      <c r="K198" s="107">
        <v>0</v>
      </c>
      <c r="L198" s="107">
        <v>39.9</v>
      </c>
      <c r="M198" s="107">
        <v>0.9</v>
      </c>
      <c r="N198" s="109">
        <v>358100</v>
      </c>
      <c r="O198" s="111" t="s">
        <v>31</v>
      </c>
      <c r="R198" s="107">
        <v>358.1</v>
      </c>
    </row>
    <row r="199" spans="1:18" x14ac:dyDescent="0.2">
      <c r="A199" s="18" t="s">
        <v>177</v>
      </c>
      <c r="B199" s="118" t="s">
        <v>105</v>
      </c>
      <c r="C199" s="110" t="s">
        <v>988</v>
      </c>
      <c r="D199" s="81" t="s">
        <v>989</v>
      </c>
      <c r="E199" s="81" t="s">
        <v>64</v>
      </c>
      <c r="H199" s="107">
        <v>29.758687999999999</v>
      </c>
      <c r="I199" s="107">
        <v>29758688</v>
      </c>
      <c r="J199" s="107">
        <v>0.49</v>
      </c>
      <c r="K199" s="107">
        <v>145817.57119999998</v>
      </c>
      <c r="L199" s="107">
        <v>79.17</v>
      </c>
      <c r="M199" s="107">
        <v>0.45</v>
      </c>
      <c r="N199" s="109">
        <v>356200</v>
      </c>
      <c r="O199" s="111" t="s">
        <v>113</v>
      </c>
      <c r="Q199" s="107">
        <v>145.81757119999997</v>
      </c>
      <c r="R199" s="107">
        <v>356.2</v>
      </c>
    </row>
    <row r="200" spans="1:18" x14ac:dyDescent="0.2">
      <c r="A200" s="18" t="s">
        <v>177</v>
      </c>
      <c r="B200" s="119" t="s">
        <v>82</v>
      </c>
      <c r="C200" s="80" t="s">
        <v>781</v>
      </c>
      <c r="D200" s="81" t="s">
        <v>775</v>
      </c>
      <c r="E200" s="81" t="s">
        <v>71</v>
      </c>
      <c r="H200" s="107">
        <v>0</v>
      </c>
      <c r="I200" s="107">
        <v>0</v>
      </c>
      <c r="K200" s="107">
        <v>0</v>
      </c>
      <c r="L200" s="107">
        <v>14.2</v>
      </c>
      <c r="M200" s="107">
        <v>2.5</v>
      </c>
      <c r="N200" s="109">
        <v>355000</v>
      </c>
      <c r="O200" s="111" t="s">
        <v>113</v>
      </c>
      <c r="R200" s="107">
        <v>355</v>
      </c>
    </row>
    <row r="201" spans="1:18" x14ac:dyDescent="0.2">
      <c r="A201" s="18" t="s">
        <v>177</v>
      </c>
      <c r="B201" s="81" t="s">
        <v>82</v>
      </c>
      <c r="C201" s="112" t="s">
        <v>648</v>
      </c>
      <c r="D201" s="81" t="s">
        <v>649</v>
      </c>
      <c r="E201" s="81" t="s">
        <v>69</v>
      </c>
      <c r="H201" s="107">
        <v>0</v>
      </c>
      <c r="I201" s="107">
        <v>0</v>
      </c>
      <c r="K201" s="107">
        <v>0</v>
      </c>
      <c r="L201" s="108">
        <v>5209</v>
      </c>
      <c r="M201" s="107">
        <v>6.7999999999999996E-3</v>
      </c>
      <c r="N201" s="109">
        <v>353800</v>
      </c>
      <c r="O201" s="111" t="s">
        <v>118</v>
      </c>
      <c r="R201" s="107">
        <v>353.8</v>
      </c>
    </row>
    <row r="202" spans="1:18" x14ac:dyDescent="0.2">
      <c r="A202" s="18" t="s">
        <v>190</v>
      </c>
      <c r="B202" s="81" t="s">
        <v>63</v>
      </c>
      <c r="C202" s="113" t="s">
        <v>277</v>
      </c>
      <c r="D202" s="81" t="s">
        <v>278</v>
      </c>
      <c r="E202" s="81" t="s">
        <v>69</v>
      </c>
      <c r="F202" s="81" t="s">
        <v>72</v>
      </c>
      <c r="G202" s="81" t="s">
        <v>211</v>
      </c>
      <c r="H202" s="107">
        <v>0</v>
      </c>
      <c r="I202" s="107">
        <v>0</v>
      </c>
      <c r="K202" s="107">
        <v>0</v>
      </c>
      <c r="L202" s="107">
        <v>53.6</v>
      </c>
      <c r="M202" s="107">
        <v>0.66</v>
      </c>
      <c r="N202" s="109">
        <v>353800</v>
      </c>
      <c r="O202" s="111" t="s">
        <v>31</v>
      </c>
      <c r="R202" s="107">
        <v>353.8</v>
      </c>
    </row>
    <row r="203" spans="1:18" x14ac:dyDescent="0.2">
      <c r="A203" s="18" t="s">
        <v>190</v>
      </c>
      <c r="B203" s="81" t="s">
        <v>63</v>
      </c>
      <c r="C203" s="113" t="s">
        <v>292</v>
      </c>
      <c r="D203" s="81" t="s">
        <v>172</v>
      </c>
      <c r="E203" s="81" t="s">
        <v>69</v>
      </c>
      <c r="F203" s="81" t="s">
        <v>72</v>
      </c>
      <c r="G203" s="81" t="s">
        <v>204</v>
      </c>
      <c r="H203" s="107">
        <v>0</v>
      </c>
      <c r="I203" s="107">
        <v>0</v>
      </c>
      <c r="K203" s="107">
        <v>0</v>
      </c>
      <c r="L203" s="107">
        <v>49.4</v>
      </c>
      <c r="M203" s="107">
        <v>0.7</v>
      </c>
      <c r="N203" s="109">
        <v>345800</v>
      </c>
      <c r="O203" s="111" t="s">
        <v>31</v>
      </c>
      <c r="R203" s="107">
        <v>345.8</v>
      </c>
    </row>
    <row r="204" spans="1:18" x14ac:dyDescent="0.2">
      <c r="A204" s="25" t="s">
        <v>190</v>
      </c>
      <c r="B204" s="81" t="s">
        <v>75</v>
      </c>
      <c r="C204" s="79" t="s">
        <v>537</v>
      </c>
      <c r="D204" s="81" t="s">
        <v>131</v>
      </c>
      <c r="E204" s="81" t="s">
        <v>157</v>
      </c>
      <c r="F204" s="81" t="s">
        <v>72</v>
      </c>
      <c r="G204" s="81" t="s">
        <v>204</v>
      </c>
      <c r="H204" s="107">
        <v>0</v>
      </c>
      <c r="I204" s="107">
        <v>0</v>
      </c>
      <c r="K204" s="107">
        <v>0</v>
      </c>
      <c r="L204" s="107">
        <v>30.76</v>
      </c>
      <c r="M204" s="107">
        <v>1.1200000000000001</v>
      </c>
      <c r="N204" s="109">
        <v>344500</v>
      </c>
      <c r="O204" s="111" t="s">
        <v>31</v>
      </c>
      <c r="R204" s="107">
        <v>344.5</v>
      </c>
    </row>
    <row r="205" spans="1:18" x14ac:dyDescent="0.2">
      <c r="A205" s="25" t="s">
        <v>190</v>
      </c>
      <c r="B205" s="81" t="s">
        <v>75</v>
      </c>
      <c r="C205" s="113" t="s">
        <v>507</v>
      </c>
      <c r="D205" s="81" t="s">
        <v>499</v>
      </c>
      <c r="E205" s="81" t="s">
        <v>69</v>
      </c>
      <c r="F205" s="81" t="s">
        <v>72</v>
      </c>
      <c r="G205" s="81" t="s">
        <v>187</v>
      </c>
      <c r="H205" s="107">
        <v>0</v>
      </c>
      <c r="I205" s="107">
        <v>0</v>
      </c>
      <c r="K205" s="107">
        <v>0</v>
      </c>
      <c r="L205" s="107">
        <v>43</v>
      </c>
      <c r="M205" s="107">
        <v>0.8</v>
      </c>
      <c r="N205" s="109">
        <v>344000</v>
      </c>
      <c r="O205" s="111" t="s">
        <v>31</v>
      </c>
      <c r="R205" s="107">
        <v>344</v>
      </c>
    </row>
    <row r="206" spans="1:18" x14ac:dyDescent="0.2">
      <c r="A206" s="18" t="s">
        <v>177</v>
      </c>
      <c r="B206" s="78" t="s">
        <v>105</v>
      </c>
      <c r="C206" s="80" t="s">
        <v>996</v>
      </c>
      <c r="D206" s="81" t="s">
        <v>131</v>
      </c>
      <c r="H206" s="107">
        <v>0</v>
      </c>
      <c r="I206" s="107">
        <v>0</v>
      </c>
      <c r="K206" s="107">
        <v>0</v>
      </c>
      <c r="L206" s="107">
        <v>96</v>
      </c>
      <c r="M206" s="107">
        <v>0.35</v>
      </c>
      <c r="N206" s="109">
        <v>336000</v>
      </c>
      <c r="O206" s="111" t="s">
        <v>113</v>
      </c>
      <c r="R206" s="107">
        <v>336</v>
      </c>
    </row>
    <row r="207" spans="1:18" x14ac:dyDescent="0.2">
      <c r="A207" s="18" t="s">
        <v>177</v>
      </c>
      <c r="B207" s="81" t="s">
        <v>63</v>
      </c>
      <c r="C207" s="80" t="s">
        <v>357</v>
      </c>
      <c r="D207" s="81" t="s">
        <v>356</v>
      </c>
      <c r="E207" s="81" t="s">
        <v>69</v>
      </c>
      <c r="F207" s="81" t="s">
        <v>72</v>
      </c>
      <c r="G207" s="81" t="s">
        <v>70</v>
      </c>
      <c r="H207" s="107">
        <v>0</v>
      </c>
      <c r="I207" s="107">
        <v>0</v>
      </c>
      <c r="K207" s="107">
        <v>0</v>
      </c>
      <c r="L207" s="107">
        <v>52.94</v>
      </c>
      <c r="M207" s="107">
        <v>0.63</v>
      </c>
      <c r="N207" s="109">
        <v>332700</v>
      </c>
      <c r="O207" s="111" t="s">
        <v>113</v>
      </c>
      <c r="R207" s="107">
        <v>332.7</v>
      </c>
    </row>
    <row r="208" spans="1:18" x14ac:dyDescent="0.2">
      <c r="A208" s="25" t="s">
        <v>190</v>
      </c>
      <c r="B208" s="81" t="s">
        <v>143</v>
      </c>
      <c r="C208" s="79" t="s">
        <v>1150</v>
      </c>
      <c r="D208" s="81" t="s">
        <v>1145</v>
      </c>
      <c r="E208" s="81" t="s">
        <v>69</v>
      </c>
      <c r="H208" s="107">
        <v>0</v>
      </c>
      <c r="I208" s="107">
        <v>0</v>
      </c>
      <c r="K208" s="107">
        <v>0</v>
      </c>
      <c r="L208" s="107">
        <v>40.880000000000003</v>
      </c>
      <c r="M208" s="107">
        <v>0.8</v>
      </c>
      <c r="N208" s="109">
        <v>327000</v>
      </c>
      <c r="O208" s="111" t="s">
        <v>31</v>
      </c>
      <c r="R208" s="107">
        <v>327</v>
      </c>
    </row>
    <row r="209" spans="1:18" x14ac:dyDescent="0.2">
      <c r="A209" s="18" t="s">
        <v>177</v>
      </c>
      <c r="B209" s="81" t="s">
        <v>147</v>
      </c>
      <c r="C209" s="80" t="s">
        <v>1177</v>
      </c>
      <c r="D209" s="81" t="s">
        <v>1176</v>
      </c>
      <c r="E209" s="81" t="s">
        <v>69</v>
      </c>
      <c r="H209" s="107">
        <v>0</v>
      </c>
      <c r="I209" s="107">
        <v>0</v>
      </c>
      <c r="K209" s="107">
        <v>0</v>
      </c>
      <c r="L209" s="107">
        <v>185.7</v>
      </c>
      <c r="M209" s="107">
        <v>0.18</v>
      </c>
      <c r="N209" s="109">
        <v>326800</v>
      </c>
      <c r="O209" s="111" t="s">
        <v>113</v>
      </c>
      <c r="R209" s="107">
        <v>326.8</v>
      </c>
    </row>
    <row r="210" spans="1:18" x14ac:dyDescent="0.2">
      <c r="A210" s="18" t="s">
        <v>190</v>
      </c>
      <c r="B210" s="111" t="s">
        <v>63</v>
      </c>
      <c r="C210" s="113" t="s">
        <v>232</v>
      </c>
      <c r="D210" s="81" t="s">
        <v>172</v>
      </c>
      <c r="E210" s="81" t="s">
        <v>69</v>
      </c>
      <c r="F210" s="81" t="s">
        <v>72</v>
      </c>
      <c r="G210" s="81" t="s">
        <v>204</v>
      </c>
      <c r="H210" s="107">
        <v>0</v>
      </c>
      <c r="I210" s="107">
        <v>0</v>
      </c>
      <c r="K210" s="107">
        <v>0</v>
      </c>
      <c r="L210" s="107">
        <v>53.6</v>
      </c>
      <c r="M210" s="107">
        <v>0.6</v>
      </c>
      <c r="N210" s="109">
        <v>321600</v>
      </c>
      <c r="O210" s="111" t="s">
        <v>31</v>
      </c>
      <c r="R210" s="107">
        <v>321.60000000000002</v>
      </c>
    </row>
    <row r="211" spans="1:18" x14ac:dyDescent="0.2">
      <c r="A211" s="18" t="s">
        <v>177</v>
      </c>
      <c r="B211" s="81" t="s">
        <v>127</v>
      </c>
      <c r="C211" s="80" t="s">
        <v>1059</v>
      </c>
      <c r="D211" s="81" t="s">
        <v>131</v>
      </c>
      <c r="E211" s="81" t="s">
        <v>69</v>
      </c>
      <c r="H211" s="107">
        <v>0</v>
      </c>
      <c r="I211" s="107">
        <v>0</v>
      </c>
      <c r="K211" s="107">
        <v>0</v>
      </c>
      <c r="L211" s="107">
        <v>54.43</v>
      </c>
      <c r="M211" s="107">
        <v>0.59</v>
      </c>
      <c r="N211" s="109">
        <v>321100</v>
      </c>
      <c r="O211" s="111" t="s">
        <v>113</v>
      </c>
      <c r="R211" s="107">
        <v>321.10000000000002</v>
      </c>
    </row>
    <row r="212" spans="1:18" x14ac:dyDescent="0.2">
      <c r="A212" s="36" t="s">
        <v>1324</v>
      </c>
      <c r="B212" s="82" t="s">
        <v>149</v>
      </c>
      <c r="C212" s="80" t="s">
        <v>1265</v>
      </c>
      <c r="D212" s="81" t="s">
        <v>1266</v>
      </c>
      <c r="H212" s="107">
        <v>70.97</v>
      </c>
      <c r="I212" s="107">
        <v>70970000</v>
      </c>
      <c r="J212" s="107">
        <v>0.04</v>
      </c>
      <c r="K212" s="107">
        <v>28388</v>
      </c>
      <c r="L212" s="107">
        <v>353.3</v>
      </c>
      <c r="M212" s="107">
        <v>0.09</v>
      </c>
      <c r="N212" s="109">
        <v>321000</v>
      </c>
      <c r="O212" s="111" t="s">
        <v>113</v>
      </c>
      <c r="Q212" s="107">
        <v>28.388000000000002</v>
      </c>
      <c r="R212" s="107">
        <v>321</v>
      </c>
    </row>
    <row r="213" spans="1:18" x14ac:dyDescent="0.2">
      <c r="A213" s="18" t="s">
        <v>190</v>
      </c>
      <c r="B213" s="111" t="s">
        <v>63</v>
      </c>
      <c r="C213" s="113" t="s">
        <v>443</v>
      </c>
      <c r="D213" s="81" t="s">
        <v>172</v>
      </c>
      <c r="E213" s="81" t="s">
        <v>69</v>
      </c>
      <c r="F213" s="81" t="s">
        <v>72</v>
      </c>
      <c r="G213" s="81" t="s">
        <v>188</v>
      </c>
      <c r="H213" s="107">
        <v>0</v>
      </c>
      <c r="I213" s="107">
        <v>0</v>
      </c>
      <c r="K213" s="107">
        <v>0</v>
      </c>
      <c r="L213" s="107">
        <v>48.46</v>
      </c>
      <c r="M213" s="107">
        <v>0.65</v>
      </c>
      <c r="N213" s="109">
        <v>316900</v>
      </c>
      <c r="O213" s="111" t="s">
        <v>31</v>
      </c>
      <c r="R213" s="107">
        <v>316.89999999999998</v>
      </c>
    </row>
    <row r="214" spans="1:18" x14ac:dyDescent="0.2">
      <c r="A214" s="18" t="s">
        <v>177</v>
      </c>
      <c r="B214" s="81" t="s">
        <v>102</v>
      </c>
      <c r="C214" s="110" t="s">
        <v>909</v>
      </c>
      <c r="D214" s="81" t="s">
        <v>249</v>
      </c>
      <c r="E214" s="81" t="s">
        <v>71</v>
      </c>
      <c r="H214" s="107">
        <v>0</v>
      </c>
      <c r="I214" s="107">
        <v>0</v>
      </c>
      <c r="K214" s="107">
        <v>0</v>
      </c>
      <c r="L214" s="107">
        <v>135.30000000000001</v>
      </c>
      <c r="M214" s="107">
        <v>0.23</v>
      </c>
      <c r="N214" s="109">
        <v>315700</v>
      </c>
      <c r="O214" s="111" t="s">
        <v>113</v>
      </c>
      <c r="R214" s="107">
        <v>315.7</v>
      </c>
    </row>
    <row r="215" spans="1:18" x14ac:dyDescent="0.2">
      <c r="A215" s="18" t="s">
        <v>177</v>
      </c>
      <c r="B215" s="81" t="s">
        <v>79</v>
      </c>
      <c r="C215" s="112" t="s">
        <v>602</v>
      </c>
      <c r="D215" s="81" t="s">
        <v>603</v>
      </c>
      <c r="E215" s="81" t="s">
        <v>69</v>
      </c>
      <c r="G215" s="81" t="s">
        <v>70</v>
      </c>
      <c r="H215" s="107">
        <v>0</v>
      </c>
      <c r="I215" s="107">
        <v>0</v>
      </c>
      <c r="K215" s="107">
        <v>0</v>
      </c>
      <c r="L215" s="107">
        <v>40.4</v>
      </c>
      <c r="M215" s="107">
        <v>0.78</v>
      </c>
      <c r="N215" s="109">
        <v>314900</v>
      </c>
      <c r="O215" s="111" t="s">
        <v>118</v>
      </c>
      <c r="R215" s="107">
        <v>314.89999999999998</v>
      </c>
    </row>
    <row r="216" spans="1:18" x14ac:dyDescent="0.2">
      <c r="A216" s="18" t="s">
        <v>177</v>
      </c>
      <c r="B216" s="81" t="s">
        <v>107</v>
      </c>
      <c r="C216" s="110" t="s">
        <v>1006</v>
      </c>
      <c r="D216" s="81" t="s">
        <v>1007</v>
      </c>
      <c r="E216" s="81" t="s">
        <v>620</v>
      </c>
      <c r="H216" s="107">
        <v>2.41</v>
      </c>
      <c r="I216" s="107">
        <v>2410000</v>
      </c>
      <c r="J216" s="107">
        <v>0.76365145228215769</v>
      </c>
      <c r="K216" s="107">
        <v>18404</v>
      </c>
      <c r="L216" s="107">
        <v>51.73</v>
      </c>
      <c r="M216" s="107">
        <v>0.61</v>
      </c>
      <c r="N216" s="109">
        <v>314000</v>
      </c>
      <c r="O216" s="111" t="s">
        <v>113</v>
      </c>
      <c r="Q216" s="107">
        <v>18.404</v>
      </c>
      <c r="R216" s="107">
        <v>314</v>
      </c>
    </row>
    <row r="217" spans="1:18" x14ac:dyDescent="0.2">
      <c r="A217" s="25" t="s">
        <v>190</v>
      </c>
      <c r="B217" s="81" t="s">
        <v>79</v>
      </c>
      <c r="C217" s="79" t="s">
        <v>624</v>
      </c>
      <c r="D217" s="81" t="s">
        <v>131</v>
      </c>
      <c r="E217" s="81" t="s">
        <v>69</v>
      </c>
      <c r="H217" s="107">
        <v>0</v>
      </c>
      <c r="I217" s="107">
        <v>0</v>
      </c>
      <c r="K217" s="107">
        <v>0</v>
      </c>
      <c r="L217" s="107">
        <v>24.1</v>
      </c>
      <c r="M217" s="107">
        <v>1.3</v>
      </c>
      <c r="N217" s="109">
        <v>313300</v>
      </c>
      <c r="O217" s="111" t="s">
        <v>31</v>
      </c>
      <c r="R217" s="107">
        <v>313.3</v>
      </c>
    </row>
    <row r="218" spans="1:18" x14ac:dyDescent="0.2">
      <c r="A218" s="18" t="s">
        <v>190</v>
      </c>
      <c r="B218" s="111" t="s">
        <v>63</v>
      </c>
      <c r="C218" s="113" t="s">
        <v>240</v>
      </c>
      <c r="D218" s="81" t="s">
        <v>172</v>
      </c>
      <c r="E218" s="81" t="s">
        <v>69</v>
      </c>
      <c r="F218" s="81" t="s">
        <v>72</v>
      </c>
      <c r="G218" s="81" t="s">
        <v>204</v>
      </c>
      <c r="H218" s="107">
        <v>0</v>
      </c>
      <c r="I218" s="107">
        <v>0</v>
      </c>
      <c r="K218" s="107">
        <v>0</v>
      </c>
      <c r="L218" s="107">
        <v>47.3</v>
      </c>
      <c r="M218" s="107">
        <v>0.66</v>
      </c>
      <c r="N218" s="109">
        <v>312200</v>
      </c>
      <c r="O218" s="111" t="s">
        <v>31</v>
      </c>
      <c r="R218" s="107">
        <v>312.2</v>
      </c>
    </row>
    <row r="219" spans="1:18" x14ac:dyDescent="0.2">
      <c r="A219" s="18" t="s">
        <v>177</v>
      </c>
      <c r="B219" s="81" t="s">
        <v>82</v>
      </c>
      <c r="C219" s="80" t="s">
        <v>682</v>
      </c>
      <c r="D219" s="81" t="s">
        <v>131</v>
      </c>
      <c r="E219" s="81" t="s">
        <v>69</v>
      </c>
      <c r="H219" s="107">
        <v>0</v>
      </c>
      <c r="I219" s="107">
        <v>0</v>
      </c>
      <c r="K219" s="107">
        <v>0</v>
      </c>
      <c r="L219" s="107">
        <v>46</v>
      </c>
      <c r="M219" s="107">
        <v>0.66</v>
      </c>
      <c r="N219" s="109">
        <v>305000</v>
      </c>
      <c r="O219" s="111" t="s">
        <v>113</v>
      </c>
      <c r="R219" s="107">
        <v>305</v>
      </c>
    </row>
    <row r="220" spans="1:18" x14ac:dyDescent="0.2">
      <c r="A220" s="18" t="s">
        <v>177</v>
      </c>
      <c r="B220" s="81" t="s">
        <v>82</v>
      </c>
      <c r="C220" s="80" t="s">
        <v>678</v>
      </c>
      <c r="D220" s="81" t="s">
        <v>679</v>
      </c>
      <c r="E220" s="81" t="s">
        <v>69</v>
      </c>
      <c r="H220" s="107">
        <v>11.131</v>
      </c>
      <c r="I220" s="107">
        <v>11131000</v>
      </c>
      <c r="J220" s="107">
        <v>1.6826646303117418</v>
      </c>
      <c r="K220" s="107">
        <v>187297.4</v>
      </c>
      <c r="L220" s="107">
        <v>19.96</v>
      </c>
      <c r="M220" s="107">
        <v>1.48</v>
      </c>
      <c r="N220" s="109">
        <v>294500</v>
      </c>
      <c r="O220" s="111" t="s">
        <v>113</v>
      </c>
      <c r="Q220" s="107">
        <v>187.29739999999998</v>
      </c>
      <c r="R220" s="107">
        <v>294.5</v>
      </c>
    </row>
    <row r="221" spans="1:18" x14ac:dyDescent="0.2">
      <c r="A221" s="25" t="s">
        <v>190</v>
      </c>
      <c r="B221" s="81" t="s">
        <v>127</v>
      </c>
      <c r="C221" s="79" t="s">
        <v>1083</v>
      </c>
      <c r="D221" s="81" t="s">
        <v>131</v>
      </c>
      <c r="E221" s="81" t="s">
        <v>69</v>
      </c>
      <c r="H221" s="107">
        <v>0</v>
      </c>
      <c r="I221" s="107">
        <v>0</v>
      </c>
      <c r="K221" s="107">
        <v>0</v>
      </c>
      <c r="L221" s="107">
        <v>34.020000000000003</v>
      </c>
      <c r="M221" s="107">
        <v>0.86</v>
      </c>
      <c r="N221" s="109">
        <v>292600</v>
      </c>
      <c r="O221" s="111" t="s">
        <v>31</v>
      </c>
      <c r="R221" s="107">
        <v>292.60000000000002</v>
      </c>
    </row>
    <row r="222" spans="1:18" x14ac:dyDescent="0.2">
      <c r="A222" s="36" t="s">
        <v>1324</v>
      </c>
      <c r="B222" s="82" t="s">
        <v>149</v>
      </c>
      <c r="C222" s="80" t="s">
        <v>1261</v>
      </c>
      <c r="D222" s="81" t="s">
        <v>1262</v>
      </c>
      <c r="H222" s="107">
        <v>0</v>
      </c>
      <c r="I222" s="107">
        <v>0</v>
      </c>
      <c r="K222" s="107">
        <v>0</v>
      </c>
      <c r="L222" s="107">
        <v>182</v>
      </c>
      <c r="M222" s="107">
        <v>0.16</v>
      </c>
      <c r="N222" s="109">
        <v>292500</v>
      </c>
      <c r="O222" s="111" t="s">
        <v>113</v>
      </c>
      <c r="R222" s="107">
        <v>292.5</v>
      </c>
    </row>
    <row r="223" spans="1:18" x14ac:dyDescent="0.2">
      <c r="A223" s="18" t="s">
        <v>190</v>
      </c>
      <c r="B223" s="111" t="s">
        <v>63</v>
      </c>
      <c r="C223" s="113" t="s">
        <v>231</v>
      </c>
      <c r="D223" s="81" t="s">
        <v>172</v>
      </c>
      <c r="E223" s="81" t="s">
        <v>69</v>
      </c>
      <c r="F223" s="81" t="s">
        <v>72</v>
      </c>
      <c r="G223" s="81" t="s">
        <v>204</v>
      </c>
      <c r="H223" s="107">
        <v>0</v>
      </c>
      <c r="I223" s="107">
        <v>0</v>
      </c>
      <c r="K223" s="107">
        <v>0</v>
      </c>
      <c r="L223" s="107">
        <v>41.8</v>
      </c>
      <c r="M223" s="107">
        <v>0.69</v>
      </c>
      <c r="N223" s="109">
        <v>289200</v>
      </c>
      <c r="O223" s="111" t="s">
        <v>31</v>
      </c>
      <c r="R223" s="107">
        <v>289.2</v>
      </c>
    </row>
    <row r="224" spans="1:18" x14ac:dyDescent="0.2">
      <c r="A224" s="25" t="s">
        <v>190</v>
      </c>
      <c r="B224" s="111" t="s">
        <v>142</v>
      </c>
      <c r="C224" s="79" t="s">
        <v>1140</v>
      </c>
      <c r="D224" s="81" t="s">
        <v>1138</v>
      </c>
      <c r="E224" s="81" t="s">
        <v>69</v>
      </c>
      <c r="H224" s="107">
        <v>0</v>
      </c>
      <c r="I224" s="107">
        <v>0</v>
      </c>
      <c r="K224" s="107">
        <v>0</v>
      </c>
      <c r="L224" s="107">
        <v>22.6</v>
      </c>
      <c r="M224" s="107">
        <v>1.27</v>
      </c>
      <c r="N224" s="109">
        <v>287000</v>
      </c>
      <c r="O224" s="111" t="s">
        <v>31</v>
      </c>
      <c r="R224" s="107">
        <v>287</v>
      </c>
    </row>
    <row r="225" spans="1:18" x14ac:dyDescent="0.2">
      <c r="A225" s="18" t="s">
        <v>177</v>
      </c>
      <c r="B225" s="81" t="s">
        <v>149</v>
      </c>
      <c r="C225" s="80" t="s">
        <v>1299</v>
      </c>
      <c r="D225" s="81" t="s">
        <v>131</v>
      </c>
      <c r="E225" s="81" t="s">
        <v>69</v>
      </c>
      <c r="H225" s="107">
        <v>0</v>
      </c>
      <c r="I225" s="107">
        <v>0</v>
      </c>
      <c r="K225" s="107">
        <v>0</v>
      </c>
      <c r="L225" s="107">
        <v>114.2</v>
      </c>
      <c r="M225" s="107">
        <v>0.25</v>
      </c>
      <c r="N225" s="109">
        <v>281600</v>
      </c>
      <c r="O225" s="111" t="s">
        <v>113</v>
      </c>
      <c r="R225" s="107">
        <v>281.60000000000002</v>
      </c>
    </row>
    <row r="226" spans="1:18" x14ac:dyDescent="0.2">
      <c r="A226" s="18" t="s">
        <v>177</v>
      </c>
      <c r="B226" s="81" t="s">
        <v>127</v>
      </c>
      <c r="C226" s="80" t="s">
        <v>1071</v>
      </c>
      <c r="D226" s="81" t="s">
        <v>131</v>
      </c>
      <c r="E226" s="81" t="s">
        <v>69</v>
      </c>
      <c r="H226" s="107">
        <v>0</v>
      </c>
      <c r="I226" s="107">
        <v>0</v>
      </c>
      <c r="K226" s="107">
        <v>0</v>
      </c>
      <c r="L226" s="107">
        <v>192.3</v>
      </c>
      <c r="M226" s="107">
        <v>0.15</v>
      </c>
      <c r="N226" s="109">
        <v>279400</v>
      </c>
      <c r="O226" s="111" t="s">
        <v>113</v>
      </c>
      <c r="R226" s="107">
        <v>279.39999999999998</v>
      </c>
    </row>
    <row r="227" spans="1:18" x14ac:dyDescent="0.2">
      <c r="A227" s="18" t="s">
        <v>190</v>
      </c>
      <c r="B227" s="81" t="s">
        <v>63</v>
      </c>
      <c r="C227" s="113" t="s">
        <v>267</v>
      </c>
      <c r="D227" s="81" t="s">
        <v>266</v>
      </c>
      <c r="E227" s="81" t="s">
        <v>69</v>
      </c>
      <c r="F227" s="81" t="s">
        <v>72</v>
      </c>
      <c r="G227" s="81" t="s">
        <v>92</v>
      </c>
      <c r="H227" s="107">
        <v>27.9</v>
      </c>
      <c r="I227" s="107">
        <v>27900000</v>
      </c>
      <c r="J227" s="107">
        <v>0.96</v>
      </c>
      <c r="K227" s="107">
        <v>267840</v>
      </c>
      <c r="L227" s="107">
        <v>26</v>
      </c>
      <c r="M227" s="107">
        <v>1.07</v>
      </c>
      <c r="N227" s="109">
        <v>279300</v>
      </c>
      <c r="O227" s="111" t="s">
        <v>31</v>
      </c>
      <c r="Q227" s="107">
        <v>267.83999999999997</v>
      </c>
      <c r="R227" s="107">
        <v>279.3</v>
      </c>
    </row>
    <row r="228" spans="1:18" x14ac:dyDescent="0.2">
      <c r="A228" s="25" t="s">
        <v>190</v>
      </c>
      <c r="B228" s="81" t="s">
        <v>75</v>
      </c>
      <c r="C228" s="113" t="s">
        <v>536</v>
      </c>
      <c r="D228" s="81" t="s">
        <v>131</v>
      </c>
      <c r="E228" s="81" t="s">
        <v>69</v>
      </c>
      <c r="F228" s="81" t="s">
        <v>72</v>
      </c>
      <c r="G228" s="81" t="s">
        <v>216</v>
      </c>
      <c r="H228" s="107">
        <v>0</v>
      </c>
      <c r="I228" s="107">
        <v>0</v>
      </c>
      <c r="K228" s="107">
        <v>0</v>
      </c>
      <c r="L228" s="107">
        <v>23.5</v>
      </c>
      <c r="M228" s="107">
        <v>1.18</v>
      </c>
      <c r="N228" s="109">
        <v>277300</v>
      </c>
      <c r="O228" s="111" t="s">
        <v>31</v>
      </c>
      <c r="R228" s="107">
        <v>277.3</v>
      </c>
    </row>
    <row r="229" spans="1:18" x14ac:dyDescent="0.2">
      <c r="A229" s="18" t="s">
        <v>190</v>
      </c>
      <c r="B229" s="81" t="s">
        <v>63</v>
      </c>
      <c r="C229" s="113" t="s">
        <v>307</v>
      </c>
      <c r="D229" s="81" t="s">
        <v>308</v>
      </c>
      <c r="E229" s="81" t="s">
        <v>69</v>
      </c>
      <c r="F229" s="81" t="s">
        <v>72</v>
      </c>
      <c r="G229" s="81" t="s">
        <v>204</v>
      </c>
      <c r="H229" s="107">
        <v>0</v>
      </c>
      <c r="I229" s="107">
        <v>0</v>
      </c>
      <c r="K229" s="107">
        <v>0</v>
      </c>
      <c r="L229" s="107">
        <v>49</v>
      </c>
      <c r="M229" s="107">
        <v>0.56000000000000005</v>
      </c>
      <c r="N229" s="109">
        <v>274900</v>
      </c>
      <c r="O229" s="111" t="s">
        <v>31</v>
      </c>
      <c r="R229" s="107">
        <v>274.89999999999998</v>
      </c>
    </row>
    <row r="230" spans="1:18" x14ac:dyDescent="0.2">
      <c r="A230" s="18" t="s">
        <v>1273</v>
      </c>
      <c r="B230" s="111" t="s">
        <v>149</v>
      </c>
      <c r="C230" s="80" t="s">
        <v>1289</v>
      </c>
      <c r="D230" s="81" t="s">
        <v>1282</v>
      </c>
      <c r="E230" s="81" t="s">
        <v>69</v>
      </c>
      <c r="H230" s="107">
        <v>0</v>
      </c>
      <c r="I230" s="107">
        <v>0</v>
      </c>
      <c r="K230" s="107">
        <v>0</v>
      </c>
      <c r="L230" s="107">
        <v>133.4</v>
      </c>
      <c r="M230" s="107">
        <v>0.2</v>
      </c>
      <c r="N230" s="109">
        <v>273000</v>
      </c>
      <c r="O230" s="111" t="s">
        <v>113</v>
      </c>
      <c r="R230" s="107">
        <v>273</v>
      </c>
    </row>
    <row r="231" spans="1:18" x14ac:dyDescent="0.2">
      <c r="A231" s="25" t="s">
        <v>190</v>
      </c>
      <c r="B231" s="81" t="s">
        <v>143</v>
      </c>
      <c r="C231" s="79" t="s">
        <v>1155</v>
      </c>
      <c r="D231" s="81" t="s">
        <v>1145</v>
      </c>
      <c r="E231" s="81" t="s">
        <v>69</v>
      </c>
      <c r="H231" s="107">
        <v>0</v>
      </c>
      <c r="I231" s="107">
        <v>0</v>
      </c>
      <c r="K231" s="107">
        <v>0</v>
      </c>
      <c r="L231" s="107">
        <v>27</v>
      </c>
      <c r="M231" s="107">
        <v>1</v>
      </c>
      <c r="N231" s="109">
        <v>270000</v>
      </c>
      <c r="O231" s="111" t="s">
        <v>31</v>
      </c>
      <c r="R231" s="107">
        <v>270</v>
      </c>
    </row>
    <row r="232" spans="1:18" x14ac:dyDescent="0.2">
      <c r="A232" s="18" t="s">
        <v>190</v>
      </c>
      <c r="B232" s="81" t="s">
        <v>63</v>
      </c>
      <c r="C232" s="79" t="s">
        <v>299</v>
      </c>
      <c r="D232" s="81" t="s">
        <v>89</v>
      </c>
      <c r="E232" s="81" t="s">
        <v>69</v>
      </c>
      <c r="F232" s="81" t="s">
        <v>72</v>
      </c>
      <c r="G232" s="81" t="s">
        <v>204</v>
      </c>
      <c r="H232" s="107">
        <v>0</v>
      </c>
      <c r="I232" s="107">
        <v>0</v>
      </c>
      <c r="K232" s="107">
        <v>0</v>
      </c>
      <c r="L232" s="107">
        <v>33.299999999999997</v>
      </c>
      <c r="M232" s="107">
        <v>0.81</v>
      </c>
      <c r="N232" s="109">
        <v>269700</v>
      </c>
      <c r="O232" s="111" t="s">
        <v>31</v>
      </c>
      <c r="R232" s="107">
        <v>269.7</v>
      </c>
    </row>
    <row r="233" spans="1:18" x14ac:dyDescent="0.2">
      <c r="A233" s="18" t="s">
        <v>177</v>
      </c>
      <c r="B233" s="81" t="s">
        <v>63</v>
      </c>
      <c r="C233" s="80" t="s">
        <v>374</v>
      </c>
      <c r="D233" s="81" t="s">
        <v>373</v>
      </c>
      <c r="E233" s="81" t="s">
        <v>64</v>
      </c>
      <c r="F233" s="81" t="s">
        <v>65</v>
      </c>
      <c r="G233" s="81" t="s">
        <v>70</v>
      </c>
      <c r="H233" s="107">
        <v>11.5</v>
      </c>
      <c r="I233" s="107">
        <v>11500000</v>
      </c>
      <c r="J233" s="107">
        <v>1.8633043478260867</v>
      </c>
      <c r="K233" s="107">
        <v>214279.99999999997</v>
      </c>
      <c r="L233" s="107">
        <v>13.2</v>
      </c>
      <c r="M233" s="107">
        <v>2.0299999999999998</v>
      </c>
      <c r="N233" s="109">
        <v>267800</v>
      </c>
      <c r="O233" s="111" t="s">
        <v>113</v>
      </c>
      <c r="Q233" s="107">
        <v>214.27999999999997</v>
      </c>
      <c r="R233" s="107">
        <v>267.8</v>
      </c>
    </row>
    <row r="234" spans="1:18" x14ac:dyDescent="0.2">
      <c r="A234" s="18" t="s">
        <v>177</v>
      </c>
      <c r="B234" s="81" t="s">
        <v>63</v>
      </c>
      <c r="C234" s="80" t="s">
        <v>355</v>
      </c>
      <c r="D234" s="81" t="s">
        <v>356</v>
      </c>
      <c r="E234" s="81" t="s">
        <v>71</v>
      </c>
      <c r="F234" s="81" t="s">
        <v>65</v>
      </c>
      <c r="G234" s="81" t="s">
        <v>70</v>
      </c>
      <c r="H234" s="107">
        <v>0</v>
      </c>
      <c r="I234" s="107">
        <v>0</v>
      </c>
      <c r="K234" s="107">
        <v>0</v>
      </c>
      <c r="L234" s="107">
        <v>10.4</v>
      </c>
      <c r="M234" s="107">
        <v>2.56</v>
      </c>
      <c r="N234" s="109">
        <v>266300</v>
      </c>
      <c r="O234" s="111" t="s">
        <v>113</v>
      </c>
      <c r="R234" s="107">
        <v>266.3</v>
      </c>
    </row>
    <row r="235" spans="1:18" x14ac:dyDescent="0.2">
      <c r="A235" s="18" t="s">
        <v>177</v>
      </c>
      <c r="B235" s="81" t="s">
        <v>82</v>
      </c>
      <c r="C235" s="80" t="s">
        <v>788</v>
      </c>
      <c r="D235" s="81" t="s">
        <v>466</v>
      </c>
      <c r="E235" s="81" t="s">
        <v>64</v>
      </c>
      <c r="H235" s="107">
        <v>15.965999999999999</v>
      </c>
      <c r="I235" s="107">
        <v>15966000</v>
      </c>
      <c r="J235" s="107">
        <v>1.6665157209069272</v>
      </c>
      <c r="K235" s="107">
        <v>266075.89999999997</v>
      </c>
      <c r="L235" s="107">
        <v>15.97</v>
      </c>
      <c r="M235" s="107">
        <v>1.67</v>
      </c>
      <c r="N235" s="109">
        <v>266100</v>
      </c>
      <c r="O235" s="111" t="s">
        <v>113</v>
      </c>
      <c r="Q235" s="107">
        <v>266.07589999999999</v>
      </c>
      <c r="R235" s="107">
        <v>266.10000000000002</v>
      </c>
    </row>
    <row r="236" spans="1:18" x14ac:dyDescent="0.2">
      <c r="A236" s="36" t="s">
        <v>1324</v>
      </c>
      <c r="B236" s="82" t="s">
        <v>149</v>
      </c>
      <c r="C236" s="80" t="s">
        <v>1230</v>
      </c>
      <c r="D236" s="81" t="s">
        <v>1231</v>
      </c>
      <c r="H236" s="107">
        <v>0</v>
      </c>
      <c r="I236" s="107">
        <v>0</v>
      </c>
      <c r="K236" s="107">
        <v>0</v>
      </c>
      <c r="L236" s="107">
        <v>174.8</v>
      </c>
      <c r="M236" s="107">
        <v>0.15</v>
      </c>
      <c r="N236" s="109">
        <v>264300</v>
      </c>
      <c r="O236" s="111" t="s">
        <v>113</v>
      </c>
      <c r="R236" s="107">
        <v>264.3</v>
      </c>
    </row>
    <row r="237" spans="1:18" x14ac:dyDescent="0.2">
      <c r="A237" s="36" t="s">
        <v>1323</v>
      </c>
      <c r="B237" s="82" t="s">
        <v>149</v>
      </c>
      <c r="C237" s="110" t="s">
        <v>1186</v>
      </c>
      <c r="D237" s="81" t="s">
        <v>1009</v>
      </c>
      <c r="H237" s="107">
        <v>63.1</v>
      </c>
      <c r="I237" s="107">
        <v>63100000</v>
      </c>
      <c r="J237" s="107">
        <v>0.14115689381933438</v>
      </c>
      <c r="K237" s="107">
        <v>89070</v>
      </c>
      <c r="L237" s="107">
        <v>175.8</v>
      </c>
      <c r="M237" s="107">
        <v>0.15</v>
      </c>
      <c r="N237" s="109">
        <v>263300</v>
      </c>
      <c r="O237" s="111" t="s">
        <v>113</v>
      </c>
      <c r="Q237" s="107">
        <v>89.07</v>
      </c>
      <c r="R237" s="107">
        <v>263.3</v>
      </c>
    </row>
    <row r="238" spans="1:18" x14ac:dyDescent="0.2">
      <c r="A238" s="25" t="s">
        <v>190</v>
      </c>
      <c r="B238" s="81" t="s">
        <v>74</v>
      </c>
      <c r="C238" s="113" t="s">
        <v>483</v>
      </c>
      <c r="D238" s="81" t="s">
        <v>474</v>
      </c>
      <c r="E238" s="81" t="s">
        <v>64</v>
      </c>
      <c r="G238" s="98" t="s">
        <v>211</v>
      </c>
      <c r="H238" s="107">
        <v>1.5</v>
      </c>
      <c r="I238" s="107">
        <v>1500000</v>
      </c>
      <c r="J238" s="107">
        <v>1.6102666666666667</v>
      </c>
      <c r="K238" s="107">
        <v>24154</v>
      </c>
      <c r="L238" s="107">
        <v>18.43</v>
      </c>
      <c r="M238" s="107">
        <v>1.4</v>
      </c>
      <c r="N238" s="109">
        <v>258200</v>
      </c>
      <c r="O238" s="111" t="s">
        <v>31</v>
      </c>
      <c r="Q238" s="107">
        <v>24.154</v>
      </c>
      <c r="R238" s="107">
        <v>258.2</v>
      </c>
    </row>
    <row r="239" spans="1:18" x14ac:dyDescent="0.2">
      <c r="A239" s="18" t="s">
        <v>177</v>
      </c>
      <c r="B239" s="81" t="s">
        <v>63</v>
      </c>
      <c r="C239" s="16" t="s">
        <v>358</v>
      </c>
      <c r="D239" s="81" t="s">
        <v>359</v>
      </c>
      <c r="E239" s="81" t="s">
        <v>71</v>
      </c>
      <c r="F239" s="81" t="s">
        <v>65</v>
      </c>
      <c r="G239" s="81" t="s">
        <v>70</v>
      </c>
      <c r="H239" s="107">
        <v>0</v>
      </c>
      <c r="I239" s="107">
        <v>0</v>
      </c>
      <c r="K239" s="107">
        <v>0</v>
      </c>
      <c r="L239" s="107">
        <v>29.4</v>
      </c>
      <c r="M239" s="107">
        <v>0.86</v>
      </c>
      <c r="N239" s="109">
        <v>251500</v>
      </c>
      <c r="O239" s="111" t="s">
        <v>118</v>
      </c>
      <c r="R239" s="107">
        <v>251.5</v>
      </c>
    </row>
    <row r="240" spans="1:18" x14ac:dyDescent="0.2">
      <c r="A240" s="18" t="s">
        <v>190</v>
      </c>
      <c r="B240" s="81" t="s">
        <v>63</v>
      </c>
      <c r="C240" s="113" t="s">
        <v>255</v>
      </c>
      <c r="D240" s="81" t="s">
        <v>256</v>
      </c>
      <c r="E240" s="81" t="s">
        <v>69</v>
      </c>
      <c r="F240" s="81" t="s">
        <v>72</v>
      </c>
      <c r="G240" s="81" t="s">
        <v>257</v>
      </c>
      <c r="H240" s="107">
        <v>0</v>
      </c>
      <c r="I240" s="107">
        <v>0</v>
      </c>
      <c r="K240" s="107">
        <v>0</v>
      </c>
      <c r="L240" s="107">
        <v>63.5</v>
      </c>
      <c r="M240" s="107">
        <v>0.38</v>
      </c>
      <c r="N240" s="109">
        <v>241300</v>
      </c>
      <c r="O240" s="111" t="s">
        <v>31</v>
      </c>
      <c r="R240" s="107">
        <v>241.3</v>
      </c>
    </row>
    <row r="241" spans="1:18" x14ac:dyDescent="0.2">
      <c r="A241" s="18" t="s">
        <v>177</v>
      </c>
      <c r="B241" s="81" t="s">
        <v>82</v>
      </c>
      <c r="C241" s="110" t="s">
        <v>745</v>
      </c>
      <c r="D241" s="98" t="s">
        <v>746</v>
      </c>
      <c r="E241" s="81" t="s">
        <v>620</v>
      </c>
      <c r="H241" s="107">
        <v>0</v>
      </c>
      <c r="I241" s="107">
        <v>0</v>
      </c>
      <c r="K241" s="107">
        <v>0</v>
      </c>
      <c r="L241" s="107">
        <v>26.83</v>
      </c>
      <c r="M241" s="107">
        <v>0.88</v>
      </c>
      <c r="N241" s="109">
        <v>237200</v>
      </c>
      <c r="O241" s="111" t="s">
        <v>113</v>
      </c>
      <c r="R241" s="107">
        <v>237.2</v>
      </c>
    </row>
    <row r="242" spans="1:18" x14ac:dyDescent="0.2">
      <c r="A242" s="25" t="s">
        <v>190</v>
      </c>
      <c r="B242" s="81" t="s">
        <v>75</v>
      </c>
      <c r="C242" s="79" t="s">
        <v>557</v>
      </c>
      <c r="D242" s="98" t="s">
        <v>558</v>
      </c>
      <c r="E242" s="81" t="s">
        <v>69</v>
      </c>
      <c r="F242" s="81" t="s">
        <v>72</v>
      </c>
      <c r="G242" s="81" t="s">
        <v>187</v>
      </c>
      <c r="H242" s="107">
        <v>0</v>
      </c>
      <c r="I242" s="107">
        <v>0</v>
      </c>
      <c r="K242" s="107">
        <v>0</v>
      </c>
      <c r="L242" s="107">
        <v>21</v>
      </c>
      <c r="M242" s="107">
        <v>1.1000000000000001</v>
      </c>
      <c r="N242" s="109">
        <v>231000</v>
      </c>
      <c r="O242" s="111" t="s">
        <v>31</v>
      </c>
      <c r="R242" s="107">
        <v>231</v>
      </c>
    </row>
    <row r="243" spans="1:18" x14ac:dyDescent="0.2">
      <c r="A243" s="25" t="s">
        <v>190</v>
      </c>
      <c r="B243" s="81" t="s">
        <v>75</v>
      </c>
      <c r="C243" s="113" t="s">
        <v>512</v>
      </c>
      <c r="D243" s="81" t="s">
        <v>511</v>
      </c>
      <c r="E243" s="81" t="s">
        <v>64</v>
      </c>
      <c r="F243" s="81" t="s">
        <v>72</v>
      </c>
      <c r="G243" s="81" t="s">
        <v>187</v>
      </c>
      <c r="H243" s="107">
        <v>2.9580000000000002</v>
      </c>
      <c r="I243" s="107">
        <v>2958000</v>
      </c>
      <c r="J243" s="107">
        <v>1.2200135226504394</v>
      </c>
      <c r="K243" s="107">
        <v>36087.999999999993</v>
      </c>
      <c r="L243" s="107">
        <v>19.536999999999999</v>
      </c>
      <c r="M243" s="107">
        <v>1.17</v>
      </c>
      <c r="N243" s="109">
        <v>227900</v>
      </c>
      <c r="O243" s="111" t="s">
        <v>31</v>
      </c>
      <c r="Q243" s="107">
        <v>36.087999999999994</v>
      </c>
      <c r="R243" s="107">
        <v>227.9</v>
      </c>
    </row>
    <row r="244" spans="1:18" x14ac:dyDescent="0.2">
      <c r="A244" s="25" t="s">
        <v>190</v>
      </c>
      <c r="B244" s="111" t="s">
        <v>75</v>
      </c>
      <c r="C244" s="79" t="s">
        <v>539</v>
      </c>
      <c r="D244" s="81" t="s">
        <v>131</v>
      </c>
      <c r="E244" s="81" t="s">
        <v>69</v>
      </c>
      <c r="F244" s="81" t="s">
        <v>72</v>
      </c>
      <c r="G244" s="81" t="s">
        <v>216</v>
      </c>
      <c r="H244" s="107">
        <v>0</v>
      </c>
      <c r="I244" s="107">
        <v>0</v>
      </c>
      <c r="K244" s="107">
        <v>0</v>
      </c>
      <c r="L244" s="107">
        <v>35</v>
      </c>
      <c r="M244" s="107">
        <v>0.65</v>
      </c>
      <c r="N244" s="109">
        <v>227500</v>
      </c>
      <c r="O244" s="111" t="s">
        <v>31</v>
      </c>
      <c r="R244" s="107">
        <v>227.5</v>
      </c>
    </row>
    <row r="245" spans="1:18" x14ac:dyDescent="0.2">
      <c r="A245" s="18" t="s">
        <v>177</v>
      </c>
      <c r="B245" s="81" t="s">
        <v>102</v>
      </c>
      <c r="C245" s="110" t="s">
        <v>910</v>
      </c>
      <c r="D245" s="81" t="s">
        <v>249</v>
      </c>
      <c r="E245" s="81" t="s">
        <v>71</v>
      </c>
      <c r="H245" s="107">
        <v>0</v>
      </c>
      <c r="I245" s="107">
        <v>0</v>
      </c>
      <c r="K245" s="107">
        <v>0</v>
      </c>
      <c r="L245" s="107">
        <v>106</v>
      </c>
      <c r="M245" s="107">
        <v>0.21</v>
      </c>
      <c r="N245" s="109">
        <v>222600</v>
      </c>
      <c r="O245" s="111" t="s">
        <v>113</v>
      </c>
      <c r="R245" s="107">
        <v>222.6</v>
      </c>
    </row>
    <row r="246" spans="1:18" x14ac:dyDescent="0.2">
      <c r="A246" s="25" t="s">
        <v>190</v>
      </c>
      <c r="B246" s="81" t="s">
        <v>146</v>
      </c>
      <c r="C246" s="79" t="s">
        <v>1160</v>
      </c>
      <c r="D246" s="81" t="s">
        <v>131</v>
      </c>
      <c r="E246" s="81" t="s">
        <v>69</v>
      </c>
      <c r="H246" s="107">
        <v>0</v>
      </c>
      <c r="I246" s="107">
        <v>0</v>
      </c>
      <c r="K246" s="107">
        <v>0</v>
      </c>
      <c r="L246" s="107">
        <v>17</v>
      </c>
      <c r="M246" s="107">
        <v>1.3</v>
      </c>
      <c r="N246" s="109">
        <v>221000</v>
      </c>
      <c r="O246" s="111" t="s">
        <v>31</v>
      </c>
      <c r="R246" s="107">
        <v>221</v>
      </c>
    </row>
    <row r="247" spans="1:18" x14ac:dyDescent="0.2">
      <c r="A247" s="18" t="s">
        <v>177</v>
      </c>
      <c r="B247" s="81" t="s">
        <v>63</v>
      </c>
      <c r="C247" s="110" t="s">
        <v>377</v>
      </c>
      <c r="D247" s="81" t="s">
        <v>365</v>
      </c>
      <c r="E247" s="81" t="s">
        <v>71</v>
      </c>
      <c r="F247" s="81" t="s">
        <v>65</v>
      </c>
      <c r="G247" s="81" t="s">
        <v>70</v>
      </c>
      <c r="H247" s="107">
        <v>8.2089999999999996</v>
      </c>
      <c r="I247" s="107">
        <v>8209000</v>
      </c>
      <c r="J247" s="107">
        <v>1.2250347179924475</v>
      </c>
      <c r="K247" s="107">
        <v>100563.10000000002</v>
      </c>
      <c r="L247" s="107">
        <v>13.21</v>
      </c>
      <c r="M247" s="107">
        <v>1.65</v>
      </c>
      <c r="N247" s="109">
        <v>218300</v>
      </c>
      <c r="O247" s="111" t="s">
        <v>113</v>
      </c>
      <c r="Q247" s="107">
        <v>100.56310000000002</v>
      </c>
      <c r="R247" s="107">
        <v>218.3</v>
      </c>
    </row>
    <row r="248" spans="1:18" x14ac:dyDescent="0.2">
      <c r="A248" s="18" t="s">
        <v>177</v>
      </c>
      <c r="B248" s="111" t="s">
        <v>63</v>
      </c>
      <c r="C248" s="116" t="s">
        <v>461</v>
      </c>
      <c r="D248" s="81" t="s">
        <v>462</v>
      </c>
      <c r="E248" s="81" t="s">
        <v>71</v>
      </c>
      <c r="F248" s="81" t="s">
        <v>160</v>
      </c>
      <c r="G248" s="81" t="s">
        <v>70</v>
      </c>
      <c r="H248" s="107">
        <v>0</v>
      </c>
      <c r="I248" s="107">
        <v>0</v>
      </c>
      <c r="K248" s="107">
        <v>0</v>
      </c>
      <c r="L248" s="107">
        <v>102</v>
      </c>
      <c r="M248" s="107">
        <v>0.21</v>
      </c>
      <c r="N248" s="109">
        <v>214200</v>
      </c>
      <c r="O248" s="111" t="s">
        <v>160</v>
      </c>
      <c r="R248" s="107">
        <v>214.2</v>
      </c>
    </row>
    <row r="249" spans="1:18" x14ac:dyDescent="0.2">
      <c r="A249" s="18" t="s">
        <v>1183</v>
      </c>
      <c r="B249" s="111" t="s">
        <v>149</v>
      </c>
      <c r="C249" s="110" t="s">
        <v>1247</v>
      </c>
      <c r="D249" s="81" t="s">
        <v>669</v>
      </c>
      <c r="H249" s="107">
        <v>0</v>
      </c>
      <c r="I249" s="107">
        <v>0</v>
      </c>
      <c r="K249" s="107">
        <v>0</v>
      </c>
      <c r="L249" s="107">
        <v>190.1</v>
      </c>
      <c r="M249" s="107">
        <v>0.11</v>
      </c>
      <c r="N249" s="109">
        <v>213700</v>
      </c>
      <c r="O249" s="111" t="s">
        <v>113</v>
      </c>
      <c r="R249" s="107">
        <v>213.7</v>
      </c>
    </row>
    <row r="250" spans="1:18" x14ac:dyDescent="0.2">
      <c r="A250" s="18" t="s">
        <v>177</v>
      </c>
      <c r="B250" s="81" t="s">
        <v>102</v>
      </c>
      <c r="C250" s="110" t="s">
        <v>915</v>
      </c>
      <c r="D250" s="81" t="s">
        <v>912</v>
      </c>
      <c r="E250" s="81" t="s">
        <v>71</v>
      </c>
      <c r="H250" s="107">
        <v>0</v>
      </c>
      <c r="I250" s="107">
        <v>0</v>
      </c>
      <c r="K250" s="107">
        <v>0</v>
      </c>
      <c r="L250" s="107">
        <v>26.75</v>
      </c>
      <c r="M250" s="107">
        <v>0.79</v>
      </c>
      <c r="N250" s="109">
        <v>211400</v>
      </c>
      <c r="O250" s="111" t="s">
        <v>113</v>
      </c>
      <c r="R250" s="107">
        <v>211.4</v>
      </c>
    </row>
    <row r="251" spans="1:18" x14ac:dyDescent="0.2">
      <c r="A251" s="18" t="s">
        <v>190</v>
      </c>
      <c r="B251" s="111" t="s">
        <v>197</v>
      </c>
      <c r="C251" s="113" t="s">
        <v>214</v>
      </c>
      <c r="D251" s="81" t="s">
        <v>215</v>
      </c>
      <c r="E251" s="81" t="s">
        <v>69</v>
      </c>
      <c r="F251" s="81" t="s">
        <v>72</v>
      </c>
      <c r="G251" s="81" t="s">
        <v>216</v>
      </c>
      <c r="H251" s="107">
        <v>0</v>
      </c>
      <c r="I251" s="107">
        <v>0</v>
      </c>
      <c r="K251" s="107">
        <v>0</v>
      </c>
      <c r="L251" s="107">
        <v>23.3</v>
      </c>
      <c r="M251" s="107">
        <v>0.9</v>
      </c>
      <c r="N251" s="109">
        <v>210000</v>
      </c>
      <c r="O251" s="111" t="s">
        <v>31</v>
      </c>
      <c r="R251" s="107">
        <v>210</v>
      </c>
    </row>
    <row r="252" spans="1:18" x14ac:dyDescent="0.2">
      <c r="A252" s="18" t="s">
        <v>177</v>
      </c>
      <c r="B252" s="115" t="s">
        <v>105</v>
      </c>
      <c r="C252" s="80" t="s">
        <v>997</v>
      </c>
      <c r="D252" s="81" t="s">
        <v>131</v>
      </c>
      <c r="H252" s="107">
        <v>0</v>
      </c>
      <c r="I252" s="107">
        <v>0</v>
      </c>
      <c r="K252" s="107">
        <v>0</v>
      </c>
      <c r="L252" s="107">
        <v>35</v>
      </c>
      <c r="M252" s="107">
        <v>0.6</v>
      </c>
      <c r="N252" s="109">
        <v>210000</v>
      </c>
      <c r="O252" s="111" t="s">
        <v>113</v>
      </c>
      <c r="R252" s="107">
        <v>210</v>
      </c>
    </row>
    <row r="253" spans="1:18" x14ac:dyDescent="0.2">
      <c r="A253" s="18" t="s">
        <v>190</v>
      </c>
      <c r="B253" s="81" t="s">
        <v>63</v>
      </c>
      <c r="C253" s="113" t="s">
        <v>300</v>
      </c>
      <c r="D253" s="81" t="s">
        <v>301</v>
      </c>
      <c r="E253" s="81" t="s">
        <v>69</v>
      </c>
      <c r="F253" s="81" t="s">
        <v>72</v>
      </c>
      <c r="G253" s="81" t="s">
        <v>211</v>
      </c>
      <c r="H253" s="107">
        <v>0</v>
      </c>
      <c r="I253" s="107">
        <v>0</v>
      </c>
      <c r="K253" s="107">
        <v>0</v>
      </c>
      <c r="L253" s="107">
        <v>29.6</v>
      </c>
      <c r="M253" s="107">
        <v>0.71</v>
      </c>
      <c r="N253" s="109">
        <v>209300</v>
      </c>
      <c r="O253" s="111" t="s">
        <v>31</v>
      </c>
      <c r="R253" s="107">
        <v>209.3</v>
      </c>
    </row>
    <row r="254" spans="1:18" x14ac:dyDescent="0.2">
      <c r="A254" s="18" t="s">
        <v>190</v>
      </c>
      <c r="B254" s="81" t="s">
        <v>63</v>
      </c>
      <c r="C254" s="113" t="s">
        <v>291</v>
      </c>
      <c r="D254" s="81" t="s">
        <v>172</v>
      </c>
      <c r="E254" s="81" t="s">
        <v>69</v>
      </c>
      <c r="F254" s="81" t="s">
        <v>72</v>
      </c>
      <c r="G254" s="81" t="s">
        <v>204</v>
      </c>
      <c r="H254" s="107">
        <v>0</v>
      </c>
      <c r="I254" s="107">
        <v>0</v>
      </c>
      <c r="K254" s="107">
        <v>0</v>
      </c>
      <c r="L254" s="107">
        <v>26.8</v>
      </c>
      <c r="M254" s="107">
        <v>0.77</v>
      </c>
      <c r="N254" s="109">
        <v>206400</v>
      </c>
      <c r="O254" s="111" t="s">
        <v>31</v>
      </c>
      <c r="R254" s="107">
        <v>206.4</v>
      </c>
    </row>
    <row r="255" spans="1:18" x14ac:dyDescent="0.2">
      <c r="A255" s="18" t="s">
        <v>177</v>
      </c>
      <c r="B255" s="78" t="s">
        <v>105</v>
      </c>
      <c r="C255" s="110" t="s">
        <v>1002</v>
      </c>
      <c r="D255" s="81" t="s">
        <v>131</v>
      </c>
      <c r="H255" s="107">
        <v>0</v>
      </c>
      <c r="I255" s="107">
        <v>0</v>
      </c>
      <c r="K255" s="107">
        <v>0</v>
      </c>
      <c r="L255" s="107">
        <v>8.9</v>
      </c>
      <c r="M255" s="107">
        <v>2.2999999999999998</v>
      </c>
      <c r="N255" s="109">
        <v>204700</v>
      </c>
      <c r="O255" s="111" t="s">
        <v>113</v>
      </c>
      <c r="R255" s="107">
        <v>204.7</v>
      </c>
    </row>
    <row r="256" spans="1:18" x14ac:dyDescent="0.2">
      <c r="A256" s="25" t="s">
        <v>190</v>
      </c>
      <c r="B256" s="81" t="s">
        <v>133</v>
      </c>
      <c r="C256" s="113" t="s">
        <v>1098</v>
      </c>
      <c r="D256" s="81" t="s">
        <v>1099</v>
      </c>
      <c r="E256" s="81" t="s">
        <v>64</v>
      </c>
      <c r="H256" s="107">
        <v>0</v>
      </c>
      <c r="I256" s="107">
        <v>0</v>
      </c>
      <c r="K256" s="107">
        <v>0</v>
      </c>
      <c r="L256" s="107">
        <v>16</v>
      </c>
      <c r="M256" s="107">
        <v>1.27</v>
      </c>
      <c r="N256" s="109">
        <v>202700</v>
      </c>
      <c r="O256" s="111" t="s">
        <v>31</v>
      </c>
      <c r="R256" s="107">
        <v>202.7</v>
      </c>
    </row>
    <row r="257" spans="1:18" x14ac:dyDescent="0.2">
      <c r="A257" s="18" t="s">
        <v>177</v>
      </c>
      <c r="B257" s="81" t="s">
        <v>127</v>
      </c>
      <c r="C257" s="80" t="s">
        <v>1047</v>
      </c>
      <c r="D257" s="81" t="s">
        <v>1042</v>
      </c>
      <c r="E257" s="81" t="s">
        <v>69</v>
      </c>
      <c r="H257" s="107">
        <v>0</v>
      </c>
      <c r="I257" s="107">
        <v>0</v>
      </c>
      <c r="K257" s="107">
        <v>0</v>
      </c>
      <c r="L257" s="107">
        <v>122.4</v>
      </c>
      <c r="M257" s="107">
        <v>0.17</v>
      </c>
      <c r="N257" s="109">
        <v>202200</v>
      </c>
      <c r="O257" s="111" t="s">
        <v>113</v>
      </c>
      <c r="R257" s="107">
        <v>202.2</v>
      </c>
    </row>
    <row r="258" spans="1:18" x14ac:dyDescent="0.2">
      <c r="A258" s="18" t="s">
        <v>595</v>
      </c>
      <c r="B258" s="81" t="s">
        <v>103</v>
      </c>
      <c r="C258" s="80" t="s">
        <v>920</v>
      </c>
      <c r="D258" s="81" t="s">
        <v>921</v>
      </c>
      <c r="E258" s="81" t="s">
        <v>69</v>
      </c>
      <c r="H258" s="107">
        <v>0</v>
      </c>
      <c r="I258" s="107">
        <v>0</v>
      </c>
      <c r="K258" s="107">
        <v>0</v>
      </c>
      <c r="L258" s="107">
        <v>208.5</v>
      </c>
      <c r="M258" s="107">
        <v>9.7000000000000003E-2</v>
      </c>
      <c r="N258" s="109">
        <v>201500</v>
      </c>
      <c r="O258" s="111" t="s">
        <v>113</v>
      </c>
      <c r="R258" s="107">
        <v>201.5</v>
      </c>
    </row>
    <row r="259" spans="1:18" x14ac:dyDescent="0.2">
      <c r="A259" s="18" t="s">
        <v>177</v>
      </c>
      <c r="B259" s="81" t="s">
        <v>63</v>
      </c>
      <c r="C259" s="110" t="s">
        <v>382</v>
      </c>
      <c r="D259" s="81" t="s">
        <v>379</v>
      </c>
      <c r="E259" s="81" t="s">
        <v>71</v>
      </c>
      <c r="F259" s="81" t="s">
        <v>65</v>
      </c>
      <c r="G259" s="81" t="s">
        <v>70</v>
      </c>
      <c r="H259" s="107">
        <v>3.427</v>
      </c>
      <c r="I259" s="107">
        <v>3427000</v>
      </c>
      <c r="J259" s="107">
        <v>0.72</v>
      </c>
      <c r="K259" s="107">
        <v>24674.400000000001</v>
      </c>
      <c r="L259" s="107">
        <v>30.84</v>
      </c>
      <c r="M259" s="107">
        <v>0.62</v>
      </c>
      <c r="N259" s="109">
        <v>191600</v>
      </c>
      <c r="O259" s="111" t="s">
        <v>113</v>
      </c>
      <c r="R259" s="107">
        <v>196.4</v>
      </c>
    </row>
    <row r="260" spans="1:18" x14ac:dyDescent="0.2">
      <c r="A260" s="25" t="s">
        <v>190</v>
      </c>
      <c r="B260" s="81" t="s">
        <v>79</v>
      </c>
      <c r="C260" s="113" t="s">
        <v>613</v>
      </c>
      <c r="D260" s="81" t="s">
        <v>611</v>
      </c>
      <c r="E260" s="81" t="s">
        <v>64</v>
      </c>
      <c r="H260" s="107">
        <v>8.3000000000000007</v>
      </c>
      <c r="I260" s="107">
        <v>8300000.0000000009</v>
      </c>
      <c r="J260" s="107">
        <v>1.26</v>
      </c>
      <c r="K260" s="107">
        <v>104580</v>
      </c>
      <c r="L260" s="107">
        <v>15.2</v>
      </c>
      <c r="M260" s="107">
        <v>1.24</v>
      </c>
      <c r="N260" s="109">
        <v>189000</v>
      </c>
      <c r="O260" s="111" t="s">
        <v>31</v>
      </c>
      <c r="R260" s="107">
        <v>192.7</v>
      </c>
    </row>
    <row r="261" spans="1:18" x14ac:dyDescent="0.2">
      <c r="A261" s="18" t="s">
        <v>177</v>
      </c>
      <c r="B261" s="78" t="s">
        <v>105</v>
      </c>
      <c r="C261" s="80" t="s">
        <v>990</v>
      </c>
      <c r="D261" s="81" t="s">
        <v>989</v>
      </c>
      <c r="E261" s="81" t="s">
        <v>64</v>
      </c>
      <c r="H261" s="107">
        <v>19.473970000000001</v>
      </c>
      <c r="I261" s="107">
        <v>19473970</v>
      </c>
      <c r="J261" s="107">
        <v>0.62</v>
      </c>
      <c r="K261" s="107">
        <v>120738.614</v>
      </c>
      <c r="L261" s="107">
        <v>29.83</v>
      </c>
      <c r="M261" s="107">
        <v>0.56000000000000005</v>
      </c>
      <c r="N261" s="109">
        <v>167000</v>
      </c>
      <c r="O261" s="111" t="s">
        <v>113</v>
      </c>
      <c r="R261" s="107">
        <v>192.6</v>
      </c>
    </row>
    <row r="262" spans="1:18" x14ac:dyDescent="0.2">
      <c r="A262" s="18" t="s">
        <v>177</v>
      </c>
      <c r="B262" s="81" t="s">
        <v>63</v>
      </c>
      <c r="C262" s="80" t="s">
        <v>225</v>
      </c>
      <c r="D262" s="81" t="s">
        <v>66</v>
      </c>
      <c r="E262" s="81" t="s">
        <v>71</v>
      </c>
      <c r="F262" s="81" t="s">
        <v>65</v>
      </c>
      <c r="G262" s="81" t="s">
        <v>70</v>
      </c>
      <c r="H262" s="107">
        <v>0.55000000000000004</v>
      </c>
      <c r="I262" s="107">
        <v>550000</v>
      </c>
      <c r="J262" s="107">
        <v>2</v>
      </c>
      <c r="K262" s="107">
        <v>11000</v>
      </c>
      <c r="L262" s="107">
        <v>9.49</v>
      </c>
      <c r="M262" s="107">
        <v>1.67</v>
      </c>
      <c r="N262" s="109">
        <v>158100</v>
      </c>
      <c r="O262" s="111" t="s">
        <v>113</v>
      </c>
      <c r="R262" s="107">
        <v>192.3</v>
      </c>
    </row>
    <row r="263" spans="1:18" x14ac:dyDescent="0.2">
      <c r="A263" s="18" t="s">
        <v>177</v>
      </c>
      <c r="B263" s="81" t="s">
        <v>82</v>
      </c>
      <c r="C263" s="80" t="s">
        <v>644</v>
      </c>
      <c r="D263" s="81" t="s">
        <v>131</v>
      </c>
      <c r="E263" s="81" t="s">
        <v>69</v>
      </c>
      <c r="H263" s="107">
        <v>2.61</v>
      </c>
      <c r="I263" s="107">
        <v>2610000</v>
      </c>
      <c r="J263" s="107">
        <v>1.4376398467432949</v>
      </c>
      <c r="K263" s="107">
        <v>37522.399999999994</v>
      </c>
      <c r="L263" s="107">
        <v>11.25</v>
      </c>
      <c r="M263" s="107">
        <v>1.4</v>
      </c>
      <c r="N263" s="109">
        <v>157900</v>
      </c>
      <c r="O263" s="111" t="s">
        <v>113</v>
      </c>
      <c r="R263" s="107">
        <v>192</v>
      </c>
    </row>
    <row r="264" spans="1:18" x14ac:dyDescent="0.2">
      <c r="A264" s="18" t="s">
        <v>595</v>
      </c>
      <c r="B264" s="111" t="s">
        <v>127</v>
      </c>
      <c r="C264" s="110" t="s">
        <v>1054</v>
      </c>
      <c r="D264" s="81" t="s">
        <v>685</v>
      </c>
      <c r="E264" s="81" t="s">
        <v>64</v>
      </c>
      <c r="H264" s="107">
        <v>46.5</v>
      </c>
      <c r="I264" s="107">
        <v>46500000</v>
      </c>
      <c r="J264" s="107">
        <v>0.10076278475729886</v>
      </c>
      <c r="K264" s="107">
        <v>46854.694912143968</v>
      </c>
      <c r="L264" s="107">
        <v>151.69999999999999</v>
      </c>
      <c r="M264" s="107">
        <v>0.1</v>
      </c>
      <c r="N264" s="109">
        <v>152900</v>
      </c>
      <c r="O264" s="111" t="s">
        <v>113</v>
      </c>
      <c r="Q264" s="107">
        <v>24.674400000000002</v>
      </c>
      <c r="R264" s="107">
        <v>191.6</v>
      </c>
    </row>
    <row r="265" spans="1:18" x14ac:dyDescent="0.2">
      <c r="A265" s="18" t="s">
        <v>1183</v>
      </c>
      <c r="B265" s="111" t="s">
        <v>149</v>
      </c>
      <c r="C265" s="80" t="s">
        <v>1207</v>
      </c>
      <c r="D265" s="81" t="s">
        <v>1208</v>
      </c>
      <c r="H265" s="107">
        <v>8.81</v>
      </c>
      <c r="I265" s="107">
        <v>8810000</v>
      </c>
      <c r="J265" s="107">
        <v>0.10100454029511918</v>
      </c>
      <c r="K265" s="107">
        <v>8898.5</v>
      </c>
      <c r="L265" s="107">
        <v>152.30000000000001</v>
      </c>
      <c r="M265" s="107">
        <v>0.1</v>
      </c>
      <c r="N265" s="109">
        <v>148000</v>
      </c>
      <c r="O265" s="111" t="s">
        <v>113</v>
      </c>
      <c r="R265" s="107">
        <v>190.1</v>
      </c>
    </row>
    <row r="266" spans="1:18" x14ac:dyDescent="0.2">
      <c r="A266" s="36" t="s">
        <v>1323</v>
      </c>
      <c r="B266" s="111" t="s">
        <v>149</v>
      </c>
      <c r="C266" s="110" t="s">
        <v>1248</v>
      </c>
      <c r="D266" s="81" t="s">
        <v>1215</v>
      </c>
      <c r="H266" s="107">
        <v>40.5</v>
      </c>
      <c r="I266" s="107">
        <v>40500000</v>
      </c>
      <c r="J266" s="107">
        <v>4.3999999999999997E-2</v>
      </c>
      <c r="K266" s="107">
        <v>17820</v>
      </c>
      <c r="L266" s="107">
        <v>128.69999999999999</v>
      </c>
      <c r="M266" s="107">
        <v>0.11</v>
      </c>
      <c r="N266" s="109">
        <v>142200</v>
      </c>
      <c r="O266" s="111" t="s">
        <v>113</v>
      </c>
      <c r="Q266" s="107">
        <v>104.58</v>
      </c>
      <c r="R266" s="107">
        <v>189</v>
      </c>
    </row>
    <row r="267" spans="1:18" x14ac:dyDescent="0.2">
      <c r="A267" s="18" t="s">
        <v>177</v>
      </c>
      <c r="B267" s="81" t="s">
        <v>127</v>
      </c>
      <c r="C267" s="110" t="s">
        <v>1044</v>
      </c>
      <c r="D267" s="81" t="s">
        <v>1045</v>
      </c>
      <c r="E267" s="81" t="s">
        <v>69</v>
      </c>
      <c r="H267" s="107">
        <v>4.0880000000000001</v>
      </c>
      <c r="I267" s="107">
        <v>4088000</v>
      </c>
      <c r="J267" s="107">
        <v>2.6227984344422701</v>
      </c>
      <c r="K267" s="107">
        <v>107220</v>
      </c>
      <c r="L267" s="107">
        <v>4.2939999999999996</v>
      </c>
      <c r="M267" s="107">
        <v>3.28</v>
      </c>
      <c r="N267" s="109">
        <v>140600</v>
      </c>
      <c r="O267" s="111" t="s">
        <v>113</v>
      </c>
      <c r="R267" s="107">
        <v>185.6</v>
      </c>
    </row>
    <row r="268" spans="1:18" x14ac:dyDescent="0.2">
      <c r="A268" s="36" t="s">
        <v>1323</v>
      </c>
      <c r="B268" s="111" t="s">
        <v>149</v>
      </c>
      <c r="C268" s="110" t="s">
        <v>1233</v>
      </c>
      <c r="D268" s="81" t="s">
        <v>1234</v>
      </c>
      <c r="H268" s="107">
        <v>28.5</v>
      </c>
      <c r="I268" s="107">
        <v>28500000</v>
      </c>
      <c r="J268" s="107">
        <v>1.4999999999999999E-2</v>
      </c>
      <c r="K268" s="107">
        <v>4275</v>
      </c>
      <c r="L268" s="107">
        <v>181.3</v>
      </c>
      <c r="M268" s="107">
        <v>0.08</v>
      </c>
      <c r="N268" s="109">
        <v>138400</v>
      </c>
      <c r="O268" s="111" t="s">
        <v>113</v>
      </c>
      <c r="R268" s="107">
        <v>183.9</v>
      </c>
    </row>
    <row r="269" spans="1:18" x14ac:dyDescent="0.2">
      <c r="A269" s="18" t="s">
        <v>177</v>
      </c>
      <c r="B269" s="111" t="s">
        <v>63</v>
      </c>
      <c r="C269" s="110" t="s">
        <v>361</v>
      </c>
      <c r="D269" s="81" t="s">
        <v>171</v>
      </c>
      <c r="E269" s="81" t="s">
        <v>71</v>
      </c>
      <c r="F269" s="81" t="s">
        <v>65</v>
      </c>
      <c r="G269" s="81" t="s">
        <v>70</v>
      </c>
      <c r="H269" s="107">
        <v>1.1360000000000001</v>
      </c>
      <c r="I269" s="107">
        <v>1136000.0000000002</v>
      </c>
      <c r="J269" s="107">
        <v>2.5024647887323943</v>
      </c>
      <c r="K269" s="107">
        <v>28428.000000000007</v>
      </c>
      <c r="L269" s="107">
        <v>3.7480000000000002</v>
      </c>
      <c r="M269" s="107">
        <v>3.6</v>
      </c>
      <c r="N269" s="109">
        <v>134800</v>
      </c>
      <c r="O269" s="111" t="s">
        <v>113</v>
      </c>
      <c r="R269" s="107">
        <v>183.6</v>
      </c>
    </row>
    <row r="270" spans="1:18" x14ac:dyDescent="0.2">
      <c r="A270" s="36" t="s">
        <v>1324</v>
      </c>
      <c r="B270" s="111" t="s">
        <v>149</v>
      </c>
      <c r="C270" s="80" t="s">
        <v>1246</v>
      </c>
      <c r="D270" s="81" t="s">
        <v>1215</v>
      </c>
      <c r="H270" s="107">
        <v>44.1</v>
      </c>
      <c r="I270" s="107">
        <v>44100000</v>
      </c>
      <c r="J270" s="107">
        <v>0.08</v>
      </c>
      <c r="K270" s="107">
        <v>35280</v>
      </c>
      <c r="L270" s="107">
        <v>121.5</v>
      </c>
      <c r="M270" s="107">
        <v>0.11</v>
      </c>
      <c r="N270" s="109">
        <v>131700</v>
      </c>
      <c r="O270" s="111" t="s">
        <v>113</v>
      </c>
      <c r="R270" s="107">
        <v>182.9</v>
      </c>
    </row>
    <row r="271" spans="1:18" x14ac:dyDescent="0.2">
      <c r="A271" s="18" t="s">
        <v>177</v>
      </c>
      <c r="B271" s="81" t="s">
        <v>63</v>
      </c>
      <c r="C271" s="110" t="s">
        <v>376</v>
      </c>
      <c r="D271" s="81" t="s">
        <v>356</v>
      </c>
      <c r="E271" s="81" t="s">
        <v>64</v>
      </c>
      <c r="F271" s="81" t="s">
        <v>65</v>
      </c>
      <c r="G271" s="81" t="s">
        <v>70</v>
      </c>
      <c r="H271" s="107">
        <v>0.74960000000000004</v>
      </c>
      <c r="I271" s="107">
        <v>749600</v>
      </c>
      <c r="J271" s="107">
        <v>3.9</v>
      </c>
      <c r="K271" s="107">
        <v>29234.400000000001</v>
      </c>
      <c r="L271" s="107">
        <v>6.835</v>
      </c>
      <c r="M271" s="107">
        <v>1.9</v>
      </c>
      <c r="N271" s="109">
        <v>129800.00000000001</v>
      </c>
      <c r="O271" s="111" t="s">
        <v>113</v>
      </c>
      <c r="R271" s="107">
        <v>182.4</v>
      </c>
    </row>
    <row r="272" spans="1:18" x14ac:dyDescent="0.2">
      <c r="A272" s="36" t="s">
        <v>1324</v>
      </c>
      <c r="B272" s="82" t="s">
        <v>149</v>
      </c>
      <c r="C272" s="80" t="s">
        <v>1239</v>
      </c>
      <c r="D272" s="81" t="s">
        <v>1185</v>
      </c>
      <c r="H272" s="107">
        <v>22.3</v>
      </c>
      <c r="I272" s="107">
        <v>22300000</v>
      </c>
      <c r="J272" s="107">
        <v>4.8744394618834085E-2</v>
      </c>
      <c r="K272" s="107">
        <v>10870</v>
      </c>
      <c r="L272" s="107">
        <v>125.9</v>
      </c>
      <c r="M272" s="107">
        <v>0.1</v>
      </c>
      <c r="N272" s="109">
        <v>127800</v>
      </c>
      <c r="O272" s="111" t="s">
        <v>113</v>
      </c>
      <c r="R272" s="107">
        <v>182</v>
      </c>
    </row>
    <row r="273" spans="1:18" x14ac:dyDescent="0.2">
      <c r="A273" s="36" t="s">
        <v>1323</v>
      </c>
      <c r="B273" s="111" t="s">
        <v>149</v>
      </c>
      <c r="C273" s="110" t="s">
        <v>1190</v>
      </c>
      <c r="D273" s="81" t="s">
        <v>1191</v>
      </c>
      <c r="H273" s="107">
        <v>61.122000000000007</v>
      </c>
      <c r="I273" s="107">
        <v>61122000.000000007</v>
      </c>
      <c r="J273" s="107">
        <v>0.15648526629890436</v>
      </c>
      <c r="K273" s="107">
        <v>95646.924467216333</v>
      </c>
      <c r="L273" s="107">
        <v>79.010000000000005</v>
      </c>
      <c r="M273" s="107">
        <v>0.16</v>
      </c>
      <c r="N273" s="109">
        <v>123700</v>
      </c>
      <c r="O273" s="111" t="s">
        <v>113</v>
      </c>
      <c r="R273" s="107">
        <v>179.3</v>
      </c>
    </row>
    <row r="274" spans="1:18" x14ac:dyDescent="0.2">
      <c r="A274" s="18" t="s">
        <v>177</v>
      </c>
      <c r="B274" s="81" t="s">
        <v>63</v>
      </c>
      <c r="C274" s="80" t="s">
        <v>368</v>
      </c>
      <c r="D274" s="81" t="s">
        <v>356</v>
      </c>
      <c r="E274" s="81" t="s">
        <v>64</v>
      </c>
      <c r="F274" s="81" t="s">
        <v>65</v>
      </c>
      <c r="G274" s="81" t="s">
        <v>70</v>
      </c>
      <c r="H274" s="107">
        <v>1.7980999999999998</v>
      </c>
      <c r="I274" s="107">
        <v>1798099.9999999998</v>
      </c>
      <c r="J274" s="107">
        <v>3.990033924698293</v>
      </c>
      <c r="K274" s="107">
        <v>71744.800000000003</v>
      </c>
      <c r="L274" s="107">
        <v>2.351</v>
      </c>
      <c r="M274" s="107">
        <v>4.96</v>
      </c>
      <c r="N274" s="109">
        <v>116600</v>
      </c>
      <c r="O274" s="111" t="s">
        <v>113</v>
      </c>
      <c r="R274" s="107">
        <v>177.8</v>
      </c>
    </row>
    <row r="275" spans="1:18" x14ac:dyDescent="0.2">
      <c r="A275" s="18" t="s">
        <v>177</v>
      </c>
      <c r="B275" s="81" t="s">
        <v>63</v>
      </c>
      <c r="C275" s="110" t="s">
        <v>371</v>
      </c>
      <c r="D275" s="81" t="s">
        <v>356</v>
      </c>
      <c r="E275" s="81" t="s">
        <v>64</v>
      </c>
      <c r="F275" s="81" t="s">
        <v>65</v>
      </c>
      <c r="G275" s="81" t="s">
        <v>70</v>
      </c>
      <c r="H275" s="107">
        <v>2.109</v>
      </c>
      <c r="I275" s="107">
        <v>2109000</v>
      </c>
      <c r="J275" s="107">
        <v>1.4264580369843527</v>
      </c>
      <c r="K275" s="107">
        <v>30083.999999999996</v>
      </c>
      <c r="L275" s="107">
        <v>10.029999999999999</v>
      </c>
      <c r="M275" s="107">
        <v>0.97</v>
      </c>
      <c r="N275" s="109">
        <v>97700</v>
      </c>
      <c r="O275" s="111" t="s">
        <v>113</v>
      </c>
      <c r="R275" s="107">
        <v>175.8</v>
      </c>
    </row>
    <row r="276" spans="1:18" x14ac:dyDescent="0.2">
      <c r="A276" s="18" t="s">
        <v>177</v>
      </c>
      <c r="B276" s="111" t="s">
        <v>63</v>
      </c>
      <c r="C276" s="110" t="s">
        <v>364</v>
      </c>
      <c r="D276" s="81" t="s">
        <v>365</v>
      </c>
      <c r="E276" s="81" t="s">
        <v>71</v>
      </c>
      <c r="F276" s="81" t="s">
        <v>65</v>
      </c>
      <c r="G276" s="81" t="s">
        <v>70</v>
      </c>
      <c r="H276" s="107">
        <v>0.20799999999999999</v>
      </c>
      <c r="I276" s="107">
        <v>208000</v>
      </c>
      <c r="J276" s="107">
        <v>2.0251923076923082</v>
      </c>
      <c r="K276" s="107">
        <v>4212.4000000000015</v>
      </c>
      <c r="L276" s="107">
        <v>5.6529999999999996</v>
      </c>
      <c r="M276" s="107">
        <v>1.68</v>
      </c>
      <c r="N276" s="109">
        <v>95200</v>
      </c>
      <c r="O276" s="111" t="s">
        <v>113</v>
      </c>
      <c r="R276" s="107">
        <v>171.1</v>
      </c>
    </row>
    <row r="277" spans="1:18" x14ac:dyDescent="0.2">
      <c r="A277" s="36" t="s">
        <v>1323</v>
      </c>
      <c r="B277" s="82" t="s">
        <v>149</v>
      </c>
      <c r="C277" s="80" t="s">
        <v>1255</v>
      </c>
      <c r="D277" s="81" t="s">
        <v>1256</v>
      </c>
      <c r="H277" s="107">
        <v>26.6</v>
      </c>
      <c r="I277" s="107">
        <v>26600000</v>
      </c>
      <c r="J277" s="107">
        <v>6.7923497267759564E-2</v>
      </c>
      <c r="K277" s="107">
        <v>18067.650273224044</v>
      </c>
      <c r="L277" s="107">
        <v>109</v>
      </c>
      <c r="M277" s="107">
        <v>7.0000000000000007E-2</v>
      </c>
      <c r="N277" s="109">
        <v>81600</v>
      </c>
      <c r="O277" s="111" t="s">
        <v>113</v>
      </c>
      <c r="R277" s="107">
        <v>170.8</v>
      </c>
    </row>
    <row r="278" spans="1:18" x14ac:dyDescent="0.2">
      <c r="A278" s="18" t="s">
        <v>177</v>
      </c>
      <c r="B278" s="81" t="s">
        <v>107</v>
      </c>
      <c r="C278" s="80" t="s">
        <v>1010</v>
      </c>
      <c r="D278" s="81" t="s">
        <v>1011</v>
      </c>
      <c r="H278" s="107">
        <v>16.5</v>
      </c>
      <c r="I278" s="107">
        <v>16500000</v>
      </c>
      <c r="J278" s="107">
        <v>0.14000000000000004</v>
      </c>
      <c r="K278" s="107">
        <v>23100.000000000004</v>
      </c>
      <c r="L278" s="107">
        <v>57.2</v>
      </c>
      <c r="M278" s="107">
        <v>0.14000000000000001</v>
      </c>
      <c r="N278" s="109">
        <v>80100</v>
      </c>
      <c r="O278" s="111" t="s">
        <v>113</v>
      </c>
      <c r="R278" s="107">
        <v>170.3</v>
      </c>
    </row>
    <row r="279" spans="1:18" x14ac:dyDescent="0.2">
      <c r="A279" s="18" t="s">
        <v>177</v>
      </c>
      <c r="B279" s="81" t="s">
        <v>82</v>
      </c>
      <c r="C279" s="110" t="s">
        <v>770</v>
      </c>
      <c r="D279" s="81" t="s">
        <v>695</v>
      </c>
      <c r="E279" s="81" t="s">
        <v>71</v>
      </c>
      <c r="H279" s="107">
        <v>0.76096000000000008</v>
      </c>
      <c r="I279" s="107">
        <v>760960.00000000012</v>
      </c>
      <c r="J279" s="107">
        <v>2.1017069753994959</v>
      </c>
      <c r="K279" s="107">
        <v>15993.149400000004</v>
      </c>
      <c r="L279" s="107">
        <v>12.31</v>
      </c>
      <c r="M279" s="107">
        <v>0.64</v>
      </c>
      <c r="N279" s="109">
        <v>78900</v>
      </c>
      <c r="O279" s="111" t="s">
        <v>113</v>
      </c>
      <c r="R279" s="107">
        <v>169.7</v>
      </c>
    </row>
    <row r="280" spans="1:18" x14ac:dyDescent="0.2">
      <c r="A280" s="18" t="s">
        <v>1183</v>
      </c>
      <c r="B280" s="111" t="s">
        <v>149</v>
      </c>
      <c r="C280" s="80" t="s">
        <v>1204</v>
      </c>
      <c r="D280" s="81" t="s">
        <v>1205</v>
      </c>
      <c r="H280" s="107">
        <v>24.125</v>
      </c>
      <c r="I280" s="107">
        <v>24125000</v>
      </c>
      <c r="J280" s="107">
        <v>0.11240231217618901</v>
      </c>
      <c r="K280" s="107">
        <v>27117.057812505598</v>
      </c>
      <c r="L280" s="107">
        <v>56.2</v>
      </c>
      <c r="M280" s="107">
        <v>0.11</v>
      </c>
      <c r="N280" s="109">
        <v>63200</v>
      </c>
      <c r="O280" s="111" t="s">
        <v>113</v>
      </c>
      <c r="R280" s="107">
        <v>169.3</v>
      </c>
    </row>
    <row r="281" spans="1:18" x14ac:dyDescent="0.2">
      <c r="A281" s="18" t="s">
        <v>177</v>
      </c>
      <c r="B281" s="115" t="s">
        <v>105</v>
      </c>
      <c r="C281" s="80" t="s">
        <v>1001</v>
      </c>
      <c r="D281" s="81" t="s">
        <v>131</v>
      </c>
      <c r="H281" s="107">
        <v>0</v>
      </c>
      <c r="I281" s="107">
        <v>0</v>
      </c>
      <c r="K281" s="107">
        <v>0</v>
      </c>
      <c r="L281" s="107">
        <v>34</v>
      </c>
      <c r="M281" s="107">
        <v>0.17</v>
      </c>
      <c r="N281" s="109">
        <v>57800</v>
      </c>
      <c r="O281" s="111" t="s">
        <v>113</v>
      </c>
      <c r="R281" s="107">
        <v>169</v>
      </c>
    </row>
    <row r="282" spans="1:18" x14ac:dyDescent="0.2">
      <c r="A282" s="18" t="s">
        <v>595</v>
      </c>
      <c r="B282" s="81" t="s">
        <v>82</v>
      </c>
      <c r="C282" s="80" t="s">
        <v>696</v>
      </c>
      <c r="D282" s="81" t="s">
        <v>697</v>
      </c>
      <c r="E282" s="81" t="s">
        <v>64</v>
      </c>
      <c r="H282" s="107">
        <v>38.878</v>
      </c>
      <c r="I282" s="107">
        <v>38878000</v>
      </c>
      <c r="J282" s="107">
        <v>6.8719327125880969E-2</v>
      </c>
      <c r="K282" s="107">
        <v>26716.700000000008</v>
      </c>
      <c r="L282" s="107">
        <v>81.22</v>
      </c>
      <c r="M282" s="107">
        <v>7.0000000000000007E-2</v>
      </c>
      <c r="N282" s="109">
        <v>57100</v>
      </c>
      <c r="O282" s="111" t="s">
        <v>113</v>
      </c>
      <c r="Q282" s="107">
        <v>120.738614</v>
      </c>
      <c r="R282" s="107">
        <v>167</v>
      </c>
    </row>
    <row r="283" spans="1:18" x14ac:dyDescent="0.2">
      <c r="A283" s="18" t="s">
        <v>177</v>
      </c>
      <c r="B283" s="81" t="s">
        <v>82</v>
      </c>
      <c r="C283" s="80" t="s">
        <v>755</v>
      </c>
      <c r="D283" s="81" t="s">
        <v>756</v>
      </c>
      <c r="E283" s="81" t="s">
        <v>71</v>
      </c>
      <c r="H283" s="107">
        <v>11.827999999999999</v>
      </c>
      <c r="I283" s="107">
        <v>11828000</v>
      </c>
      <c r="J283" s="107">
        <v>0.33</v>
      </c>
      <c r="K283" s="107">
        <v>39032.400000000001</v>
      </c>
      <c r="L283" s="107">
        <v>15.25</v>
      </c>
      <c r="M283" s="107">
        <v>0.35</v>
      </c>
      <c r="N283" s="109">
        <v>53800</v>
      </c>
      <c r="O283" s="111" t="s">
        <v>113</v>
      </c>
      <c r="R283" s="107">
        <v>165.6</v>
      </c>
    </row>
    <row r="284" spans="1:18" x14ac:dyDescent="0.2">
      <c r="A284" s="18" t="s">
        <v>177</v>
      </c>
      <c r="B284" s="115" t="s">
        <v>105</v>
      </c>
      <c r="C284" s="80" t="s">
        <v>998</v>
      </c>
      <c r="D284" s="81" t="s">
        <v>131</v>
      </c>
      <c r="H284" s="107">
        <v>0</v>
      </c>
      <c r="I284" s="107">
        <v>0</v>
      </c>
      <c r="K284" s="107">
        <v>0</v>
      </c>
      <c r="L284" s="107">
        <v>8.3000000000000007</v>
      </c>
      <c r="M284" s="107">
        <v>0.6</v>
      </c>
      <c r="N284" s="109">
        <v>49800</v>
      </c>
      <c r="O284" s="111" t="s">
        <v>113</v>
      </c>
      <c r="R284" s="107">
        <v>161</v>
      </c>
    </row>
    <row r="285" spans="1:18" x14ac:dyDescent="0.2">
      <c r="A285" s="18" t="s">
        <v>190</v>
      </c>
      <c r="B285" s="81" t="s">
        <v>63</v>
      </c>
      <c r="C285" s="113" t="s">
        <v>265</v>
      </c>
      <c r="D285" s="81" t="s">
        <v>266</v>
      </c>
      <c r="E285" s="81" t="s">
        <v>69</v>
      </c>
      <c r="F285" s="81" t="s">
        <v>72</v>
      </c>
      <c r="G285" s="81" t="s">
        <v>92</v>
      </c>
      <c r="H285" s="107">
        <v>4.7</v>
      </c>
      <c r="I285" s="107">
        <v>4700000</v>
      </c>
      <c r="J285" s="107">
        <v>0.91</v>
      </c>
      <c r="K285" s="107">
        <v>42770</v>
      </c>
      <c r="L285" s="107">
        <v>4.5</v>
      </c>
      <c r="M285" s="107">
        <v>1.06</v>
      </c>
      <c r="N285" s="109">
        <v>47700</v>
      </c>
      <c r="O285" s="111" t="s">
        <v>31</v>
      </c>
      <c r="Q285" s="107">
        <v>11</v>
      </c>
      <c r="R285" s="107">
        <v>158.1</v>
      </c>
    </row>
    <row r="286" spans="1:18" x14ac:dyDescent="0.2">
      <c r="A286" s="18" t="s">
        <v>177</v>
      </c>
      <c r="B286" s="78" t="s">
        <v>105</v>
      </c>
      <c r="C286" s="80" t="s">
        <v>994</v>
      </c>
      <c r="D286" s="81" t="s">
        <v>131</v>
      </c>
      <c r="H286" s="107">
        <v>0</v>
      </c>
      <c r="I286" s="107">
        <v>0</v>
      </c>
      <c r="K286" s="107">
        <v>0</v>
      </c>
      <c r="L286" s="107">
        <v>3.8</v>
      </c>
      <c r="M286" s="107">
        <v>1.03</v>
      </c>
      <c r="N286" s="109">
        <v>39100</v>
      </c>
      <c r="O286" s="111" t="s">
        <v>113</v>
      </c>
      <c r="Q286" s="107">
        <v>37.522399999999998</v>
      </c>
      <c r="R286" s="107">
        <v>157.9</v>
      </c>
    </row>
    <row r="287" spans="1:18" x14ac:dyDescent="0.2">
      <c r="A287" s="18" t="s">
        <v>190</v>
      </c>
      <c r="B287" s="111" t="s">
        <v>63</v>
      </c>
      <c r="C287" s="79" t="s">
        <v>348</v>
      </c>
      <c r="D287" s="81" t="s">
        <v>349</v>
      </c>
      <c r="E287" s="81" t="s">
        <v>69</v>
      </c>
      <c r="F287" s="81" t="s">
        <v>72</v>
      </c>
      <c r="G287" s="81" t="s">
        <v>211</v>
      </c>
      <c r="H287" s="107">
        <v>3.99</v>
      </c>
      <c r="I287" s="107">
        <v>3990000</v>
      </c>
      <c r="J287" s="107">
        <v>0.12999999999999998</v>
      </c>
      <c r="K287" s="107">
        <v>5186.9999999999991</v>
      </c>
      <c r="L287" s="107">
        <v>35.6</v>
      </c>
      <c r="M287" s="107">
        <v>0.1</v>
      </c>
      <c r="N287" s="109">
        <v>36100</v>
      </c>
      <c r="O287" s="111" t="s">
        <v>31</v>
      </c>
      <c r="R287" s="107">
        <v>156.4</v>
      </c>
    </row>
    <row r="288" spans="1:18" x14ac:dyDescent="0.2">
      <c r="A288" s="18" t="s">
        <v>177</v>
      </c>
      <c r="B288" s="81" t="s">
        <v>128</v>
      </c>
      <c r="C288" s="80" t="s">
        <v>1086</v>
      </c>
      <c r="D288" s="81" t="s">
        <v>1045</v>
      </c>
      <c r="E288" s="81" t="s">
        <v>71</v>
      </c>
      <c r="H288" s="107">
        <v>3.45</v>
      </c>
      <c r="I288" s="107">
        <v>3450000</v>
      </c>
      <c r="J288" s="107">
        <v>0.65217391304347827</v>
      </c>
      <c r="K288" s="107">
        <v>22500</v>
      </c>
      <c r="L288" s="107">
        <v>5.8339999999999996</v>
      </c>
      <c r="M288" s="107">
        <v>0.6</v>
      </c>
      <c r="N288" s="109">
        <v>34900</v>
      </c>
      <c r="O288" s="111" t="s">
        <v>113</v>
      </c>
      <c r="R288" s="107">
        <v>155.30000000000001</v>
      </c>
    </row>
    <row r="289" spans="1:18" x14ac:dyDescent="0.2">
      <c r="A289" s="18" t="s">
        <v>1183</v>
      </c>
      <c r="B289" s="111" t="s">
        <v>149</v>
      </c>
      <c r="C289" s="110" t="s">
        <v>1257</v>
      </c>
      <c r="D289" s="81" t="s">
        <v>1009</v>
      </c>
      <c r="H289" s="107">
        <v>20.7</v>
      </c>
      <c r="I289" s="107">
        <v>20700000</v>
      </c>
      <c r="J289" s="107">
        <v>0.11240231217618901</v>
      </c>
      <c r="K289" s="107">
        <v>23267.278620471123</v>
      </c>
      <c r="L289" s="107">
        <v>30.2</v>
      </c>
      <c r="M289" s="107">
        <v>0.11</v>
      </c>
      <c r="N289" s="109">
        <v>33900</v>
      </c>
      <c r="O289" s="111" t="s">
        <v>113</v>
      </c>
      <c r="R289" s="107">
        <v>154.80000000000001</v>
      </c>
    </row>
    <row r="290" spans="1:18" x14ac:dyDescent="0.2">
      <c r="A290" s="18" t="s">
        <v>177</v>
      </c>
      <c r="B290" s="115" t="s">
        <v>105</v>
      </c>
      <c r="C290" s="80" t="s">
        <v>1005</v>
      </c>
      <c r="D290" s="81" t="s">
        <v>131</v>
      </c>
      <c r="H290" s="107">
        <v>0</v>
      </c>
      <c r="I290" s="107">
        <v>0</v>
      </c>
      <c r="K290" s="107">
        <v>0</v>
      </c>
      <c r="L290" s="107">
        <v>3</v>
      </c>
      <c r="M290" s="107">
        <v>1</v>
      </c>
      <c r="N290" s="109">
        <v>30000</v>
      </c>
      <c r="O290" s="111" t="s">
        <v>113</v>
      </c>
      <c r="Q290" s="107">
        <v>46.85469491214397</v>
      </c>
      <c r="R290" s="107">
        <v>152.9</v>
      </c>
    </row>
    <row r="291" spans="1:18" x14ac:dyDescent="0.2">
      <c r="A291" s="18" t="s">
        <v>177</v>
      </c>
      <c r="B291" s="81" t="s">
        <v>103</v>
      </c>
      <c r="C291" s="80" t="s">
        <v>925</v>
      </c>
      <c r="D291" s="81" t="s">
        <v>131</v>
      </c>
      <c r="E291" s="81" t="s">
        <v>71</v>
      </c>
      <c r="G291" s="81" t="s">
        <v>70</v>
      </c>
      <c r="H291" s="107">
        <v>1.6560000000000001</v>
      </c>
      <c r="I291" s="107">
        <v>1656000.0000000002</v>
      </c>
      <c r="J291" s="107">
        <v>0.46359299516908203</v>
      </c>
      <c r="K291" s="107">
        <v>7677.0999999999995</v>
      </c>
      <c r="L291" s="107">
        <v>4.72</v>
      </c>
      <c r="M291" s="107">
        <v>0.51</v>
      </c>
      <c r="N291" s="109">
        <v>24300</v>
      </c>
      <c r="O291" s="111" t="s">
        <v>113</v>
      </c>
      <c r="R291" s="107">
        <v>151.69999999999999</v>
      </c>
    </row>
    <row r="292" spans="1:18" x14ac:dyDescent="0.2">
      <c r="A292" s="18" t="s">
        <v>1195</v>
      </c>
      <c r="B292" s="81" t="s">
        <v>149</v>
      </c>
      <c r="C292" s="80" t="s">
        <v>1245</v>
      </c>
      <c r="D292" s="81" t="s">
        <v>1009</v>
      </c>
      <c r="H292" s="107">
        <v>11.9</v>
      </c>
      <c r="I292" s="107">
        <v>11900000</v>
      </c>
      <c r="J292" s="107">
        <v>0.112402312176189</v>
      </c>
      <c r="K292" s="107">
        <v>13375.875148966492</v>
      </c>
      <c r="L292" s="107">
        <v>21.2</v>
      </c>
      <c r="M292" s="107">
        <v>0.11</v>
      </c>
      <c r="N292" s="109">
        <v>23800</v>
      </c>
      <c r="O292" s="111" t="s">
        <v>113</v>
      </c>
      <c r="R292" s="107">
        <v>150.80000000000001</v>
      </c>
    </row>
    <row r="293" spans="1:18" x14ac:dyDescent="0.2">
      <c r="A293" s="18" t="s">
        <v>177</v>
      </c>
      <c r="B293" s="81" t="s">
        <v>103</v>
      </c>
      <c r="C293" s="16" t="s">
        <v>952</v>
      </c>
      <c r="D293" s="81" t="s">
        <v>940</v>
      </c>
      <c r="E293" s="81" t="s">
        <v>64</v>
      </c>
      <c r="H293" s="107">
        <v>1.3359999999999999</v>
      </c>
      <c r="I293" s="107">
        <v>1335999.9999999998</v>
      </c>
      <c r="J293" s="107">
        <v>0.23845059880239525</v>
      </c>
      <c r="K293" s="107">
        <v>3185.7</v>
      </c>
      <c r="L293" s="107">
        <v>8.2219999999999995</v>
      </c>
      <c r="M293" s="107">
        <v>0.27</v>
      </c>
      <c r="N293" s="109">
        <v>22400</v>
      </c>
      <c r="O293" s="111" t="s">
        <v>118</v>
      </c>
      <c r="Q293" s="107">
        <v>8.8985000000000003</v>
      </c>
      <c r="R293" s="107">
        <v>148</v>
      </c>
    </row>
    <row r="294" spans="1:18" x14ac:dyDescent="0.2">
      <c r="A294" s="18" t="s">
        <v>1183</v>
      </c>
      <c r="B294" s="81" t="s">
        <v>149</v>
      </c>
      <c r="C294" s="110" t="s">
        <v>1223</v>
      </c>
      <c r="D294" s="81" t="s">
        <v>1224</v>
      </c>
      <c r="H294" s="107">
        <v>16</v>
      </c>
      <c r="I294" s="107">
        <v>16000000</v>
      </c>
      <c r="J294" s="107">
        <v>0.05</v>
      </c>
      <c r="K294" s="107">
        <v>8000</v>
      </c>
      <c r="L294" s="107">
        <v>43.5</v>
      </c>
      <c r="M294" s="107">
        <v>0.05</v>
      </c>
      <c r="N294" s="109">
        <v>21800</v>
      </c>
      <c r="O294" s="111" t="s">
        <v>113</v>
      </c>
      <c r="R294" s="107">
        <v>147.69999999999999</v>
      </c>
    </row>
    <row r="295" spans="1:18" x14ac:dyDescent="0.2">
      <c r="A295" s="18" t="s">
        <v>177</v>
      </c>
      <c r="B295" s="81" t="s">
        <v>82</v>
      </c>
      <c r="C295" s="110" t="s">
        <v>722</v>
      </c>
      <c r="D295" s="81" t="s">
        <v>719</v>
      </c>
      <c r="E295" s="81" t="s">
        <v>71</v>
      </c>
      <c r="H295" s="107">
        <v>0.25990000000000002</v>
      </c>
      <c r="I295" s="107">
        <v>259900.00000000003</v>
      </c>
      <c r="J295" s="107">
        <v>1.0468064640246248</v>
      </c>
      <c r="K295" s="107">
        <v>2720.6500000000005</v>
      </c>
      <c r="L295" s="107">
        <v>1.3360000000000001</v>
      </c>
      <c r="M295" s="107">
        <v>1.53</v>
      </c>
      <c r="N295" s="109">
        <v>20400</v>
      </c>
      <c r="O295" s="111" t="s">
        <v>113</v>
      </c>
      <c r="R295" s="107">
        <v>147.6</v>
      </c>
    </row>
    <row r="296" spans="1:18" x14ac:dyDescent="0.2">
      <c r="A296" s="20" t="s">
        <v>166</v>
      </c>
      <c r="B296" s="111" t="s">
        <v>144</v>
      </c>
      <c r="C296" s="80" t="s">
        <v>1156</v>
      </c>
      <c r="D296" s="81" t="s">
        <v>1157</v>
      </c>
      <c r="E296" s="81" t="s">
        <v>64</v>
      </c>
      <c r="H296" s="107">
        <v>5.9999999999999991E-2</v>
      </c>
      <c r="I296" s="107">
        <v>59999.999999999993</v>
      </c>
      <c r="J296" s="107">
        <v>1</v>
      </c>
      <c r="K296" s="107">
        <v>600</v>
      </c>
      <c r="L296" s="107">
        <v>1.82</v>
      </c>
      <c r="M296" s="107">
        <v>1</v>
      </c>
      <c r="N296" s="109">
        <v>18200</v>
      </c>
      <c r="O296" s="111" t="s">
        <v>113</v>
      </c>
      <c r="R296" s="107">
        <v>145.9</v>
      </c>
    </row>
    <row r="297" spans="1:18" x14ac:dyDescent="0.2">
      <c r="A297" s="18" t="s">
        <v>177</v>
      </c>
      <c r="B297" s="111" t="s">
        <v>63</v>
      </c>
      <c r="C297" s="110" t="s">
        <v>415</v>
      </c>
      <c r="D297" s="81" t="s">
        <v>308</v>
      </c>
      <c r="E297" s="81" t="s">
        <v>69</v>
      </c>
      <c r="F297" s="81" t="s">
        <v>65</v>
      </c>
      <c r="G297" s="81" t="s">
        <v>70</v>
      </c>
      <c r="H297" s="107">
        <v>3.8934999999999997E-2</v>
      </c>
      <c r="I297" s="107">
        <v>38935</v>
      </c>
      <c r="J297" s="107">
        <v>2.94</v>
      </c>
      <c r="K297" s="107">
        <v>1144.6889999999999</v>
      </c>
      <c r="L297" s="107">
        <v>1.706</v>
      </c>
      <c r="M297" s="107">
        <v>1</v>
      </c>
      <c r="N297" s="109">
        <v>17100</v>
      </c>
      <c r="O297" s="111" t="s">
        <v>113</v>
      </c>
      <c r="R297" s="107">
        <v>145.80000000000001</v>
      </c>
    </row>
    <row r="298" spans="1:18" x14ac:dyDescent="0.2">
      <c r="A298" s="18" t="s">
        <v>177</v>
      </c>
      <c r="B298" s="115" t="s">
        <v>105</v>
      </c>
      <c r="C298" s="80" t="s">
        <v>1000</v>
      </c>
      <c r="D298" s="81" t="s">
        <v>131</v>
      </c>
      <c r="H298" s="107">
        <v>0</v>
      </c>
      <c r="I298" s="107">
        <v>0</v>
      </c>
      <c r="K298" s="107">
        <v>0</v>
      </c>
      <c r="L298" s="107">
        <v>6.7</v>
      </c>
      <c r="M298" s="107">
        <v>0.23</v>
      </c>
      <c r="N298" s="109">
        <v>15400</v>
      </c>
      <c r="O298" s="111" t="s">
        <v>113</v>
      </c>
      <c r="R298" s="107">
        <v>145.6</v>
      </c>
    </row>
    <row r="299" spans="1:18" x14ac:dyDescent="0.2">
      <c r="A299" s="18" t="s">
        <v>177</v>
      </c>
      <c r="B299" s="111" t="s">
        <v>85</v>
      </c>
      <c r="C299" s="110" t="s">
        <v>861</v>
      </c>
      <c r="D299" s="81" t="s">
        <v>131</v>
      </c>
      <c r="E299" s="81" t="s">
        <v>69</v>
      </c>
      <c r="H299" s="107">
        <v>12.712999999999999</v>
      </c>
      <c r="I299" s="107">
        <v>12713000</v>
      </c>
      <c r="J299" s="107">
        <v>0.12</v>
      </c>
      <c r="K299" s="107">
        <v>15255.599999999999</v>
      </c>
      <c r="L299" s="107">
        <v>12.71</v>
      </c>
      <c r="M299" s="107">
        <v>0.12</v>
      </c>
      <c r="N299" s="109">
        <v>15300</v>
      </c>
      <c r="O299" s="111" t="s">
        <v>113</v>
      </c>
      <c r="R299" s="107">
        <v>144</v>
      </c>
    </row>
    <row r="300" spans="1:18" hidden="1" x14ac:dyDescent="0.2">
      <c r="A300" s="36" t="s">
        <v>1323</v>
      </c>
      <c r="B300" s="82" t="s">
        <v>149</v>
      </c>
      <c r="C300" s="80" t="s">
        <v>1225</v>
      </c>
      <c r="D300" s="81" t="s">
        <v>1226</v>
      </c>
      <c r="H300" s="107">
        <v>0</v>
      </c>
      <c r="I300" s="107">
        <v>0</v>
      </c>
      <c r="K300" s="107">
        <v>0</v>
      </c>
      <c r="L300" s="107">
        <v>148.80000000000001</v>
      </c>
      <c r="M300" s="107">
        <v>0.13</v>
      </c>
      <c r="N300" s="109">
        <v>196400</v>
      </c>
      <c r="O300" s="81" t="s">
        <v>113</v>
      </c>
      <c r="R300" s="107">
        <v>143.5</v>
      </c>
    </row>
    <row r="301" spans="1:18" hidden="1" x14ac:dyDescent="0.2">
      <c r="A301" s="18" t="s">
        <v>190</v>
      </c>
      <c r="B301" s="81" t="s">
        <v>63</v>
      </c>
      <c r="C301" s="79" t="s">
        <v>436</v>
      </c>
      <c r="D301" s="81" t="s">
        <v>289</v>
      </c>
      <c r="E301" s="81" t="s">
        <v>69</v>
      </c>
      <c r="F301" s="81" t="s">
        <v>65</v>
      </c>
      <c r="G301" s="81" t="s">
        <v>211</v>
      </c>
      <c r="H301" s="107">
        <v>0</v>
      </c>
      <c r="I301" s="107">
        <v>0</v>
      </c>
      <c r="K301" s="107">
        <v>0</v>
      </c>
      <c r="L301" s="107">
        <v>25.93</v>
      </c>
      <c r="M301" s="107">
        <v>0.74</v>
      </c>
      <c r="N301" s="109">
        <v>192700</v>
      </c>
      <c r="O301" s="81" t="s">
        <v>31</v>
      </c>
      <c r="Q301" s="107">
        <v>17.82</v>
      </c>
      <c r="R301" s="107">
        <v>142.19999999999999</v>
      </c>
    </row>
    <row r="302" spans="1:18" hidden="1" x14ac:dyDescent="0.2">
      <c r="A302" s="25" t="s">
        <v>190</v>
      </c>
      <c r="B302" s="81" t="s">
        <v>85</v>
      </c>
      <c r="C302" s="79" t="s">
        <v>869</v>
      </c>
      <c r="D302" s="81" t="s">
        <v>131</v>
      </c>
      <c r="E302" s="81" t="s">
        <v>69</v>
      </c>
      <c r="H302" s="107">
        <v>0</v>
      </c>
      <c r="I302" s="107">
        <v>0</v>
      </c>
      <c r="K302" s="107">
        <v>0</v>
      </c>
      <c r="L302" s="107">
        <v>18</v>
      </c>
      <c r="M302" s="107">
        <v>1.07</v>
      </c>
      <c r="N302" s="109">
        <v>192600</v>
      </c>
      <c r="O302" s="81" t="s">
        <v>31</v>
      </c>
      <c r="R302" s="107">
        <v>141.5</v>
      </c>
    </row>
    <row r="303" spans="1:18" hidden="1" x14ac:dyDescent="0.2">
      <c r="A303" s="18" t="s">
        <v>177</v>
      </c>
      <c r="B303" s="81" t="s">
        <v>63</v>
      </c>
      <c r="C303" s="80" t="s">
        <v>350</v>
      </c>
      <c r="D303" s="81" t="s">
        <v>99</v>
      </c>
      <c r="E303" s="81" t="s">
        <v>69</v>
      </c>
      <c r="F303" s="81" t="s">
        <v>72</v>
      </c>
      <c r="G303" s="81" t="s">
        <v>70</v>
      </c>
      <c r="H303" s="107">
        <v>0</v>
      </c>
      <c r="I303" s="107">
        <v>0</v>
      </c>
      <c r="K303" s="107">
        <v>0</v>
      </c>
      <c r="L303" s="107">
        <v>39.700000000000003</v>
      </c>
      <c r="M303" s="107">
        <v>0.48</v>
      </c>
      <c r="N303" s="109">
        <v>192300</v>
      </c>
      <c r="O303" s="81" t="s">
        <v>113</v>
      </c>
      <c r="Q303" s="107">
        <v>107.22</v>
      </c>
      <c r="R303" s="107">
        <v>140.6</v>
      </c>
    </row>
    <row r="304" spans="1:18" hidden="1" x14ac:dyDescent="0.2">
      <c r="A304" s="18" t="s">
        <v>190</v>
      </c>
      <c r="B304" s="81" t="s">
        <v>63</v>
      </c>
      <c r="C304" s="79" t="s">
        <v>302</v>
      </c>
      <c r="D304" s="81" t="s">
        <v>303</v>
      </c>
      <c r="E304" s="81" t="s">
        <v>69</v>
      </c>
      <c r="F304" s="81" t="s">
        <v>72</v>
      </c>
      <c r="G304" s="81" t="s">
        <v>211</v>
      </c>
      <c r="H304" s="107">
        <v>0</v>
      </c>
      <c r="I304" s="107">
        <v>0</v>
      </c>
      <c r="K304" s="107">
        <v>0</v>
      </c>
      <c r="L304" s="107">
        <v>30</v>
      </c>
      <c r="M304" s="107">
        <v>0.64</v>
      </c>
      <c r="N304" s="109">
        <v>192000</v>
      </c>
      <c r="O304" s="81" t="s">
        <v>31</v>
      </c>
      <c r="Q304" s="107">
        <v>4.2750000000000004</v>
      </c>
      <c r="R304" s="107">
        <v>138.4</v>
      </c>
    </row>
    <row r="305" spans="1:18" hidden="1" x14ac:dyDescent="0.2">
      <c r="A305" s="18" t="s">
        <v>177</v>
      </c>
      <c r="B305" s="81" t="s">
        <v>63</v>
      </c>
      <c r="C305" s="80" t="s">
        <v>227</v>
      </c>
      <c r="D305" s="81" t="s">
        <v>66</v>
      </c>
      <c r="E305" s="81" t="s">
        <v>69</v>
      </c>
      <c r="F305" s="81" t="s">
        <v>65</v>
      </c>
      <c r="G305" s="81" t="s">
        <v>70</v>
      </c>
      <c r="H305" s="107">
        <v>0</v>
      </c>
      <c r="I305" s="107">
        <v>0</v>
      </c>
      <c r="K305" s="107">
        <v>0</v>
      </c>
      <c r="L305" s="107">
        <v>7.37</v>
      </c>
      <c r="M305" s="107">
        <v>2.58</v>
      </c>
      <c r="N305" s="109">
        <v>190100</v>
      </c>
      <c r="O305" s="81" t="s">
        <v>113</v>
      </c>
      <c r="R305" s="107">
        <v>135.80000000000001</v>
      </c>
    </row>
    <row r="306" spans="1:18" hidden="1" x14ac:dyDescent="0.2">
      <c r="A306" s="18" t="s">
        <v>177</v>
      </c>
      <c r="B306" s="81" t="s">
        <v>82</v>
      </c>
      <c r="C306" s="80" t="s">
        <v>727</v>
      </c>
      <c r="D306" s="81" t="s">
        <v>728</v>
      </c>
      <c r="E306" s="81" t="s">
        <v>69</v>
      </c>
      <c r="H306" s="107">
        <v>0</v>
      </c>
      <c r="I306" s="107">
        <v>0</v>
      </c>
      <c r="K306" s="107">
        <v>0</v>
      </c>
      <c r="L306" s="107">
        <v>58.06</v>
      </c>
      <c r="M306" s="107">
        <v>0.32</v>
      </c>
      <c r="N306" s="109">
        <v>185600</v>
      </c>
      <c r="O306" s="81" t="s">
        <v>113</v>
      </c>
      <c r="R306" s="107">
        <v>135.5</v>
      </c>
    </row>
    <row r="307" spans="1:18" hidden="1" x14ac:dyDescent="0.2">
      <c r="A307" s="25" t="s">
        <v>190</v>
      </c>
      <c r="B307" s="81" t="s">
        <v>86</v>
      </c>
      <c r="C307" s="79" t="s">
        <v>883</v>
      </c>
      <c r="D307" s="81" t="s">
        <v>131</v>
      </c>
      <c r="E307" s="81" t="s">
        <v>69</v>
      </c>
      <c r="H307" s="107">
        <v>0</v>
      </c>
      <c r="I307" s="107">
        <v>0</v>
      </c>
      <c r="K307" s="107">
        <v>0</v>
      </c>
      <c r="L307" s="107">
        <v>22.7</v>
      </c>
      <c r="M307" s="107">
        <v>0.81</v>
      </c>
      <c r="N307" s="109">
        <v>183900</v>
      </c>
      <c r="O307" s="81" t="s">
        <v>31</v>
      </c>
      <c r="R307" s="107">
        <v>135.30000000000001</v>
      </c>
    </row>
    <row r="308" spans="1:18" hidden="1" x14ac:dyDescent="0.2">
      <c r="A308" s="18" t="s">
        <v>177</v>
      </c>
      <c r="B308" s="81" t="s">
        <v>85</v>
      </c>
      <c r="C308" s="80" t="s">
        <v>847</v>
      </c>
      <c r="D308" s="81" t="s">
        <v>131</v>
      </c>
      <c r="E308" s="81" t="s">
        <v>69</v>
      </c>
      <c r="H308" s="107">
        <v>0</v>
      </c>
      <c r="I308" s="107">
        <v>0</v>
      </c>
      <c r="K308" s="107">
        <v>0</v>
      </c>
      <c r="L308" s="107">
        <v>20.86</v>
      </c>
      <c r="M308" s="107">
        <v>0.88</v>
      </c>
      <c r="N308" s="109">
        <v>183600</v>
      </c>
      <c r="O308" s="81" t="s">
        <v>113</v>
      </c>
      <c r="Q308" s="107">
        <v>28.428000000000008</v>
      </c>
      <c r="R308" s="107">
        <v>134.80000000000001</v>
      </c>
    </row>
    <row r="309" spans="1:18" hidden="1" x14ac:dyDescent="0.2">
      <c r="A309" s="18" t="s">
        <v>177</v>
      </c>
      <c r="B309" s="81" t="s">
        <v>63</v>
      </c>
      <c r="C309" s="80" t="s">
        <v>228</v>
      </c>
      <c r="D309" s="81" t="s">
        <v>66</v>
      </c>
      <c r="E309" s="81" t="s">
        <v>69</v>
      </c>
      <c r="F309" s="81" t="s">
        <v>65</v>
      </c>
      <c r="G309" s="81" t="s">
        <v>70</v>
      </c>
      <c r="H309" s="107">
        <v>0</v>
      </c>
      <c r="I309" s="107">
        <v>0</v>
      </c>
      <c r="K309" s="107">
        <v>0</v>
      </c>
      <c r="L309" s="107">
        <v>31</v>
      </c>
      <c r="M309" s="107">
        <v>0.59</v>
      </c>
      <c r="N309" s="109">
        <v>182900</v>
      </c>
      <c r="O309" s="81" t="s">
        <v>113</v>
      </c>
      <c r="R309" s="107">
        <v>133.80000000000001</v>
      </c>
    </row>
    <row r="310" spans="1:18" hidden="1" x14ac:dyDescent="0.2">
      <c r="A310" s="18" t="s">
        <v>595</v>
      </c>
      <c r="B310" s="81" t="s">
        <v>85</v>
      </c>
      <c r="C310" s="80" t="s">
        <v>822</v>
      </c>
      <c r="D310" s="81" t="s">
        <v>131</v>
      </c>
      <c r="E310" s="81" t="s">
        <v>69</v>
      </c>
      <c r="H310" s="107">
        <v>0</v>
      </c>
      <c r="I310" s="107">
        <v>0</v>
      </c>
      <c r="K310" s="107">
        <v>0</v>
      </c>
      <c r="L310" s="107">
        <v>260.5</v>
      </c>
      <c r="M310" s="107">
        <v>7.0000000000000007E-2</v>
      </c>
      <c r="N310" s="109">
        <v>182400</v>
      </c>
      <c r="O310" s="81" t="s">
        <v>113</v>
      </c>
      <c r="R310" s="107">
        <v>132.6</v>
      </c>
    </row>
    <row r="311" spans="1:18" hidden="1" x14ac:dyDescent="0.2">
      <c r="A311" s="25" t="s">
        <v>190</v>
      </c>
      <c r="B311" s="81" t="s">
        <v>79</v>
      </c>
      <c r="C311" s="79" t="s">
        <v>622</v>
      </c>
      <c r="D311" s="81" t="s">
        <v>131</v>
      </c>
      <c r="E311" s="81" t="s">
        <v>69</v>
      </c>
      <c r="H311" s="107">
        <v>0</v>
      </c>
      <c r="I311" s="107">
        <v>0</v>
      </c>
      <c r="K311" s="107">
        <v>0</v>
      </c>
      <c r="L311" s="107">
        <v>13</v>
      </c>
      <c r="M311" s="107">
        <v>1.4</v>
      </c>
      <c r="N311" s="109">
        <v>182000</v>
      </c>
      <c r="O311" s="81" t="s">
        <v>31</v>
      </c>
      <c r="R311" s="107">
        <v>132.1</v>
      </c>
    </row>
    <row r="312" spans="1:18" hidden="1" x14ac:dyDescent="0.2">
      <c r="A312" s="18" t="s">
        <v>190</v>
      </c>
      <c r="B312" s="81" t="s">
        <v>63</v>
      </c>
      <c r="C312" s="79" t="s">
        <v>322</v>
      </c>
      <c r="D312" s="81" t="s">
        <v>196</v>
      </c>
      <c r="E312" s="81" t="s">
        <v>69</v>
      </c>
      <c r="F312" s="81" t="s">
        <v>72</v>
      </c>
      <c r="G312" s="81" t="s">
        <v>211</v>
      </c>
      <c r="H312" s="107">
        <v>0</v>
      </c>
      <c r="I312" s="107">
        <v>0</v>
      </c>
      <c r="K312" s="107">
        <v>0</v>
      </c>
      <c r="L312" s="107">
        <v>21</v>
      </c>
      <c r="M312" s="107">
        <v>0.85</v>
      </c>
      <c r="N312" s="109">
        <v>179300</v>
      </c>
      <c r="O312" s="81" t="s">
        <v>31</v>
      </c>
      <c r="Q312" s="107">
        <v>35.28</v>
      </c>
      <c r="R312" s="107">
        <v>131.69999999999999</v>
      </c>
    </row>
    <row r="313" spans="1:18" hidden="1" x14ac:dyDescent="0.2">
      <c r="A313" s="18" t="s">
        <v>190</v>
      </c>
      <c r="B313" s="81" t="s">
        <v>63</v>
      </c>
      <c r="C313" s="79" t="s">
        <v>305</v>
      </c>
      <c r="D313" s="81" t="s">
        <v>306</v>
      </c>
      <c r="E313" s="81" t="s">
        <v>69</v>
      </c>
      <c r="F313" s="81" t="s">
        <v>72</v>
      </c>
      <c r="G313" s="81" t="s">
        <v>211</v>
      </c>
      <c r="H313" s="107">
        <v>0</v>
      </c>
      <c r="I313" s="107">
        <v>0</v>
      </c>
      <c r="K313" s="107">
        <v>0</v>
      </c>
      <c r="L313" s="107">
        <v>31.94</v>
      </c>
      <c r="M313" s="107">
        <v>0.56000000000000005</v>
      </c>
      <c r="N313" s="109">
        <v>177800</v>
      </c>
      <c r="O313" s="81" t="s">
        <v>31</v>
      </c>
      <c r="Q313" s="107">
        <v>29.234400000000001</v>
      </c>
      <c r="R313" s="107">
        <v>129.80000000000001</v>
      </c>
    </row>
    <row r="314" spans="1:18" hidden="1" x14ac:dyDescent="0.2">
      <c r="A314" s="18" t="s">
        <v>177</v>
      </c>
      <c r="B314" s="81" t="s">
        <v>107</v>
      </c>
      <c r="C314" s="80" t="s">
        <v>1014</v>
      </c>
      <c r="D314" s="81" t="s">
        <v>1015</v>
      </c>
      <c r="H314" s="107">
        <v>0</v>
      </c>
      <c r="I314" s="107">
        <v>0</v>
      </c>
      <c r="K314" s="107">
        <v>0</v>
      </c>
      <c r="L314" s="107">
        <v>81.78</v>
      </c>
      <c r="M314" s="107">
        <v>0.21</v>
      </c>
      <c r="N314" s="109">
        <v>175800</v>
      </c>
      <c r="O314" s="81" t="s">
        <v>113</v>
      </c>
      <c r="Q314" s="107">
        <v>10.87</v>
      </c>
      <c r="R314" s="107">
        <v>127.8</v>
      </c>
    </row>
    <row r="315" spans="1:18" hidden="1" x14ac:dyDescent="0.2">
      <c r="A315" s="18" t="s">
        <v>177</v>
      </c>
      <c r="B315" s="81" t="s">
        <v>102</v>
      </c>
      <c r="C315" s="80" t="s">
        <v>911</v>
      </c>
      <c r="D315" s="81" t="s">
        <v>912</v>
      </c>
      <c r="E315" s="81" t="s">
        <v>71</v>
      </c>
      <c r="H315" s="107">
        <v>0</v>
      </c>
      <c r="I315" s="107">
        <v>0</v>
      </c>
      <c r="K315" s="107">
        <v>0</v>
      </c>
      <c r="L315" s="107">
        <v>37.200000000000003</v>
      </c>
      <c r="M315" s="107">
        <v>0.46</v>
      </c>
      <c r="N315" s="109">
        <v>171100</v>
      </c>
      <c r="O315" s="81" t="s">
        <v>113</v>
      </c>
      <c r="R315" s="107">
        <v>125</v>
      </c>
    </row>
    <row r="316" spans="1:18" hidden="1" x14ac:dyDescent="0.2">
      <c r="A316" s="18" t="s">
        <v>177</v>
      </c>
      <c r="B316" s="81" t="s">
        <v>82</v>
      </c>
      <c r="C316" s="80" t="s">
        <v>725</v>
      </c>
      <c r="D316" s="81" t="s">
        <v>706</v>
      </c>
      <c r="E316" s="81" t="s">
        <v>69</v>
      </c>
      <c r="H316" s="107">
        <v>0</v>
      </c>
      <c r="I316" s="107">
        <v>0</v>
      </c>
      <c r="K316" s="107">
        <v>0</v>
      </c>
      <c r="L316" s="107">
        <v>56.2</v>
      </c>
      <c r="M316" s="107">
        <v>0.3</v>
      </c>
      <c r="N316" s="109">
        <v>170800</v>
      </c>
      <c r="O316" s="81" t="s">
        <v>113</v>
      </c>
      <c r="R316" s="107">
        <v>125</v>
      </c>
    </row>
    <row r="317" spans="1:18" hidden="1" x14ac:dyDescent="0.2">
      <c r="A317" s="25" t="s">
        <v>190</v>
      </c>
      <c r="B317" s="81" t="s">
        <v>74</v>
      </c>
      <c r="C317" s="79" t="s">
        <v>472</v>
      </c>
      <c r="D317" s="81" t="s">
        <v>131</v>
      </c>
      <c r="E317" s="81" t="s">
        <v>69</v>
      </c>
      <c r="F317" s="81" t="s">
        <v>72</v>
      </c>
      <c r="G317" s="81" t="s">
        <v>216</v>
      </c>
      <c r="H317" s="107">
        <v>0</v>
      </c>
      <c r="I317" s="107">
        <v>0</v>
      </c>
      <c r="K317" s="107">
        <v>0</v>
      </c>
      <c r="L317" s="107">
        <v>13</v>
      </c>
      <c r="M317" s="107">
        <v>1.31</v>
      </c>
      <c r="N317" s="109">
        <v>170300</v>
      </c>
      <c r="O317" s="81" t="s">
        <v>31</v>
      </c>
      <c r="R317" s="107">
        <v>124.7</v>
      </c>
    </row>
    <row r="318" spans="1:18" hidden="1" x14ac:dyDescent="0.2">
      <c r="A318" s="18" t="s">
        <v>190</v>
      </c>
      <c r="B318" s="81" t="s">
        <v>63</v>
      </c>
      <c r="C318" s="79" t="s">
        <v>444</v>
      </c>
      <c r="D318" s="81" t="s">
        <v>338</v>
      </c>
      <c r="E318" s="81" t="s">
        <v>69</v>
      </c>
      <c r="F318" s="81" t="s">
        <v>72</v>
      </c>
      <c r="G318" s="81" t="s">
        <v>211</v>
      </c>
      <c r="H318" s="107">
        <v>0</v>
      </c>
      <c r="I318" s="107">
        <v>0</v>
      </c>
      <c r="K318" s="107">
        <v>0</v>
      </c>
      <c r="L318" s="107">
        <v>26.3</v>
      </c>
      <c r="M318" s="107">
        <v>0.65</v>
      </c>
      <c r="N318" s="109">
        <v>169700</v>
      </c>
      <c r="O318" s="81" t="s">
        <v>31</v>
      </c>
      <c r="R318" s="107">
        <v>123.7</v>
      </c>
    </row>
    <row r="319" spans="1:18" hidden="1" x14ac:dyDescent="0.2">
      <c r="A319" s="25" t="s">
        <v>190</v>
      </c>
      <c r="B319" s="81" t="s">
        <v>143</v>
      </c>
      <c r="C319" s="79" t="s">
        <v>1153</v>
      </c>
      <c r="D319" s="81" t="s">
        <v>1145</v>
      </c>
      <c r="E319" s="81" t="s">
        <v>69</v>
      </c>
      <c r="H319" s="107">
        <v>0</v>
      </c>
      <c r="I319" s="107">
        <v>0</v>
      </c>
      <c r="K319" s="107">
        <v>0</v>
      </c>
      <c r="L319" s="107">
        <v>18.399999999999999</v>
      </c>
      <c r="M319" s="107">
        <v>0.92</v>
      </c>
      <c r="N319" s="109">
        <v>169300</v>
      </c>
      <c r="O319" s="81" t="s">
        <v>31</v>
      </c>
      <c r="Q319" s="107">
        <v>95.646924467216337</v>
      </c>
      <c r="R319" s="107">
        <v>123.7</v>
      </c>
    </row>
    <row r="320" spans="1:18" hidden="1" x14ac:dyDescent="0.2">
      <c r="A320" s="25" t="s">
        <v>190</v>
      </c>
      <c r="B320" s="81" t="s">
        <v>79</v>
      </c>
      <c r="C320" s="79" t="s">
        <v>625</v>
      </c>
      <c r="D320" s="81" t="s">
        <v>131</v>
      </c>
      <c r="E320" s="81" t="s">
        <v>69</v>
      </c>
      <c r="H320" s="107">
        <v>0</v>
      </c>
      <c r="I320" s="107">
        <v>0</v>
      </c>
      <c r="K320" s="107">
        <v>0</v>
      </c>
      <c r="L320" s="107">
        <v>13</v>
      </c>
      <c r="M320" s="107">
        <v>1.3</v>
      </c>
      <c r="N320" s="109">
        <v>169000</v>
      </c>
      <c r="O320" s="81" t="s">
        <v>31</v>
      </c>
      <c r="R320" s="107">
        <v>123.2</v>
      </c>
    </row>
    <row r="321" spans="1:18" hidden="1" x14ac:dyDescent="0.2">
      <c r="A321" s="18" t="s">
        <v>190</v>
      </c>
      <c r="B321" s="81" t="s">
        <v>63</v>
      </c>
      <c r="C321" s="79" t="s">
        <v>318</v>
      </c>
      <c r="D321" s="81" t="s">
        <v>316</v>
      </c>
      <c r="E321" s="81" t="s">
        <v>69</v>
      </c>
      <c r="F321" s="81" t="s">
        <v>72</v>
      </c>
      <c r="G321" s="81" t="s">
        <v>204</v>
      </c>
      <c r="H321" s="107">
        <v>0</v>
      </c>
      <c r="I321" s="107">
        <v>0</v>
      </c>
      <c r="K321" s="107">
        <v>0</v>
      </c>
      <c r="L321" s="107">
        <v>27.4</v>
      </c>
      <c r="M321" s="107">
        <v>0.6</v>
      </c>
      <c r="N321" s="109">
        <v>165600</v>
      </c>
      <c r="O321" s="81" t="s">
        <v>31</v>
      </c>
      <c r="R321" s="107">
        <v>122.8</v>
      </c>
    </row>
    <row r="322" spans="1:18" hidden="1" x14ac:dyDescent="0.2">
      <c r="A322" s="25" t="s">
        <v>190</v>
      </c>
      <c r="B322" s="81" t="s">
        <v>93</v>
      </c>
      <c r="C322" s="79" t="s">
        <v>898</v>
      </c>
      <c r="D322" s="81" t="s">
        <v>131</v>
      </c>
      <c r="E322" s="81" t="s">
        <v>69</v>
      </c>
      <c r="H322" s="107">
        <v>0</v>
      </c>
      <c r="I322" s="107">
        <v>0</v>
      </c>
      <c r="K322" s="107">
        <v>0</v>
      </c>
      <c r="L322" s="107">
        <v>14</v>
      </c>
      <c r="M322" s="107">
        <v>1.1499999999999999</v>
      </c>
      <c r="N322" s="109">
        <v>161000</v>
      </c>
      <c r="O322" s="81" t="s">
        <v>31</v>
      </c>
      <c r="R322" s="107">
        <v>121</v>
      </c>
    </row>
    <row r="323" spans="1:18" hidden="1" x14ac:dyDescent="0.2">
      <c r="A323" s="18" t="s">
        <v>177</v>
      </c>
      <c r="B323" s="81" t="s">
        <v>63</v>
      </c>
      <c r="C323" s="80" t="s">
        <v>441</v>
      </c>
      <c r="D323" s="81" t="s">
        <v>442</v>
      </c>
      <c r="E323" s="81" t="s">
        <v>69</v>
      </c>
      <c r="F323" s="81" t="s">
        <v>72</v>
      </c>
      <c r="G323" s="81" t="s">
        <v>70</v>
      </c>
      <c r="H323" s="107">
        <v>0</v>
      </c>
      <c r="I323" s="107">
        <v>0</v>
      </c>
      <c r="K323" s="107">
        <v>0</v>
      </c>
      <c r="L323" s="107">
        <v>29</v>
      </c>
      <c r="M323" s="107">
        <v>0.54</v>
      </c>
      <c r="N323" s="109">
        <v>156400</v>
      </c>
      <c r="O323" s="81" t="s">
        <v>113</v>
      </c>
      <c r="R323" s="107">
        <v>119.3</v>
      </c>
    </row>
    <row r="324" spans="1:18" hidden="1" x14ac:dyDescent="0.2">
      <c r="A324" s="36" t="s">
        <v>1324</v>
      </c>
      <c r="B324" s="82" t="s">
        <v>149</v>
      </c>
      <c r="C324" s="80" t="s">
        <v>1263</v>
      </c>
      <c r="D324" s="81" t="s">
        <v>1213</v>
      </c>
      <c r="H324" s="107">
        <v>0</v>
      </c>
      <c r="I324" s="107">
        <v>0</v>
      </c>
      <c r="K324" s="107">
        <v>0</v>
      </c>
      <c r="L324" s="107">
        <v>102.6</v>
      </c>
      <c r="M324" s="107">
        <v>0.15</v>
      </c>
      <c r="N324" s="109">
        <v>155300</v>
      </c>
      <c r="O324" s="81" t="s">
        <v>113</v>
      </c>
      <c r="R324" s="107">
        <v>117.5</v>
      </c>
    </row>
    <row r="325" spans="1:18" hidden="1" x14ac:dyDescent="0.2">
      <c r="A325" s="25" t="s">
        <v>190</v>
      </c>
      <c r="B325" s="81" t="s">
        <v>136</v>
      </c>
      <c r="C325" s="79" t="s">
        <v>1109</v>
      </c>
      <c r="D325" s="81" t="s">
        <v>1110</v>
      </c>
      <c r="E325" s="28" t="s">
        <v>876</v>
      </c>
      <c r="G325" s="81" t="s">
        <v>467</v>
      </c>
      <c r="H325" s="107">
        <v>0</v>
      </c>
      <c r="I325" s="107">
        <v>0</v>
      </c>
      <c r="K325" s="107">
        <v>0</v>
      </c>
      <c r="L325" s="107">
        <v>11.1</v>
      </c>
      <c r="M325" s="107">
        <v>1.39</v>
      </c>
      <c r="N325" s="109">
        <v>154800</v>
      </c>
      <c r="O325" s="81" t="s">
        <v>31</v>
      </c>
      <c r="Q325" s="107">
        <v>71.744799999999998</v>
      </c>
      <c r="R325" s="107">
        <v>116.6</v>
      </c>
    </row>
    <row r="326" spans="1:18" hidden="1" x14ac:dyDescent="0.2">
      <c r="A326" s="18" t="s">
        <v>177</v>
      </c>
      <c r="B326" s="81" t="s">
        <v>63</v>
      </c>
      <c r="C326" s="80" t="s">
        <v>362</v>
      </c>
      <c r="D326" s="81" t="s">
        <v>363</v>
      </c>
      <c r="E326" s="81" t="s">
        <v>69</v>
      </c>
      <c r="F326" s="81" t="s">
        <v>65</v>
      </c>
      <c r="G326" s="81" t="s">
        <v>70</v>
      </c>
      <c r="H326" s="107">
        <v>0</v>
      </c>
      <c r="I326" s="107">
        <v>0</v>
      </c>
      <c r="K326" s="107">
        <v>0</v>
      </c>
      <c r="L326" s="107">
        <v>50</v>
      </c>
      <c r="M326" s="107">
        <v>0.3</v>
      </c>
      <c r="N326" s="109">
        <v>151700</v>
      </c>
      <c r="O326" s="81" t="s">
        <v>113</v>
      </c>
      <c r="R326" s="107">
        <v>116.5</v>
      </c>
    </row>
    <row r="327" spans="1:18" hidden="1" x14ac:dyDescent="0.2">
      <c r="A327" s="18" t="s">
        <v>190</v>
      </c>
      <c r="B327" s="81" t="s">
        <v>63</v>
      </c>
      <c r="C327" s="79" t="s">
        <v>239</v>
      </c>
      <c r="D327" s="81" t="s">
        <v>172</v>
      </c>
      <c r="E327" s="81" t="s">
        <v>69</v>
      </c>
      <c r="F327" s="81" t="s">
        <v>72</v>
      </c>
      <c r="G327" s="81" t="s">
        <v>204</v>
      </c>
      <c r="H327" s="107">
        <v>0</v>
      </c>
      <c r="I327" s="107">
        <v>0</v>
      </c>
      <c r="K327" s="107">
        <v>0</v>
      </c>
      <c r="L327" s="107">
        <v>20.100000000000001</v>
      </c>
      <c r="M327" s="107">
        <v>0.75</v>
      </c>
      <c r="N327" s="109">
        <v>150800</v>
      </c>
      <c r="O327" s="81" t="s">
        <v>31</v>
      </c>
      <c r="R327" s="107">
        <v>111.8</v>
      </c>
    </row>
    <row r="328" spans="1:18" hidden="1" x14ac:dyDescent="0.2">
      <c r="A328" s="25" t="s">
        <v>190</v>
      </c>
      <c r="B328" s="81" t="s">
        <v>79</v>
      </c>
      <c r="C328" s="79" t="s">
        <v>630</v>
      </c>
      <c r="D328" s="81" t="s">
        <v>131</v>
      </c>
      <c r="E328" s="81" t="s">
        <v>69</v>
      </c>
      <c r="H328" s="107">
        <v>0</v>
      </c>
      <c r="I328" s="107">
        <v>0</v>
      </c>
      <c r="K328" s="107">
        <v>0</v>
      </c>
      <c r="L328" s="107">
        <v>11.1</v>
      </c>
      <c r="M328" s="107">
        <v>1.33</v>
      </c>
      <c r="N328" s="109">
        <v>147700</v>
      </c>
      <c r="O328" s="81" t="s">
        <v>31</v>
      </c>
      <c r="R328" s="107">
        <v>111</v>
      </c>
    </row>
    <row r="329" spans="1:18" hidden="1" x14ac:dyDescent="0.2">
      <c r="A329" s="18" t="s">
        <v>177</v>
      </c>
      <c r="B329" s="81" t="s">
        <v>63</v>
      </c>
      <c r="C329" s="80" t="s">
        <v>378</v>
      </c>
      <c r="D329" s="81" t="s">
        <v>379</v>
      </c>
      <c r="E329" s="81" t="s">
        <v>71</v>
      </c>
      <c r="F329" s="81" t="s">
        <v>65</v>
      </c>
      <c r="G329" s="81" t="s">
        <v>70</v>
      </c>
      <c r="H329" s="107">
        <v>0</v>
      </c>
      <c r="I329" s="107">
        <v>0</v>
      </c>
      <c r="K329" s="107">
        <v>0</v>
      </c>
      <c r="L329" s="107">
        <v>9.6809999999999992</v>
      </c>
      <c r="M329" s="107">
        <v>1.52</v>
      </c>
      <c r="N329" s="109">
        <v>147600</v>
      </c>
      <c r="O329" s="81" t="s">
        <v>113</v>
      </c>
      <c r="R329" s="107">
        <v>110.1</v>
      </c>
    </row>
    <row r="330" spans="1:18" hidden="1" x14ac:dyDescent="0.2">
      <c r="A330" s="25" t="s">
        <v>190</v>
      </c>
      <c r="B330" s="81" t="s">
        <v>75</v>
      </c>
      <c r="C330" s="79" t="s">
        <v>552</v>
      </c>
      <c r="D330" s="81" t="s">
        <v>550</v>
      </c>
      <c r="E330" s="81" t="s">
        <v>69</v>
      </c>
      <c r="F330" s="81" t="s">
        <v>72</v>
      </c>
      <c r="G330" s="81" t="s">
        <v>187</v>
      </c>
      <c r="H330" s="107">
        <v>0</v>
      </c>
      <c r="I330" s="107">
        <v>0</v>
      </c>
      <c r="K330" s="107">
        <v>0</v>
      </c>
      <c r="L330" s="107">
        <v>9.66</v>
      </c>
      <c r="M330" s="107">
        <v>1.51</v>
      </c>
      <c r="N330" s="109">
        <v>145900</v>
      </c>
      <c r="O330" s="81" t="s">
        <v>31</v>
      </c>
      <c r="R330" s="107">
        <v>103.7</v>
      </c>
    </row>
    <row r="331" spans="1:18" hidden="1" x14ac:dyDescent="0.2">
      <c r="A331" s="18" t="s">
        <v>177</v>
      </c>
      <c r="B331" s="81" t="s">
        <v>85</v>
      </c>
      <c r="C331" s="80" t="s">
        <v>840</v>
      </c>
      <c r="D331" s="81" t="s">
        <v>131</v>
      </c>
      <c r="E331" s="81" t="s">
        <v>69</v>
      </c>
      <c r="H331" s="107">
        <v>0</v>
      </c>
      <c r="I331" s="107">
        <v>0</v>
      </c>
      <c r="K331" s="107">
        <v>0</v>
      </c>
      <c r="L331" s="107">
        <v>20.83</v>
      </c>
      <c r="M331" s="107">
        <v>0.7</v>
      </c>
      <c r="N331" s="109">
        <v>145800</v>
      </c>
      <c r="O331" s="81" t="s">
        <v>113</v>
      </c>
      <c r="R331" s="107">
        <v>101.7</v>
      </c>
    </row>
    <row r="332" spans="1:18" hidden="1" x14ac:dyDescent="0.2">
      <c r="A332" s="18" t="s">
        <v>190</v>
      </c>
      <c r="B332" s="81" t="s">
        <v>63</v>
      </c>
      <c r="C332" s="79" t="s">
        <v>319</v>
      </c>
      <c r="D332" s="81" t="s">
        <v>316</v>
      </c>
      <c r="E332" s="81" t="s">
        <v>69</v>
      </c>
      <c r="F332" s="81" t="s">
        <v>72</v>
      </c>
      <c r="G332" s="81" t="s">
        <v>204</v>
      </c>
      <c r="H332" s="107">
        <v>0</v>
      </c>
      <c r="I332" s="107">
        <v>0</v>
      </c>
      <c r="K332" s="107">
        <v>0</v>
      </c>
      <c r="L332" s="107">
        <v>29.6</v>
      </c>
      <c r="M332" s="107">
        <v>0.49</v>
      </c>
      <c r="N332" s="109">
        <v>145600</v>
      </c>
      <c r="O332" s="81" t="s">
        <v>31</v>
      </c>
      <c r="R332" s="107">
        <v>100.9</v>
      </c>
    </row>
    <row r="333" spans="1:18" hidden="1" x14ac:dyDescent="0.2">
      <c r="A333" s="18" t="s">
        <v>177</v>
      </c>
      <c r="B333" s="81" t="s">
        <v>85</v>
      </c>
      <c r="C333" s="80" t="s">
        <v>858</v>
      </c>
      <c r="D333" s="81" t="s">
        <v>131</v>
      </c>
      <c r="E333" s="81" t="s">
        <v>69</v>
      </c>
      <c r="H333" s="107">
        <v>0</v>
      </c>
      <c r="I333" s="107">
        <v>0</v>
      </c>
      <c r="K333" s="107">
        <v>0</v>
      </c>
      <c r="L333" s="107">
        <v>53.33</v>
      </c>
      <c r="M333" s="107">
        <v>0.27</v>
      </c>
      <c r="N333" s="109">
        <v>144000</v>
      </c>
      <c r="O333" s="81" t="s">
        <v>113</v>
      </c>
      <c r="R333" s="107">
        <v>100.8</v>
      </c>
    </row>
    <row r="334" spans="1:18" hidden="1" x14ac:dyDescent="0.2">
      <c r="A334" s="18" t="s">
        <v>177</v>
      </c>
      <c r="B334" s="81" t="s">
        <v>127</v>
      </c>
      <c r="C334" s="80" t="s">
        <v>1055</v>
      </c>
      <c r="D334" s="81" t="s">
        <v>131</v>
      </c>
      <c r="E334" s="81" t="s">
        <v>69</v>
      </c>
      <c r="H334" s="107">
        <v>0</v>
      </c>
      <c r="I334" s="107">
        <v>0</v>
      </c>
      <c r="K334" s="107">
        <v>0</v>
      </c>
      <c r="L334" s="107">
        <v>246.8</v>
      </c>
      <c r="M334" s="107">
        <v>5.8000000000000003E-2</v>
      </c>
      <c r="N334" s="109">
        <v>143500</v>
      </c>
      <c r="O334" s="81" t="s">
        <v>113</v>
      </c>
      <c r="R334" s="107">
        <v>100</v>
      </c>
    </row>
    <row r="335" spans="1:18" hidden="1" x14ac:dyDescent="0.2">
      <c r="A335" s="25" t="s">
        <v>190</v>
      </c>
      <c r="B335" s="81" t="s">
        <v>75</v>
      </c>
      <c r="C335" s="79" t="s">
        <v>498</v>
      </c>
      <c r="D335" s="81" t="s">
        <v>499</v>
      </c>
      <c r="E335" s="81" t="s">
        <v>64</v>
      </c>
      <c r="F335" s="81" t="s">
        <v>72</v>
      </c>
      <c r="G335" s="81" t="s">
        <v>187</v>
      </c>
      <c r="H335" s="107">
        <v>0</v>
      </c>
      <c r="I335" s="107">
        <v>0</v>
      </c>
      <c r="K335" s="107">
        <v>0</v>
      </c>
      <c r="L335" s="107">
        <v>9.1300000000000008</v>
      </c>
      <c r="M335" s="107">
        <v>1.55</v>
      </c>
      <c r="N335" s="109">
        <v>141500</v>
      </c>
      <c r="O335" s="81" t="s">
        <v>31</v>
      </c>
      <c r="R335" s="107">
        <v>100</v>
      </c>
    </row>
    <row r="336" spans="1:18" hidden="1" x14ac:dyDescent="0.2">
      <c r="A336" s="18" t="s">
        <v>177</v>
      </c>
      <c r="B336" s="81" t="s">
        <v>127</v>
      </c>
      <c r="C336" s="80" t="s">
        <v>1052</v>
      </c>
      <c r="D336" s="81" t="s">
        <v>1053</v>
      </c>
      <c r="E336" s="81" t="s">
        <v>69</v>
      </c>
      <c r="H336" s="107">
        <v>0</v>
      </c>
      <c r="I336" s="107">
        <v>0</v>
      </c>
      <c r="K336" s="107">
        <v>0</v>
      </c>
      <c r="L336" s="107">
        <v>8.0210000000000008</v>
      </c>
      <c r="M336" s="107">
        <v>1.69</v>
      </c>
      <c r="N336" s="109">
        <v>135800</v>
      </c>
      <c r="O336" s="81" t="s">
        <v>113</v>
      </c>
      <c r="R336" s="107">
        <v>99.3</v>
      </c>
    </row>
    <row r="337" spans="1:18" hidden="1" x14ac:dyDescent="0.2">
      <c r="A337" s="25" t="s">
        <v>190</v>
      </c>
      <c r="B337" s="81" t="s">
        <v>75</v>
      </c>
      <c r="C337" s="79" t="s">
        <v>562</v>
      </c>
      <c r="D337" s="81" t="s">
        <v>560</v>
      </c>
      <c r="E337" s="81" t="s">
        <v>64</v>
      </c>
      <c r="F337" s="81" t="s">
        <v>72</v>
      </c>
      <c r="G337" s="81" t="s">
        <v>187</v>
      </c>
      <c r="H337" s="107">
        <v>0</v>
      </c>
      <c r="I337" s="107">
        <v>0</v>
      </c>
      <c r="K337" s="107">
        <v>0</v>
      </c>
      <c r="L337" s="107">
        <v>13.055</v>
      </c>
      <c r="M337" s="107">
        <v>1.04</v>
      </c>
      <c r="N337" s="109">
        <v>135500</v>
      </c>
      <c r="O337" s="81" t="s">
        <v>31</v>
      </c>
      <c r="R337" s="107">
        <v>99.2</v>
      </c>
    </row>
    <row r="338" spans="1:18" hidden="1" x14ac:dyDescent="0.2">
      <c r="A338" s="18" t="s">
        <v>177</v>
      </c>
      <c r="B338" s="81" t="s">
        <v>63</v>
      </c>
      <c r="C338" s="40" t="s">
        <v>464</v>
      </c>
      <c r="D338" s="81" t="s">
        <v>462</v>
      </c>
      <c r="E338" s="81" t="s">
        <v>69</v>
      </c>
      <c r="F338" s="81" t="s">
        <v>160</v>
      </c>
      <c r="G338" s="81" t="s">
        <v>70</v>
      </c>
      <c r="H338" s="107">
        <v>0</v>
      </c>
      <c r="I338" s="107">
        <v>0</v>
      </c>
      <c r="K338" s="107">
        <v>0</v>
      </c>
      <c r="L338" s="107">
        <v>29.61</v>
      </c>
      <c r="M338" s="107">
        <v>0.46</v>
      </c>
      <c r="N338" s="109">
        <v>135300</v>
      </c>
      <c r="O338" s="81" t="s">
        <v>160</v>
      </c>
      <c r="Q338" s="107">
        <v>30.083999999999996</v>
      </c>
      <c r="R338" s="107">
        <v>97.7</v>
      </c>
    </row>
    <row r="339" spans="1:18" hidden="1" x14ac:dyDescent="0.2">
      <c r="A339" s="18" t="s">
        <v>177</v>
      </c>
      <c r="B339" s="81" t="s">
        <v>63</v>
      </c>
      <c r="C339" s="40" t="s">
        <v>463</v>
      </c>
      <c r="D339" s="81" t="s">
        <v>462</v>
      </c>
      <c r="E339" s="81" t="s">
        <v>71</v>
      </c>
      <c r="F339" s="81" t="s">
        <v>160</v>
      </c>
      <c r="G339" s="81" t="s">
        <v>70</v>
      </c>
      <c r="H339" s="107">
        <v>0</v>
      </c>
      <c r="I339" s="107">
        <v>0</v>
      </c>
      <c r="K339" s="107">
        <v>0</v>
      </c>
      <c r="L339" s="107">
        <v>32.64</v>
      </c>
      <c r="M339" s="107">
        <v>0.41</v>
      </c>
      <c r="N339" s="109">
        <v>133800</v>
      </c>
      <c r="O339" s="81" t="s">
        <v>160</v>
      </c>
      <c r="R339" s="107">
        <v>97.5</v>
      </c>
    </row>
    <row r="340" spans="1:18" hidden="1" x14ac:dyDescent="0.2">
      <c r="A340" s="18" t="s">
        <v>177</v>
      </c>
      <c r="B340" s="81" t="s">
        <v>102</v>
      </c>
      <c r="C340" s="80" t="s">
        <v>916</v>
      </c>
      <c r="D340" s="81" t="s">
        <v>912</v>
      </c>
      <c r="E340" s="81" t="s">
        <v>71</v>
      </c>
      <c r="H340" s="107">
        <v>0</v>
      </c>
      <c r="I340" s="107">
        <v>0</v>
      </c>
      <c r="K340" s="107">
        <v>0</v>
      </c>
      <c r="L340" s="107">
        <v>19.510000000000002</v>
      </c>
      <c r="M340" s="107">
        <v>0.68</v>
      </c>
      <c r="N340" s="109">
        <v>132600</v>
      </c>
      <c r="O340" s="81" t="s">
        <v>113</v>
      </c>
      <c r="R340" s="107">
        <v>97</v>
      </c>
    </row>
    <row r="341" spans="1:18" hidden="1" x14ac:dyDescent="0.2">
      <c r="A341" s="25" t="s">
        <v>190</v>
      </c>
      <c r="B341" s="81" t="s">
        <v>127</v>
      </c>
      <c r="C341" s="79" t="s">
        <v>1084</v>
      </c>
      <c r="D341" s="81" t="s">
        <v>131</v>
      </c>
      <c r="E341" s="81" t="s">
        <v>69</v>
      </c>
      <c r="H341" s="107">
        <v>0</v>
      </c>
      <c r="I341" s="107">
        <v>0</v>
      </c>
      <c r="K341" s="107">
        <v>0</v>
      </c>
      <c r="L341" s="107">
        <v>14.52</v>
      </c>
      <c r="M341" s="107">
        <v>0.91</v>
      </c>
      <c r="N341" s="109">
        <v>132100</v>
      </c>
      <c r="O341" s="81" t="s">
        <v>31</v>
      </c>
      <c r="Q341" s="107">
        <v>4.2124000000000015</v>
      </c>
      <c r="R341" s="107">
        <v>95.2</v>
      </c>
    </row>
    <row r="342" spans="1:18" hidden="1" x14ac:dyDescent="0.2">
      <c r="A342" s="18" t="s">
        <v>177</v>
      </c>
      <c r="B342" s="81" t="s">
        <v>82</v>
      </c>
      <c r="C342" s="80" t="s">
        <v>687</v>
      </c>
      <c r="D342" s="81" t="s">
        <v>688</v>
      </c>
      <c r="E342" s="81" t="s">
        <v>69</v>
      </c>
      <c r="H342" s="107">
        <v>0</v>
      </c>
      <c r="I342" s="107">
        <v>0</v>
      </c>
      <c r="K342" s="107">
        <v>0</v>
      </c>
      <c r="L342" s="107">
        <v>18.559999999999999</v>
      </c>
      <c r="M342" s="107">
        <v>0.67</v>
      </c>
      <c r="N342" s="109">
        <v>125000</v>
      </c>
      <c r="O342" s="81" t="s">
        <v>113</v>
      </c>
      <c r="R342" s="107">
        <v>95.1</v>
      </c>
    </row>
    <row r="343" spans="1:18" hidden="1" x14ac:dyDescent="0.2">
      <c r="A343" s="18" t="s">
        <v>190</v>
      </c>
      <c r="B343" s="81" t="s">
        <v>63</v>
      </c>
      <c r="C343" s="79" t="s">
        <v>309</v>
      </c>
      <c r="D343" s="81" t="s">
        <v>310</v>
      </c>
      <c r="E343" s="81" t="s">
        <v>69</v>
      </c>
      <c r="F343" s="81" t="s">
        <v>72</v>
      </c>
      <c r="G343" s="81" t="s">
        <v>211</v>
      </c>
      <c r="H343" s="107">
        <v>0</v>
      </c>
      <c r="I343" s="107">
        <v>0</v>
      </c>
      <c r="K343" s="107">
        <v>0</v>
      </c>
      <c r="L343" s="107">
        <v>14.7</v>
      </c>
      <c r="M343" s="107">
        <v>0.85</v>
      </c>
      <c r="N343" s="109">
        <v>125000</v>
      </c>
      <c r="O343" s="81" t="s">
        <v>31</v>
      </c>
      <c r="R343" s="107">
        <v>93.8</v>
      </c>
    </row>
    <row r="344" spans="1:18" hidden="1" x14ac:dyDescent="0.2">
      <c r="A344" s="18" t="s">
        <v>177</v>
      </c>
      <c r="B344" s="81" t="s">
        <v>79</v>
      </c>
      <c r="C344" s="80" t="s">
        <v>586</v>
      </c>
      <c r="D344" s="81" t="s">
        <v>587</v>
      </c>
      <c r="E344" s="81" t="s">
        <v>64</v>
      </c>
      <c r="H344" s="107">
        <v>0</v>
      </c>
      <c r="I344" s="107">
        <v>0</v>
      </c>
      <c r="K344" s="107">
        <v>0</v>
      </c>
      <c r="L344" s="107">
        <v>59.22</v>
      </c>
      <c r="M344" s="107">
        <v>0.21</v>
      </c>
      <c r="N344" s="109">
        <v>124700</v>
      </c>
      <c r="O344" s="81" t="s">
        <v>113</v>
      </c>
      <c r="R344" s="107">
        <v>93.3</v>
      </c>
    </row>
    <row r="345" spans="1:18" hidden="1" x14ac:dyDescent="0.2">
      <c r="A345" s="18" t="s">
        <v>177</v>
      </c>
      <c r="B345" s="81" t="s">
        <v>63</v>
      </c>
      <c r="C345" s="80" t="s">
        <v>422</v>
      </c>
      <c r="D345" s="81" t="s">
        <v>423</v>
      </c>
      <c r="E345" s="81" t="s">
        <v>71</v>
      </c>
      <c r="F345" s="81" t="s">
        <v>158</v>
      </c>
      <c r="G345" s="81" t="s">
        <v>70</v>
      </c>
      <c r="H345" s="107">
        <v>0</v>
      </c>
      <c r="I345" s="107">
        <v>0</v>
      </c>
      <c r="K345" s="107">
        <v>0</v>
      </c>
      <c r="L345" s="107">
        <v>7.3849999999999998</v>
      </c>
      <c r="M345" s="107">
        <v>1.67</v>
      </c>
      <c r="N345" s="109">
        <v>123700</v>
      </c>
      <c r="O345" s="81" t="s">
        <v>113</v>
      </c>
      <c r="R345" s="107">
        <v>92.7</v>
      </c>
    </row>
    <row r="346" spans="1:18" hidden="1" x14ac:dyDescent="0.2">
      <c r="A346" s="18" t="s">
        <v>1195</v>
      </c>
      <c r="B346" s="81" t="s">
        <v>149</v>
      </c>
      <c r="C346" s="80" t="s">
        <v>1221</v>
      </c>
      <c r="D346" s="35" t="s">
        <v>151</v>
      </c>
      <c r="H346" s="107">
        <v>0</v>
      </c>
      <c r="I346" s="107">
        <v>0</v>
      </c>
      <c r="K346" s="107">
        <v>0</v>
      </c>
      <c r="L346" s="107">
        <v>109.6</v>
      </c>
      <c r="M346" s="107">
        <v>0.11</v>
      </c>
      <c r="N346" s="109">
        <v>123200</v>
      </c>
      <c r="O346" s="81" t="s">
        <v>113</v>
      </c>
      <c r="R346" s="107">
        <v>88.3</v>
      </c>
    </row>
    <row r="347" spans="1:18" hidden="1" x14ac:dyDescent="0.2">
      <c r="A347" s="36" t="s">
        <v>1324</v>
      </c>
      <c r="B347" s="82" t="s">
        <v>149</v>
      </c>
      <c r="C347" s="80" t="s">
        <v>1271</v>
      </c>
      <c r="D347" s="81" t="s">
        <v>1272</v>
      </c>
      <c r="H347" s="107">
        <v>0</v>
      </c>
      <c r="I347" s="107">
        <v>0</v>
      </c>
      <c r="K347" s="107">
        <v>0</v>
      </c>
      <c r="L347" s="107">
        <v>77.42</v>
      </c>
      <c r="M347" s="107">
        <v>0.16</v>
      </c>
      <c r="N347" s="109">
        <v>122800</v>
      </c>
      <c r="O347" s="81" t="s">
        <v>113</v>
      </c>
      <c r="R347" s="107">
        <v>87.5</v>
      </c>
    </row>
    <row r="348" spans="1:18" hidden="1" x14ac:dyDescent="0.2">
      <c r="A348" s="18" t="s">
        <v>190</v>
      </c>
      <c r="B348" s="81" t="s">
        <v>63</v>
      </c>
      <c r="C348" s="79" t="s">
        <v>339</v>
      </c>
      <c r="D348" s="81" t="s">
        <v>131</v>
      </c>
      <c r="E348" s="81" t="s">
        <v>69</v>
      </c>
      <c r="F348" s="81" t="s">
        <v>72</v>
      </c>
      <c r="G348" s="81" t="s">
        <v>211</v>
      </c>
      <c r="H348" s="107">
        <v>0</v>
      </c>
      <c r="I348" s="107">
        <v>0</v>
      </c>
      <c r="K348" s="107">
        <v>0</v>
      </c>
      <c r="L348" s="107">
        <v>19.2</v>
      </c>
      <c r="M348" s="107">
        <v>0.63</v>
      </c>
      <c r="N348" s="109">
        <v>121000</v>
      </c>
      <c r="O348" s="81" t="s">
        <v>31</v>
      </c>
      <c r="R348" s="107">
        <v>87.3</v>
      </c>
    </row>
    <row r="349" spans="1:18" hidden="1" x14ac:dyDescent="0.2">
      <c r="A349" s="18" t="s">
        <v>190</v>
      </c>
      <c r="B349" s="81" t="s">
        <v>63</v>
      </c>
      <c r="C349" s="79" t="s">
        <v>241</v>
      </c>
      <c r="D349" s="81" t="s">
        <v>172</v>
      </c>
      <c r="E349" s="81" t="s">
        <v>69</v>
      </c>
      <c r="F349" s="81" t="s">
        <v>72</v>
      </c>
      <c r="G349" s="81" t="s">
        <v>204</v>
      </c>
      <c r="H349" s="107">
        <v>0</v>
      </c>
      <c r="I349" s="107">
        <v>0</v>
      </c>
      <c r="K349" s="107">
        <v>0</v>
      </c>
      <c r="L349" s="107">
        <v>14.2</v>
      </c>
      <c r="M349" s="107">
        <v>0.84</v>
      </c>
      <c r="N349" s="109">
        <v>119300</v>
      </c>
      <c r="O349" s="81" t="s">
        <v>31</v>
      </c>
      <c r="R349" s="107">
        <v>86.5</v>
      </c>
    </row>
    <row r="350" spans="1:18" hidden="1" x14ac:dyDescent="0.2">
      <c r="A350" s="25" t="s">
        <v>190</v>
      </c>
      <c r="B350" s="81" t="s">
        <v>94</v>
      </c>
      <c r="C350" s="79" t="s">
        <v>902</v>
      </c>
      <c r="D350" s="81" t="s">
        <v>131</v>
      </c>
      <c r="E350" s="81" t="s">
        <v>71</v>
      </c>
      <c r="H350" s="107">
        <v>0</v>
      </c>
      <c r="I350" s="107">
        <v>0</v>
      </c>
      <c r="K350" s="107">
        <v>0</v>
      </c>
      <c r="L350" s="107">
        <v>10</v>
      </c>
      <c r="M350" s="107">
        <v>1.18</v>
      </c>
      <c r="N350" s="109">
        <v>117500</v>
      </c>
      <c r="O350" s="81" t="s">
        <v>31</v>
      </c>
      <c r="R350" s="107">
        <v>86.2</v>
      </c>
    </row>
    <row r="351" spans="1:18" hidden="1" x14ac:dyDescent="0.2">
      <c r="A351" s="18" t="s">
        <v>190</v>
      </c>
      <c r="B351" s="81" t="s">
        <v>63</v>
      </c>
      <c r="C351" s="79" t="s">
        <v>315</v>
      </c>
      <c r="D351" s="81" t="s">
        <v>316</v>
      </c>
      <c r="E351" s="81" t="s">
        <v>69</v>
      </c>
      <c r="F351" s="81" t="s">
        <v>72</v>
      </c>
      <c r="G351" s="81" t="s">
        <v>204</v>
      </c>
      <c r="H351" s="107">
        <v>0</v>
      </c>
      <c r="I351" s="107">
        <v>0</v>
      </c>
      <c r="K351" s="107">
        <v>0</v>
      </c>
      <c r="L351" s="107">
        <v>12.8</v>
      </c>
      <c r="M351" s="107">
        <v>0.91</v>
      </c>
      <c r="N351" s="109">
        <v>116500</v>
      </c>
      <c r="O351" s="81" t="s">
        <v>31</v>
      </c>
      <c r="R351" s="107">
        <v>83.8</v>
      </c>
    </row>
    <row r="352" spans="1:18" hidden="1" x14ac:dyDescent="0.2">
      <c r="A352" s="25" t="s">
        <v>190</v>
      </c>
      <c r="B352" s="81" t="s">
        <v>75</v>
      </c>
      <c r="C352" s="79" t="s">
        <v>555</v>
      </c>
      <c r="D352" s="81" t="s">
        <v>556</v>
      </c>
      <c r="E352" s="81" t="s">
        <v>69</v>
      </c>
      <c r="F352" s="81" t="s">
        <v>72</v>
      </c>
      <c r="G352" s="81" t="s">
        <v>211</v>
      </c>
      <c r="H352" s="107">
        <v>0</v>
      </c>
      <c r="I352" s="107">
        <v>0</v>
      </c>
      <c r="K352" s="107">
        <v>0</v>
      </c>
      <c r="L352" s="107">
        <v>7.26</v>
      </c>
      <c r="M352" s="107">
        <v>1.54</v>
      </c>
      <c r="N352" s="109">
        <v>111800</v>
      </c>
      <c r="O352" s="81" t="s">
        <v>31</v>
      </c>
      <c r="Q352" s="107">
        <v>18.067650273224043</v>
      </c>
      <c r="R352" s="107">
        <v>81.599999999999994</v>
      </c>
    </row>
    <row r="353" spans="1:18" hidden="1" x14ac:dyDescent="0.2">
      <c r="A353" s="18" t="s">
        <v>190</v>
      </c>
      <c r="B353" s="81" t="s">
        <v>63</v>
      </c>
      <c r="C353" s="79" t="s">
        <v>269</v>
      </c>
      <c r="D353" s="81" t="s">
        <v>266</v>
      </c>
      <c r="E353" s="81" t="s">
        <v>69</v>
      </c>
      <c r="F353" s="81" t="s">
        <v>72</v>
      </c>
      <c r="G353" s="81" t="s">
        <v>92</v>
      </c>
      <c r="H353" s="107">
        <v>0</v>
      </c>
      <c r="I353" s="107">
        <v>0</v>
      </c>
      <c r="K353" s="107">
        <v>0</v>
      </c>
      <c r="L353" s="107">
        <v>10.8</v>
      </c>
      <c r="M353" s="107">
        <v>1.03</v>
      </c>
      <c r="N353" s="109">
        <v>111000</v>
      </c>
      <c r="O353" s="81" t="s">
        <v>31</v>
      </c>
      <c r="R353" s="107">
        <v>81.5</v>
      </c>
    </row>
    <row r="354" spans="1:18" hidden="1" x14ac:dyDescent="0.2">
      <c r="A354" s="18" t="s">
        <v>190</v>
      </c>
      <c r="B354" s="81" t="s">
        <v>63</v>
      </c>
      <c r="C354" s="79" t="s">
        <v>323</v>
      </c>
      <c r="D354" s="81" t="s">
        <v>324</v>
      </c>
      <c r="E354" s="81" t="s">
        <v>69</v>
      </c>
      <c r="F354" s="81" t="s">
        <v>72</v>
      </c>
      <c r="G354" s="81" t="s">
        <v>204</v>
      </c>
      <c r="H354" s="107">
        <v>0</v>
      </c>
      <c r="I354" s="107">
        <v>0</v>
      </c>
      <c r="K354" s="107">
        <v>0</v>
      </c>
      <c r="L354" s="107">
        <v>14.6</v>
      </c>
      <c r="M354" s="107">
        <v>0.75</v>
      </c>
      <c r="N354" s="109">
        <v>110100</v>
      </c>
      <c r="O354" s="81" t="s">
        <v>31</v>
      </c>
      <c r="Q354" s="107">
        <v>23.100000000000005</v>
      </c>
      <c r="R354" s="107">
        <v>80.099999999999994</v>
      </c>
    </row>
    <row r="355" spans="1:18" hidden="1" x14ac:dyDescent="0.2">
      <c r="A355" s="18" t="s">
        <v>190</v>
      </c>
      <c r="B355" s="81" t="s">
        <v>63</v>
      </c>
      <c r="C355" s="79" t="s">
        <v>313</v>
      </c>
      <c r="D355" s="81" t="s">
        <v>314</v>
      </c>
      <c r="E355" s="81" t="s">
        <v>69</v>
      </c>
      <c r="F355" s="81" t="s">
        <v>72</v>
      </c>
      <c r="G355" s="81" t="s">
        <v>204</v>
      </c>
      <c r="H355" s="107">
        <v>0</v>
      </c>
      <c r="I355" s="107">
        <v>0</v>
      </c>
      <c r="K355" s="107">
        <v>0</v>
      </c>
      <c r="L355" s="107">
        <v>10.5</v>
      </c>
      <c r="M355" s="107">
        <v>0.99</v>
      </c>
      <c r="N355" s="109">
        <v>103700</v>
      </c>
      <c r="O355" s="81" t="s">
        <v>31</v>
      </c>
      <c r="Q355" s="107">
        <v>15.993149400000004</v>
      </c>
      <c r="R355" s="107">
        <v>78.900000000000006</v>
      </c>
    </row>
    <row r="356" spans="1:18" hidden="1" x14ac:dyDescent="0.2">
      <c r="A356" s="25" t="s">
        <v>190</v>
      </c>
      <c r="B356" s="81" t="s">
        <v>98</v>
      </c>
      <c r="C356" s="79" t="s">
        <v>906</v>
      </c>
      <c r="D356" s="81" t="s">
        <v>131</v>
      </c>
      <c r="E356" s="81" t="s">
        <v>69</v>
      </c>
      <c r="H356" s="107">
        <v>0</v>
      </c>
      <c r="I356" s="107">
        <v>0</v>
      </c>
      <c r="K356" s="107">
        <v>0</v>
      </c>
      <c r="L356" s="107">
        <v>12.25</v>
      </c>
      <c r="M356" s="107">
        <v>0.83</v>
      </c>
      <c r="N356" s="109">
        <v>101700</v>
      </c>
      <c r="O356" s="81" t="s">
        <v>31</v>
      </c>
      <c r="R356" s="107">
        <v>77.900000000000006</v>
      </c>
    </row>
    <row r="357" spans="1:18" hidden="1" x14ac:dyDescent="0.2">
      <c r="A357" s="25" t="s">
        <v>190</v>
      </c>
      <c r="B357" s="81" t="s">
        <v>75</v>
      </c>
      <c r="C357" s="79" t="s">
        <v>514</v>
      </c>
      <c r="D357" s="81" t="s">
        <v>515</v>
      </c>
      <c r="E357" s="81" t="s">
        <v>64</v>
      </c>
      <c r="F357" s="81" t="s">
        <v>72</v>
      </c>
      <c r="G357" s="81" t="s">
        <v>187</v>
      </c>
      <c r="H357" s="107">
        <v>0</v>
      </c>
      <c r="I357" s="107">
        <v>0</v>
      </c>
      <c r="K357" s="107">
        <v>0</v>
      </c>
      <c r="L357" s="107">
        <v>9.8970000000000002</v>
      </c>
      <c r="M357" s="107">
        <v>1.02</v>
      </c>
      <c r="N357" s="109">
        <v>100900</v>
      </c>
      <c r="O357" s="81" t="s">
        <v>31</v>
      </c>
      <c r="R357" s="107">
        <v>77.900000000000006</v>
      </c>
    </row>
    <row r="358" spans="1:18" hidden="1" x14ac:dyDescent="0.2">
      <c r="A358" s="25" t="s">
        <v>190</v>
      </c>
      <c r="B358" s="81" t="s">
        <v>100</v>
      </c>
      <c r="C358" s="79" t="s">
        <v>907</v>
      </c>
      <c r="D358" s="81" t="s">
        <v>131</v>
      </c>
      <c r="E358" s="81" t="s">
        <v>69</v>
      </c>
      <c r="H358" s="107">
        <v>0</v>
      </c>
      <c r="I358" s="107">
        <v>0</v>
      </c>
      <c r="K358" s="107">
        <v>0</v>
      </c>
      <c r="L358" s="107">
        <v>16.8</v>
      </c>
      <c r="M358" s="107">
        <v>0.6</v>
      </c>
      <c r="N358" s="109">
        <v>100800</v>
      </c>
      <c r="O358" s="81" t="s">
        <v>31</v>
      </c>
      <c r="R358" s="107">
        <v>76.599999999999994</v>
      </c>
    </row>
    <row r="359" spans="1:18" hidden="1" x14ac:dyDescent="0.2">
      <c r="A359" s="18" t="s">
        <v>177</v>
      </c>
      <c r="B359" s="81" t="s">
        <v>63</v>
      </c>
      <c r="C359" s="16" t="s">
        <v>369</v>
      </c>
      <c r="D359" s="81" t="s">
        <v>370</v>
      </c>
      <c r="E359" s="81" t="s">
        <v>69</v>
      </c>
      <c r="F359" s="81" t="s">
        <v>72</v>
      </c>
      <c r="G359" s="81" t="s">
        <v>70</v>
      </c>
      <c r="H359" s="107">
        <v>0</v>
      </c>
      <c r="I359" s="107">
        <v>0</v>
      </c>
      <c r="K359" s="107">
        <v>0</v>
      </c>
      <c r="L359" s="107">
        <v>24.7</v>
      </c>
      <c r="M359" s="107">
        <v>0.4</v>
      </c>
      <c r="N359" s="109">
        <v>100000</v>
      </c>
      <c r="O359" s="81" t="s">
        <v>118</v>
      </c>
      <c r="R359" s="107">
        <v>70.2</v>
      </c>
    </row>
    <row r="360" spans="1:18" hidden="1" x14ac:dyDescent="0.2">
      <c r="A360" s="18" t="s">
        <v>177</v>
      </c>
      <c r="B360" s="81" t="s">
        <v>85</v>
      </c>
      <c r="C360" s="80" t="s">
        <v>863</v>
      </c>
      <c r="D360" s="81" t="s">
        <v>131</v>
      </c>
      <c r="E360" s="81" t="s">
        <v>69</v>
      </c>
      <c r="H360" s="107">
        <v>0</v>
      </c>
      <c r="I360" s="107">
        <v>0</v>
      </c>
      <c r="K360" s="107">
        <v>0</v>
      </c>
      <c r="L360" s="107">
        <v>15.39</v>
      </c>
      <c r="M360" s="107">
        <v>0.65</v>
      </c>
      <c r="N360" s="109">
        <v>100000</v>
      </c>
      <c r="O360" s="81" t="s">
        <v>113</v>
      </c>
      <c r="R360" s="107">
        <v>67</v>
      </c>
    </row>
    <row r="361" spans="1:18" hidden="1" x14ac:dyDescent="0.2">
      <c r="A361" s="25" t="s">
        <v>190</v>
      </c>
      <c r="B361" s="81" t="s">
        <v>86</v>
      </c>
      <c r="C361" s="79" t="s">
        <v>887</v>
      </c>
      <c r="D361" s="81" t="s">
        <v>131</v>
      </c>
      <c r="E361" s="81" t="s">
        <v>69</v>
      </c>
      <c r="H361" s="107">
        <v>0</v>
      </c>
      <c r="I361" s="107">
        <v>0</v>
      </c>
      <c r="K361" s="107">
        <v>0</v>
      </c>
      <c r="L361" s="107">
        <v>9.6159999999999997</v>
      </c>
      <c r="M361" s="107">
        <v>1.03</v>
      </c>
      <c r="N361" s="109">
        <v>99300</v>
      </c>
      <c r="O361" s="81" t="s">
        <v>31</v>
      </c>
      <c r="R361" s="107">
        <v>65.7</v>
      </c>
    </row>
    <row r="362" spans="1:18" hidden="1" x14ac:dyDescent="0.2">
      <c r="A362" s="25" t="s">
        <v>190</v>
      </c>
      <c r="B362" s="81" t="s">
        <v>140</v>
      </c>
      <c r="C362" s="79" t="s">
        <v>1122</v>
      </c>
      <c r="D362" s="81" t="s">
        <v>1123</v>
      </c>
      <c r="E362" s="81" t="s">
        <v>71</v>
      </c>
      <c r="H362" s="107">
        <v>0</v>
      </c>
      <c r="I362" s="107">
        <v>0</v>
      </c>
      <c r="K362" s="107">
        <v>0</v>
      </c>
      <c r="L362" s="107">
        <v>8.6999999999999993</v>
      </c>
      <c r="M362" s="107">
        <v>1.1399999999999999</v>
      </c>
      <c r="N362" s="109">
        <v>99200</v>
      </c>
      <c r="O362" s="81" t="s">
        <v>31</v>
      </c>
      <c r="R362" s="107">
        <v>65.400000000000006</v>
      </c>
    </row>
    <row r="363" spans="1:18" hidden="1" x14ac:dyDescent="0.2">
      <c r="A363" s="18" t="s">
        <v>177</v>
      </c>
      <c r="B363" s="81" t="s">
        <v>84</v>
      </c>
      <c r="C363" s="80" t="s">
        <v>806</v>
      </c>
      <c r="D363" s="81" t="s">
        <v>807</v>
      </c>
      <c r="E363" s="81" t="s">
        <v>69</v>
      </c>
      <c r="H363" s="107">
        <v>0</v>
      </c>
      <c r="I363" s="107">
        <v>0</v>
      </c>
      <c r="K363" s="107">
        <v>0</v>
      </c>
      <c r="L363" s="107">
        <v>40.64</v>
      </c>
      <c r="M363" s="107">
        <v>0.24</v>
      </c>
      <c r="N363" s="109">
        <v>97500</v>
      </c>
      <c r="O363" s="81" t="s">
        <v>113</v>
      </c>
      <c r="R363" s="107">
        <v>64.8</v>
      </c>
    </row>
    <row r="364" spans="1:18" hidden="1" x14ac:dyDescent="0.2">
      <c r="A364" s="25" t="s">
        <v>190</v>
      </c>
      <c r="B364" s="81" t="s">
        <v>75</v>
      </c>
      <c r="C364" s="79" t="s">
        <v>516</v>
      </c>
      <c r="D364" s="81" t="s">
        <v>515</v>
      </c>
      <c r="E364" s="81" t="s">
        <v>69</v>
      </c>
      <c r="F364" s="81" t="s">
        <v>72</v>
      </c>
      <c r="G364" s="81" t="s">
        <v>187</v>
      </c>
      <c r="H364" s="107">
        <v>0</v>
      </c>
      <c r="I364" s="107">
        <v>0</v>
      </c>
      <c r="K364" s="107">
        <v>0</v>
      </c>
      <c r="L364" s="107">
        <v>9.0670000000000002</v>
      </c>
      <c r="M364" s="107">
        <v>1.07</v>
      </c>
      <c r="N364" s="109">
        <v>97000</v>
      </c>
      <c r="O364" s="81" t="s">
        <v>31</v>
      </c>
      <c r="R364" s="107">
        <v>64.8</v>
      </c>
    </row>
    <row r="365" spans="1:18" hidden="1" x14ac:dyDescent="0.2">
      <c r="A365" s="18" t="s">
        <v>190</v>
      </c>
      <c r="B365" s="81" t="s">
        <v>197</v>
      </c>
      <c r="C365" s="79" t="s">
        <v>218</v>
      </c>
      <c r="D365" s="81" t="s">
        <v>131</v>
      </c>
      <c r="E365" s="81" t="s">
        <v>69</v>
      </c>
      <c r="F365" s="81" t="s">
        <v>72</v>
      </c>
      <c r="G365" s="81" t="s">
        <v>216</v>
      </c>
      <c r="H365" s="107">
        <v>0</v>
      </c>
      <c r="I365" s="107">
        <v>0</v>
      </c>
      <c r="K365" s="107">
        <v>0</v>
      </c>
      <c r="L365" s="107">
        <v>13.3</v>
      </c>
      <c r="M365" s="107">
        <v>0.71</v>
      </c>
      <c r="N365" s="109">
        <v>95100</v>
      </c>
      <c r="O365" s="81" t="s">
        <v>31</v>
      </c>
      <c r="R365" s="107">
        <v>63.4</v>
      </c>
    </row>
    <row r="366" spans="1:18" hidden="1" x14ac:dyDescent="0.2">
      <c r="A366" s="18" t="s">
        <v>1273</v>
      </c>
      <c r="B366" s="81" t="s">
        <v>149</v>
      </c>
      <c r="C366" s="80" t="s">
        <v>1281</v>
      </c>
      <c r="D366" s="81" t="s">
        <v>1282</v>
      </c>
      <c r="E366" s="81" t="s">
        <v>69</v>
      </c>
      <c r="H366" s="107">
        <v>0</v>
      </c>
      <c r="I366" s="107">
        <v>0</v>
      </c>
      <c r="K366" s="107">
        <v>0</v>
      </c>
      <c r="L366" s="107">
        <v>45.86</v>
      </c>
      <c r="M366" s="107">
        <v>0.2</v>
      </c>
      <c r="N366" s="109">
        <v>93800</v>
      </c>
      <c r="O366" s="81" t="s">
        <v>113</v>
      </c>
      <c r="Q366" s="107">
        <v>27.1170578125056</v>
      </c>
      <c r="R366" s="107">
        <v>63.2</v>
      </c>
    </row>
    <row r="367" spans="1:18" hidden="1" x14ac:dyDescent="0.2">
      <c r="A367" s="18" t="s">
        <v>177</v>
      </c>
      <c r="B367" s="81" t="s">
        <v>147</v>
      </c>
      <c r="C367" s="80" t="s">
        <v>1175</v>
      </c>
      <c r="D367" s="81" t="s">
        <v>1176</v>
      </c>
      <c r="E367" s="81" t="s">
        <v>69</v>
      </c>
      <c r="H367" s="107">
        <v>0</v>
      </c>
      <c r="I367" s="107">
        <v>0</v>
      </c>
      <c r="K367" s="107">
        <v>0</v>
      </c>
      <c r="L367" s="107">
        <v>311.89999999999998</v>
      </c>
      <c r="M367" s="107">
        <v>0.03</v>
      </c>
      <c r="N367" s="109">
        <v>93300</v>
      </c>
      <c r="O367" s="81" t="s">
        <v>113</v>
      </c>
      <c r="R367" s="107">
        <v>61.6</v>
      </c>
    </row>
    <row r="368" spans="1:18" hidden="1" x14ac:dyDescent="0.2">
      <c r="A368" s="25" t="s">
        <v>190</v>
      </c>
      <c r="B368" s="81" t="s">
        <v>139</v>
      </c>
      <c r="C368" s="79" t="s">
        <v>1120</v>
      </c>
      <c r="D368" s="81" t="s">
        <v>1121</v>
      </c>
      <c r="E368" s="81" t="s">
        <v>69</v>
      </c>
      <c r="H368" s="107">
        <v>0</v>
      </c>
      <c r="I368" s="107">
        <v>0</v>
      </c>
      <c r="K368" s="107">
        <v>0</v>
      </c>
      <c r="L368" s="107">
        <v>6.2</v>
      </c>
      <c r="M368" s="107">
        <v>1.5</v>
      </c>
      <c r="N368" s="109">
        <v>92700</v>
      </c>
      <c r="O368" s="81" t="s">
        <v>31</v>
      </c>
      <c r="R368" s="107">
        <v>60.1</v>
      </c>
    </row>
    <row r="369" spans="1:18" hidden="1" x14ac:dyDescent="0.2">
      <c r="A369" s="25" t="s">
        <v>190</v>
      </c>
      <c r="B369" s="81" t="s">
        <v>140</v>
      </c>
      <c r="C369" s="79" t="s">
        <v>1124</v>
      </c>
      <c r="D369" s="81" t="s">
        <v>1125</v>
      </c>
      <c r="E369" s="81" t="s">
        <v>69</v>
      </c>
      <c r="H369" s="107">
        <v>0</v>
      </c>
      <c r="I369" s="107">
        <v>0</v>
      </c>
      <c r="K369" s="107">
        <v>0</v>
      </c>
      <c r="L369" s="107">
        <v>9.6999999999999993</v>
      </c>
      <c r="M369" s="107">
        <v>0.91</v>
      </c>
      <c r="N369" s="109">
        <v>88300</v>
      </c>
      <c r="O369" s="81" t="s">
        <v>31</v>
      </c>
      <c r="R369" s="107">
        <v>60</v>
      </c>
    </row>
    <row r="370" spans="1:18" hidden="1" x14ac:dyDescent="0.2">
      <c r="A370" s="18" t="s">
        <v>177</v>
      </c>
      <c r="B370" s="81" t="s">
        <v>79</v>
      </c>
      <c r="C370" s="80" t="s">
        <v>599</v>
      </c>
      <c r="D370" s="81" t="s">
        <v>600</v>
      </c>
      <c r="E370" s="81" t="s">
        <v>69</v>
      </c>
      <c r="H370" s="107">
        <v>0</v>
      </c>
      <c r="I370" s="107">
        <v>0</v>
      </c>
      <c r="K370" s="107">
        <v>0</v>
      </c>
      <c r="L370" s="107">
        <v>35</v>
      </c>
      <c r="M370" s="107">
        <v>0.25</v>
      </c>
      <c r="N370" s="109">
        <v>87500</v>
      </c>
      <c r="O370" s="81" t="s">
        <v>113</v>
      </c>
      <c r="R370" s="107">
        <v>59.8</v>
      </c>
    </row>
    <row r="371" spans="1:18" hidden="1" x14ac:dyDescent="0.2">
      <c r="A371" s="18" t="s">
        <v>1273</v>
      </c>
      <c r="B371" s="81" t="s">
        <v>149</v>
      </c>
      <c r="C371" s="80" t="s">
        <v>1291</v>
      </c>
      <c r="D371" s="81" t="s">
        <v>1292</v>
      </c>
      <c r="E371" s="81" t="s">
        <v>69</v>
      </c>
      <c r="H371" s="107">
        <v>0</v>
      </c>
      <c r="I371" s="107">
        <v>0</v>
      </c>
      <c r="K371" s="107">
        <v>0</v>
      </c>
      <c r="L371" s="107">
        <v>39.700000000000003</v>
      </c>
      <c r="M371" s="107">
        <v>0.22</v>
      </c>
      <c r="N371" s="109">
        <v>87300</v>
      </c>
      <c r="O371" s="81" t="s">
        <v>113</v>
      </c>
      <c r="R371" s="107">
        <v>57.8</v>
      </c>
    </row>
    <row r="372" spans="1:18" hidden="1" x14ac:dyDescent="0.2">
      <c r="A372" s="18" t="s">
        <v>177</v>
      </c>
      <c r="B372" s="81" t="s">
        <v>63</v>
      </c>
      <c r="C372" s="80" t="s">
        <v>385</v>
      </c>
      <c r="D372" s="81" t="s">
        <v>356</v>
      </c>
      <c r="E372" s="81" t="s">
        <v>69</v>
      </c>
      <c r="F372" s="81" t="s">
        <v>65</v>
      </c>
      <c r="G372" s="81" t="s">
        <v>70</v>
      </c>
      <c r="H372" s="107">
        <v>0</v>
      </c>
      <c r="I372" s="107">
        <v>0</v>
      </c>
      <c r="K372" s="107">
        <v>0</v>
      </c>
      <c r="L372" s="107">
        <v>6.2329999999999997</v>
      </c>
      <c r="M372" s="107">
        <v>1.39</v>
      </c>
      <c r="N372" s="109">
        <v>86500</v>
      </c>
      <c r="O372" s="81" t="s">
        <v>113</v>
      </c>
      <c r="Q372" s="107">
        <v>26.716700000000007</v>
      </c>
      <c r="R372" s="107">
        <v>57.1</v>
      </c>
    </row>
    <row r="373" spans="1:18" hidden="1" x14ac:dyDescent="0.2">
      <c r="A373" s="18" t="s">
        <v>190</v>
      </c>
      <c r="B373" s="81" t="s">
        <v>63</v>
      </c>
      <c r="C373" s="79" t="s">
        <v>236</v>
      </c>
      <c r="D373" s="81" t="s">
        <v>172</v>
      </c>
      <c r="E373" s="81" t="s">
        <v>69</v>
      </c>
      <c r="F373" s="81" t="s">
        <v>72</v>
      </c>
      <c r="G373" s="81" t="s">
        <v>204</v>
      </c>
      <c r="H373" s="107">
        <v>0</v>
      </c>
      <c r="I373" s="107">
        <v>0</v>
      </c>
      <c r="K373" s="107">
        <v>0</v>
      </c>
      <c r="L373" s="107">
        <v>11.2</v>
      </c>
      <c r="M373" s="107">
        <v>0.77</v>
      </c>
      <c r="N373" s="109">
        <v>86200</v>
      </c>
      <c r="O373" s="81" t="s">
        <v>31</v>
      </c>
      <c r="R373" s="107">
        <v>57</v>
      </c>
    </row>
    <row r="374" spans="1:18" hidden="1" x14ac:dyDescent="0.2">
      <c r="A374" s="18" t="s">
        <v>177</v>
      </c>
      <c r="B374" s="81" t="s">
        <v>127</v>
      </c>
      <c r="C374" s="80" t="s">
        <v>1080</v>
      </c>
      <c r="D374" s="81" t="s">
        <v>131</v>
      </c>
      <c r="E374" s="81" t="s">
        <v>69</v>
      </c>
      <c r="H374" s="107">
        <v>0</v>
      </c>
      <c r="I374" s="107">
        <v>0</v>
      </c>
      <c r="K374" s="107">
        <v>0</v>
      </c>
      <c r="L374" s="107">
        <v>19.96</v>
      </c>
      <c r="M374" s="107">
        <v>0.42</v>
      </c>
      <c r="N374" s="109">
        <v>83800</v>
      </c>
      <c r="O374" s="81" t="s">
        <v>113</v>
      </c>
      <c r="R374" s="107">
        <v>54.6</v>
      </c>
    </row>
    <row r="375" spans="1:18" hidden="1" x14ac:dyDescent="0.2">
      <c r="A375" s="18" t="s">
        <v>177</v>
      </c>
      <c r="B375" s="81" t="s">
        <v>149</v>
      </c>
      <c r="C375" s="80" t="s">
        <v>1300</v>
      </c>
      <c r="D375" s="81" t="s">
        <v>131</v>
      </c>
      <c r="E375" s="81" t="s">
        <v>69</v>
      </c>
      <c r="H375" s="107">
        <v>0</v>
      </c>
      <c r="I375" s="107">
        <v>0</v>
      </c>
      <c r="K375" s="107">
        <v>0</v>
      </c>
      <c r="L375" s="107">
        <v>20.3</v>
      </c>
      <c r="M375" s="107">
        <v>0.4</v>
      </c>
      <c r="N375" s="109">
        <v>81500</v>
      </c>
      <c r="O375" s="81" t="s">
        <v>113</v>
      </c>
      <c r="R375" s="107">
        <v>54.4</v>
      </c>
    </row>
    <row r="376" spans="1:18" hidden="1" x14ac:dyDescent="0.2">
      <c r="A376" s="18" t="s">
        <v>190</v>
      </c>
      <c r="B376" s="81" t="s">
        <v>63</v>
      </c>
      <c r="C376" s="79" t="s">
        <v>293</v>
      </c>
      <c r="D376" s="81" t="s">
        <v>81</v>
      </c>
      <c r="E376" s="81" t="s">
        <v>69</v>
      </c>
      <c r="F376" s="81" t="s">
        <v>72</v>
      </c>
      <c r="G376" s="81" t="s">
        <v>204</v>
      </c>
      <c r="H376" s="107">
        <v>0</v>
      </c>
      <c r="I376" s="107">
        <v>0</v>
      </c>
      <c r="K376" s="107">
        <v>0</v>
      </c>
      <c r="L376" s="107">
        <v>7.782</v>
      </c>
      <c r="M376" s="107">
        <v>1</v>
      </c>
      <c r="N376" s="109">
        <v>77900</v>
      </c>
      <c r="O376" s="81" t="s">
        <v>31</v>
      </c>
      <c r="Q376" s="107">
        <v>39.032400000000003</v>
      </c>
      <c r="R376" s="107">
        <v>53.8</v>
      </c>
    </row>
    <row r="377" spans="1:18" hidden="1" x14ac:dyDescent="0.2">
      <c r="A377" s="18" t="s">
        <v>177</v>
      </c>
      <c r="B377" s="81" t="s">
        <v>63</v>
      </c>
      <c r="C377" s="80" t="s">
        <v>419</v>
      </c>
      <c r="D377" s="81" t="s">
        <v>420</v>
      </c>
      <c r="E377" s="81" t="s">
        <v>69</v>
      </c>
      <c r="F377" s="81" t="s">
        <v>65</v>
      </c>
      <c r="G377" s="81" t="s">
        <v>70</v>
      </c>
      <c r="H377" s="107">
        <v>0</v>
      </c>
      <c r="I377" s="107">
        <v>0</v>
      </c>
      <c r="K377" s="107">
        <v>0</v>
      </c>
      <c r="L377" s="107">
        <v>4.16</v>
      </c>
      <c r="M377" s="107">
        <v>1.87</v>
      </c>
      <c r="N377" s="109">
        <v>77900</v>
      </c>
      <c r="O377" s="81" t="s">
        <v>113</v>
      </c>
      <c r="R377" s="107">
        <v>53.7</v>
      </c>
    </row>
    <row r="378" spans="1:18" hidden="1" x14ac:dyDescent="0.2">
      <c r="A378" s="18" t="s">
        <v>177</v>
      </c>
      <c r="B378" s="81" t="s">
        <v>85</v>
      </c>
      <c r="C378" s="80" t="s">
        <v>845</v>
      </c>
      <c r="D378" s="81" t="s">
        <v>131</v>
      </c>
      <c r="E378" s="81" t="s">
        <v>69</v>
      </c>
      <c r="H378" s="107">
        <v>0</v>
      </c>
      <c r="I378" s="107">
        <v>0</v>
      </c>
      <c r="K378" s="107">
        <v>0</v>
      </c>
      <c r="L378" s="107">
        <v>10.35</v>
      </c>
      <c r="M378" s="107">
        <v>0.74</v>
      </c>
      <c r="N378" s="109">
        <v>76600</v>
      </c>
      <c r="O378" s="81" t="s">
        <v>113</v>
      </c>
      <c r="R378" s="107">
        <v>52.4</v>
      </c>
    </row>
    <row r="379" spans="1:18" hidden="1" x14ac:dyDescent="0.2">
      <c r="A379" s="36" t="s">
        <v>1323</v>
      </c>
      <c r="B379" s="82" t="s">
        <v>149</v>
      </c>
      <c r="C379" s="80" t="s">
        <v>1217</v>
      </c>
      <c r="D379" s="81" t="s">
        <v>1203</v>
      </c>
      <c r="H379" s="107">
        <v>0</v>
      </c>
      <c r="I379" s="107">
        <v>0</v>
      </c>
      <c r="K379" s="107">
        <v>0</v>
      </c>
      <c r="L379" s="107">
        <v>44.05</v>
      </c>
      <c r="M379" s="107">
        <v>0.16</v>
      </c>
      <c r="N379" s="109">
        <v>70200</v>
      </c>
      <c r="O379" s="81" t="s">
        <v>113</v>
      </c>
      <c r="R379" s="107">
        <v>52.1</v>
      </c>
    </row>
    <row r="380" spans="1:18" hidden="1" x14ac:dyDescent="0.2">
      <c r="A380" s="18" t="s">
        <v>177</v>
      </c>
      <c r="B380" s="81" t="s">
        <v>147</v>
      </c>
      <c r="C380" s="80" t="s">
        <v>1178</v>
      </c>
      <c r="D380" s="81" t="s">
        <v>1176</v>
      </c>
      <c r="E380" s="81" t="s">
        <v>69</v>
      </c>
      <c r="H380" s="107">
        <v>0</v>
      </c>
      <c r="I380" s="107">
        <v>0</v>
      </c>
      <c r="K380" s="107">
        <v>0</v>
      </c>
      <c r="L380" s="107">
        <v>58.4</v>
      </c>
      <c r="M380" s="107">
        <v>0.11</v>
      </c>
      <c r="N380" s="109">
        <v>67000</v>
      </c>
      <c r="O380" s="81" t="s">
        <v>113</v>
      </c>
      <c r="R380" s="107">
        <v>51.9</v>
      </c>
    </row>
    <row r="381" spans="1:18" hidden="1" x14ac:dyDescent="0.2">
      <c r="A381" s="18" t="s">
        <v>177</v>
      </c>
      <c r="B381" s="81" t="s">
        <v>102</v>
      </c>
      <c r="C381" s="80" t="s">
        <v>914</v>
      </c>
      <c r="D381" s="81" t="s">
        <v>912</v>
      </c>
      <c r="E381" s="81" t="s">
        <v>71</v>
      </c>
      <c r="H381" s="107">
        <v>0</v>
      </c>
      <c r="I381" s="107">
        <v>0</v>
      </c>
      <c r="K381" s="107">
        <v>0</v>
      </c>
      <c r="L381" s="107">
        <v>4.468</v>
      </c>
      <c r="M381" s="107">
        <v>1.47</v>
      </c>
      <c r="N381" s="109">
        <v>65700</v>
      </c>
      <c r="O381" s="81" t="s">
        <v>113</v>
      </c>
      <c r="R381" s="107">
        <v>51.9</v>
      </c>
    </row>
    <row r="382" spans="1:18" hidden="1" x14ac:dyDescent="0.2">
      <c r="A382" s="18" t="s">
        <v>177</v>
      </c>
      <c r="B382" s="81" t="s">
        <v>103</v>
      </c>
      <c r="C382" s="16" t="s">
        <v>966</v>
      </c>
      <c r="D382" s="81" t="s">
        <v>967</v>
      </c>
      <c r="E382" s="81" t="s">
        <v>69</v>
      </c>
      <c r="H382" s="107">
        <v>0</v>
      </c>
      <c r="I382" s="107">
        <v>0</v>
      </c>
      <c r="K382" s="107">
        <v>0</v>
      </c>
      <c r="L382" s="107">
        <v>34.26</v>
      </c>
      <c r="M382" s="107">
        <v>0.19</v>
      </c>
      <c r="N382" s="109">
        <v>65400.000000000007</v>
      </c>
      <c r="O382" s="81" t="s">
        <v>118</v>
      </c>
      <c r="R382" s="107">
        <v>50.5</v>
      </c>
    </row>
    <row r="383" spans="1:18" hidden="1" x14ac:dyDescent="0.2">
      <c r="A383" s="18" t="s">
        <v>177</v>
      </c>
      <c r="B383" s="81" t="s">
        <v>102</v>
      </c>
      <c r="C383" s="80" t="s">
        <v>917</v>
      </c>
      <c r="D383" s="81" t="s">
        <v>912</v>
      </c>
      <c r="E383" s="81" t="s">
        <v>71</v>
      </c>
      <c r="H383" s="107">
        <v>0</v>
      </c>
      <c r="I383" s="107">
        <v>0</v>
      </c>
      <c r="K383" s="107">
        <v>0</v>
      </c>
      <c r="L383" s="107">
        <v>5.9470000000000001</v>
      </c>
      <c r="M383" s="107">
        <v>1.0900000000000001</v>
      </c>
      <c r="N383" s="109">
        <v>64800</v>
      </c>
      <c r="O383" s="81" t="s">
        <v>113</v>
      </c>
      <c r="R383" s="107">
        <v>49.8</v>
      </c>
    </row>
    <row r="384" spans="1:18" hidden="1" x14ac:dyDescent="0.2">
      <c r="A384" s="25" t="s">
        <v>190</v>
      </c>
      <c r="B384" s="81" t="s">
        <v>141</v>
      </c>
      <c r="C384" s="79" t="s">
        <v>1131</v>
      </c>
      <c r="D384" s="81" t="s">
        <v>131</v>
      </c>
      <c r="E384" s="81" t="s">
        <v>69</v>
      </c>
      <c r="H384" s="107">
        <v>0</v>
      </c>
      <c r="I384" s="107">
        <v>0</v>
      </c>
      <c r="K384" s="107">
        <v>0</v>
      </c>
      <c r="L384" s="107">
        <v>3.7</v>
      </c>
      <c r="M384" s="107">
        <v>1.75</v>
      </c>
      <c r="N384" s="109">
        <v>64800</v>
      </c>
      <c r="O384" s="81" t="s">
        <v>31</v>
      </c>
      <c r="R384" s="107">
        <v>49.6</v>
      </c>
    </row>
    <row r="385" spans="1:18" hidden="1" x14ac:dyDescent="0.2">
      <c r="A385" s="25" t="s">
        <v>190</v>
      </c>
      <c r="B385" s="81" t="s">
        <v>79</v>
      </c>
      <c r="C385" s="113" t="s">
        <v>628</v>
      </c>
      <c r="D385" s="81" t="s">
        <v>131</v>
      </c>
      <c r="E385" s="81" t="s">
        <v>69</v>
      </c>
      <c r="H385" s="107">
        <v>0</v>
      </c>
      <c r="I385" s="107">
        <v>0</v>
      </c>
      <c r="K385" s="107">
        <v>0</v>
      </c>
      <c r="L385" s="107">
        <v>4.5309999999999997</v>
      </c>
      <c r="M385" s="107">
        <v>1.4</v>
      </c>
      <c r="N385" s="109">
        <v>63400</v>
      </c>
      <c r="O385" s="81" t="s">
        <v>31</v>
      </c>
      <c r="R385" s="107">
        <v>49.5</v>
      </c>
    </row>
    <row r="386" spans="1:18" hidden="1" x14ac:dyDescent="0.2">
      <c r="A386" s="25" t="s">
        <v>190</v>
      </c>
      <c r="B386" s="81" t="s">
        <v>75</v>
      </c>
      <c r="C386" s="79" t="s">
        <v>563</v>
      </c>
      <c r="D386" s="81" t="s">
        <v>554</v>
      </c>
      <c r="E386" s="81" t="s">
        <v>69</v>
      </c>
      <c r="F386" s="81" t="s">
        <v>72</v>
      </c>
      <c r="G386" s="81" t="s">
        <v>187</v>
      </c>
      <c r="H386" s="107">
        <v>0</v>
      </c>
      <c r="I386" s="107">
        <v>0</v>
      </c>
      <c r="K386" s="107">
        <v>0</v>
      </c>
      <c r="L386" s="107">
        <v>5.8179999999999996</v>
      </c>
      <c r="M386" s="107">
        <v>1.06</v>
      </c>
      <c r="N386" s="109">
        <v>61600</v>
      </c>
      <c r="O386" s="81" t="s">
        <v>31</v>
      </c>
      <c r="R386" s="107">
        <v>49</v>
      </c>
    </row>
    <row r="387" spans="1:18" hidden="1" x14ac:dyDescent="0.2">
      <c r="A387" s="18" t="s">
        <v>177</v>
      </c>
      <c r="B387" s="81" t="s">
        <v>112</v>
      </c>
      <c r="C387" s="80" t="s">
        <v>1020</v>
      </c>
      <c r="D387" s="81" t="s">
        <v>1021</v>
      </c>
      <c r="E387" s="81" t="s">
        <v>64</v>
      </c>
      <c r="H387" s="107">
        <v>0</v>
      </c>
      <c r="I387" s="107">
        <v>0</v>
      </c>
      <c r="K387" s="107">
        <v>0</v>
      </c>
      <c r="L387" s="107">
        <v>6.01</v>
      </c>
      <c r="M387" s="107">
        <v>1</v>
      </c>
      <c r="N387" s="109">
        <v>60100</v>
      </c>
      <c r="O387" s="81" t="s">
        <v>113</v>
      </c>
      <c r="R387" s="107">
        <v>48.9</v>
      </c>
    </row>
    <row r="388" spans="1:18" hidden="1" x14ac:dyDescent="0.2">
      <c r="A388" s="18" t="s">
        <v>190</v>
      </c>
      <c r="B388" s="81" t="s">
        <v>63</v>
      </c>
      <c r="C388" s="79" t="s">
        <v>418</v>
      </c>
      <c r="D388" s="81" t="s">
        <v>274</v>
      </c>
      <c r="E388" s="81" t="s">
        <v>69</v>
      </c>
      <c r="F388" s="81" t="s">
        <v>72</v>
      </c>
      <c r="G388" s="81" t="s">
        <v>211</v>
      </c>
      <c r="H388" s="107">
        <v>0</v>
      </c>
      <c r="I388" s="107">
        <v>0</v>
      </c>
      <c r="K388" s="107">
        <v>0</v>
      </c>
      <c r="L388" s="107">
        <v>7.5</v>
      </c>
      <c r="M388" s="107">
        <v>0.8</v>
      </c>
      <c r="N388" s="109">
        <v>60000</v>
      </c>
      <c r="O388" s="81" t="s">
        <v>31</v>
      </c>
      <c r="R388" s="107">
        <v>48</v>
      </c>
    </row>
    <row r="389" spans="1:18" hidden="1" x14ac:dyDescent="0.2">
      <c r="A389" s="18" t="s">
        <v>177</v>
      </c>
      <c r="B389" s="81" t="s">
        <v>82</v>
      </c>
      <c r="C389" s="80" t="s">
        <v>717</v>
      </c>
      <c r="D389" s="81" t="s">
        <v>713</v>
      </c>
      <c r="E389" s="81" t="s">
        <v>69</v>
      </c>
      <c r="H389" s="107">
        <v>0</v>
      </c>
      <c r="I389" s="107">
        <v>0</v>
      </c>
      <c r="K389" s="107">
        <v>0</v>
      </c>
      <c r="L389" s="107">
        <v>33.200000000000003</v>
      </c>
      <c r="M389" s="107">
        <v>0.18</v>
      </c>
      <c r="N389" s="109">
        <v>59800</v>
      </c>
      <c r="O389" s="81" t="s">
        <v>113</v>
      </c>
      <c r="Q389" s="107">
        <v>42.77</v>
      </c>
      <c r="R389" s="107">
        <v>47.7</v>
      </c>
    </row>
    <row r="390" spans="1:18" x14ac:dyDescent="0.2">
      <c r="A390" s="18" t="s">
        <v>1195</v>
      </c>
      <c r="B390" s="111" t="s">
        <v>149</v>
      </c>
      <c r="C390" s="80" t="s">
        <v>1235</v>
      </c>
      <c r="D390" s="81" t="s">
        <v>1236</v>
      </c>
      <c r="H390" s="107">
        <v>4.5578099999999999</v>
      </c>
      <c r="I390" s="107">
        <v>4557810</v>
      </c>
      <c r="J390" s="107">
        <v>0.11240231217618903</v>
      </c>
      <c r="K390" s="107">
        <v>5123.083824597561</v>
      </c>
      <c r="L390" s="107">
        <v>15.89</v>
      </c>
      <c r="M390" s="107">
        <v>7.0000000000000007E-2</v>
      </c>
      <c r="N390" s="109">
        <v>11200</v>
      </c>
      <c r="O390" s="111" t="s">
        <v>113</v>
      </c>
      <c r="R390" s="107">
        <v>46.8</v>
      </c>
    </row>
    <row r="391" spans="1:18" hidden="1" x14ac:dyDescent="0.2">
      <c r="A391" s="18" t="s">
        <v>190</v>
      </c>
      <c r="B391" s="81" t="s">
        <v>63</v>
      </c>
      <c r="C391" s="79" t="s">
        <v>273</v>
      </c>
      <c r="D391" s="81" t="s">
        <v>274</v>
      </c>
      <c r="E391" s="81" t="s">
        <v>69</v>
      </c>
      <c r="F391" s="81" t="s">
        <v>72</v>
      </c>
      <c r="G391" s="81" t="s">
        <v>204</v>
      </c>
      <c r="H391" s="107">
        <v>0</v>
      </c>
      <c r="I391" s="107">
        <v>0</v>
      </c>
      <c r="K391" s="107">
        <v>0</v>
      </c>
      <c r="L391" s="107">
        <v>5.7</v>
      </c>
      <c r="M391" s="107">
        <v>1</v>
      </c>
      <c r="N391" s="109">
        <v>57000</v>
      </c>
      <c r="O391" s="81" t="s">
        <v>31</v>
      </c>
      <c r="R391" s="107">
        <v>46.1</v>
      </c>
    </row>
    <row r="392" spans="1:18" hidden="1" x14ac:dyDescent="0.2">
      <c r="A392" s="11" t="s">
        <v>108</v>
      </c>
      <c r="B392" s="81" t="s">
        <v>63</v>
      </c>
      <c r="C392" s="80" t="s">
        <v>109</v>
      </c>
      <c r="D392" s="81" t="s">
        <v>110</v>
      </c>
      <c r="E392" s="81" t="s">
        <v>71</v>
      </c>
      <c r="F392" s="81" t="s">
        <v>72</v>
      </c>
      <c r="G392" s="81" t="s">
        <v>95</v>
      </c>
      <c r="H392" s="107">
        <v>0</v>
      </c>
      <c r="I392" s="107">
        <v>0</v>
      </c>
      <c r="K392" s="107">
        <v>0</v>
      </c>
      <c r="L392" s="107">
        <v>59.5</v>
      </c>
      <c r="M392" s="107">
        <v>9.1999999999999998E-2</v>
      </c>
      <c r="N392" s="109">
        <v>54600</v>
      </c>
      <c r="O392" s="81" t="s">
        <v>113</v>
      </c>
      <c r="R392" s="107">
        <v>46.1</v>
      </c>
    </row>
    <row r="393" spans="1:18" hidden="1" x14ac:dyDescent="0.2">
      <c r="A393" s="18" t="s">
        <v>190</v>
      </c>
      <c r="B393" s="81" t="s">
        <v>63</v>
      </c>
      <c r="C393" s="79" t="s">
        <v>312</v>
      </c>
      <c r="D393" s="81" t="s">
        <v>310</v>
      </c>
      <c r="E393" s="81" t="s">
        <v>69</v>
      </c>
      <c r="F393" s="81" t="s">
        <v>72</v>
      </c>
      <c r="G393" s="81" t="s">
        <v>211</v>
      </c>
      <c r="H393" s="107">
        <v>0</v>
      </c>
      <c r="I393" s="107">
        <v>0</v>
      </c>
      <c r="K393" s="107">
        <v>0</v>
      </c>
      <c r="L393" s="107">
        <v>6.6390000000000002</v>
      </c>
      <c r="M393" s="107">
        <v>0.82</v>
      </c>
      <c r="N393" s="109">
        <v>54400</v>
      </c>
      <c r="O393" s="81" t="s">
        <v>31</v>
      </c>
      <c r="R393" s="107">
        <v>45.9</v>
      </c>
    </row>
    <row r="394" spans="1:18" hidden="1" x14ac:dyDescent="0.2">
      <c r="A394" s="18" t="s">
        <v>190</v>
      </c>
      <c r="B394" s="81" t="s">
        <v>63</v>
      </c>
      <c r="C394" s="79" t="s">
        <v>325</v>
      </c>
      <c r="D394" s="81" t="s">
        <v>151</v>
      </c>
      <c r="E394" s="81" t="s">
        <v>69</v>
      </c>
      <c r="F394" s="81" t="s">
        <v>72</v>
      </c>
      <c r="G394" s="81" t="s">
        <v>204</v>
      </c>
      <c r="H394" s="107">
        <v>0</v>
      </c>
      <c r="I394" s="107">
        <v>0</v>
      </c>
      <c r="K394" s="107">
        <v>0</v>
      </c>
      <c r="L394" s="107">
        <v>6.6070000000000002</v>
      </c>
      <c r="M394" s="107">
        <v>0.81</v>
      </c>
      <c r="N394" s="109">
        <v>53700</v>
      </c>
      <c r="O394" s="81" t="s">
        <v>31</v>
      </c>
      <c r="R394" s="107">
        <v>45.7</v>
      </c>
    </row>
    <row r="395" spans="1:18" hidden="1" x14ac:dyDescent="0.2">
      <c r="A395" s="18" t="s">
        <v>1183</v>
      </c>
      <c r="B395" s="81" t="s">
        <v>149</v>
      </c>
      <c r="C395" s="80" t="s">
        <v>1179</v>
      </c>
      <c r="D395" s="35" t="s">
        <v>1180</v>
      </c>
      <c r="H395" s="107">
        <v>0</v>
      </c>
      <c r="I395" s="107">
        <v>0</v>
      </c>
      <c r="K395" s="107">
        <v>0</v>
      </c>
      <c r="L395" s="107">
        <v>174.7</v>
      </c>
      <c r="M395" s="107">
        <v>0.03</v>
      </c>
      <c r="N395" s="109">
        <v>52400</v>
      </c>
      <c r="O395" s="81" t="s">
        <v>113</v>
      </c>
      <c r="R395" s="107">
        <v>45.6</v>
      </c>
    </row>
    <row r="396" spans="1:18" hidden="1" x14ac:dyDescent="0.2">
      <c r="A396" s="18" t="s">
        <v>177</v>
      </c>
      <c r="B396" s="81" t="s">
        <v>63</v>
      </c>
      <c r="C396" s="80" t="s">
        <v>383</v>
      </c>
      <c r="D396" s="81" t="s">
        <v>379</v>
      </c>
      <c r="E396" s="81" t="s">
        <v>71</v>
      </c>
      <c r="F396" s="81" t="s">
        <v>65</v>
      </c>
      <c r="G396" s="81" t="s">
        <v>70</v>
      </c>
      <c r="H396" s="107">
        <v>0</v>
      </c>
      <c r="I396" s="107">
        <v>0</v>
      </c>
      <c r="K396" s="107">
        <v>0</v>
      </c>
      <c r="L396" s="107">
        <v>3.5</v>
      </c>
      <c r="M396" s="107">
        <v>1.49</v>
      </c>
      <c r="N396" s="109">
        <v>52100</v>
      </c>
      <c r="O396" s="81" t="s">
        <v>113</v>
      </c>
      <c r="R396" s="107">
        <v>45.6</v>
      </c>
    </row>
    <row r="397" spans="1:18" hidden="1" x14ac:dyDescent="0.2">
      <c r="A397" s="18" t="s">
        <v>1195</v>
      </c>
      <c r="B397" s="81" t="s">
        <v>149</v>
      </c>
      <c r="C397" s="80" t="s">
        <v>1196</v>
      </c>
      <c r="D397" s="81" t="s">
        <v>1197</v>
      </c>
      <c r="H397" s="107">
        <v>0</v>
      </c>
      <c r="I397" s="107">
        <v>0</v>
      </c>
      <c r="K397" s="107">
        <v>0</v>
      </c>
      <c r="L397" s="107">
        <v>46.2</v>
      </c>
      <c r="M397" s="107">
        <v>0.11</v>
      </c>
      <c r="N397" s="109">
        <v>51900</v>
      </c>
      <c r="O397" s="81" t="s">
        <v>113</v>
      </c>
      <c r="R397" s="107">
        <v>44.1</v>
      </c>
    </row>
    <row r="398" spans="1:18" hidden="1" x14ac:dyDescent="0.2">
      <c r="A398" s="18" t="s">
        <v>190</v>
      </c>
      <c r="B398" s="81" t="s">
        <v>63</v>
      </c>
      <c r="C398" s="79" t="s">
        <v>326</v>
      </c>
      <c r="D398" s="81" t="s">
        <v>327</v>
      </c>
      <c r="E398" s="81" t="s">
        <v>69</v>
      </c>
      <c r="F398" s="81" t="s">
        <v>72</v>
      </c>
      <c r="G398" s="81" t="s">
        <v>204</v>
      </c>
      <c r="H398" s="107">
        <v>0</v>
      </c>
      <c r="I398" s="107">
        <v>0</v>
      </c>
      <c r="K398" s="107">
        <v>0</v>
      </c>
      <c r="L398" s="107">
        <v>5.39</v>
      </c>
      <c r="M398" s="107">
        <v>0.96</v>
      </c>
      <c r="N398" s="109">
        <v>51900</v>
      </c>
      <c r="O398" s="81" t="s">
        <v>31</v>
      </c>
      <c r="R398" s="107">
        <v>44</v>
      </c>
    </row>
    <row r="399" spans="1:18" hidden="1" x14ac:dyDescent="0.2">
      <c r="A399" s="18" t="s">
        <v>177</v>
      </c>
      <c r="B399" s="81" t="s">
        <v>82</v>
      </c>
      <c r="C399" s="80" t="s">
        <v>774</v>
      </c>
      <c r="D399" s="81" t="s">
        <v>775</v>
      </c>
      <c r="E399" s="81" t="s">
        <v>71</v>
      </c>
      <c r="H399" s="107">
        <v>0</v>
      </c>
      <c r="I399" s="107">
        <v>0</v>
      </c>
      <c r="K399" s="107">
        <v>0</v>
      </c>
      <c r="L399" s="107">
        <v>7.44</v>
      </c>
      <c r="M399" s="107">
        <v>0.68</v>
      </c>
      <c r="N399" s="109">
        <v>50500</v>
      </c>
      <c r="O399" s="81" t="s">
        <v>113</v>
      </c>
      <c r="R399" s="107">
        <v>43.8</v>
      </c>
    </row>
    <row r="400" spans="1:18" x14ac:dyDescent="0.2">
      <c r="A400" s="36" t="s">
        <v>1323</v>
      </c>
      <c r="B400" s="111" t="s">
        <v>149</v>
      </c>
      <c r="C400" s="80" t="s">
        <v>1252</v>
      </c>
      <c r="D400" s="81" t="s">
        <v>1253</v>
      </c>
      <c r="H400" s="107">
        <v>5.0999999999999996</v>
      </c>
      <c r="I400" s="107">
        <v>5100000</v>
      </c>
      <c r="J400" s="107">
        <v>8.3000000000000004E-2</v>
      </c>
      <c r="K400" s="107">
        <v>4233.0000000000009</v>
      </c>
      <c r="L400" s="107">
        <v>12.2</v>
      </c>
      <c r="M400" s="107">
        <v>0.08</v>
      </c>
      <c r="N400" s="109">
        <v>10100</v>
      </c>
      <c r="O400" s="111" t="s">
        <v>113</v>
      </c>
      <c r="R400" s="107">
        <v>42.3</v>
      </c>
    </row>
    <row r="401" spans="1:18" hidden="1" x14ac:dyDescent="0.2">
      <c r="A401" s="18" t="s">
        <v>177</v>
      </c>
      <c r="B401" s="81" t="s">
        <v>85</v>
      </c>
      <c r="C401" s="80" t="s">
        <v>870</v>
      </c>
      <c r="D401" s="81" t="s">
        <v>131</v>
      </c>
      <c r="E401" s="81" t="s">
        <v>69</v>
      </c>
      <c r="H401" s="107">
        <v>0</v>
      </c>
      <c r="I401" s="107">
        <v>0</v>
      </c>
      <c r="K401" s="107">
        <v>0</v>
      </c>
      <c r="L401" s="107">
        <v>13.41</v>
      </c>
      <c r="M401" s="107">
        <v>0.37</v>
      </c>
      <c r="N401" s="109">
        <v>49600</v>
      </c>
      <c r="O401" s="81" t="s">
        <v>113</v>
      </c>
      <c r="R401" s="107">
        <v>41.6</v>
      </c>
    </row>
    <row r="402" spans="1:18" hidden="1" x14ac:dyDescent="0.2">
      <c r="A402" s="18" t="s">
        <v>1183</v>
      </c>
      <c r="B402" s="81" t="s">
        <v>149</v>
      </c>
      <c r="C402" s="80" t="s">
        <v>1184</v>
      </c>
      <c r="D402" s="81" t="s">
        <v>1185</v>
      </c>
      <c r="H402" s="107">
        <v>0</v>
      </c>
      <c r="I402" s="107">
        <v>0</v>
      </c>
      <c r="K402" s="107">
        <v>0</v>
      </c>
      <c r="L402" s="107">
        <v>165.1</v>
      </c>
      <c r="M402" s="107">
        <v>0.03</v>
      </c>
      <c r="N402" s="109">
        <v>49500</v>
      </c>
      <c r="O402" s="81" t="s">
        <v>113</v>
      </c>
      <c r="R402" s="107">
        <v>40.9</v>
      </c>
    </row>
    <row r="403" spans="1:18" hidden="1" x14ac:dyDescent="0.2">
      <c r="A403" s="18" t="s">
        <v>595</v>
      </c>
      <c r="B403" s="81" t="s">
        <v>79</v>
      </c>
      <c r="C403" s="110" t="s">
        <v>596</v>
      </c>
      <c r="D403" s="81" t="s">
        <v>597</v>
      </c>
      <c r="E403" s="81" t="s">
        <v>69</v>
      </c>
      <c r="H403" s="107">
        <v>0</v>
      </c>
      <c r="I403" s="107">
        <v>0</v>
      </c>
      <c r="K403" s="107">
        <v>0</v>
      </c>
      <c r="L403" s="107">
        <v>27.2</v>
      </c>
      <c r="M403" s="107">
        <v>0.18</v>
      </c>
      <c r="N403" s="109">
        <v>49000</v>
      </c>
      <c r="O403" s="81" t="s">
        <v>113</v>
      </c>
      <c r="R403" s="107">
        <v>40.700000000000003</v>
      </c>
    </row>
    <row r="404" spans="1:18" hidden="1" x14ac:dyDescent="0.2">
      <c r="A404" s="18" t="s">
        <v>177</v>
      </c>
      <c r="B404" s="81" t="s">
        <v>82</v>
      </c>
      <c r="C404" s="16" t="s">
        <v>739</v>
      </c>
      <c r="D404" s="81" t="s">
        <v>740</v>
      </c>
      <c r="E404" s="81" t="s">
        <v>69</v>
      </c>
      <c r="H404" s="107">
        <v>0</v>
      </c>
      <c r="I404" s="107">
        <v>0</v>
      </c>
      <c r="K404" s="107">
        <v>0</v>
      </c>
      <c r="L404" s="107">
        <v>30.5</v>
      </c>
      <c r="M404" s="107">
        <v>0.16</v>
      </c>
      <c r="N404" s="109">
        <v>48900</v>
      </c>
      <c r="O404" s="81" t="s">
        <v>118</v>
      </c>
      <c r="R404" s="107">
        <v>40.1</v>
      </c>
    </row>
    <row r="405" spans="1:18" hidden="1" x14ac:dyDescent="0.2">
      <c r="A405" s="25" t="s">
        <v>190</v>
      </c>
      <c r="B405" s="81" t="s">
        <v>79</v>
      </c>
      <c r="C405" s="79" t="s">
        <v>621</v>
      </c>
      <c r="D405" s="81" t="s">
        <v>131</v>
      </c>
      <c r="E405" s="81" t="s">
        <v>69</v>
      </c>
      <c r="H405" s="107">
        <v>0</v>
      </c>
      <c r="I405" s="107">
        <v>0</v>
      </c>
      <c r="K405" s="107">
        <v>0</v>
      </c>
      <c r="L405" s="107">
        <v>4</v>
      </c>
      <c r="M405" s="107">
        <v>1.2</v>
      </c>
      <c r="N405" s="109">
        <v>48000</v>
      </c>
      <c r="O405" s="81" t="s">
        <v>31</v>
      </c>
      <c r="R405" s="107">
        <v>39.1</v>
      </c>
    </row>
    <row r="406" spans="1:18" hidden="1" x14ac:dyDescent="0.2">
      <c r="A406" s="18" t="s">
        <v>1183</v>
      </c>
      <c r="B406" s="81" t="s">
        <v>149</v>
      </c>
      <c r="C406" s="80" t="s">
        <v>1238</v>
      </c>
      <c r="D406" s="81" t="s">
        <v>1224</v>
      </c>
      <c r="H406" s="107">
        <v>0</v>
      </c>
      <c r="I406" s="107">
        <v>0</v>
      </c>
      <c r="K406" s="107">
        <v>0</v>
      </c>
      <c r="L406" s="107">
        <v>41.6</v>
      </c>
      <c r="M406" s="107">
        <v>0.11</v>
      </c>
      <c r="N406" s="109">
        <v>46800</v>
      </c>
      <c r="O406" s="81" t="s">
        <v>113</v>
      </c>
      <c r="R406" s="107">
        <v>38.799999999999997</v>
      </c>
    </row>
    <row r="407" spans="1:18" hidden="1" x14ac:dyDescent="0.2">
      <c r="A407" s="18" t="s">
        <v>177</v>
      </c>
      <c r="B407" s="81" t="s">
        <v>82</v>
      </c>
      <c r="C407" s="80" t="s">
        <v>784</v>
      </c>
      <c r="D407" s="81" t="s">
        <v>785</v>
      </c>
      <c r="E407" s="81" t="s">
        <v>69</v>
      </c>
      <c r="H407" s="107">
        <v>0</v>
      </c>
      <c r="I407" s="107">
        <v>0</v>
      </c>
      <c r="K407" s="107">
        <v>0</v>
      </c>
      <c r="L407" s="107">
        <v>10.55</v>
      </c>
      <c r="M407" s="107">
        <v>0.44</v>
      </c>
      <c r="N407" s="109">
        <v>46100</v>
      </c>
      <c r="O407" s="81" t="s">
        <v>113</v>
      </c>
      <c r="R407" s="107">
        <v>38.6</v>
      </c>
    </row>
    <row r="408" spans="1:18" hidden="1" x14ac:dyDescent="0.2">
      <c r="A408" s="18" t="s">
        <v>177</v>
      </c>
      <c r="B408" s="81" t="s">
        <v>82</v>
      </c>
      <c r="C408" s="80" t="s">
        <v>694</v>
      </c>
      <c r="D408" s="81" t="s">
        <v>695</v>
      </c>
      <c r="E408" s="81" t="s">
        <v>69</v>
      </c>
      <c r="H408" s="107">
        <v>0</v>
      </c>
      <c r="I408" s="107">
        <v>0</v>
      </c>
      <c r="K408" s="107">
        <v>0</v>
      </c>
      <c r="L408" s="107">
        <v>7.2569999999999997</v>
      </c>
      <c r="M408" s="107">
        <v>0.63</v>
      </c>
      <c r="N408" s="109">
        <v>46100</v>
      </c>
      <c r="O408" s="81" t="s">
        <v>113</v>
      </c>
      <c r="R408" s="107">
        <v>37.4</v>
      </c>
    </row>
    <row r="409" spans="1:18" hidden="1" x14ac:dyDescent="0.2">
      <c r="A409" s="18" t="s">
        <v>177</v>
      </c>
      <c r="B409" s="81" t="s">
        <v>82</v>
      </c>
      <c r="C409" s="80" t="s">
        <v>723</v>
      </c>
      <c r="D409" s="81" t="s">
        <v>706</v>
      </c>
      <c r="E409" s="81" t="s">
        <v>69</v>
      </c>
      <c r="H409" s="107">
        <v>0</v>
      </c>
      <c r="I409" s="107">
        <v>0</v>
      </c>
      <c r="K409" s="107">
        <v>0</v>
      </c>
      <c r="L409" s="107">
        <v>5.2889999999999997</v>
      </c>
      <c r="M409" s="107">
        <v>0.87</v>
      </c>
      <c r="N409" s="109">
        <v>45900</v>
      </c>
      <c r="O409" s="81" t="s">
        <v>113</v>
      </c>
      <c r="R409" s="107">
        <v>36.9</v>
      </c>
    </row>
    <row r="410" spans="1:18" hidden="1" x14ac:dyDescent="0.2">
      <c r="A410" s="18" t="s">
        <v>177</v>
      </c>
      <c r="B410" s="81" t="s">
        <v>82</v>
      </c>
      <c r="C410" s="80" t="s">
        <v>712</v>
      </c>
      <c r="D410" s="81" t="s">
        <v>713</v>
      </c>
      <c r="E410" s="81" t="s">
        <v>69</v>
      </c>
      <c r="H410" s="107">
        <v>0</v>
      </c>
      <c r="I410" s="107">
        <v>0</v>
      </c>
      <c r="K410" s="107">
        <v>0</v>
      </c>
      <c r="L410" s="107">
        <v>7.8730000000000002</v>
      </c>
      <c r="M410" s="107">
        <v>0.57999999999999996</v>
      </c>
      <c r="N410" s="109">
        <v>45700</v>
      </c>
      <c r="O410" s="81" t="s">
        <v>113</v>
      </c>
      <c r="Q410" s="107">
        <v>5.1869999999999994</v>
      </c>
      <c r="R410" s="107">
        <v>36.1</v>
      </c>
    </row>
    <row r="411" spans="1:18" hidden="1" x14ac:dyDescent="0.2">
      <c r="A411" s="18" t="s">
        <v>190</v>
      </c>
      <c r="B411" s="81" t="s">
        <v>63</v>
      </c>
      <c r="C411" s="79" t="s">
        <v>320</v>
      </c>
      <c r="D411" s="81" t="s">
        <v>316</v>
      </c>
      <c r="E411" s="81" t="s">
        <v>69</v>
      </c>
      <c r="F411" s="81" t="s">
        <v>72</v>
      </c>
      <c r="G411" s="81" t="s">
        <v>204</v>
      </c>
      <c r="H411" s="107">
        <v>0</v>
      </c>
      <c r="I411" s="107">
        <v>0</v>
      </c>
      <c r="K411" s="107">
        <v>0</v>
      </c>
      <c r="L411" s="107">
        <v>5.6</v>
      </c>
      <c r="M411" s="107">
        <v>0.81</v>
      </c>
      <c r="N411" s="109">
        <v>45600</v>
      </c>
      <c r="O411" s="81" t="s">
        <v>31</v>
      </c>
      <c r="R411" s="107">
        <v>35.4</v>
      </c>
    </row>
    <row r="412" spans="1:18" hidden="1" x14ac:dyDescent="0.2">
      <c r="A412" s="18" t="s">
        <v>190</v>
      </c>
      <c r="B412" s="81" t="s">
        <v>63</v>
      </c>
      <c r="C412" s="79" t="s">
        <v>459</v>
      </c>
      <c r="D412" s="81" t="s">
        <v>81</v>
      </c>
      <c r="E412" s="81" t="s">
        <v>69</v>
      </c>
      <c r="F412" s="81" t="s">
        <v>72</v>
      </c>
      <c r="G412" s="81" t="s">
        <v>211</v>
      </c>
      <c r="H412" s="107">
        <v>0</v>
      </c>
      <c r="I412" s="107">
        <v>0</v>
      </c>
      <c r="K412" s="107">
        <v>0</v>
      </c>
      <c r="L412" s="107">
        <v>4.6500000000000004</v>
      </c>
      <c r="M412" s="107">
        <v>0.98</v>
      </c>
      <c r="N412" s="109">
        <v>45600</v>
      </c>
      <c r="O412" s="81" t="s">
        <v>31</v>
      </c>
      <c r="R412" s="107">
        <v>35.1</v>
      </c>
    </row>
    <row r="413" spans="1:18" hidden="1" x14ac:dyDescent="0.2">
      <c r="A413" s="25" t="s">
        <v>190</v>
      </c>
      <c r="B413" s="81" t="s">
        <v>86</v>
      </c>
      <c r="C413" s="79" t="s">
        <v>885</v>
      </c>
      <c r="D413" s="81" t="s">
        <v>131</v>
      </c>
      <c r="E413" s="81" t="s">
        <v>69</v>
      </c>
      <c r="H413" s="107">
        <v>0</v>
      </c>
      <c r="I413" s="107">
        <v>0</v>
      </c>
      <c r="K413" s="107">
        <v>0</v>
      </c>
      <c r="L413" s="107">
        <v>5.3520000000000003</v>
      </c>
      <c r="M413" s="107">
        <v>0.82</v>
      </c>
      <c r="N413" s="109">
        <v>44100</v>
      </c>
      <c r="O413" s="81" t="s">
        <v>31</v>
      </c>
      <c r="Q413" s="107">
        <v>22.5</v>
      </c>
      <c r="R413" s="107">
        <v>34.9</v>
      </c>
    </row>
    <row r="414" spans="1:18" hidden="1" x14ac:dyDescent="0.2">
      <c r="A414" s="18" t="s">
        <v>190</v>
      </c>
      <c r="B414" s="81" t="s">
        <v>63</v>
      </c>
      <c r="C414" s="79" t="s">
        <v>328</v>
      </c>
      <c r="D414" s="81" t="s">
        <v>329</v>
      </c>
      <c r="E414" s="81" t="s">
        <v>69</v>
      </c>
      <c r="F414" s="81" t="s">
        <v>72</v>
      </c>
      <c r="G414" s="81" t="s">
        <v>211</v>
      </c>
      <c r="H414" s="107">
        <v>0</v>
      </c>
      <c r="I414" s="107">
        <v>0</v>
      </c>
      <c r="K414" s="107">
        <v>0</v>
      </c>
      <c r="L414" s="107">
        <v>4.3099999999999996</v>
      </c>
      <c r="M414" s="107">
        <v>1.02</v>
      </c>
      <c r="N414" s="109">
        <v>44000</v>
      </c>
      <c r="O414" s="81" t="s">
        <v>31</v>
      </c>
      <c r="R414" s="107">
        <v>34.6</v>
      </c>
    </row>
    <row r="415" spans="1:18" hidden="1" x14ac:dyDescent="0.2">
      <c r="A415" s="18" t="s">
        <v>177</v>
      </c>
      <c r="B415" s="81" t="s">
        <v>82</v>
      </c>
      <c r="C415" s="80" t="s">
        <v>748</v>
      </c>
      <c r="D415" s="81" t="s">
        <v>746</v>
      </c>
      <c r="E415" s="81" t="s">
        <v>69</v>
      </c>
      <c r="H415" s="107">
        <v>0</v>
      </c>
      <c r="I415" s="107">
        <v>0</v>
      </c>
      <c r="K415" s="107">
        <v>0</v>
      </c>
      <c r="L415" s="107">
        <v>7.4180000000000001</v>
      </c>
      <c r="M415" s="107">
        <v>0.59</v>
      </c>
      <c r="N415" s="109">
        <v>43800</v>
      </c>
      <c r="O415" s="81" t="s">
        <v>113</v>
      </c>
      <c r="R415" s="107">
        <v>34.5</v>
      </c>
    </row>
    <row r="416" spans="1:18" hidden="1" x14ac:dyDescent="0.2">
      <c r="A416" s="18" t="s">
        <v>190</v>
      </c>
      <c r="B416" s="81" t="s">
        <v>63</v>
      </c>
      <c r="C416" s="79" t="s">
        <v>321</v>
      </c>
      <c r="D416" s="81" t="s">
        <v>316</v>
      </c>
      <c r="E416" s="81" t="s">
        <v>69</v>
      </c>
      <c r="F416" s="81" t="s">
        <v>72</v>
      </c>
      <c r="G416" s="81" t="s">
        <v>204</v>
      </c>
      <c r="H416" s="107">
        <v>0</v>
      </c>
      <c r="I416" s="107">
        <v>0</v>
      </c>
      <c r="K416" s="107">
        <v>0</v>
      </c>
      <c r="L416" s="107">
        <v>13.8</v>
      </c>
      <c r="M416" s="107">
        <v>0.31</v>
      </c>
      <c r="N416" s="109">
        <v>42300</v>
      </c>
      <c r="O416" s="81" t="s">
        <v>31</v>
      </c>
      <c r="R416" s="107">
        <v>34</v>
      </c>
    </row>
    <row r="417" spans="1:18" hidden="1" x14ac:dyDescent="0.2">
      <c r="A417" s="18" t="s">
        <v>190</v>
      </c>
      <c r="B417" s="81" t="s">
        <v>63</v>
      </c>
      <c r="C417" s="79" t="s">
        <v>330</v>
      </c>
      <c r="D417" s="81" t="s">
        <v>331</v>
      </c>
      <c r="E417" s="81" t="s">
        <v>69</v>
      </c>
      <c r="F417" s="81" t="s">
        <v>72</v>
      </c>
      <c r="G417" s="81" t="s">
        <v>211</v>
      </c>
      <c r="H417" s="107">
        <v>0</v>
      </c>
      <c r="I417" s="107">
        <v>0</v>
      </c>
      <c r="K417" s="107">
        <v>0</v>
      </c>
      <c r="L417" s="107">
        <v>5.2</v>
      </c>
      <c r="M417" s="107">
        <v>0.8</v>
      </c>
      <c r="N417" s="109">
        <v>41600</v>
      </c>
      <c r="O417" s="81" t="s">
        <v>31</v>
      </c>
      <c r="Q417" s="107">
        <v>23.267278620471124</v>
      </c>
      <c r="R417" s="107">
        <v>33.9</v>
      </c>
    </row>
    <row r="418" spans="1:18" hidden="1" x14ac:dyDescent="0.2">
      <c r="A418" s="18" t="s">
        <v>177</v>
      </c>
      <c r="B418" s="81" t="s">
        <v>85</v>
      </c>
      <c r="C418" s="80" t="s">
        <v>873</v>
      </c>
      <c r="D418" s="81" t="s">
        <v>131</v>
      </c>
      <c r="E418" s="81" t="s">
        <v>69</v>
      </c>
      <c r="H418" s="107">
        <v>0</v>
      </c>
      <c r="I418" s="107">
        <v>0</v>
      </c>
      <c r="K418" s="107">
        <v>0</v>
      </c>
      <c r="L418" s="107">
        <v>5.18</v>
      </c>
      <c r="M418" s="107">
        <v>0.79</v>
      </c>
      <c r="N418" s="109">
        <v>40900</v>
      </c>
      <c r="O418" s="81" t="s">
        <v>113</v>
      </c>
      <c r="R418" s="107">
        <v>33.6</v>
      </c>
    </row>
    <row r="419" spans="1:18" hidden="1" x14ac:dyDescent="0.2">
      <c r="A419" s="18" t="s">
        <v>190</v>
      </c>
      <c r="B419" s="81" t="s">
        <v>63</v>
      </c>
      <c r="C419" s="79" t="s">
        <v>332</v>
      </c>
      <c r="D419" s="81" t="s">
        <v>151</v>
      </c>
      <c r="E419" s="81" t="s">
        <v>69</v>
      </c>
      <c r="F419" s="81" t="s">
        <v>72</v>
      </c>
      <c r="G419" s="81" t="s">
        <v>211</v>
      </c>
      <c r="H419" s="107">
        <v>0</v>
      </c>
      <c r="I419" s="107">
        <v>0</v>
      </c>
      <c r="K419" s="107">
        <v>0</v>
      </c>
      <c r="L419" s="107">
        <v>3.9169999999999998</v>
      </c>
      <c r="M419" s="107">
        <v>1.04</v>
      </c>
      <c r="N419" s="109">
        <v>40700</v>
      </c>
      <c r="O419" s="81" t="s">
        <v>31</v>
      </c>
      <c r="R419" s="107">
        <v>33.6</v>
      </c>
    </row>
    <row r="420" spans="1:18" hidden="1" x14ac:dyDescent="0.2">
      <c r="A420" s="18" t="s">
        <v>177</v>
      </c>
      <c r="B420" s="81" t="s">
        <v>63</v>
      </c>
      <c r="C420" s="80" t="s">
        <v>427</v>
      </c>
      <c r="D420" s="81" t="s">
        <v>426</v>
      </c>
      <c r="E420" s="81" t="s">
        <v>69</v>
      </c>
      <c r="F420" s="81" t="s">
        <v>65</v>
      </c>
      <c r="G420" s="81" t="s">
        <v>70</v>
      </c>
      <c r="H420" s="107">
        <v>0</v>
      </c>
      <c r="I420" s="107">
        <v>0</v>
      </c>
      <c r="K420" s="107">
        <v>0</v>
      </c>
      <c r="L420" s="107">
        <v>5.7220000000000004</v>
      </c>
      <c r="M420" s="107">
        <v>0.7</v>
      </c>
      <c r="N420" s="109">
        <v>40100</v>
      </c>
      <c r="O420" s="81" t="s">
        <v>113</v>
      </c>
      <c r="R420" s="107">
        <v>32.9</v>
      </c>
    </row>
    <row r="421" spans="1:18" x14ac:dyDescent="0.2">
      <c r="A421" s="18" t="s">
        <v>177</v>
      </c>
      <c r="B421" s="115" t="s">
        <v>105</v>
      </c>
      <c r="C421" s="80" t="s">
        <v>1003</v>
      </c>
      <c r="D421" s="81" t="s">
        <v>131</v>
      </c>
      <c r="H421" s="107">
        <v>0</v>
      </c>
      <c r="I421" s="107">
        <v>0</v>
      </c>
      <c r="K421" s="107">
        <v>0</v>
      </c>
      <c r="L421" s="107">
        <v>1.2</v>
      </c>
      <c r="M421" s="107">
        <v>0.83</v>
      </c>
      <c r="N421" s="109">
        <v>10000</v>
      </c>
      <c r="O421" s="111" t="s">
        <v>113</v>
      </c>
      <c r="R421" s="107">
        <v>32.5</v>
      </c>
    </row>
    <row r="422" spans="1:18" hidden="1" x14ac:dyDescent="0.2">
      <c r="A422" s="25" t="s">
        <v>190</v>
      </c>
      <c r="B422" s="81" t="s">
        <v>93</v>
      </c>
      <c r="C422" s="79" t="s">
        <v>901</v>
      </c>
      <c r="D422" s="81" t="s">
        <v>131</v>
      </c>
      <c r="E422" s="81" t="s">
        <v>69</v>
      </c>
      <c r="H422" s="107">
        <v>0</v>
      </c>
      <c r="I422" s="107">
        <v>0</v>
      </c>
      <c r="K422" s="107">
        <v>0</v>
      </c>
      <c r="L422" s="107">
        <v>2.5</v>
      </c>
      <c r="M422" s="107">
        <v>1.55</v>
      </c>
      <c r="N422" s="109">
        <v>38800</v>
      </c>
      <c r="O422" s="81" t="s">
        <v>31</v>
      </c>
      <c r="R422" s="107">
        <v>32.5</v>
      </c>
    </row>
    <row r="423" spans="1:18" hidden="1" x14ac:dyDescent="0.2">
      <c r="A423" s="18" t="s">
        <v>177</v>
      </c>
      <c r="B423" s="81" t="s">
        <v>63</v>
      </c>
      <c r="C423" s="80" t="s">
        <v>384</v>
      </c>
      <c r="D423" s="81" t="s">
        <v>365</v>
      </c>
      <c r="E423" s="81" t="s">
        <v>69</v>
      </c>
      <c r="F423" s="81" t="s">
        <v>65</v>
      </c>
      <c r="G423" s="81" t="s">
        <v>70</v>
      </c>
      <c r="H423" s="107">
        <v>0</v>
      </c>
      <c r="I423" s="107">
        <v>0</v>
      </c>
      <c r="K423" s="107">
        <v>0</v>
      </c>
      <c r="L423" s="107">
        <v>14.32</v>
      </c>
      <c r="M423" s="107">
        <v>0.27</v>
      </c>
      <c r="N423" s="109">
        <v>38600</v>
      </c>
      <c r="O423" s="81" t="s">
        <v>113</v>
      </c>
      <c r="R423" s="107">
        <v>31.4</v>
      </c>
    </row>
    <row r="424" spans="1:18" hidden="1" x14ac:dyDescent="0.2">
      <c r="A424" s="18" t="s">
        <v>177</v>
      </c>
      <c r="B424" s="81" t="s">
        <v>112</v>
      </c>
      <c r="C424" s="16" t="s">
        <v>1023</v>
      </c>
      <c r="D424" s="81" t="s">
        <v>131</v>
      </c>
      <c r="E424" s="81" t="s">
        <v>69</v>
      </c>
      <c r="H424" s="107">
        <v>0</v>
      </c>
      <c r="I424" s="107">
        <v>0</v>
      </c>
      <c r="K424" s="107">
        <v>0</v>
      </c>
      <c r="L424" s="107">
        <v>185.8</v>
      </c>
      <c r="M424" s="107">
        <v>0.02</v>
      </c>
      <c r="N424" s="109">
        <v>37400</v>
      </c>
      <c r="O424" s="81" t="s">
        <v>118</v>
      </c>
      <c r="R424" s="107">
        <v>31.4</v>
      </c>
    </row>
    <row r="425" spans="1:18" hidden="1" x14ac:dyDescent="0.2">
      <c r="A425" s="25" t="s">
        <v>190</v>
      </c>
      <c r="B425" s="81" t="s">
        <v>93</v>
      </c>
      <c r="C425" s="79" t="s">
        <v>900</v>
      </c>
      <c r="D425" s="81" t="s">
        <v>131</v>
      </c>
      <c r="E425" s="81" t="s">
        <v>69</v>
      </c>
      <c r="H425" s="107">
        <v>0</v>
      </c>
      <c r="I425" s="107">
        <v>0</v>
      </c>
      <c r="K425" s="107">
        <v>0</v>
      </c>
      <c r="L425" s="107">
        <v>3</v>
      </c>
      <c r="M425" s="107">
        <v>1.23</v>
      </c>
      <c r="N425" s="109">
        <v>36900</v>
      </c>
      <c r="O425" s="81" t="s">
        <v>31</v>
      </c>
      <c r="R425" s="107">
        <v>31.1</v>
      </c>
    </row>
    <row r="426" spans="1:18" hidden="1" x14ac:dyDescent="0.2">
      <c r="A426" s="25" t="s">
        <v>190</v>
      </c>
      <c r="B426" s="81" t="s">
        <v>75</v>
      </c>
      <c r="C426" s="79" t="s">
        <v>543</v>
      </c>
      <c r="D426" s="81" t="s">
        <v>544</v>
      </c>
      <c r="E426" s="81" t="s">
        <v>518</v>
      </c>
      <c r="F426" s="81" t="s">
        <v>72</v>
      </c>
      <c r="G426" s="81" t="s">
        <v>187</v>
      </c>
      <c r="H426" s="107">
        <v>0</v>
      </c>
      <c r="I426" s="107">
        <v>0</v>
      </c>
      <c r="K426" s="107">
        <v>0</v>
      </c>
      <c r="L426" s="107">
        <v>2.7210000000000001</v>
      </c>
      <c r="M426" s="107">
        <v>1.3</v>
      </c>
      <c r="N426" s="109">
        <v>35400</v>
      </c>
      <c r="O426" s="81" t="s">
        <v>31</v>
      </c>
      <c r="R426" s="107">
        <v>31</v>
      </c>
    </row>
    <row r="427" spans="1:18" hidden="1" x14ac:dyDescent="0.2">
      <c r="A427" s="18" t="s">
        <v>190</v>
      </c>
      <c r="B427" s="81" t="s">
        <v>63</v>
      </c>
      <c r="C427" s="79" t="s">
        <v>270</v>
      </c>
      <c r="D427" s="81" t="s">
        <v>266</v>
      </c>
      <c r="E427" s="81" t="s">
        <v>69</v>
      </c>
      <c r="F427" s="81" t="s">
        <v>72</v>
      </c>
      <c r="G427" s="81" t="s">
        <v>92</v>
      </c>
      <c r="H427" s="107">
        <v>0</v>
      </c>
      <c r="I427" s="107">
        <v>0</v>
      </c>
      <c r="K427" s="107">
        <v>0</v>
      </c>
      <c r="L427" s="107">
        <v>3.6</v>
      </c>
      <c r="M427" s="107">
        <v>0.97</v>
      </c>
      <c r="N427" s="109">
        <v>35100</v>
      </c>
      <c r="O427" s="81" t="s">
        <v>31</v>
      </c>
      <c r="R427" s="107">
        <v>30.3</v>
      </c>
    </row>
    <row r="428" spans="1:18" hidden="1" x14ac:dyDescent="0.2">
      <c r="A428" s="18" t="s">
        <v>177</v>
      </c>
      <c r="B428" s="81" t="s">
        <v>79</v>
      </c>
      <c r="C428" s="80" t="s">
        <v>592</v>
      </c>
      <c r="D428" s="81" t="s">
        <v>593</v>
      </c>
      <c r="E428" s="81" t="s">
        <v>69</v>
      </c>
      <c r="H428" s="107">
        <v>0</v>
      </c>
      <c r="I428" s="107">
        <v>0</v>
      </c>
      <c r="K428" s="107">
        <v>0</v>
      </c>
      <c r="L428" s="107">
        <v>3.09</v>
      </c>
      <c r="M428" s="107">
        <v>1.1200000000000001</v>
      </c>
      <c r="N428" s="109">
        <v>34600</v>
      </c>
      <c r="O428" s="81" t="s">
        <v>113</v>
      </c>
      <c r="R428" s="107">
        <v>30</v>
      </c>
    </row>
    <row r="429" spans="1:18" hidden="1" x14ac:dyDescent="0.2">
      <c r="A429" s="18" t="s">
        <v>177</v>
      </c>
      <c r="B429" s="81" t="s">
        <v>127</v>
      </c>
      <c r="C429" s="80" t="s">
        <v>1067</v>
      </c>
      <c r="D429" s="81" t="s">
        <v>131</v>
      </c>
      <c r="E429" s="81" t="s">
        <v>69</v>
      </c>
      <c r="H429" s="107">
        <v>0</v>
      </c>
      <c r="I429" s="107">
        <v>0</v>
      </c>
      <c r="K429" s="107">
        <v>0</v>
      </c>
      <c r="L429" s="107">
        <v>34.47</v>
      </c>
      <c r="M429" s="107">
        <v>0.1</v>
      </c>
      <c r="N429" s="109">
        <v>34500</v>
      </c>
      <c r="O429" s="81" t="s">
        <v>113</v>
      </c>
      <c r="R429" s="107">
        <v>30</v>
      </c>
    </row>
    <row r="430" spans="1:18" hidden="1" x14ac:dyDescent="0.2">
      <c r="A430" s="18" t="s">
        <v>177</v>
      </c>
      <c r="B430" s="81" t="s">
        <v>82</v>
      </c>
      <c r="C430" s="80" t="s">
        <v>709</v>
      </c>
      <c r="D430" s="81" t="s">
        <v>710</v>
      </c>
      <c r="E430" s="81" t="s">
        <v>69</v>
      </c>
      <c r="H430" s="107">
        <v>0</v>
      </c>
      <c r="I430" s="107">
        <v>0</v>
      </c>
      <c r="K430" s="107">
        <v>0</v>
      </c>
      <c r="L430" s="107">
        <v>4.3019999999999996</v>
      </c>
      <c r="M430" s="107">
        <v>0.79</v>
      </c>
      <c r="N430" s="109">
        <v>34000</v>
      </c>
      <c r="O430" s="81" t="s">
        <v>113</v>
      </c>
      <c r="R430" s="107">
        <v>30</v>
      </c>
    </row>
    <row r="431" spans="1:18" hidden="1" x14ac:dyDescent="0.2">
      <c r="A431" s="18" t="s">
        <v>1273</v>
      </c>
      <c r="B431" s="81" t="s">
        <v>149</v>
      </c>
      <c r="C431" s="80" t="s">
        <v>1279</v>
      </c>
      <c r="D431" s="35" t="s">
        <v>131</v>
      </c>
      <c r="E431" s="81" t="s">
        <v>69</v>
      </c>
      <c r="H431" s="107">
        <v>0</v>
      </c>
      <c r="I431" s="107">
        <v>0</v>
      </c>
      <c r="K431" s="107">
        <v>0</v>
      </c>
      <c r="L431" s="107">
        <v>18.13</v>
      </c>
      <c r="M431" s="107">
        <v>0.19</v>
      </c>
      <c r="N431" s="109">
        <v>33600</v>
      </c>
      <c r="O431" s="81" t="s">
        <v>113</v>
      </c>
      <c r="R431" s="107">
        <v>29.3</v>
      </c>
    </row>
    <row r="432" spans="1:18" hidden="1" x14ac:dyDescent="0.2">
      <c r="A432" s="18" t="s">
        <v>177</v>
      </c>
      <c r="B432" s="81" t="s">
        <v>63</v>
      </c>
      <c r="C432" s="80" t="s">
        <v>452</v>
      </c>
      <c r="D432" s="81" t="s">
        <v>453</v>
      </c>
      <c r="E432" s="81" t="s">
        <v>69</v>
      </c>
      <c r="F432" s="81" t="s">
        <v>65</v>
      </c>
      <c r="G432" s="81" t="s">
        <v>70</v>
      </c>
      <c r="H432" s="107">
        <v>0</v>
      </c>
      <c r="I432" s="107">
        <v>0</v>
      </c>
      <c r="K432" s="107">
        <v>0</v>
      </c>
      <c r="L432" s="107">
        <v>4.3</v>
      </c>
      <c r="M432" s="107">
        <v>0.78</v>
      </c>
      <c r="N432" s="109">
        <v>33600</v>
      </c>
      <c r="O432" s="81" t="s">
        <v>113</v>
      </c>
      <c r="R432" s="107">
        <v>28.9</v>
      </c>
    </row>
    <row r="433" spans="1:18" hidden="1" x14ac:dyDescent="0.2">
      <c r="A433" s="18" t="s">
        <v>177</v>
      </c>
      <c r="B433" s="81" t="s">
        <v>130</v>
      </c>
      <c r="C433" s="80" t="s">
        <v>1094</v>
      </c>
      <c r="D433" s="81" t="s">
        <v>131</v>
      </c>
      <c r="E433" s="81" t="s">
        <v>69</v>
      </c>
      <c r="H433" s="107">
        <v>0</v>
      </c>
      <c r="I433" s="107">
        <v>0</v>
      </c>
      <c r="K433" s="107">
        <v>0</v>
      </c>
      <c r="L433" s="107">
        <v>9.15</v>
      </c>
      <c r="M433" s="107">
        <v>0.36</v>
      </c>
      <c r="N433" s="109">
        <v>32900</v>
      </c>
      <c r="O433" s="81" t="s">
        <v>113</v>
      </c>
      <c r="R433" s="107">
        <v>28.7</v>
      </c>
    </row>
    <row r="434" spans="1:18" hidden="1" x14ac:dyDescent="0.2">
      <c r="A434" s="18" t="s">
        <v>177</v>
      </c>
      <c r="B434" s="81" t="s">
        <v>103</v>
      </c>
      <c r="C434" s="80" t="s">
        <v>922</v>
      </c>
      <c r="D434" s="81" t="s">
        <v>923</v>
      </c>
      <c r="E434" s="81" t="s">
        <v>69</v>
      </c>
      <c r="H434" s="107">
        <v>0</v>
      </c>
      <c r="I434" s="107">
        <v>0</v>
      </c>
      <c r="K434" s="107">
        <v>0</v>
      </c>
      <c r="L434" s="107">
        <v>23.2</v>
      </c>
      <c r="M434" s="107">
        <v>0.14000000000000001</v>
      </c>
      <c r="N434" s="109">
        <v>32500</v>
      </c>
      <c r="O434" s="81" t="s">
        <v>113</v>
      </c>
      <c r="R434" s="107">
        <v>28</v>
      </c>
    </row>
    <row r="435" spans="1:18" hidden="1" x14ac:dyDescent="0.2">
      <c r="A435" s="18" t="s">
        <v>177</v>
      </c>
      <c r="B435" s="81" t="s">
        <v>63</v>
      </c>
      <c r="C435" s="80" t="s">
        <v>425</v>
      </c>
      <c r="D435" s="81" t="s">
        <v>426</v>
      </c>
      <c r="E435" s="81" t="s">
        <v>69</v>
      </c>
      <c r="F435" s="81" t="s">
        <v>65</v>
      </c>
      <c r="G435" s="81" t="s">
        <v>70</v>
      </c>
      <c r="H435" s="107">
        <v>0</v>
      </c>
      <c r="I435" s="107">
        <v>0</v>
      </c>
      <c r="K435" s="107">
        <v>0</v>
      </c>
      <c r="L435" s="107">
        <v>1.94</v>
      </c>
      <c r="M435" s="107">
        <v>1.67</v>
      </c>
      <c r="N435" s="109">
        <v>32500</v>
      </c>
      <c r="O435" s="81" t="s">
        <v>113</v>
      </c>
      <c r="R435" s="107">
        <v>27.3</v>
      </c>
    </row>
    <row r="436" spans="1:18" hidden="1" x14ac:dyDescent="0.2">
      <c r="A436" s="18" t="s">
        <v>177</v>
      </c>
      <c r="B436" s="81" t="s">
        <v>85</v>
      </c>
      <c r="C436" s="80" t="s">
        <v>854</v>
      </c>
      <c r="D436" s="81" t="s">
        <v>131</v>
      </c>
      <c r="E436" s="81" t="s">
        <v>69</v>
      </c>
      <c r="H436" s="107">
        <v>0</v>
      </c>
      <c r="I436" s="107">
        <v>0</v>
      </c>
      <c r="K436" s="107">
        <v>0</v>
      </c>
      <c r="L436" s="107">
        <v>13.1</v>
      </c>
      <c r="M436" s="107">
        <v>0.24</v>
      </c>
      <c r="N436" s="109">
        <v>31400</v>
      </c>
      <c r="O436" s="81" t="s">
        <v>113</v>
      </c>
      <c r="R436" s="107">
        <v>27</v>
      </c>
    </row>
    <row r="437" spans="1:18" hidden="1" x14ac:dyDescent="0.2">
      <c r="A437" s="18" t="s">
        <v>177</v>
      </c>
      <c r="B437" s="81" t="s">
        <v>63</v>
      </c>
      <c r="C437" s="80" t="s">
        <v>372</v>
      </c>
      <c r="D437" s="81" t="s">
        <v>373</v>
      </c>
      <c r="E437" s="81" t="s">
        <v>71</v>
      </c>
      <c r="F437" s="81" t="s">
        <v>65</v>
      </c>
      <c r="G437" s="81" t="s">
        <v>70</v>
      </c>
      <c r="H437" s="107">
        <v>0</v>
      </c>
      <c r="I437" s="107">
        <v>0</v>
      </c>
      <c r="K437" s="107">
        <v>0</v>
      </c>
      <c r="L437" s="107">
        <v>0.75</v>
      </c>
      <c r="M437" s="107">
        <v>4.1900000000000004</v>
      </c>
      <c r="N437" s="109">
        <v>31400</v>
      </c>
      <c r="O437" s="81" t="s">
        <v>113</v>
      </c>
      <c r="R437" s="107">
        <v>26.7</v>
      </c>
    </row>
    <row r="438" spans="1:18" hidden="1" x14ac:dyDescent="0.2">
      <c r="A438" s="18" t="s">
        <v>190</v>
      </c>
      <c r="B438" s="81" t="s">
        <v>63</v>
      </c>
      <c r="C438" s="79" t="s">
        <v>454</v>
      </c>
      <c r="D438" s="81" t="s">
        <v>455</v>
      </c>
      <c r="E438" s="81" t="s">
        <v>69</v>
      </c>
      <c r="F438" s="81" t="s">
        <v>72</v>
      </c>
      <c r="G438" s="81" t="s">
        <v>211</v>
      </c>
      <c r="H438" s="107">
        <v>0</v>
      </c>
      <c r="I438" s="107">
        <v>0</v>
      </c>
      <c r="K438" s="107">
        <v>0</v>
      </c>
      <c r="L438" s="107">
        <v>2.8</v>
      </c>
      <c r="M438" s="107">
        <v>1.1100000000000001</v>
      </c>
      <c r="N438" s="109">
        <v>31100</v>
      </c>
      <c r="O438" s="81" t="s">
        <v>31</v>
      </c>
      <c r="R438" s="107">
        <v>26.6</v>
      </c>
    </row>
    <row r="439" spans="1:18" hidden="1" x14ac:dyDescent="0.2">
      <c r="A439" s="25" t="s">
        <v>190</v>
      </c>
      <c r="B439" s="81" t="s">
        <v>132</v>
      </c>
      <c r="C439" s="79" t="s">
        <v>1095</v>
      </c>
      <c r="D439" s="81" t="s">
        <v>1096</v>
      </c>
      <c r="E439" s="81" t="s">
        <v>69</v>
      </c>
      <c r="H439" s="107">
        <v>0</v>
      </c>
      <c r="I439" s="107">
        <v>0</v>
      </c>
      <c r="K439" s="107">
        <v>0</v>
      </c>
      <c r="L439" s="107">
        <v>8.5530000000000008</v>
      </c>
      <c r="M439" s="107">
        <v>0.36</v>
      </c>
      <c r="N439" s="109">
        <v>31000</v>
      </c>
      <c r="O439" s="81" t="s">
        <v>31</v>
      </c>
      <c r="R439" s="107">
        <v>26</v>
      </c>
    </row>
    <row r="440" spans="1:18" hidden="1" x14ac:dyDescent="0.2">
      <c r="A440" s="18" t="s">
        <v>595</v>
      </c>
      <c r="B440" s="111" t="s">
        <v>82</v>
      </c>
      <c r="C440" s="80" t="s">
        <v>750</v>
      </c>
      <c r="D440" s="81" t="s">
        <v>751</v>
      </c>
      <c r="E440" s="81" t="s">
        <v>69</v>
      </c>
      <c r="H440" s="107">
        <v>0</v>
      </c>
      <c r="I440" s="107">
        <v>0</v>
      </c>
      <c r="K440" s="107">
        <v>0</v>
      </c>
      <c r="L440" s="107">
        <v>151.56</v>
      </c>
      <c r="M440" s="107">
        <v>0.02</v>
      </c>
      <c r="N440" s="109">
        <v>30300</v>
      </c>
      <c r="O440" s="81" t="s">
        <v>113</v>
      </c>
      <c r="R440" s="107">
        <v>25.9</v>
      </c>
    </row>
    <row r="441" spans="1:18" hidden="1" x14ac:dyDescent="0.2">
      <c r="A441" s="18" t="s">
        <v>177</v>
      </c>
      <c r="B441" s="81" t="s">
        <v>82</v>
      </c>
      <c r="C441" s="110" t="s">
        <v>702</v>
      </c>
      <c r="D441" s="81" t="s">
        <v>703</v>
      </c>
      <c r="E441" s="81" t="s">
        <v>69</v>
      </c>
      <c r="H441" s="107">
        <v>0</v>
      </c>
      <c r="I441" s="107">
        <v>0</v>
      </c>
      <c r="K441" s="107">
        <v>0</v>
      </c>
      <c r="L441" s="107">
        <v>3.0910000000000002</v>
      </c>
      <c r="M441" s="107">
        <v>0.97</v>
      </c>
      <c r="N441" s="109">
        <v>30000</v>
      </c>
      <c r="O441" s="81" t="s">
        <v>113</v>
      </c>
      <c r="R441" s="107">
        <v>25.7</v>
      </c>
    </row>
    <row r="442" spans="1:18" x14ac:dyDescent="0.2">
      <c r="A442" s="18" t="s">
        <v>177</v>
      </c>
      <c r="B442" s="81" t="s">
        <v>82</v>
      </c>
      <c r="C442" s="110" t="s">
        <v>721</v>
      </c>
      <c r="D442" s="81" t="s">
        <v>719</v>
      </c>
      <c r="E442" s="81" t="s">
        <v>71</v>
      </c>
      <c r="H442" s="107">
        <v>0.872</v>
      </c>
      <c r="I442" s="107">
        <v>872000</v>
      </c>
      <c r="J442" s="107">
        <v>0.7</v>
      </c>
      <c r="K442" s="107">
        <v>6104</v>
      </c>
      <c r="L442" s="107">
        <v>0.79300000000000004</v>
      </c>
      <c r="M442" s="107">
        <v>0.81</v>
      </c>
      <c r="N442" s="109">
        <v>6400</v>
      </c>
      <c r="O442" s="111" t="s">
        <v>113</v>
      </c>
      <c r="R442" s="107">
        <v>25.5</v>
      </c>
    </row>
    <row r="443" spans="1:18" hidden="1" x14ac:dyDescent="0.2">
      <c r="A443" s="25" t="s">
        <v>190</v>
      </c>
      <c r="B443" s="81" t="s">
        <v>94</v>
      </c>
      <c r="C443" s="79" t="s">
        <v>903</v>
      </c>
      <c r="D443" s="81" t="s">
        <v>131</v>
      </c>
      <c r="E443" s="81" t="s">
        <v>69</v>
      </c>
      <c r="H443" s="107">
        <v>0</v>
      </c>
      <c r="I443" s="107">
        <v>0</v>
      </c>
      <c r="K443" s="107">
        <v>0</v>
      </c>
      <c r="L443" s="107">
        <v>3</v>
      </c>
      <c r="M443" s="107">
        <v>1</v>
      </c>
      <c r="N443" s="109">
        <v>30000</v>
      </c>
      <c r="O443" s="81" t="s">
        <v>31</v>
      </c>
      <c r="R443" s="107">
        <v>25</v>
      </c>
    </row>
    <row r="444" spans="1:18" hidden="1" x14ac:dyDescent="0.2">
      <c r="A444" s="18" t="s">
        <v>177</v>
      </c>
      <c r="B444" s="81" t="s">
        <v>82</v>
      </c>
      <c r="C444" s="80" t="s">
        <v>786</v>
      </c>
      <c r="D444" s="81" t="s">
        <v>787</v>
      </c>
      <c r="E444" s="81" t="s">
        <v>69</v>
      </c>
      <c r="H444" s="107">
        <v>0</v>
      </c>
      <c r="I444" s="107">
        <v>0</v>
      </c>
      <c r="K444" s="107">
        <v>0</v>
      </c>
      <c r="L444" s="107">
        <v>3.19</v>
      </c>
      <c r="M444" s="107">
        <v>0.92</v>
      </c>
      <c r="N444" s="109">
        <v>29300</v>
      </c>
      <c r="O444" s="81" t="s">
        <v>113</v>
      </c>
      <c r="R444" s="107">
        <v>24.6</v>
      </c>
    </row>
    <row r="445" spans="1:18" hidden="1" x14ac:dyDescent="0.2">
      <c r="A445" s="18" t="s">
        <v>177</v>
      </c>
      <c r="B445" s="81" t="s">
        <v>63</v>
      </c>
      <c r="C445" s="80" t="s">
        <v>259</v>
      </c>
      <c r="D445" s="81" t="s">
        <v>256</v>
      </c>
      <c r="E445" s="81" t="s">
        <v>69</v>
      </c>
      <c r="F445" s="81" t="s">
        <v>72</v>
      </c>
      <c r="G445" s="81" t="s">
        <v>70</v>
      </c>
      <c r="H445" s="107">
        <v>0</v>
      </c>
      <c r="I445" s="107">
        <v>0</v>
      </c>
      <c r="K445" s="107">
        <v>0</v>
      </c>
      <c r="L445" s="107">
        <v>30.2</v>
      </c>
      <c r="M445" s="107">
        <v>9.6000000000000002E-2</v>
      </c>
      <c r="N445" s="109">
        <v>28900</v>
      </c>
      <c r="O445" s="81" t="s">
        <v>113</v>
      </c>
      <c r="R445" s="107">
        <v>24.4</v>
      </c>
    </row>
    <row r="446" spans="1:18" hidden="1" x14ac:dyDescent="0.2">
      <c r="A446" s="18" t="s">
        <v>177</v>
      </c>
      <c r="B446" s="81" t="s">
        <v>102</v>
      </c>
      <c r="C446" s="80" t="s">
        <v>908</v>
      </c>
      <c r="D446" s="81" t="s">
        <v>131</v>
      </c>
      <c r="E446" s="81" t="s">
        <v>69</v>
      </c>
      <c r="H446" s="107">
        <v>0</v>
      </c>
      <c r="I446" s="107">
        <v>0</v>
      </c>
      <c r="K446" s="107">
        <v>0</v>
      </c>
      <c r="L446" s="107">
        <v>4.0999999999999996</v>
      </c>
      <c r="M446" s="107">
        <v>0.7</v>
      </c>
      <c r="N446" s="109">
        <v>28700</v>
      </c>
      <c r="O446" s="81" t="s">
        <v>113</v>
      </c>
      <c r="Q446" s="107">
        <v>7.6770999999999994</v>
      </c>
      <c r="R446" s="107">
        <v>24.3</v>
      </c>
    </row>
    <row r="447" spans="1:18" hidden="1" x14ac:dyDescent="0.2">
      <c r="A447" s="18" t="s">
        <v>177</v>
      </c>
      <c r="B447" s="81" t="s">
        <v>85</v>
      </c>
      <c r="C447" s="29" t="s">
        <v>868</v>
      </c>
      <c r="D447" s="81" t="s">
        <v>131</v>
      </c>
      <c r="E447" s="81" t="s">
        <v>69</v>
      </c>
      <c r="H447" s="107">
        <v>0</v>
      </c>
      <c r="I447" s="107">
        <v>0</v>
      </c>
      <c r="K447" s="107">
        <v>0</v>
      </c>
      <c r="L447" s="107">
        <v>8</v>
      </c>
      <c r="M447" s="107">
        <v>0.35</v>
      </c>
      <c r="N447" s="109">
        <v>28000</v>
      </c>
      <c r="O447" s="81" t="s">
        <v>113</v>
      </c>
      <c r="R447" s="107">
        <v>24.1</v>
      </c>
    </row>
    <row r="448" spans="1:18" hidden="1" x14ac:dyDescent="0.2">
      <c r="A448" s="18" t="s">
        <v>177</v>
      </c>
      <c r="B448" s="81" t="s">
        <v>82</v>
      </c>
      <c r="C448" s="80" t="s">
        <v>757</v>
      </c>
      <c r="D448" s="81" t="s">
        <v>758</v>
      </c>
      <c r="E448" s="81" t="s">
        <v>69</v>
      </c>
      <c r="H448" s="107">
        <v>0</v>
      </c>
      <c r="I448" s="107">
        <v>0</v>
      </c>
      <c r="K448" s="107">
        <v>0</v>
      </c>
      <c r="L448" s="107">
        <v>2.9249999999999998</v>
      </c>
      <c r="M448" s="107">
        <v>0.93</v>
      </c>
      <c r="N448" s="109">
        <v>27300</v>
      </c>
      <c r="O448" s="81" t="s">
        <v>113</v>
      </c>
      <c r="R448" s="107">
        <v>24</v>
      </c>
    </row>
    <row r="449" spans="1:18" hidden="1" x14ac:dyDescent="0.2">
      <c r="A449" s="18" t="s">
        <v>177</v>
      </c>
      <c r="B449" s="81" t="s">
        <v>130</v>
      </c>
      <c r="C449" s="80" t="s">
        <v>1088</v>
      </c>
      <c r="D449" s="81" t="s">
        <v>131</v>
      </c>
      <c r="E449" s="81" t="s">
        <v>69</v>
      </c>
      <c r="H449" s="107">
        <v>0</v>
      </c>
      <c r="I449" s="107">
        <v>0</v>
      </c>
      <c r="K449" s="107">
        <v>0</v>
      </c>
      <c r="L449" s="107">
        <v>10.06</v>
      </c>
      <c r="M449" s="107">
        <v>0.27</v>
      </c>
      <c r="N449" s="109">
        <v>27000</v>
      </c>
      <c r="O449" s="81" t="s">
        <v>113</v>
      </c>
      <c r="R449" s="107">
        <v>23.9</v>
      </c>
    </row>
    <row r="450" spans="1:18" hidden="1" x14ac:dyDescent="0.2">
      <c r="A450" s="18" t="s">
        <v>177</v>
      </c>
      <c r="B450" s="81" t="s">
        <v>82</v>
      </c>
      <c r="C450" s="80" t="s">
        <v>783</v>
      </c>
      <c r="D450" s="81" t="s">
        <v>775</v>
      </c>
      <c r="E450" s="81" t="s">
        <v>69</v>
      </c>
      <c r="H450" s="107">
        <v>0</v>
      </c>
      <c r="I450" s="107">
        <v>0</v>
      </c>
      <c r="K450" s="107">
        <v>0</v>
      </c>
      <c r="L450" s="107">
        <v>2.15</v>
      </c>
      <c r="M450" s="107">
        <v>1.24</v>
      </c>
      <c r="N450" s="109">
        <v>26700</v>
      </c>
      <c r="O450" s="81" t="s">
        <v>113</v>
      </c>
      <c r="Q450" s="107">
        <v>13.375875148966491</v>
      </c>
      <c r="R450" s="107">
        <v>23.8</v>
      </c>
    </row>
    <row r="451" spans="1:18" hidden="1" x14ac:dyDescent="0.2">
      <c r="A451" s="18" t="s">
        <v>1195</v>
      </c>
      <c r="B451" s="81" t="s">
        <v>149</v>
      </c>
      <c r="C451" s="80" t="s">
        <v>1192</v>
      </c>
      <c r="D451" s="81" t="s">
        <v>1193</v>
      </c>
      <c r="H451" s="107">
        <v>0</v>
      </c>
      <c r="I451" s="107">
        <v>0</v>
      </c>
      <c r="K451" s="107">
        <v>0</v>
      </c>
      <c r="L451" s="107">
        <v>23.63</v>
      </c>
      <c r="M451" s="107">
        <v>0.11</v>
      </c>
      <c r="N451" s="109">
        <v>26600</v>
      </c>
      <c r="O451" s="81" t="s">
        <v>113</v>
      </c>
      <c r="R451" s="107">
        <v>23.1</v>
      </c>
    </row>
    <row r="452" spans="1:18" hidden="1" x14ac:dyDescent="0.2">
      <c r="A452" s="18" t="s">
        <v>177</v>
      </c>
      <c r="B452" s="81" t="s">
        <v>103</v>
      </c>
      <c r="C452" s="16" t="s">
        <v>948</v>
      </c>
      <c r="D452" s="81" t="s">
        <v>940</v>
      </c>
      <c r="E452" s="81" t="s">
        <v>69</v>
      </c>
      <c r="H452" s="107">
        <v>0</v>
      </c>
      <c r="I452" s="107">
        <v>0</v>
      </c>
      <c r="K452" s="107">
        <v>0</v>
      </c>
      <c r="L452" s="107">
        <v>8.2409999999999997</v>
      </c>
      <c r="M452" s="107">
        <v>0.32</v>
      </c>
      <c r="N452" s="109">
        <v>26000</v>
      </c>
      <c r="O452" s="81" t="s">
        <v>118</v>
      </c>
      <c r="R452" s="107">
        <v>22.9</v>
      </c>
    </row>
    <row r="453" spans="1:18" hidden="1" x14ac:dyDescent="0.2">
      <c r="A453" s="18" t="s">
        <v>177</v>
      </c>
      <c r="B453" s="81" t="s">
        <v>147</v>
      </c>
      <c r="C453" s="80" t="s">
        <v>1168</v>
      </c>
      <c r="D453" s="81" t="s">
        <v>131</v>
      </c>
      <c r="E453" s="81" t="s">
        <v>69</v>
      </c>
      <c r="H453" s="107">
        <v>0</v>
      </c>
      <c r="I453" s="107">
        <v>0</v>
      </c>
      <c r="K453" s="107">
        <v>0</v>
      </c>
      <c r="L453" s="107">
        <v>4.24</v>
      </c>
      <c r="M453" s="107">
        <v>0.61</v>
      </c>
      <c r="N453" s="109">
        <v>25900</v>
      </c>
      <c r="O453" s="81" t="s">
        <v>113</v>
      </c>
      <c r="R453" s="107">
        <v>22.7</v>
      </c>
    </row>
    <row r="454" spans="1:18" hidden="1" x14ac:dyDescent="0.2">
      <c r="A454" s="18" t="s">
        <v>177</v>
      </c>
      <c r="B454" s="81" t="s">
        <v>82</v>
      </c>
      <c r="C454" s="80" t="s">
        <v>718</v>
      </c>
      <c r="D454" s="81" t="s">
        <v>719</v>
      </c>
      <c r="E454" s="81" t="s">
        <v>69</v>
      </c>
      <c r="H454" s="107">
        <v>0</v>
      </c>
      <c r="I454" s="107">
        <v>0</v>
      </c>
      <c r="K454" s="107">
        <v>0</v>
      </c>
      <c r="L454" s="107">
        <v>1.8680000000000001</v>
      </c>
      <c r="M454" s="107">
        <v>1.38</v>
      </c>
      <c r="N454" s="109">
        <v>25700</v>
      </c>
      <c r="O454" s="81" t="s">
        <v>113</v>
      </c>
      <c r="Q454" s="107">
        <v>3.1856999999999998</v>
      </c>
      <c r="R454" s="107">
        <v>22.4</v>
      </c>
    </row>
    <row r="455" spans="1:18" hidden="1" x14ac:dyDescent="0.2">
      <c r="A455" s="18" t="s">
        <v>190</v>
      </c>
      <c r="B455" s="81" t="s">
        <v>63</v>
      </c>
      <c r="C455" s="79" t="s">
        <v>333</v>
      </c>
      <c r="D455" s="81" t="s">
        <v>334</v>
      </c>
      <c r="E455" s="81" t="s">
        <v>69</v>
      </c>
      <c r="F455" s="81" t="s">
        <v>72</v>
      </c>
      <c r="G455" s="81" t="s">
        <v>211</v>
      </c>
      <c r="H455" s="107">
        <v>0</v>
      </c>
      <c r="I455" s="107">
        <v>0</v>
      </c>
      <c r="K455" s="107">
        <v>0</v>
      </c>
      <c r="L455" s="107">
        <v>2.8</v>
      </c>
      <c r="M455" s="107">
        <v>0.91</v>
      </c>
      <c r="N455" s="109">
        <v>25500</v>
      </c>
      <c r="O455" s="81" t="s">
        <v>31</v>
      </c>
      <c r="R455" s="107">
        <v>22.4</v>
      </c>
    </row>
    <row r="456" spans="1:18" hidden="1" x14ac:dyDescent="0.2">
      <c r="A456" s="18" t="s">
        <v>177</v>
      </c>
      <c r="B456" s="81" t="s">
        <v>63</v>
      </c>
      <c r="C456" s="80" t="s">
        <v>428</v>
      </c>
      <c r="D456" s="81" t="s">
        <v>429</v>
      </c>
      <c r="E456" s="81" t="s">
        <v>71</v>
      </c>
      <c r="F456" s="81" t="s">
        <v>65</v>
      </c>
      <c r="G456" s="81" t="s">
        <v>70</v>
      </c>
      <c r="H456" s="107">
        <v>0</v>
      </c>
      <c r="I456" s="107">
        <v>0</v>
      </c>
      <c r="K456" s="107">
        <v>0</v>
      </c>
      <c r="L456" s="107">
        <v>0.98799999999999999</v>
      </c>
      <c r="M456" s="107">
        <v>2.5299999999999998</v>
      </c>
      <c r="N456" s="109">
        <v>25000</v>
      </c>
      <c r="O456" s="81" t="s">
        <v>113</v>
      </c>
      <c r="R456" s="107">
        <v>22.3</v>
      </c>
    </row>
    <row r="457" spans="1:18" hidden="1" x14ac:dyDescent="0.2">
      <c r="A457" s="18" t="s">
        <v>177</v>
      </c>
      <c r="B457" s="81" t="s">
        <v>63</v>
      </c>
      <c r="C457" s="80" t="s">
        <v>437</v>
      </c>
      <c r="D457" s="81" t="s">
        <v>438</v>
      </c>
      <c r="E457" s="81" t="s">
        <v>71</v>
      </c>
      <c r="F457" s="81" t="s">
        <v>65</v>
      </c>
      <c r="G457" s="81" t="s">
        <v>70</v>
      </c>
      <c r="H457" s="107">
        <v>0</v>
      </c>
      <c r="I457" s="107">
        <v>0</v>
      </c>
      <c r="K457" s="107">
        <v>0</v>
      </c>
      <c r="L457" s="107">
        <v>5.1529999999999996</v>
      </c>
      <c r="M457" s="107">
        <v>0.48</v>
      </c>
      <c r="N457" s="109">
        <v>24600</v>
      </c>
      <c r="O457" s="81" t="s">
        <v>113</v>
      </c>
      <c r="R457" s="107">
        <v>22.2</v>
      </c>
    </row>
    <row r="458" spans="1:18" hidden="1" x14ac:dyDescent="0.2">
      <c r="A458" s="11" t="s">
        <v>108</v>
      </c>
      <c r="B458" s="81" t="s">
        <v>63</v>
      </c>
      <c r="C458" s="80" t="s">
        <v>120</v>
      </c>
      <c r="D458" s="81" t="s">
        <v>110</v>
      </c>
      <c r="E458" s="81" t="s">
        <v>69</v>
      </c>
      <c r="F458" s="81" t="s">
        <v>72</v>
      </c>
      <c r="G458" s="81" t="s">
        <v>95</v>
      </c>
      <c r="H458" s="107">
        <v>0</v>
      </c>
      <c r="I458" s="107">
        <v>0</v>
      </c>
      <c r="K458" s="107">
        <v>0</v>
      </c>
      <c r="L458" s="107">
        <v>12.2</v>
      </c>
      <c r="M458" s="107">
        <v>0.2</v>
      </c>
      <c r="N458" s="109">
        <v>24400</v>
      </c>
      <c r="O458" s="81" t="s">
        <v>113</v>
      </c>
      <c r="R458" s="107">
        <v>21.8</v>
      </c>
    </row>
    <row r="459" spans="1:18" hidden="1" x14ac:dyDescent="0.2">
      <c r="A459" s="18" t="s">
        <v>177</v>
      </c>
      <c r="B459" s="81" t="s">
        <v>127</v>
      </c>
      <c r="C459" s="80" t="s">
        <v>1082</v>
      </c>
      <c r="D459" s="81" t="s">
        <v>131</v>
      </c>
      <c r="E459" s="81" t="s">
        <v>69</v>
      </c>
      <c r="H459" s="107">
        <v>0</v>
      </c>
      <c r="I459" s="107">
        <v>0</v>
      </c>
      <c r="K459" s="107">
        <v>0</v>
      </c>
      <c r="L459" s="107">
        <v>9.2530000000000001</v>
      </c>
      <c r="M459" s="107">
        <v>0.26</v>
      </c>
      <c r="N459" s="109">
        <v>24100</v>
      </c>
      <c r="O459" s="81" t="s">
        <v>113</v>
      </c>
      <c r="Q459" s="107">
        <v>8</v>
      </c>
      <c r="R459" s="107">
        <v>21.8</v>
      </c>
    </row>
    <row r="460" spans="1:18" hidden="1" x14ac:dyDescent="0.2">
      <c r="A460" s="18" t="s">
        <v>177</v>
      </c>
      <c r="B460" s="81" t="s">
        <v>82</v>
      </c>
      <c r="C460" s="80" t="s">
        <v>778</v>
      </c>
      <c r="D460" s="81" t="s">
        <v>779</v>
      </c>
      <c r="E460" s="81" t="s">
        <v>69</v>
      </c>
      <c r="H460" s="107">
        <v>0</v>
      </c>
      <c r="I460" s="107">
        <v>0</v>
      </c>
      <c r="K460" s="107">
        <v>0</v>
      </c>
      <c r="L460" s="107">
        <v>2.36</v>
      </c>
      <c r="M460" s="107">
        <v>1.02</v>
      </c>
      <c r="N460" s="109">
        <v>24000</v>
      </c>
      <c r="O460" s="81" t="s">
        <v>113</v>
      </c>
      <c r="R460" s="107">
        <v>21.8</v>
      </c>
    </row>
    <row r="461" spans="1:18" hidden="1" x14ac:dyDescent="0.2">
      <c r="A461" s="18" t="s">
        <v>177</v>
      </c>
      <c r="B461" s="81" t="s">
        <v>82</v>
      </c>
      <c r="C461" s="80" t="s">
        <v>690</v>
      </c>
      <c r="D461" s="81" t="s">
        <v>691</v>
      </c>
      <c r="E461" s="81" t="s">
        <v>69</v>
      </c>
      <c r="H461" s="107">
        <v>0</v>
      </c>
      <c r="I461" s="107">
        <v>0</v>
      </c>
      <c r="K461" s="107">
        <v>0</v>
      </c>
      <c r="L461" s="107">
        <v>3.86</v>
      </c>
      <c r="M461" s="107">
        <v>0.62</v>
      </c>
      <c r="N461" s="109">
        <v>23900</v>
      </c>
      <c r="O461" s="81" t="s">
        <v>113</v>
      </c>
      <c r="R461" s="107">
        <v>21.1</v>
      </c>
    </row>
    <row r="462" spans="1:18" hidden="1" x14ac:dyDescent="0.2">
      <c r="A462" s="18" t="s">
        <v>177</v>
      </c>
      <c r="B462" s="81" t="s">
        <v>63</v>
      </c>
      <c r="C462" s="80" t="s">
        <v>366</v>
      </c>
      <c r="D462" s="81" t="s">
        <v>367</v>
      </c>
      <c r="E462" s="81" t="s">
        <v>71</v>
      </c>
      <c r="F462" s="81" t="s">
        <v>65</v>
      </c>
      <c r="G462" s="81" t="s">
        <v>70</v>
      </c>
      <c r="H462" s="107">
        <v>0</v>
      </c>
      <c r="I462" s="107">
        <v>0</v>
      </c>
      <c r="K462" s="107">
        <v>0</v>
      </c>
      <c r="L462" s="107">
        <v>0.59499999999999997</v>
      </c>
      <c r="M462" s="107">
        <v>3.88</v>
      </c>
      <c r="N462" s="109">
        <v>23100</v>
      </c>
      <c r="O462" s="81" t="s">
        <v>113</v>
      </c>
      <c r="R462" s="107">
        <v>21</v>
      </c>
    </row>
    <row r="463" spans="1:18" hidden="1" x14ac:dyDescent="0.2">
      <c r="A463" s="18" t="s">
        <v>177</v>
      </c>
      <c r="B463" s="81" t="s">
        <v>85</v>
      </c>
      <c r="C463" s="80" t="s">
        <v>856</v>
      </c>
      <c r="D463" s="81" t="s">
        <v>131</v>
      </c>
      <c r="E463" s="81" t="s">
        <v>69</v>
      </c>
      <c r="H463" s="107">
        <v>0</v>
      </c>
      <c r="I463" s="107">
        <v>0</v>
      </c>
      <c r="K463" s="107">
        <v>0</v>
      </c>
      <c r="L463" s="107">
        <v>0.71</v>
      </c>
      <c r="M463" s="107">
        <v>3.23</v>
      </c>
      <c r="N463" s="109">
        <v>22900</v>
      </c>
      <c r="O463" s="81" t="s">
        <v>113</v>
      </c>
      <c r="R463" s="107">
        <v>20.7</v>
      </c>
    </row>
    <row r="464" spans="1:18" hidden="1" x14ac:dyDescent="0.2">
      <c r="A464" s="18" t="s">
        <v>177</v>
      </c>
      <c r="B464" s="81" t="s">
        <v>82</v>
      </c>
      <c r="C464" s="80" t="s">
        <v>642</v>
      </c>
      <c r="D464" s="81" t="s">
        <v>131</v>
      </c>
      <c r="E464" s="81" t="s">
        <v>69</v>
      </c>
      <c r="H464" s="107">
        <v>0</v>
      </c>
      <c r="I464" s="107">
        <v>0</v>
      </c>
      <c r="K464" s="107">
        <v>0</v>
      </c>
      <c r="L464" s="107">
        <v>4.375</v>
      </c>
      <c r="M464" s="107">
        <v>0.52</v>
      </c>
      <c r="N464" s="109">
        <v>22700</v>
      </c>
      <c r="O464" s="81" t="s">
        <v>113</v>
      </c>
      <c r="R464" s="107">
        <v>20.6</v>
      </c>
    </row>
    <row r="465" spans="1:18" hidden="1" x14ac:dyDescent="0.2">
      <c r="A465" s="18" t="s">
        <v>177</v>
      </c>
      <c r="B465" s="81" t="s">
        <v>130</v>
      </c>
      <c r="C465" s="80" t="s">
        <v>1090</v>
      </c>
      <c r="D465" s="81" t="s">
        <v>131</v>
      </c>
      <c r="E465" s="81" t="s">
        <v>69</v>
      </c>
      <c r="H465" s="107">
        <v>0</v>
      </c>
      <c r="I465" s="107">
        <v>0</v>
      </c>
      <c r="K465" s="107">
        <v>0</v>
      </c>
      <c r="L465" s="107">
        <v>2.698</v>
      </c>
      <c r="M465" s="107">
        <v>0.83</v>
      </c>
      <c r="N465" s="109">
        <v>22400</v>
      </c>
      <c r="O465" s="81" t="s">
        <v>113</v>
      </c>
      <c r="Q465" s="107">
        <v>2.7206500000000005</v>
      </c>
      <c r="R465" s="107">
        <v>20.399999999999999</v>
      </c>
    </row>
    <row r="466" spans="1:18" hidden="1" x14ac:dyDescent="0.2">
      <c r="A466" s="18" t="s">
        <v>177</v>
      </c>
      <c r="B466" s="81" t="s">
        <v>147</v>
      </c>
      <c r="C466" s="80" t="s">
        <v>1162</v>
      </c>
      <c r="D466" s="81" t="s">
        <v>131</v>
      </c>
      <c r="E466" s="81" t="s">
        <v>69</v>
      </c>
      <c r="H466" s="107">
        <v>0</v>
      </c>
      <c r="I466" s="107">
        <v>0</v>
      </c>
      <c r="K466" s="107">
        <v>0</v>
      </c>
      <c r="L466" s="107">
        <v>6.37</v>
      </c>
      <c r="M466" s="107">
        <v>0.35</v>
      </c>
      <c r="N466" s="109">
        <v>22300</v>
      </c>
      <c r="O466" s="81" t="s">
        <v>113</v>
      </c>
      <c r="R466" s="107">
        <v>20</v>
      </c>
    </row>
    <row r="467" spans="1:18" hidden="1" x14ac:dyDescent="0.2">
      <c r="A467" s="18" t="s">
        <v>190</v>
      </c>
      <c r="B467" s="81" t="s">
        <v>63</v>
      </c>
      <c r="C467" s="79" t="s">
        <v>335</v>
      </c>
      <c r="D467" s="81" t="s">
        <v>336</v>
      </c>
      <c r="E467" s="81" t="s">
        <v>69</v>
      </c>
      <c r="F467" s="81" t="s">
        <v>72</v>
      </c>
      <c r="G467" s="81" t="s">
        <v>211</v>
      </c>
      <c r="H467" s="107">
        <v>0</v>
      </c>
      <c r="I467" s="107">
        <v>0</v>
      </c>
      <c r="K467" s="107">
        <v>0</v>
      </c>
      <c r="L467" s="107">
        <v>2.1960000000000002</v>
      </c>
      <c r="M467" s="107">
        <v>1.01</v>
      </c>
      <c r="N467" s="109">
        <v>22200</v>
      </c>
      <c r="O467" s="81" t="s">
        <v>31</v>
      </c>
      <c r="R467" s="107">
        <v>20</v>
      </c>
    </row>
    <row r="468" spans="1:18" hidden="1" x14ac:dyDescent="0.2">
      <c r="A468" s="36" t="s">
        <v>1323</v>
      </c>
      <c r="B468" s="82" t="s">
        <v>149</v>
      </c>
      <c r="C468" s="80" t="s">
        <v>1249</v>
      </c>
      <c r="D468" s="81" t="s">
        <v>1250</v>
      </c>
      <c r="H468" s="107">
        <v>0</v>
      </c>
      <c r="I468" s="107">
        <v>0</v>
      </c>
      <c r="K468" s="107">
        <v>0</v>
      </c>
      <c r="L468" s="107">
        <v>15.36</v>
      </c>
      <c r="M468" s="107">
        <v>0.14000000000000001</v>
      </c>
      <c r="N468" s="109">
        <v>21800</v>
      </c>
      <c r="O468" s="81" t="s">
        <v>113</v>
      </c>
      <c r="R468" s="107">
        <v>20</v>
      </c>
    </row>
    <row r="469" spans="1:18" hidden="1" x14ac:dyDescent="0.2">
      <c r="A469" s="18" t="s">
        <v>177</v>
      </c>
      <c r="B469" s="81" t="s">
        <v>78</v>
      </c>
      <c r="C469" s="80" t="s">
        <v>578</v>
      </c>
      <c r="D469" s="81" t="s">
        <v>579</v>
      </c>
      <c r="E469" s="81" t="s">
        <v>69</v>
      </c>
      <c r="H469" s="107">
        <v>0</v>
      </c>
      <c r="I469" s="107">
        <v>0</v>
      </c>
      <c r="K469" s="107">
        <v>0</v>
      </c>
      <c r="L469" s="107">
        <v>6.2290000000000001</v>
      </c>
      <c r="M469" s="107">
        <v>0.35</v>
      </c>
      <c r="N469" s="109">
        <v>21800</v>
      </c>
      <c r="O469" s="81" t="s">
        <v>113</v>
      </c>
      <c r="R469" s="107">
        <v>20</v>
      </c>
    </row>
    <row r="470" spans="1:18" hidden="1" x14ac:dyDescent="0.2">
      <c r="A470" s="25" t="s">
        <v>190</v>
      </c>
      <c r="B470" s="81" t="s">
        <v>137</v>
      </c>
      <c r="C470" s="79" t="s">
        <v>1116</v>
      </c>
      <c r="D470" s="81" t="s">
        <v>1112</v>
      </c>
      <c r="E470" s="81" t="s">
        <v>64</v>
      </c>
      <c r="G470" s="81" t="s">
        <v>467</v>
      </c>
      <c r="H470" s="107">
        <v>0</v>
      </c>
      <c r="I470" s="107">
        <v>0</v>
      </c>
      <c r="K470" s="107">
        <v>0</v>
      </c>
      <c r="L470" s="107">
        <v>1.6</v>
      </c>
      <c r="M470" s="107">
        <v>1.32</v>
      </c>
      <c r="N470" s="109">
        <v>21100</v>
      </c>
      <c r="O470" s="81" t="s">
        <v>31</v>
      </c>
      <c r="R470" s="107">
        <v>19.600000000000001</v>
      </c>
    </row>
    <row r="471" spans="1:18" hidden="1" x14ac:dyDescent="0.2">
      <c r="A471" s="18" t="s">
        <v>177</v>
      </c>
      <c r="B471" s="81" t="s">
        <v>63</v>
      </c>
      <c r="C471" s="80" t="s">
        <v>398</v>
      </c>
      <c r="D471" s="81" t="s">
        <v>392</v>
      </c>
      <c r="E471" s="81" t="s">
        <v>69</v>
      </c>
      <c r="F471" s="81" t="s">
        <v>65</v>
      </c>
      <c r="G471" s="81" t="s">
        <v>70</v>
      </c>
      <c r="H471" s="107">
        <v>0</v>
      </c>
      <c r="I471" s="107">
        <v>0</v>
      </c>
      <c r="K471" s="107">
        <v>0</v>
      </c>
      <c r="L471" s="107">
        <v>1.05</v>
      </c>
      <c r="M471" s="107">
        <v>2</v>
      </c>
      <c r="N471" s="109">
        <v>21000</v>
      </c>
      <c r="O471" s="81" t="s">
        <v>113</v>
      </c>
      <c r="R471" s="107">
        <v>19.5</v>
      </c>
    </row>
    <row r="472" spans="1:18" hidden="1" x14ac:dyDescent="0.2">
      <c r="A472" s="18" t="s">
        <v>177</v>
      </c>
      <c r="B472" s="81" t="s">
        <v>63</v>
      </c>
      <c r="C472" s="80" t="s">
        <v>386</v>
      </c>
      <c r="D472" s="81" t="s">
        <v>387</v>
      </c>
      <c r="E472" s="81" t="s">
        <v>69</v>
      </c>
      <c r="F472" s="81" t="s">
        <v>65</v>
      </c>
      <c r="G472" s="81" t="s">
        <v>70</v>
      </c>
      <c r="H472" s="107">
        <v>0</v>
      </c>
      <c r="I472" s="107">
        <v>0</v>
      </c>
      <c r="K472" s="107">
        <v>0</v>
      </c>
      <c r="L472" s="107">
        <v>23.6</v>
      </c>
      <c r="M472" s="107">
        <v>8.7999999999999995E-2</v>
      </c>
      <c r="N472" s="109">
        <v>20700</v>
      </c>
      <c r="O472" s="81" t="s">
        <v>113</v>
      </c>
      <c r="R472" s="107">
        <v>19.5</v>
      </c>
    </row>
    <row r="473" spans="1:18" hidden="1" x14ac:dyDescent="0.2">
      <c r="A473" s="18" t="s">
        <v>177</v>
      </c>
      <c r="B473" s="81" t="s">
        <v>63</v>
      </c>
      <c r="C473" s="80" t="s">
        <v>381</v>
      </c>
      <c r="D473" s="81" t="s">
        <v>104</v>
      </c>
      <c r="E473" s="81" t="s">
        <v>71</v>
      </c>
      <c r="F473" s="81" t="s">
        <v>72</v>
      </c>
      <c r="G473" s="81" t="s">
        <v>92</v>
      </c>
      <c r="H473" s="107">
        <v>0</v>
      </c>
      <c r="I473" s="107">
        <v>0</v>
      </c>
      <c r="K473" s="107">
        <v>0</v>
      </c>
      <c r="L473" s="107">
        <v>4.0199999999999996</v>
      </c>
      <c r="M473" s="107">
        <v>0.51</v>
      </c>
      <c r="N473" s="109">
        <v>20600</v>
      </c>
      <c r="O473" s="81" t="s">
        <v>113</v>
      </c>
      <c r="R473" s="107">
        <v>18.8</v>
      </c>
    </row>
    <row r="474" spans="1:18" hidden="1" x14ac:dyDescent="0.2">
      <c r="A474" s="36" t="s">
        <v>1323</v>
      </c>
      <c r="B474" s="82" t="s">
        <v>149</v>
      </c>
      <c r="C474" s="80" t="s">
        <v>1219</v>
      </c>
      <c r="D474" s="81" t="s">
        <v>1220</v>
      </c>
      <c r="H474" s="107">
        <v>0</v>
      </c>
      <c r="I474" s="107">
        <v>0</v>
      </c>
      <c r="K474" s="107">
        <v>0</v>
      </c>
      <c r="L474" s="107">
        <v>11.4</v>
      </c>
      <c r="M474" s="107">
        <v>0.18</v>
      </c>
      <c r="N474" s="109">
        <v>20000</v>
      </c>
      <c r="O474" s="81" t="s">
        <v>113</v>
      </c>
      <c r="R474" s="107">
        <v>18.8</v>
      </c>
    </row>
    <row r="475" spans="1:18" hidden="1" x14ac:dyDescent="0.2">
      <c r="A475" s="18" t="s">
        <v>177</v>
      </c>
      <c r="B475" s="81" t="s">
        <v>85</v>
      </c>
      <c r="C475" s="29" t="s">
        <v>864</v>
      </c>
      <c r="D475" s="81" t="s">
        <v>131</v>
      </c>
      <c r="E475" s="81" t="s">
        <v>69</v>
      </c>
      <c r="H475" s="107">
        <v>0</v>
      </c>
      <c r="I475" s="107">
        <v>0</v>
      </c>
      <c r="K475" s="107">
        <v>0</v>
      </c>
      <c r="L475" s="107">
        <v>5.26</v>
      </c>
      <c r="M475" s="107">
        <v>0.38</v>
      </c>
      <c r="N475" s="109">
        <v>20000</v>
      </c>
      <c r="O475" s="81" t="s">
        <v>113</v>
      </c>
      <c r="R475" s="107">
        <v>18.600000000000001</v>
      </c>
    </row>
    <row r="476" spans="1:18" hidden="1" x14ac:dyDescent="0.2">
      <c r="A476" s="18" t="s">
        <v>177</v>
      </c>
      <c r="B476" s="81" t="s">
        <v>85</v>
      </c>
      <c r="C476" s="29" t="s">
        <v>843</v>
      </c>
      <c r="D476" s="81" t="s">
        <v>131</v>
      </c>
      <c r="E476" s="81" t="s">
        <v>69</v>
      </c>
      <c r="H476" s="107">
        <v>0</v>
      </c>
      <c r="I476" s="107">
        <v>0</v>
      </c>
      <c r="K476" s="107">
        <v>0</v>
      </c>
      <c r="L476" s="107">
        <v>4</v>
      </c>
      <c r="M476" s="107">
        <v>0.5</v>
      </c>
      <c r="N476" s="109">
        <v>20000</v>
      </c>
      <c r="O476" s="81" t="s">
        <v>113</v>
      </c>
      <c r="R476" s="107">
        <v>18.600000000000001</v>
      </c>
    </row>
    <row r="477" spans="1:18" hidden="1" x14ac:dyDescent="0.2">
      <c r="A477" s="25" t="s">
        <v>190</v>
      </c>
      <c r="B477" s="81" t="s">
        <v>85</v>
      </c>
      <c r="C477" s="79" t="s">
        <v>862</v>
      </c>
      <c r="D477" s="81" t="s">
        <v>131</v>
      </c>
      <c r="E477" s="81" t="s">
        <v>69</v>
      </c>
      <c r="H477" s="107">
        <v>0</v>
      </c>
      <c r="I477" s="107">
        <v>0</v>
      </c>
      <c r="K477" s="107">
        <v>0</v>
      </c>
      <c r="L477" s="107">
        <v>2.5</v>
      </c>
      <c r="M477" s="107">
        <v>0.8</v>
      </c>
      <c r="N477" s="109">
        <v>20000</v>
      </c>
      <c r="O477" s="81" t="s">
        <v>31</v>
      </c>
      <c r="Q477" s="107">
        <v>0.6</v>
      </c>
      <c r="R477" s="107">
        <v>18.2</v>
      </c>
    </row>
    <row r="478" spans="1:18" hidden="1" x14ac:dyDescent="0.2">
      <c r="A478" s="18" t="s">
        <v>1195</v>
      </c>
      <c r="B478" s="81" t="s">
        <v>149</v>
      </c>
      <c r="C478" s="80" t="s">
        <v>1242</v>
      </c>
      <c r="D478" s="81" t="s">
        <v>685</v>
      </c>
      <c r="H478" s="107">
        <v>0</v>
      </c>
      <c r="I478" s="107">
        <v>0</v>
      </c>
      <c r="K478" s="107">
        <v>0</v>
      </c>
      <c r="L478" s="107">
        <v>17.47</v>
      </c>
      <c r="M478" s="107">
        <v>0.11</v>
      </c>
      <c r="N478" s="109">
        <v>19600</v>
      </c>
      <c r="O478" s="81" t="s">
        <v>113</v>
      </c>
      <c r="R478" s="107">
        <v>17.899999999999999</v>
      </c>
    </row>
    <row r="479" spans="1:18" hidden="1" x14ac:dyDescent="0.2">
      <c r="A479" s="18" t="s">
        <v>595</v>
      </c>
      <c r="B479" s="81" t="s">
        <v>82</v>
      </c>
      <c r="C479" s="80" t="s">
        <v>790</v>
      </c>
      <c r="D479" s="81" t="s">
        <v>365</v>
      </c>
      <c r="E479" s="81" t="s">
        <v>69</v>
      </c>
      <c r="H479" s="107">
        <v>0</v>
      </c>
      <c r="I479" s="107">
        <v>0</v>
      </c>
      <c r="K479" s="107">
        <v>0</v>
      </c>
      <c r="L479" s="107">
        <v>10.35</v>
      </c>
      <c r="M479" s="107">
        <v>0.19</v>
      </c>
      <c r="N479" s="109">
        <v>19500</v>
      </c>
      <c r="O479" s="81" t="s">
        <v>113</v>
      </c>
      <c r="R479" s="107">
        <v>17.7</v>
      </c>
    </row>
    <row r="480" spans="1:18" hidden="1" x14ac:dyDescent="0.2">
      <c r="A480" s="18" t="s">
        <v>177</v>
      </c>
      <c r="B480" s="81" t="s">
        <v>130</v>
      </c>
      <c r="C480" s="80" t="s">
        <v>1093</v>
      </c>
      <c r="D480" s="81" t="s">
        <v>131</v>
      </c>
      <c r="E480" s="81" t="s">
        <v>69</v>
      </c>
      <c r="H480" s="107">
        <v>0</v>
      </c>
      <c r="I480" s="107">
        <v>0</v>
      </c>
      <c r="K480" s="107">
        <v>0</v>
      </c>
      <c r="L480" s="107">
        <v>2.6</v>
      </c>
      <c r="M480" s="107">
        <v>0.75</v>
      </c>
      <c r="N480" s="109">
        <v>19500</v>
      </c>
      <c r="O480" s="81" t="s">
        <v>113</v>
      </c>
      <c r="R480" s="107">
        <v>17.2</v>
      </c>
    </row>
    <row r="481" spans="1:18" hidden="1" x14ac:dyDescent="0.2">
      <c r="A481" s="36" t="s">
        <v>1324</v>
      </c>
      <c r="B481" s="82" t="s">
        <v>149</v>
      </c>
      <c r="C481" s="80" t="s">
        <v>1214</v>
      </c>
      <c r="D481" s="81" t="s">
        <v>1215</v>
      </c>
      <c r="H481" s="107">
        <v>0</v>
      </c>
      <c r="I481" s="107">
        <v>0</v>
      </c>
      <c r="K481" s="107">
        <v>0</v>
      </c>
      <c r="L481" s="107">
        <v>12.2</v>
      </c>
      <c r="M481" s="107">
        <v>0.15</v>
      </c>
      <c r="N481" s="109">
        <v>18800</v>
      </c>
      <c r="O481" s="81" t="s">
        <v>113</v>
      </c>
      <c r="Q481" s="107">
        <v>1.1446889999999998</v>
      </c>
      <c r="R481" s="107">
        <v>17.100000000000001</v>
      </c>
    </row>
    <row r="482" spans="1:18" hidden="1" x14ac:dyDescent="0.2">
      <c r="A482" s="18" t="s">
        <v>177</v>
      </c>
      <c r="B482" s="81" t="s">
        <v>149</v>
      </c>
      <c r="C482" s="80" t="s">
        <v>1293</v>
      </c>
      <c r="D482" s="81" t="s">
        <v>1294</v>
      </c>
      <c r="E482" s="81" t="s">
        <v>69</v>
      </c>
      <c r="H482" s="107">
        <v>0</v>
      </c>
      <c r="I482" s="107">
        <v>0</v>
      </c>
      <c r="K482" s="107">
        <v>0</v>
      </c>
      <c r="L482" s="107">
        <v>9.6999999999999993</v>
      </c>
      <c r="M482" s="107">
        <v>0.19</v>
      </c>
      <c r="N482" s="109">
        <v>18800</v>
      </c>
      <c r="O482" s="81" t="s">
        <v>113</v>
      </c>
      <c r="R482" s="107">
        <v>16.8</v>
      </c>
    </row>
    <row r="483" spans="1:18" hidden="1" x14ac:dyDescent="0.2">
      <c r="A483" s="18" t="s">
        <v>177</v>
      </c>
      <c r="B483" s="81" t="s">
        <v>103</v>
      </c>
      <c r="C483" s="80" t="s">
        <v>937</v>
      </c>
      <c r="D483" s="81" t="s">
        <v>938</v>
      </c>
      <c r="E483" s="81" t="s">
        <v>69</v>
      </c>
      <c r="H483" s="107">
        <v>0</v>
      </c>
      <c r="I483" s="107">
        <v>0</v>
      </c>
      <c r="K483" s="107">
        <v>0</v>
      </c>
      <c r="L483" s="107">
        <v>21.86</v>
      </c>
      <c r="M483" s="107">
        <v>8.5000000000000006E-2</v>
      </c>
      <c r="N483" s="109">
        <v>18600</v>
      </c>
      <c r="O483" s="81" t="s">
        <v>113</v>
      </c>
      <c r="R483" s="107">
        <v>16.7</v>
      </c>
    </row>
    <row r="484" spans="1:18" hidden="1" x14ac:dyDescent="0.2">
      <c r="A484" s="18" t="s">
        <v>190</v>
      </c>
      <c r="B484" s="81" t="s">
        <v>63</v>
      </c>
      <c r="C484" s="79" t="s">
        <v>272</v>
      </c>
      <c r="D484" s="81" t="s">
        <v>266</v>
      </c>
      <c r="E484" s="81" t="s">
        <v>69</v>
      </c>
      <c r="F484" s="81" t="s">
        <v>72</v>
      </c>
      <c r="G484" s="81" t="s">
        <v>92</v>
      </c>
      <c r="H484" s="107">
        <v>0</v>
      </c>
      <c r="I484" s="107">
        <v>0</v>
      </c>
      <c r="K484" s="107">
        <v>0</v>
      </c>
      <c r="L484" s="107">
        <v>1.9</v>
      </c>
      <c r="M484" s="107">
        <v>0.98</v>
      </c>
      <c r="N484" s="109">
        <v>18600</v>
      </c>
      <c r="O484" s="81" t="s">
        <v>31</v>
      </c>
      <c r="R484" s="107">
        <v>16.399999999999999</v>
      </c>
    </row>
    <row r="485" spans="1:18" hidden="1" x14ac:dyDescent="0.2">
      <c r="A485" s="18" t="s">
        <v>190</v>
      </c>
      <c r="B485" s="81" t="s">
        <v>63</v>
      </c>
      <c r="C485" s="79" t="s">
        <v>271</v>
      </c>
      <c r="D485" s="81" t="s">
        <v>266</v>
      </c>
      <c r="E485" s="81" t="s">
        <v>69</v>
      </c>
      <c r="F485" s="81" t="s">
        <v>72</v>
      </c>
      <c r="G485" s="81" t="s">
        <v>92</v>
      </c>
      <c r="H485" s="107">
        <v>0</v>
      </c>
      <c r="I485" s="107">
        <v>0</v>
      </c>
      <c r="K485" s="107">
        <v>0</v>
      </c>
      <c r="L485" s="107">
        <v>1.8</v>
      </c>
      <c r="M485" s="107">
        <v>0.99</v>
      </c>
      <c r="N485" s="109">
        <v>17900</v>
      </c>
      <c r="O485" s="81" t="s">
        <v>31</v>
      </c>
      <c r="R485" s="107">
        <v>16.3</v>
      </c>
    </row>
    <row r="486" spans="1:18" hidden="1" x14ac:dyDescent="0.2">
      <c r="A486" s="18" t="s">
        <v>190</v>
      </c>
      <c r="B486" s="81" t="s">
        <v>63</v>
      </c>
      <c r="C486" s="79" t="s">
        <v>337</v>
      </c>
      <c r="D486" s="81" t="s">
        <v>338</v>
      </c>
      <c r="E486" s="81" t="s">
        <v>69</v>
      </c>
      <c r="F486" s="81" t="s">
        <v>72</v>
      </c>
      <c r="G486" s="81" t="s">
        <v>211</v>
      </c>
      <c r="H486" s="107">
        <v>0</v>
      </c>
      <c r="I486" s="107">
        <v>0</v>
      </c>
      <c r="K486" s="107">
        <v>0</v>
      </c>
      <c r="L486" s="107">
        <v>2.5299999999999998</v>
      </c>
      <c r="M486" s="107">
        <v>0.7</v>
      </c>
      <c r="N486" s="109">
        <v>17700</v>
      </c>
      <c r="O486" s="81" t="s">
        <v>31</v>
      </c>
      <c r="R486" s="107">
        <v>16.3</v>
      </c>
    </row>
    <row r="487" spans="1:18" hidden="1" x14ac:dyDescent="0.2">
      <c r="A487" s="18" t="s">
        <v>177</v>
      </c>
      <c r="B487" s="81" t="s">
        <v>82</v>
      </c>
      <c r="C487" s="80" t="s">
        <v>760</v>
      </c>
      <c r="D487" s="81" t="s">
        <v>756</v>
      </c>
      <c r="E487" s="81" t="s">
        <v>69</v>
      </c>
      <c r="H487" s="107">
        <v>0</v>
      </c>
      <c r="I487" s="107">
        <v>0</v>
      </c>
      <c r="K487" s="107">
        <v>0</v>
      </c>
      <c r="L487" s="107">
        <v>2.5099999999999998</v>
      </c>
      <c r="M487" s="107">
        <v>0.69</v>
      </c>
      <c r="N487" s="109">
        <v>17200</v>
      </c>
      <c r="O487" s="81" t="s">
        <v>113</v>
      </c>
      <c r="R487" s="107">
        <v>16.100000000000001</v>
      </c>
    </row>
    <row r="488" spans="1:18" hidden="1" x14ac:dyDescent="0.2">
      <c r="A488" s="18" t="s">
        <v>177</v>
      </c>
      <c r="B488" s="81" t="s">
        <v>103</v>
      </c>
      <c r="C488" s="80" t="s">
        <v>950</v>
      </c>
      <c r="D488" s="81" t="s">
        <v>131</v>
      </c>
      <c r="E488" s="81" t="s">
        <v>69</v>
      </c>
      <c r="H488" s="107">
        <v>0</v>
      </c>
      <c r="I488" s="107">
        <v>0</v>
      </c>
      <c r="K488" s="107">
        <v>0</v>
      </c>
      <c r="L488" s="107">
        <v>7.0010000000000003</v>
      </c>
      <c r="M488" s="107">
        <v>0.24</v>
      </c>
      <c r="N488" s="109">
        <v>16800</v>
      </c>
      <c r="O488" s="81" t="s">
        <v>113</v>
      </c>
      <c r="R488" s="107">
        <v>16</v>
      </c>
    </row>
    <row r="489" spans="1:18" hidden="1" x14ac:dyDescent="0.2">
      <c r="A489" s="18" t="s">
        <v>177</v>
      </c>
      <c r="B489" s="81" t="s">
        <v>85</v>
      </c>
      <c r="C489" s="80" t="s">
        <v>849</v>
      </c>
      <c r="D489" s="81" t="s">
        <v>850</v>
      </c>
      <c r="E489" s="81" t="s">
        <v>69</v>
      </c>
      <c r="H489" s="107">
        <v>0</v>
      </c>
      <c r="I489" s="107">
        <v>0</v>
      </c>
      <c r="K489" s="107">
        <v>0</v>
      </c>
      <c r="L489" s="107">
        <v>13.84</v>
      </c>
      <c r="M489" s="107">
        <v>0.12</v>
      </c>
      <c r="N489" s="109">
        <v>16700</v>
      </c>
      <c r="O489" s="81" t="s">
        <v>113</v>
      </c>
      <c r="R489" s="107">
        <v>16</v>
      </c>
    </row>
    <row r="490" spans="1:18" hidden="1" x14ac:dyDescent="0.2">
      <c r="A490" s="18" t="s">
        <v>177</v>
      </c>
      <c r="B490" s="81" t="s">
        <v>82</v>
      </c>
      <c r="C490" s="80" t="s">
        <v>736</v>
      </c>
      <c r="D490" s="81" t="s">
        <v>737</v>
      </c>
      <c r="E490" s="81" t="s">
        <v>69</v>
      </c>
      <c r="H490" s="107">
        <v>0</v>
      </c>
      <c r="I490" s="107">
        <v>0</v>
      </c>
      <c r="K490" s="107">
        <v>0</v>
      </c>
      <c r="L490" s="107">
        <v>2.4569999999999999</v>
      </c>
      <c r="M490" s="107">
        <v>0.67</v>
      </c>
      <c r="N490" s="109">
        <v>16400</v>
      </c>
      <c r="O490" s="81" t="s">
        <v>113</v>
      </c>
      <c r="R490" s="107">
        <v>15.4</v>
      </c>
    </row>
    <row r="491" spans="1:18" hidden="1" x14ac:dyDescent="0.2">
      <c r="A491" s="11" t="s">
        <v>123</v>
      </c>
      <c r="B491" s="81" t="s">
        <v>63</v>
      </c>
      <c r="C491" s="16" t="s">
        <v>124</v>
      </c>
      <c r="D491" s="81" t="s">
        <v>125</v>
      </c>
      <c r="E491" s="81" t="s">
        <v>69</v>
      </c>
      <c r="F491" s="81" t="s">
        <v>72</v>
      </c>
      <c r="G491" s="81" t="s">
        <v>95</v>
      </c>
      <c r="H491" s="107">
        <v>0</v>
      </c>
      <c r="I491" s="107">
        <v>0</v>
      </c>
      <c r="K491" s="107">
        <v>0</v>
      </c>
      <c r="L491" s="107">
        <v>34</v>
      </c>
      <c r="M491" s="107">
        <v>4.8000000000000001E-2</v>
      </c>
      <c r="N491" s="109">
        <v>16300</v>
      </c>
      <c r="O491" s="62" t="s">
        <v>118</v>
      </c>
      <c r="R491" s="107">
        <v>15.4</v>
      </c>
    </row>
    <row r="492" spans="1:18" hidden="1" x14ac:dyDescent="0.2">
      <c r="A492" s="18" t="s">
        <v>177</v>
      </c>
      <c r="B492" s="81" t="s">
        <v>127</v>
      </c>
      <c r="C492" s="80" t="s">
        <v>1074</v>
      </c>
      <c r="D492" s="81" t="s">
        <v>189</v>
      </c>
      <c r="E492" s="81" t="s">
        <v>69</v>
      </c>
      <c r="H492" s="107">
        <v>0</v>
      </c>
      <c r="I492" s="107">
        <v>0</v>
      </c>
      <c r="K492" s="107">
        <v>0</v>
      </c>
      <c r="L492" s="107">
        <v>4.54</v>
      </c>
      <c r="M492" s="107">
        <v>0.36</v>
      </c>
      <c r="N492" s="109">
        <v>16300</v>
      </c>
      <c r="O492" s="81" t="s">
        <v>113</v>
      </c>
      <c r="Q492" s="107">
        <v>15.255599999999999</v>
      </c>
      <c r="R492" s="107">
        <v>15.3</v>
      </c>
    </row>
    <row r="493" spans="1:18" hidden="1" x14ac:dyDescent="0.2">
      <c r="A493" s="18" t="s">
        <v>177</v>
      </c>
      <c r="B493" s="81" t="s">
        <v>63</v>
      </c>
      <c r="C493" s="80" t="s">
        <v>446</v>
      </c>
      <c r="D493" s="81" t="s">
        <v>447</v>
      </c>
      <c r="E493" s="81" t="s">
        <v>71</v>
      </c>
      <c r="F493" s="81" t="s">
        <v>65</v>
      </c>
      <c r="G493" s="81" t="s">
        <v>70</v>
      </c>
      <c r="H493" s="107">
        <v>0</v>
      </c>
      <c r="I493" s="107">
        <v>0</v>
      </c>
      <c r="K493" s="107">
        <v>0</v>
      </c>
      <c r="L493" s="107">
        <v>0.71</v>
      </c>
      <c r="M493" s="107">
        <v>2.27</v>
      </c>
      <c r="N493" s="109">
        <v>16100.000000000002</v>
      </c>
      <c r="O493" s="81" t="s">
        <v>113</v>
      </c>
      <c r="R493" s="107">
        <v>14.7</v>
      </c>
    </row>
    <row r="494" spans="1:18" hidden="1" x14ac:dyDescent="0.2">
      <c r="A494" s="18" t="s">
        <v>177</v>
      </c>
      <c r="B494" s="81" t="s">
        <v>85</v>
      </c>
      <c r="C494" s="29" t="s">
        <v>829</v>
      </c>
      <c r="D494" s="81" t="s">
        <v>131</v>
      </c>
      <c r="E494" s="81" t="s">
        <v>69</v>
      </c>
      <c r="H494" s="107">
        <v>0</v>
      </c>
      <c r="I494" s="107">
        <v>0</v>
      </c>
      <c r="K494" s="107">
        <v>0</v>
      </c>
      <c r="L494" s="107">
        <v>4.2</v>
      </c>
      <c r="M494" s="107">
        <v>0.38</v>
      </c>
      <c r="N494" s="109">
        <v>16000</v>
      </c>
      <c r="O494" s="81" t="s">
        <v>113</v>
      </c>
      <c r="R494" s="107">
        <v>14.3</v>
      </c>
    </row>
    <row r="495" spans="1:18" hidden="1" x14ac:dyDescent="0.2">
      <c r="A495" s="18" t="s">
        <v>177</v>
      </c>
      <c r="B495" s="81" t="s">
        <v>85</v>
      </c>
      <c r="C495" s="80" t="s">
        <v>880</v>
      </c>
      <c r="D495" s="81" t="s">
        <v>131</v>
      </c>
      <c r="E495" s="81" t="s">
        <v>69</v>
      </c>
      <c r="H495" s="107">
        <v>0</v>
      </c>
      <c r="I495" s="107">
        <v>0</v>
      </c>
      <c r="K495" s="107">
        <v>0</v>
      </c>
      <c r="L495" s="107">
        <v>3.0760000000000001</v>
      </c>
      <c r="M495" s="107">
        <v>0.52</v>
      </c>
      <c r="N495" s="109">
        <v>16000</v>
      </c>
      <c r="O495" s="81" t="s">
        <v>113</v>
      </c>
      <c r="R495" s="107">
        <v>14.3</v>
      </c>
    </row>
    <row r="496" spans="1:18" hidden="1" x14ac:dyDescent="0.2">
      <c r="A496" s="36" t="s">
        <v>1324</v>
      </c>
      <c r="B496" s="82" t="s">
        <v>149</v>
      </c>
      <c r="C496" s="80" t="s">
        <v>1229</v>
      </c>
      <c r="D496" s="81" t="s">
        <v>1193</v>
      </c>
      <c r="H496" s="107">
        <v>0</v>
      </c>
      <c r="I496" s="107">
        <v>0</v>
      </c>
      <c r="K496" s="107">
        <v>0</v>
      </c>
      <c r="L496" s="107">
        <v>9.5500000000000007</v>
      </c>
      <c r="M496" s="107">
        <v>0.16</v>
      </c>
      <c r="N496" s="109">
        <v>15400</v>
      </c>
      <c r="O496" s="81" t="s">
        <v>113</v>
      </c>
      <c r="R496" s="107">
        <v>14</v>
      </c>
    </row>
    <row r="497" spans="1:18" x14ac:dyDescent="0.2">
      <c r="A497" s="18" t="s">
        <v>1195</v>
      </c>
      <c r="B497" s="111" t="s">
        <v>149</v>
      </c>
      <c r="C497" s="80" t="s">
        <v>1258</v>
      </c>
      <c r="D497" s="81" t="s">
        <v>1259</v>
      </c>
      <c r="H497" s="107">
        <v>2.889065</v>
      </c>
      <c r="I497" s="107">
        <v>2889065</v>
      </c>
      <c r="J497" s="107">
        <v>0.11240231217618901</v>
      </c>
      <c r="K497" s="107">
        <v>3247.3758602730154</v>
      </c>
      <c r="L497" s="107">
        <v>4.05</v>
      </c>
      <c r="M497" s="107">
        <v>0.11</v>
      </c>
      <c r="N497" s="109">
        <v>4600</v>
      </c>
      <c r="O497" s="111" t="s">
        <v>113</v>
      </c>
      <c r="R497" s="107">
        <v>13.6</v>
      </c>
    </row>
    <row r="498" spans="1:18" hidden="1" x14ac:dyDescent="0.2">
      <c r="A498" s="18" t="s">
        <v>177</v>
      </c>
      <c r="B498" s="81" t="s">
        <v>63</v>
      </c>
      <c r="C498" s="80" t="s">
        <v>435</v>
      </c>
      <c r="D498" s="81" t="s">
        <v>131</v>
      </c>
      <c r="E498" s="81" t="s">
        <v>69</v>
      </c>
      <c r="F498" s="81" t="s">
        <v>65</v>
      </c>
      <c r="G498" s="81" t="s">
        <v>70</v>
      </c>
      <c r="H498" s="107">
        <v>0</v>
      </c>
      <c r="I498" s="107">
        <v>0</v>
      </c>
      <c r="K498" s="107">
        <v>0</v>
      </c>
      <c r="L498" s="107">
        <v>0.39</v>
      </c>
      <c r="M498" s="107">
        <v>3.78</v>
      </c>
      <c r="N498" s="109">
        <v>14700</v>
      </c>
      <c r="O498" s="81" t="s">
        <v>113</v>
      </c>
      <c r="R498" s="107">
        <v>13</v>
      </c>
    </row>
    <row r="499" spans="1:18" hidden="1" x14ac:dyDescent="0.2">
      <c r="A499" s="18" t="s">
        <v>177</v>
      </c>
      <c r="B499" s="81" t="s">
        <v>107</v>
      </c>
      <c r="C499" s="80" t="s">
        <v>1017</v>
      </c>
      <c r="D499" s="81" t="s">
        <v>1015</v>
      </c>
      <c r="H499" s="107">
        <v>0</v>
      </c>
      <c r="I499" s="107">
        <v>0</v>
      </c>
      <c r="K499" s="107">
        <v>0</v>
      </c>
      <c r="L499" s="107">
        <v>9.5399999999999991</v>
      </c>
      <c r="M499" s="107">
        <v>0.15</v>
      </c>
      <c r="N499" s="109">
        <v>14300</v>
      </c>
      <c r="O499" s="81" t="s">
        <v>113</v>
      </c>
      <c r="R499" s="107">
        <v>13</v>
      </c>
    </row>
    <row r="500" spans="1:18" hidden="1" x14ac:dyDescent="0.2">
      <c r="A500" s="18" t="s">
        <v>177</v>
      </c>
      <c r="B500" s="81" t="s">
        <v>63</v>
      </c>
      <c r="C500" s="80" t="s">
        <v>352</v>
      </c>
      <c r="D500" s="81" t="s">
        <v>353</v>
      </c>
      <c r="E500" s="81" t="s">
        <v>69</v>
      </c>
      <c r="F500" s="81" t="s">
        <v>72</v>
      </c>
      <c r="G500" s="81" t="s">
        <v>70</v>
      </c>
      <c r="H500" s="107">
        <v>0</v>
      </c>
      <c r="I500" s="107">
        <v>0</v>
      </c>
      <c r="K500" s="107">
        <v>0</v>
      </c>
      <c r="L500" s="107">
        <v>0.68</v>
      </c>
      <c r="M500" s="107">
        <v>2.1</v>
      </c>
      <c r="N500" s="109">
        <v>14300</v>
      </c>
      <c r="O500" s="81" t="s">
        <v>113</v>
      </c>
      <c r="R500" s="107">
        <v>12.4</v>
      </c>
    </row>
    <row r="501" spans="1:18" hidden="1" x14ac:dyDescent="0.2">
      <c r="A501" s="18" t="s">
        <v>177</v>
      </c>
      <c r="B501" s="81" t="s">
        <v>85</v>
      </c>
      <c r="C501" s="29" t="s">
        <v>879</v>
      </c>
      <c r="D501" s="81" t="s">
        <v>131</v>
      </c>
      <c r="E501" s="81" t="s">
        <v>69</v>
      </c>
      <c r="H501" s="107">
        <v>0</v>
      </c>
      <c r="I501" s="107">
        <v>0</v>
      </c>
      <c r="K501" s="107">
        <v>0</v>
      </c>
      <c r="L501" s="107">
        <v>4.12</v>
      </c>
      <c r="M501" s="107">
        <v>0.34</v>
      </c>
      <c r="N501" s="109">
        <v>14000</v>
      </c>
      <c r="O501" s="81" t="s">
        <v>113</v>
      </c>
      <c r="R501" s="107">
        <v>12.2</v>
      </c>
    </row>
    <row r="502" spans="1:18" hidden="1" x14ac:dyDescent="0.2">
      <c r="A502" s="18" t="s">
        <v>177</v>
      </c>
      <c r="B502" s="81" t="s">
        <v>103</v>
      </c>
      <c r="C502" s="16" t="s">
        <v>957</v>
      </c>
      <c r="D502" s="81" t="s">
        <v>940</v>
      </c>
      <c r="E502" s="81" t="s">
        <v>71</v>
      </c>
      <c r="H502" s="107">
        <v>0</v>
      </c>
      <c r="I502" s="107">
        <v>0</v>
      </c>
      <c r="K502" s="107">
        <v>0</v>
      </c>
      <c r="L502" s="107">
        <v>3.16</v>
      </c>
      <c r="M502" s="107">
        <v>0.43</v>
      </c>
      <c r="N502" s="109">
        <v>13600</v>
      </c>
      <c r="O502" s="81" t="s">
        <v>118</v>
      </c>
      <c r="R502" s="107">
        <v>12.1</v>
      </c>
    </row>
    <row r="503" spans="1:18" hidden="1" x14ac:dyDescent="0.2">
      <c r="A503" s="18" t="s">
        <v>177</v>
      </c>
      <c r="B503" s="81" t="s">
        <v>85</v>
      </c>
      <c r="C503" s="80" t="s">
        <v>846</v>
      </c>
      <c r="D503" s="81" t="s">
        <v>131</v>
      </c>
      <c r="E503" s="81" t="s">
        <v>69</v>
      </c>
      <c r="H503" s="107">
        <v>0</v>
      </c>
      <c r="I503" s="107">
        <v>0</v>
      </c>
      <c r="K503" s="107">
        <v>0</v>
      </c>
      <c r="L503" s="107">
        <v>2.2000000000000002</v>
      </c>
      <c r="M503" s="107">
        <v>0.59</v>
      </c>
      <c r="N503" s="109">
        <v>13000</v>
      </c>
      <c r="O503" s="81" t="s">
        <v>113</v>
      </c>
      <c r="R503" s="107">
        <v>11.8</v>
      </c>
    </row>
    <row r="504" spans="1:18" hidden="1" x14ac:dyDescent="0.2">
      <c r="A504" s="18" t="s">
        <v>177</v>
      </c>
      <c r="B504" s="81" t="s">
        <v>63</v>
      </c>
      <c r="C504" s="80" t="s">
        <v>388</v>
      </c>
      <c r="D504" s="81" t="s">
        <v>389</v>
      </c>
      <c r="E504" s="81" t="s">
        <v>71</v>
      </c>
      <c r="F504" s="81" t="s">
        <v>65</v>
      </c>
      <c r="G504" s="81" t="s">
        <v>70</v>
      </c>
      <c r="H504" s="107">
        <v>0</v>
      </c>
      <c r="I504" s="107">
        <v>0</v>
      </c>
      <c r="K504" s="107">
        <v>0</v>
      </c>
      <c r="L504" s="107">
        <v>0.59099999999999997</v>
      </c>
      <c r="M504" s="107">
        <v>2.2000000000000002</v>
      </c>
      <c r="N504" s="109">
        <v>13000</v>
      </c>
      <c r="O504" s="81" t="s">
        <v>113</v>
      </c>
      <c r="R504" s="107">
        <v>11.7</v>
      </c>
    </row>
    <row r="505" spans="1:18" hidden="1" x14ac:dyDescent="0.2">
      <c r="A505" s="18" t="s">
        <v>177</v>
      </c>
      <c r="B505" s="81" t="s">
        <v>103</v>
      </c>
      <c r="C505" s="80" t="s">
        <v>956</v>
      </c>
      <c r="D505" s="81" t="s">
        <v>131</v>
      </c>
      <c r="E505" s="81" t="s">
        <v>69</v>
      </c>
      <c r="H505" s="107">
        <v>0</v>
      </c>
      <c r="I505" s="107">
        <v>0</v>
      </c>
      <c r="K505" s="107">
        <v>0</v>
      </c>
      <c r="L505" s="107">
        <v>1.3</v>
      </c>
      <c r="M505" s="107">
        <v>0.95</v>
      </c>
      <c r="N505" s="109">
        <v>12400</v>
      </c>
      <c r="O505" s="81" t="s">
        <v>113</v>
      </c>
      <c r="R505" s="107">
        <v>11.6</v>
      </c>
    </row>
    <row r="506" spans="1:18" hidden="1" x14ac:dyDescent="0.2">
      <c r="A506" s="18" t="s">
        <v>177</v>
      </c>
      <c r="B506" s="81" t="s">
        <v>85</v>
      </c>
      <c r="C506" s="80" t="s">
        <v>830</v>
      </c>
      <c r="D506" s="81" t="s">
        <v>131</v>
      </c>
      <c r="E506" s="81" t="s">
        <v>69</v>
      </c>
      <c r="H506" s="107">
        <v>0</v>
      </c>
      <c r="I506" s="107">
        <v>0</v>
      </c>
      <c r="K506" s="107">
        <v>0</v>
      </c>
      <c r="L506" s="107">
        <v>2.6</v>
      </c>
      <c r="M506" s="107">
        <v>0.47</v>
      </c>
      <c r="N506" s="109">
        <v>12200</v>
      </c>
      <c r="O506" s="81" t="s">
        <v>113</v>
      </c>
      <c r="R506" s="107">
        <v>11.2</v>
      </c>
    </row>
    <row r="507" spans="1:18" hidden="1" x14ac:dyDescent="0.2">
      <c r="A507" s="18" t="s">
        <v>177</v>
      </c>
      <c r="B507" s="81" t="s">
        <v>82</v>
      </c>
      <c r="C507" s="80" t="s">
        <v>733</v>
      </c>
      <c r="D507" s="81" t="s">
        <v>734</v>
      </c>
      <c r="E507" s="81" t="s">
        <v>69</v>
      </c>
      <c r="H507" s="107">
        <v>0</v>
      </c>
      <c r="I507" s="107">
        <v>0</v>
      </c>
      <c r="K507" s="107">
        <v>0</v>
      </c>
      <c r="L507" s="107">
        <v>1.01</v>
      </c>
      <c r="M507" s="107">
        <v>1.2</v>
      </c>
      <c r="N507" s="109">
        <v>12100</v>
      </c>
      <c r="O507" s="81" t="s">
        <v>113</v>
      </c>
      <c r="Q507" s="107">
        <v>5.1230838245975612</v>
      </c>
      <c r="R507" s="107">
        <v>11.2</v>
      </c>
    </row>
    <row r="508" spans="1:18" hidden="1" x14ac:dyDescent="0.2">
      <c r="A508" s="18" t="s">
        <v>177</v>
      </c>
      <c r="B508" s="81" t="s">
        <v>82</v>
      </c>
      <c r="C508" s="80" t="s">
        <v>705</v>
      </c>
      <c r="D508" s="81" t="s">
        <v>706</v>
      </c>
      <c r="E508" s="81" t="s">
        <v>69</v>
      </c>
      <c r="H508" s="107">
        <v>0</v>
      </c>
      <c r="I508" s="107">
        <v>0</v>
      </c>
      <c r="K508" s="107">
        <v>0</v>
      </c>
      <c r="L508" s="107">
        <v>1.238</v>
      </c>
      <c r="M508" s="107">
        <v>0.95</v>
      </c>
      <c r="N508" s="109">
        <v>11800</v>
      </c>
      <c r="O508" s="81" t="s">
        <v>113</v>
      </c>
      <c r="R508" s="107">
        <v>11.1</v>
      </c>
    </row>
    <row r="509" spans="1:18" hidden="1" x14ac:dyDescent="0.2">
      <c r="A509" s="18" t="s">
        <v>190</v>
      </c>
      <c r="B509" s="81" t="s">
        <v>63</v>
      </c>
      <c r="C509" s="79" t="s">
        <v>456</v>
      </c>
      <c r="D509" s="81" t="s">
        <v>274</v>
      </c>
      <c r="E509" s="81" t="s">
        <v>69</v>
      </c>
      <c r="F509" s="81" t="s">
        <v>72</v>
      </c>
      <c r="G509" s="81" t="s">
        <v>211</v>
      </c>
      <c r="H509" s="107">
        <v>0</v>
      </c>
      <c r="I509" s="107">
        <v>0</v>
      </c>
      <c r="K509" s="107">
        <v>0</v>
      </c>
      <c r="L509" s="107">
        <v>1.3</v>
      </c>
      <c r="M509" s="107">
        <v>0.9</v>
      </c>
      <c r="N509" s="109">
        <v>11700</v>
      </c>
      <c r="O509" s="81" t="s">
        <v>31</v>
      </c>
      <c r="R509" s="107">
        <v>11</v>
      </c>
    </row>
    <row r="510" spans="1:18" hidden="1" x14ac:dyDescent="0.2">
      <c r="A510" s="18" t="s">
        <v>177</v>
      </c>
      <c r="B510" s="81" t="s">
        <v>63</v>
      </c>
      <c r="C510" s="80" t="s">
        <v>439</v>
      </c>
      <c r="D510" s="81" t="s">
        <v>440</v>
      </c>
      <c r="E510" s="81" t="s">
        <v>69</v>
      </c>
      <c r="F510" s="81" t="s">
        <v>65</v>
      </c>
      <c r="G510" s="81" t="s">
        <v>70</v>
      </c>
      <c r="H510" s="107">
        <v>0</v>
      </c>
      <c r="I510" s="107">
        <v>0</v>
      </c>
      <c r="K510" s="107">
        <v>0</v>
      </c>
      <c r="L510" s="107">
        <v>2.23</v>
      </c>
      <c r="M510" s="107">
        <v>0.52</v>
      </c>
      <c r="N510" s="109">
        <v>11600</v>
      </c>
      <c r="O510" s="81" t="s">
        <v>113</v>
      </c>
      <c r="R510" s="107">
        <v>10.9</v>
      </c>
    </row>
    <row r="511" spans="1:18" hidden="1" x14ac:dyDescent="0.2">
      <c r="A511" s="18" t="s">
        <v>177</v>
      </c>
      <c r="B511" s="81" t="s">
        <v>103</v>
      </c>
      <c r="C511" s="80" t="s">
        <v>970</v>
      </c>
      <c r="D511" s="81" t="s">
        <v>967</v>
      </c>
      <c r="E511" s="81" t="s">
        <v>69</v>
      </c>
      <c r="H511" s="107">
        <v>0</v>
      </c>
      <c r="I511" s="107">
        <v>0</v>
      </c>
      <c r="K511" s="107">
        <v>0</v>
      </c>
      <c r="L511" s="107">
        <v>3.5</v>
      </c>
      <c r="M511" s="107">
        <v>0.32</v>
      </c>
      <c r="N511" s="109">
        <v>11200</v>
      </c>
      <c r="O511" s="81" t="s">
        <v>113</v>
      </c>
      <c r="R511" s="107">
        <v>10.4</v>
      </c>
    </row>
    <row r="512" spans="1:18" hidden="1" x14ac:dyDescent="0.2">
      <c r="A512" s="25" t="s">
        <v>190</v>
      </c>
      <c r="B512" s="81" t="s">
        <v>75</v>
      </c>
      <c r="C512" s="79" t="s">
        <v>564</v>
      </c>
      <c r="D512" s="81" t="s">
        <v>554</v>
      </c>
      <c r="E512" s="81" t="s">
        <v>69</v>
      </c>
      <c r="F512" s="81" t="s">
        <v>72</v>
      </c>
      <c r="G512" s="81" t="s">
        <v>187</v>
      </c>
      <c r="H512" s="107">
        <v>0</v>
      </c>
      <c r="I512" s="107">
        <v>0</v>
      </c>
      <c r="K512" s="107">
        <v>0</v>
      </c>
      <c r="L512" s="107">
        <v>1.06</v>
      </c>
      <c r="M512" s="107">
        <v>1.04</v>
      </c>
      <c r="N512" s="109">
        <v>11100</v>
      </c>
      <c r="O512" s="81" t="s">
        <v>31</v>
      </c>
      <c r="R512" s="107">
        <v>10.4</v>
      </c>
    </row>
    <row r="513" spans="1:18" hidden="1" x14ac:dyDescent="0.2">
      <c r="A513" s="18" t="s">
        <v>177</v>
      </c>
      <c r="B513" s="81" t="s">
        <v>130</v>
      </c>
      <c r="C513" s="80" t="s">
        <v>1091</v>
      </c>
      <c r="D513" s="81" t="s">
        <v>131</v>
      </c>
      <c r="E513" s="81" t="s">
        <v>69</v>
      </c>
      <c r="H513" s="107">
        <v>0</v>
      </c>
      <c r="I513" s="107">
        <v>0</v>
      </c>
      <c r="K513" s="107">
        <v>0</v>
      </c>
      <c r="L513" s="107">
        <v>1.0129999999999999</v>
      </c>
      <c r="M513" s="107">
        <v>1.0900000000000001</v>
      </c>
      <c r="N513" s="109">
        <v>11000</v>
      </c>
      <c r="O513" s="81" t="s">
        <v>113</v>
      </c>
      <c r="R513" s="107">
        <v>10.199999999999999</v>
      </c>
    </row>
    <row r="514" spans="1:18" hidden="1" x14ac:dyDescent="0.2">
      <c r="A514" s="18" t="s">
        <v>177</v>
      </c>
      <c r="B514" s="81" t="s">
        <v>103</v>
      </c>
      <c r="C514" s="16" t="s">
        <v>962</v>
      </c>
      <c r="D514" s="81" t="s">
        <v>940</v>
      </c>
      <c r="E514" s="81" t="s">
        <v>69</v>
      </c>
      <c r="H514" s="107">
        <v>0</v>
      </c>
      <c r="I514" s="107">
        <v>0</v>
      </c>
      <c r="K514" s="107">
        <v>0</v>
      </c>
      <c r="L514" s="107">
        <v>1.54</v>
      </c>
      <c r="M514" s="107">
        <v>0.71</v>
      </c>
      <c r="N514" s="109">
        <v>10900</v>
      </c>
      <c r="O514" s="81" t="s">
        <v>118</v>
      </c>
      <c r="Q514" s="107">
        <v>4.2330000000000005</v>
      </c>
      <c r="R514" s="107">
        <v>10.1</v>
      </c>
    </row>
    <row r="515" spans="1:18" hidden="1" x14ac:dyDescent="0.2">
      <c r="A515" s="18" t="s">
        <v>177</v>
      </c>
      <c r="B515" s="81" t="s">
        <v>103</v>
      </c>
      <c r="C515" s="80" t="s">
        <v>979</v>
      </c>
      <c r="D515" s="81" t="s">
        <v>131</v>
      </c>
      <c r="E515" s="81" t="s">
        <v>69</v>
      </c>
      <c r="H515" s="107">
        <v>0</v>
      </c>
      <c r="I515" s="107">
        <v>0</v>
      </c>
      <c r="K515" s="107">
        <v>0</v>
      </c>
      <c r="L515" s="107">
        <v>1.6</v>
      </c>
      <c r="M515" s="107">
        <v>0.65</v>
      </c>
      <c r="N515" s="109">
        <v>10400</v>
      </c>
      <c r="O515" s="81" t="s">
        <v>113</v>
      </c>
      <c r="R515" s="107">
        <v>10</v>
      </c>
    </row>
    <row r="516" spans="1:18" hidden="1" x14ac:dyDescent="0.2">
      <c r="A516" s="18" t="s">
        <v>177</v>
      </c>
      <c r="B516" s="81" t="s">
        <v>147</v>
      </c>
      <c r="C516" s="80" t="s">
        <v>1164</v>
      </c>
      <c r="D516" s="81" t="s">
        <v>131</v>
      </c>
      <c r="E516" s="81" t="s">
        <v>69</v>
      </c>
      <c r="H516" s="107">
        <v>0</v>
      </c>
      <c r="I516" s="107">
        <v>0</v>
      </c>
      <c r="K516" s="107">
        <v>0</v>
      </c>
      <c r="L516" s="107">
        <v>1.139</v>
      </c>
      <c r="M516" s="107">
        <v>0.91</v>
      </c>
      <c r="N516" s="109">
        <v>10400</v>
      </c>
      <c r="O516" s="81" t="s">
        <v>113</v>
      </c>
      <c r="R516" s="107">
        <v>10</v>
      </c>
    </row>
    <row r="517" spans="1:18" hidden="1" x14ac:dyDescent="0.2">
      <c r="A517" s="25" t="s">
        <v>190</v>
      </c>
      <c r="B517" s="81" t="s">
        <v>133</v>
      </c>
      <c r="C517" s="79" t="s">
        <v>1101</v>
      </c>
      <c r="D517" s="81" t="s">
        <v>131</v>
      </c>
      <c r="E517" s="81" t="s">
        <v>69</v>
      </c>
      <c r="H517" s="107">
        <v>0</v>
      </c>
      <c r="I517" s="107">
        <v>0</v>
      </c>
      <c r="K517" s="107">
        <v>0</v>
      </c>
      <c r="L517" s="107">
        <v>1.6950000000000001</v>
      </c>
      <c r="M517" s="107">
        <v>0.6</v>
      </c>
      <c r="N517" s="109">
        <v>10200</v>
      </c>
      <c r="O517" s="81" t="s">
        <v>31</v>
      </c>
      <c r="R517" s="107">
        <v>10</v>
      </c>
    </row>
    <row r="518" spans="1:18" hidden="1" x14ac:dyDescent="0.2">
      <c r="A518" s="18" t="s">
        <v>177</v>
      </c>
      <c r="B518" s="81" t="s">
        <v>85</v>
      </c>
      <c r="C518" s="80" t="s">
        <v>877</v>
      </c>
      <c r="D518" s="81" t="s">
        <v>131</v>
      </c>
      <c r="E518" s="81" t="s">
        <v>69</v>
      </c>
      <c r="H518" s="107">
        <v>0</v>
      </c>
      <c r="I518" s="107">
        <v>0</v>
      </c>
      <c r="K518" s="107">
        <v>0</v>
      </c>
      <c r="L518" s="107">
        <v>1.754</v>
      </c>
      <c r="M518" s="107">
        <v>0.56999999999999995</v>
      </c>
      <c r="N518" s="109">
        <v>10000</v>
      </c>
      <c r="O518" s="81" t="s">
        <v>113</v>
      </c>
      <c r="R518" s="107">
        <v>10</v>
      </c>
    </row>
    <row r="519" spans="1:18" hidden="1" x14ac:dyDescent="0.2">
      <c r="A519" s="18" t="s">
        <v>190</v>
      </c>
      <c r="B519" s="81" t="s">
        <v>63</v>
      </c>
      <c r="C519" s="79" t="s">
        <v>246</v>
      </c>
      <c r="D519" s="81" t="s">
        <v>247</v>
      </c>
      <c r="E519" s="81" t="s">
        <v>69</v>
      </c>
      <c r="F519" s="81" t="s">
        <v>72</v>
      </c>
      <c r="G519" s="81" t="s">
        <v>211</v>
      </c>
      <c r="H519" s="107">
        <v>0</v>
      </c>
      <c r="I519" s="107">
        <v>0</v>
      </c>
      <c r="K519" s="107">
        <v>0</v>
      </c>
      <c r="L519" s="107">
        <v>1</v>
      </c>
      <c r="M519" s="107">
        <v>1</v>
      </c>
      <c r="N519" s="109">
        <v>10000</v>
      </c>
      <c r="O519" s="81" t="s">
        <v>31</v>
      </c>
      <c r="R519" s="107">
        <v>9.8000000000000007</v>
      </c>
    </row>
    <row r="520" spans="1:18" x14ac:dyDescent="0.2">
      <c r="A520" s="18" t="s">
        <v>177</v>
      </c>
      <c r="B520" s="111" t="s">
        <v>85</v>
      </c>
      <c r="C520" s="110" t="s">
        <v>860</v>
      </c>
      <c r="D520" s="81" t="s">
        <v>131</v>
      </c>
      <c r="E520" s="81" t="s">
        <v>69</v>
      </c>
      <c r="H520" s="107">
        <v>1.103</v>
      </c>
      <c r="I520" s="107">
        <v>1103000</v>
      </c>
      <c r="J520" s="107">
        <v>0.23000000000000004</v>
      </c>
      <c r="K520" s="107">
        <v>2536.9000000000005</v>
      </c>
      <c r="L520" s="107">
        <v>1.103</v>
      </c>
      <c r="M520" s="107">
        <v>0.23</v>
      </c>
      <c r="N520" s="109">
        <v>2500</v>
      </c>
      <c r="O520" s="111" t="s">
        <v>113</v>
      </c>
      <c r="R520" s="107">
        <v>9.5</v>
      </c>
    </row>
    <row r="521" spans="1:18" hidden="1" x14ac:dyDescent="0.2">
      <c r="A521" s="18" t="s">
        <v>190</v>
      </c>
      <c r="B521" s="81" t="s">
        <v>63</v>
      </c>
      <c r="C521" s="79" t="s">
        <v>344</v>
      </c>
      <c r="D521" s="81" t="s">
        <v>345</v>
      </c>
      <c r="E521" s="81" t="s">
        <v>69</v>
      </c>
      <c r="F521" s="81" t="s">
        <v>72</v>
      </c>
      <c r="G521" s="81" t="s">
        <v>211</v>
      </c>
      <c r="H521" s="107">
        <v>0</v>
      </c>
      <c r="I521" s="107">
        <v>0</v>
      </c>
      <c r="K521" s="107">
        <v>0</v>
      </c>
      <c r="L521" s="107">
        <v>1</v>
      </c>
      <c r="M521" s="107">
        <v>1</v>
      </c>
      <c r="N521" s="109">
        <v>10000</v>
      </c>
      <c r="O521" s="81" t="s">
        <v>31</v>
      </c>
      <c r="R521" s="107">
        <v>9.4</v>
      </c>
    </row>
    <row r="522" spans="1:18" hidden="1" x14ac:dyDescent="0.2">
      <c r="A522" s="18" t="s">
        <v>177</v>
      </c>
      <c r="B522" s="81" t="s">
        <v>82</v>
      </c>
      <c r="C522" s="80" t="s">
        <v>699</v>
      </c>
      <c r="D522" s="81" t="s">
        <v>700</v>
      </c>
      <c r="E522" s="81" t="s">
        <v>69</v>
      </c>
      <c r="H522" s="107">
        <v>0</v>
      </c>
      <c r="I522" s="107">
        <v>0</v>
      </c>
      <c r="K522" s="107">
        <v>0</v>
      </c>
      <c r="L522" s="107">
        <v>1.4</v>
      </c>
      <c r="M522" s="107">
        <v>0.7</v>
      </c>
      <c r="N522" s="109">
        <v>9800</v>
      </c>
      <c r="O522" s="81" t="s">
        <v>113</v>
      </c>
      <c r="R522" s="107">
        <v>9.3000000000000007</v>
      </c>
    </row>
    <row r="523" spans="1:18" hidden="1" x14ac:dyDescent="0.2">
      <c r="A523" s="18" t="s">
        <v>177</v>
      </c>
      <c r="B523" s="81" t="s">
        <v>63</v>
      </c>
      <c r="C523" s="80" t="s">
        <v>430</v>
      </c>
      <c r="D523" s="81" t="s">
        <v>431</v>
      </c>
      <c r="E523" s="81" t="s">
        <v>69</v>
      </c>
      <c r="F523" s="81" t="s">
        <v>72</v>
      </c>
      <c r="G523" s="81" t="s">
        <v>188</v>
      </c>
      <c r="H523" s="107">
        <v>0</v>
      </c>
      <c r="I523" s="107">
        <v>0</v>
      </c>
      <c r="K523" s="107">
        <v>0</v>
      </c>
      <c r="L523" s="107">
        <v>14.3</v>
      </c>
      <c r="M523" s="107">
        <v>6.7000000000000004E-2</v>
      </c>
      <c r="N523" s="109">
        <v>9500</v>
      </c>
      <c r="O523" s="81" t="s">
        <v>113</v>
      </c>
      <c r="R523" s="107">
        <v>9.3000000000000007</v>
      </c>
    </row>
    <row r="524" spans="1:18" hidden="1" x14ac:dyDescent="0.2">
      <c r="A524" s="18" t="s">
        <v>190</v>
      </c>
      <c r="B524" s="81" t="s">
        <v>63</v>
      </c>
      <c r="C524" s="79" t="s">
        <v>346</v>
      </c>
      <c r="D524" s="81" t="s">
        <v>152</v>
      </c>
      <c r="E524" s="81" t="s">
        <v>69</v>
      </c>
      <c r="F524" s="81" t="s">
        <v>72</v>
      </c>
      <c r="G524" s="81" t="s">
        <v>211</v>
      </c>
      <c r="H524" s="107">
        <v>0</v>
      </c>
      <c r="I524" s="107">
        <v>0</v>
      </c>
      <c r="K524" s="107">
        <v>0</v>
      </c>
      <c r="L524" s="107">
        <v>0.83</v>
      </c>
      <c r="M524" s="107">
        <v>1.1299999999999999</v>
      </c>
      <c r="N524" s="109">
        <v>9400</v>
      </c>
      <c r="O524" s="81" t="s">
        <v>31</v>
      </c>
      <c r="R524" s="107">
        <v>9</v>
      </c>
    </row>
    <row r="525" spans="1:18" hidden="1" x14ac:dyDescent="0.2">
      <c r="A525" s="18" t="s">
        <v>177</v>
      </c>
      <c r="B525" s="81" t="s">
        <v>82</v>
      </c>
      <c r="C525" s="80" t="s">
        <v>804</v>
      </c>
      <c r="D525" s="81" t="s">
        <v>700</v>
      </c>
      <c r="E525" s="81" t="s">
        <v>69</v>
      </c>
      <c r="H525" s="107">
        <v>0</v>
      </c>
      <c r="I525" s="107">
        <v>0</v>
      </c>
      <c r="K525" s="107">
        <v>0</v>
      </c>
      <c r="L525" s="107">
        <v>1.69</v>
      </c>
      <c r="M525" s="107">
        <v>0.55000000000000004</v>
      </c>
      <c r="N525" s="109">
        <v>9300</v>
      </c>
      <c r="O525" s="81" t="s">
        <v>113</v>
      </c>
      <c r="R525" s="107">
        <v>8.6</v>
      </c>
    </row>
    <row r="526" spans="1:18" hidden="1" x14ac:dyDescent="0.2">
      <c r="A526" s="18" t="s">
        <v>177</v>
      </c>
      <c r="B526" s="81" t="s">
        <v>63</v>
      </c>
      <c r="C526" s="80" t="s">
        <v>421</v>
      </c>
      <c r="D526" s="81" t="s">
        <v>420</v>
      </c>
      <c r="E526" s="81" t="s">
        <v>69</v>
      </c>
      <c r="F526" s="81" t="s">
        <v>65</v>
      </c>
      <c r="G526" s="81" t="s">
        <v>70</v>
      </c>
      <c r="H526" s="107">
        <v>0</v>
      </c>
      <c r="I526" s="107">
        <v>0</v>
      </c>
      <c r="K526" s="107">
        <v>0</v>
      </c>
      <c r="L526" s="107">
        <v>0.57299999999999995</v>
      </c>
      <c r="M526" s="107">
        <v>1.63</v>
      </c>
      <c r="N526" s="109">
        <v>9300</v>
      </c>
      <c r="O526" s="81" t="s">
        <v>113</v>
      </c>
      <c r="R526" s="107">
        <v>8.6</v>
      </c>
    </row>
    <row r="527" spans="1:18" hidden="1" x14ac:dyDescent="0.2">
      <c r="A527" s="18" t="s">
        <v>177</v>
      </c>
      <c r="B527" s="81" t="s">
        <v>63</v>
      </c>
      <c r="C527" s="80" t="s">
        <v>390</v>
      </c>
      <c r="D527" s="81" t="s">
        <v>356</v>
      </c>
      <c r="E527" s="81" t="s">
        <v>71</v>
      </c>
      <c r="F527" s="81" t="s">
        <v>65</v>
      </c>
      <c r="G527" s="81" t="s">
        <v>70</v>
      </c>
      <c r="H527" s="107">
        <v>0</v>
      </c>
      <c r="I527" s="107">
        <v>0</v>
      </c>
      <c r="K527" s="107">
        <v>0</v>
      </c>
      <c r="L527" s="107">
        <v>0.376</v>
      </c>
      <c r="M527" s="107">
        <v>2.38</v>
      </c>
      <c r="N527" s="109">
        <v>9000</v>
      </c>
      <c r="O527" s="81" t="s">
        <v>113</v>
      </c>
      <c r="R527" s="107">
        <v>8.6</v>
      </c>
    </row>
    <row r="528" spans="1:18" hidden="1" x14ac:dyDescent="0.2">
      <c r="A528" s="18" t="s">
        <v>177</v>
      </c>
      <c r="B528" s="81" t="s">
        <v>85</v>
      </c>
      <c r="C528" s="80" t="s">
        <v>844</v>
      </c>
      <c r="D528" s="81" t="s">
        <v>131</v>
      </c>
      <c r="E528" s="81" t="s">
        <v>69</v>
      </c>
      <c r="H528" s="107">
        <v>0</v>
      </c>
      <c r="I528" s="107">
        <v>0</v>
      </c>
      <c r="K528" s="107">
        <v>0</v>
      </c>
      <c r="L528" s="107">
        <v>1.67</v>
      </c>
      <c r="M528" s="107">
        <v>0.52</v>
      </c>
      <c r="N528" s="109">
        <v>8600</v>
      </c>
      <c r="O528" s="81" t="s">
        <v>113</v>
      </c>
      <c r="R528" s="107">
        <v>8.5</v>
      </c>
    </row>
    <row r="529" spans="1:18" hidden="1" x14ac:dyDescent="0.2">
      <c r="A529" s="18" t="s">
        <v>177</v>
      </c>
      <c r="B529" s="81" t="s">
        <v>103</v>
      </c>
      <c r="C529" s="16" t="s">
        <v>944</v>
      </c>
      <c r="D529" s="81" t="s">
        <v>940</v>
      </c>
      <c r="E529" s="81" t="s">
        <v>69</v>
      </c>
      <c r="H529" s="107">
        <v>0</v>
      </c>
      <c r="I529" s="107">
        <v>0</v>
      </c>
      <c r="K529" s="107">
        <v>0</v>
      </c>
      <c r="L529" s="107">
        <v>1.0900000000000001</v>
      </c>
      <c r="M529" s="107">
        <v>0.79</v>
      </c>
      <c r="N529" s="109">
        <v>8600</v>
      </c>
      <c r="O529" s="81" t="s">
        <v>118</v>
      </c>
      <c r="R529" s="107">
        <v>8.4</v>
      </c>
    </row>
    <row r="530" spans="1:18" hidden="1" x14ac:dyDescent="0.2">
      <c r="A530" s="18" t="s">
        <v>177</v>
      </c>
      <c r="B530" s="81" t="s">
        <v>147</v>
      </c>
      <c r="C530" s="80" t="s">
        <v>1163</v>
      </c>
      <c r="D530" s="81" t="s">
        <v>131</v>
      </c>
      <c r="E530" s="81" t="s">
        <v>69</v>
      </c>
      <c r="H530" s="107">
        <v>0</v>
      </c>
      <c r="I530" s="107">
        <v>0</v>
      </c>
      <c r="K530" s="107">
        <v>0</v>
      </c>
      <c r="L530" s="107">
        <v>0.64500000000000002</v>
      </c>
      <c r="M530" s="107">
        <v>1.33</v>
      </c>
      <c r="N530" s="109">
        <v>8600</v>
      </c>
      <c r="O530" s="81" t="s">
        <v>113</v>
      </c>
      <c r="R530" s="107">
        <v>8.3000000000000007</v>
      </c>
    </row>
    <row r="531" spans="1:18" hidden="1" x14ac:dyDescent="0.2">
      <c r="A531" s="18" t="s">
        <v>177</v>
      </c>
      <c r="B531" s="81" t="s">
        <v>82</v>
      </c>
      <c r="C531" s="80" t="s">
        <v>730</v>
      </c>
      <c r="D531" s="81" t="s">
        <v>731</v>
      </c>
      <c r="E531" s="81" t="s">
        <v>69</v>
      </c>
      <c r="H531" s="107">
        <v>0</v>
      </c>
      <c r="I531" s="107">
        <v>0</v>
      </c>
      <c r="K531" s="107">
        <v>0</v>
      </c>
      <c r="L531" s="107">
        <v>1.8</v>
      </c>
      <c r="M531" s="107">
        <v>0.47</v>
      </c>
      <c r="N531" s="109">
        <v>8500</v>
      </c>
      <c r="O531" s="81" t="s">
        <v>113</v>
      </c>
      <c r="R531" s="107">
        <v>8.3000000000000007</v>
      </c>
    </row>
    <row r="532" spans="1:18" hidden="1" x14ac:dyDescent="0.2">
      <c r="A532" s="18" t="s">
        <v>177</v>
      </c>
      <c r="B532" s="81" t="s">
        <v>63</v>
      </c>
      <c r="C532" s="80" t="s">
        <v>460</v>
      </c>
      <c r="D532" s="81" t="s">
        <v>401</v>
      </c>
      <c r="E532" s="81" t="s">
        <v>71</v>
      </c>
      <c r="F532" s="81" t="s">
        <v>65</v>
      </c>
      <c r="G532" s="81" t="s">
        <v>70</v>
      </c>
      <c r="H532" s="107">
        <v>0</v>
      </c>
      <c r="I532" s="107">
        <v>0</v>
      </c>
      <c r="K532" s="107">
        <v>0</v>
      </c>
      <c r="L532" s="107">
        <v>0.60099999999999998</v>
      </c>
      <c r="M532" s="107">
        <v>1.4</v>
      </c>
      <c r="N532" s="109">
        <v>8400</v>
      </c>
      <c r="O532" s="81" t="s">
        <v>113</v>
      </c>
      <c r="R532" s="107">
        <v>8.3000000000000007</v>
      </c>
    </row>
    <row r="533" spans="1:18" hidden="1" x14ac:dyDescent="0.2">
      <c r="A533" s="18" t="s">
        <v>177</v>
      </c>
      <c r="B533" s="81" t="s">
        <v>103</v>
      </c>
      <c r="C533" s="16" t="s">
        <v>936</v>
      </c>
      <c r="D533" s="81" t="s">
        <v>131</v>
      </c>
      <c r="E533" s="81" t="s">
        <v>69</v>
      </c>
      <c r="H533" s="107">
        <v>0</v>
      </c>
      <c r="I533" s="107">
        <v>0</v>
      </c>
      <c r="K533" s="107">
        <v>0</v>
      </c>
      <c r="L533" s="107">
        <v>16.5</v>
      </c>
      <c r="M533" s="107">
        <v>0.05</v>
      </c>
      <c r="N533" s="109">
        <v>8300</v>
      </c>
      <c r="O533" s="81" t="s">
        <v>118</v>
      </c>
      <c r="R533" s="107">
        <v>8.1999999999999993</v>
      </c>
    </row>
    <row r="534" spans="1:18" hidden="1" x14ac:dyDescent="0.2">
      <c r="A534" s="18" t="s">
        <v>1060</v>
      </c>
      <c r="B534" s="81" t="s">
        <v>127</v>
      </c>
      <c r="C534" s="16" t="s">
        <v>1061</v>
      </c>
      <c r="D534" s="81" t="s">
        <v>131</v>
      </c>
      <c r="E534" s="81" t="s">
        <v>69</v>
      </c>
      <c r="H534" s="107">
        <v>0</v>
      </c>
      <c r="I534" s="107">
        <v>0</v>
      </c>
      <c r="K534" s="107">
        <v>0</v>
      </c>
      <c r="L534" s="107">
        <v>1.8140000000000001</v>
      </c>
      <c r="M534" s="107">
        <v>0.46</v>
      </c>
      <c r="N534" s="109">
        <v>8300</v>
      </c>
      <c r="O534" s="81" t="s">
        <v>118</v>
      </c>
      <c r="R534" s="107">
        <v>8.1999999999999993</v>
      </c>
    </row>
    <row r="535" spans="1:18" hidden="1" x14ac:dyDescent="0.2">
      <c r="A535" s="18" t="s">
        <v>177</v>
      </c>
      <c r="B535" s="81" t="s">
        <v>63</v>
      </c>
      <c r="C535" s="80" t="s">
        <v>391</v>
      </c>
      <c r="D535" s="81" t="s">
        <v>392</v>
      </c>
      <c r="E535" s="81" t="s">
        <v>69</v>
      </c>
      <c r="F535" s="81" t="s">
        <v>65</v>
      </c>
      <c r="G535" s="81" t="s">
        <v>70</v>
      </c>
      <c r="H535" s="107">
        <v>0</v>
      </c>
      <c r="I535" s="107">
        <v>0</v>
      </c>
      <c r="K535" s="107">
        <v>0</v>
      </c>
      <c r="L535" s="107">
        <v>0.6</v>
      </c>
      <c r="M535" s="107">
        <v>1.39</v>
      </c>
      <c r="N535" s="109">
        <v>8300</v>
      </c>
      <c r="O535" s="81" t="s">
        <v>113</v>
      </c>
      <c r="R535" s="107">
        <v>8.1999999999999993</v>
      </c>
    </row>
    <row r="536" spans="1:18" hidden="1" x14ac:dyDescent="0.2">
      <c r="A536" s="36" t="s">
        <v>1323</v>
      </c>
      <c r="B536" s="82" t="s">
        <v>149</v>
      </c>
      <c r="C536" s="80" t="s">
        <v>1269</v>
      </c>
      <c r="D536" s="81" t="s">
        <v>1215</v>
      </c>
      <c r="H536" s="107">
        <v>0</v>
      </c>
      <c r="I536" s="107">
        <v>0</v>
      </c>
      <c r="K536" s="107">
        <v>0</v>
      </c>
      <c r="L536" s="107">
        <v>16.3</v>
      </c>
      <c r="M536" s="107">
        <v>0.05</v>
      </c>
      <c r="N536" s="109">
        <v>8200</v>
      </c>
      <c r="O536" s="81" t="s">
        <v>113</v>
      </c>
      <c r="R536" s="107">
        <v>8.1999999999999993</v>
      </c>
    </row>
    <row r="537" spans="1:18" hidden="1" x14ac:dyDescent="0.2">
      <c r="A537" s="18" t="s">
        <v>177</v>
      </c>
      <c r="B537" s="81" t="s">
        <v>85</v>
      </c>
      <c r="C537" s="80" t="s">
        <v>814</v>
      </c>
      <c r="D537" s="81" t="s">
        <v>131</v>
      </c>
      <c r="E537" s="81" t="s">
        <v>69</v>
      </c>
      <c r="H537" s="107">
        <v>0</v>
      </c>
      <c r="I537" s="107">
        <v>0</v>
      </c>
      <c r="K537" s="107">
        <v>0</v>
      </c>
      <c r="L537" s="107">
        <v>1.75</v>
      </c>
      <c r="M537" s="107">
        <v>0.47</v>
      </c>
      <c r="N537" s="109">
        <v>8200</v>
      </c>
      <c r="O537" s="81" t="s">
        <v>113</v>
      </c>
      <c r="R537" s="107">
        <v>7.9</v>
      </c>
    </row>
    <row r="538" spans="1:18" hidden="1" x14ac:dyDescent="0.2">
      <c r="A538" s="18" t="s">
        <v>177</v>
      </c>
      <c r="B538" s="81" t="s">
        <v>63</v>
      </c>
      <c r="C538" s="16" t="s">
        <v>393</v>
      </c>
      <c r="D538" s="81" t="s">
        <v>394</v>
      </c>
      <c r="E538" s="81" t="s">
        <v>69</v>
      </c>
      <c r="F538" s="81" t="s">
        <v>65</v>
      </c>
      <c r="G538" s="81" t="s">
        <v>70</v>
      </c>
      <c r="H538" s="107">
        <v>0</v>
      </c>
      <c r="I538" s="107">
        <v>0</v>
      </c>
      <c r="K538" s="107">
        <v>0</v>
      </c>
      <c r="L538" s="107">
        <v>1.0249999999999999</v>
      </c>
      <c r="M538" s="107">
        <v>0.8</v>
      </c>
      <c r="N538" s="109">
        <v>8200</v>
      </c>
      <c r="O538" s="81" t="s">
        <v>118</v>
      </c>
      <c r="R538" s="107">
        <v>7.4</v>
      </c>
    </row>
    <row r="539" spans="1:18" hidden="1" x14ac:dyDescent="0.2">
      <c r="A539" s="18" t="s">
        <v>177</v>
      </c>
      <c r="B539" s="81" t="s">
        <v>63</v>
      </c>
      <c r="C539" s="80" t="s">
        <v>408</v>
      </c>
      <c r="D539" s="81" t="s">
        <v>401</v>
      </c>
      <c r="E539" s="81" t="s">
        <v>71</v>
      </c>
      <c r="F539" s="81" t="s">
        <v>72</v>
      </c>
      <c r="G539" s="81" t="s">
        <v>70</v>
      </c>
      <c r="H539" s="107">
        <v>0</v>
      </c>
      <c r="I539" s="107">
        <v>0</v>
      </c>
      <c r="K539" s="107">
        <v>0</v>
      </c>
      <c r="L539" s="107">
        <v>0.34699999999999998</v>
      </c>
      <c r="M539" s="107">
        <v>2.37</v>
      </c>
      <c r="N539" s="109">
        <v>8200</v>
      </c>
      <c r="O539" s="81" t="s">
        <v>113</v>
      </c>
      <c r="R539" s="107">
        <v>7</v>
      </c>
    </row>
    <row r="540" spans="1:18" hidden="1" x14ac:dyDescent="0.2">
      <c r="A540" s="18" t="s">
        <v>177</v>
      </c>
      <c r="B540" s="81" t="s">
        <v>82</v>
      </c>
      <c r="C540" s="80" t="s">
        <v>693</v>
      </c>
      <c r="D540" s="81" t="s">
        <v>691</v>
      </c>
      <c r="E540" s="81" t="s">
        <v>69</v>
      </c>
      <c r="H540" s="107">
        <v>0</v>
      </c>
      <c r="I540" s="107">
        <v>0</v>
      </c>
      <c r="K540" s="107">
        <v>0</v>
      </c>
      <c r="L540" s="107">
        <v>1.264</v>
      </c>
      <c r="M540" s="107">
        <v>0.63</v>
      </c>
      <c r="N540" s="109">
        <v>7900</v>
      </c>
      <c r="O540" s="81" t="s">
        <v>113</v>
      </c>
      <c r="R540" s="107">
        <v>6.9</v>
      </c>
    </row>
    <row r="541" spans="1:18" hidden="1" x14ac:dyDescent="0.2">
      <c r="A541" s="18" t="s">
        <v>1195</v>
      </c>
      <c r="B541" s="81" t="s">
        <v>149</v>
      </c>
      <c r="C541" s="80" t="s">
        <v>1211</v>
      </c>
      <c r="D541" s="81" t="s">
        <v>685</v>
      </c>
      <c r="H541" s="107">
        <v>0</v>
      </c>
      <c r="I541" s="107">
        <v>0</v>
      </c>
      <c r="K541" s="107">
        <v>0</v>
      </c>
      <c r="L541" s="107">
        <v>6.6</v>
      </c>
      <c r="M541" s="107">
        <v>0.11</v>
      </c>
      <c r="N541" s="109">
        <v>7400</v>
      </c>
      <c r="O541" s="81" t="s">
        <v>113</v>
      </c>
      <c r="R541" s="107">
        <v>6.8</v>
      </c>
    </row>
    <row r="542" spans="1:18" hidden="1" x14ac:dyDescent="0.2">
      <c r="A542" s="18" t="s">
        <v>177</v>
      </c>
      <c r="B542" s="81" t="s">
        <v>103</v>
      </c>
      <c r="C542" s="80" t="s">
        <v>981</v>
      </c>
      <c r="D542" s="81" t="s">
        <v>977</v>
      </c>
      <c r="E542" s="81" t="s">
        <v>69</v>
      </c>
      <c r="H542" s="107">
        <v>0</v>
      </c>
      <c r="I542" s="107">
        <v>0</v>
      </c>
      <c r="K542" s="107">
        <v>0</v>
      </c>
      <c r="L542" s="107">
        <v>1.6</v>
      </c>
      <c r="M542" s="107">
        <v>0.44</v>
      </c>
      <c r="N542" s="109">
        <v>7000</v>
      </c>
      <c r="O542" s="81" t="s">
        <v>113</v>
      </c>
      <c r="R542" s="107">
        <v>6.7</v>
      </c>
    </row>
    <row r="543" spans="1:18" hidden="1" x14ac:dyDescent="0.2">
      <c r="A543" s="18" t="s">
        <v>177</v>
      </c>
      <c r="B543" s="81" t="s">
        <v>103</v>
      </c>
      <c r="C543" s="16" t="s">
        <v>942</v>
      </c>
      <c r="D543" s="81" t="s">
        <v>940</v>
      </c>
      <c r="E543" s="81" t="s">
        <v>69</v>
      </c>
      <c r="H543" s="107">
        <v>0</v>
      </c>
      <c r="I543" s="107">
        <v>0</v>
      </c>
      <c r="K543" s="107">
        <v>0</v>
      </c>
      <c r="L543" s="107">
        <v>1.5</v>
      </c>
      <c r="M543" s="107">
        <v>0.46</v>
      </c>
      <c r="N543" s="109">
        <v>6900</v>
      </c>
      <c r="O543" s="81" t="s">
        <v>118</v>
      </c>
      <c r="R543" s="107">
        <v>6.6</v>
      </c>
    </row>
    <row r="544" spans="1:18" hidden="1" x14ac:dyDescent="0.2">
      <c r="A544" s="18" t="s">
        <v>177</v>
      </c>
      <c r="B544" s="81" t="s">
        <v>85</v>
      </c>
      <c r="C544" s="80" t="s">
        <v>872</v>
      </c>
      <c r="D544" s="81" t="s">
        <v>131</v>
      </c>
      <c r="E544" s="81" t="s">
        <v>69</v>
      </c>
      <c r="H544" s="107">
        <v>0</v>
      </c>
      <c r="I544" s="107">
        <v>0</v>
      </c>
      <c r="K544" s="107">
        <v>0</v>
      </c>
      <c r="L544" s="107">
        <v>2.25</v>
      </c>
      <c r="M544" s="107">
        <v>0.3</v>
      </c>
      <c r="N544" s="109">
        <v>6800</v>
      </c>
      <c r="O544" s="81" t="s">
        <v>113</v>
      </c>
      <c r="R544" s="107">
        <v>6.6</v>
      </c>
    </row>
    <row r="545" spans="1:18" hidden="1" x14ac:dyDescent="0.2">
      <c r="A545" s="18" t="s">
        <v>177</v>
      </c>
      <c r="B545" s="81" t="s">
        <v>63</v>
      </c>
      <c r="C545" s="80" t="s">
        <v>397</v>
      </c>
      <c r="D545" s="81" t="s">
        <v>392</v>
      </c>
      <c r="E545" s="81" t="s">
        <v>71</v>
      </c>
      <c r="F545" s="81" t="s">
        <v>65</v>
      </c>
      <c r="G545" s="81" t="s">
        <v>70</v>
      </c>
      <c r="H545" s="107">
        <v>0</v>
      </c>
      <c r="I545" s="107">
        <v>0</v>
      </c>
      <c r="K545" s="107">
        <v>0</v>
      </c>
      <c r="L545" s="107">
        <v>0.221</v>
      </c>
      <c r="M545" s="107">
        <v>3.04</v>
      </c>
      <c r="N545" s="109">
        <v>6700</v>
      </c>
      <c r="O545" s="81" t="s">
        <v>113</v>
      </c>
      <c r="R545" s="107">
        <v>6.6</v>
      </c>
    </row>
    <row r="546" spans="1:18" hidden="1" x14ac:dyDescent="0.2">
      <c r="A546" s="22" t="s">
        <v>115</v>
      </c>
      <c r="B546" s="81" t="s">
        <v>82</v>
      </c>
      <c r="C546" s="80" t="s">
        <v>684</v>
      </c>
      <c r="D546" s="81" t="s">
        <v>685</v>
      </c>
      <c r="E546" s="81" t="s">
        <v>69</v>
      </c>
      <c r="H546" s="107">
        <v>0</v>
      </c>
      <c r="I546" s="107">
        <v>0</v>
      </c>
      <c r="K546" s="107">
        <v>0</v>
      </c>
      <c r="L546" s="107">
        <v>69.430000000000007</v>
      </c>
      <c r="M546" s="107">
        <v>9.5406880000000003E-3</v>
      </c>
      <c r="N546" s="109">
        <v>6600</v>
      </c>
      <c r="O546" s="81" t="s">
        <v>113</v>
      </c>
      <c r="R546" s="107">
        <v>6.5</v>
      </c>
    </row>
    <row r="547" spans="1:18" hidden="1" x14ac:dyDescent="0.2">
      <c r="A547" s="11" t="s">
        <v>115</v>
      </c>
      <c r="B547" s="81" t="s">
        <v>63</v>
      </c>
      <c r="C547" s="16" t="s">
        <v>116</v>
      </c>
      <c r="D547" s="81" t="s">
        <v>110</v>
      </c>
      <c r="E547" s="81" t="s">
        <v>69</v>
      </c>
      <c r="F547" s="81" t="s">
        <v>72</v>
      </c>
      <c r="G547" s="81" t="s">
        <v>95</v>
      </c>
      <c r="H547" s="107">
        <v>0</v>
      </c>
      <c r="I547" s="107">
        <v>0</v>
      </c>
      <c r="K547" s="107">
        <v>0</v>
      </c>
      <c r="L547" s="107">
        <v>5.3</v>
      </c>
      <c r="M547" s="107">
        <v>0.13</v>
      </c>
      <c r="N547" s="109">
        <v>6600</v>
      </c>
      <c r="O547" s="81" t="s">
        <v>118</v>
      </c>
      <c r="Q547" s="107">
        <v>6.1040000000000001</v>
      </c>
      <c r="R547" s="107">
        <v>6.4</v>
      </c>
    </row>
    <row r="548" spans="1:18" hidden="1" x14ac:dyDescent="0.2">
      <c r="A548" s="18" t="s">
        <v>177</v>
      </c>
      <c r="B548" s="81" t="s">
        <v>82</v>
      </c>
      <c r="C548" s="80" t="s">
        <v>657</v>
      </c>
      <c r="D548" s="81" t="s">
        <v>131</v>
      </c>
      <c r="E548" s="81" t="s">
        <v>69</v>
      </c>
      <c r="H548" s="107">
        <v>0</v>
      </c>
      <c r="I548" s="107">
        <v>0</v>
      </c>
      <c r="K548" s="107">
        <v>0</v>
      </c>
      <c r="L548" s="107">
        <v>2</v>
      </c>
      <c r="M548" s="107">
        <v>0.33</v>
      </c>
      <c r="N548" s="109">
        <v>6600</v>
      </c>
      <c r="O548" s="81" t="s">
        <v>113</v>
      </c>
      <c r="R548" s="107">
        <v>6.3</v>
      </c>
    </row>
    <row r="549" spans="1:18" hidden="1" x14ac:dyDescent="0.2">
      <c r="A549" s="18" t="s">
        <v>177</v>
      </c>
      <c r="B549" s="81" t="s">
        <v>63</v>
      </c>
      <c r="C549" s="80" t="s">
        <v>354</v>
      </c>
      <c r="D549" s="81" t="s">
        <v>334</v>
      </c>
      <c r="E549" s="81" t="s">
        <v>71</v>
      </c>
      <c r="F549" s="81" t="s">
        <v>65</v>
      </c>
      <c r="G549" s="81" t="s">
        <v>70</v>
      </c>
      <c r="H549" s="107">
        <v>0</v>
      </c>
      <c r="I549" s="107">
        <v>0</v>
      </c>
      <c r="K549" s="107">
        <v>0</v>
      </c>
      <c r="L549" s="107">
        <v>0.223</v>
      </c>
      <c r="M549" s="107">
        <v>2.92</v>
      </c>
      <c r="N549" s="109">
        <v>6500</v>
      </c>
      <c r="O549" s="81" t="s">
        <v>113</v>
      </c>
      <c r="R549" s="107">
        <v>6.2</v>
      </c>
    </row>
    <row r="550" spans="1:18" hidden="1" x14ac:dyDescent="0.2">
      <c r="A550" s="18" t="s">
        <v>190</v>
      </c>
      <c r="B550" s="81" t="s">
        <v>63</v>
      </c>
      <c r="C550" s="79" t="s">
        <v>282</v>
      </c>
      <c r="D550" s="81" t="s">
        <v>151</v>
      </c>
      <c r="E550" s="81" t="s">
        <v>69</v>
      </c>
      <c r="F550" s="81" t="s">
        <v>72</v>
      </c>
      <c r="G550" s="81" t="s">
        <v>211</v>
      </c>
      <c r="H550" s="107">
        <v>0</v>
      </c>
      <c r="I550" s="107">
        <v>0</v>
      </c>
      <c r="K550" s="107">
        <v>0</v>
      </c>
      <c r="L550" s="107">
        <v>0.69699999999999995</v>
      </c>
      <c r="M550" s="107">
        <v>0.9</v>
      </c>
      <c r="N550" s="109">
        <v>6300</v>
      </c>
      <c r="O550" s="81" t="s">
        <v>31</v>
      </c>
      <c r="R550" s="107">
        <v>5.8</v>
      </c>
    </row>
    <row r="551" spans="1:18" hidden="1" x14ac:dyDescent="0.2">
      <c r="A551" s="18" t="s">
        <v>177</v>
      </c>
      <c r="B551" s="81" t="s">
        <v>63</v>
      </c>
      <c r="C551" s="80" t="s">
        <v>395</v>
      </c>
      <c r="D551" s="81" t="s">
        <v>153</v>
      </c>
      <c r="E551" s="81" t="s">
        <v>69</v>
      </c>
      <c r="F551" s="81" t="s">
        <v>65</v>
      </c>
      <c r="G551" s="81" t="s">
        <v>70</v>
      </c>
      <c r="H551" s="107">
        <v>0</v>
      </c>
      <c r="I551" s="107">
        <v>0</v>
      </c>
      <c r="K551" s="107">
        <v>0</v>
      </c>
      <c r="L551" s="107">
        <v>3.1640000000000001</v>
      </c>
      <c r="M551" s="107">
        <v>0.2</v>
      </c>
      <c r="N551" s="109">
        <v>6200</v>
      </c>
      <c r="O551" s="81" t="s">
        <v>113</v>
      </c>
      <c r="R551" s="107">
        <v>5.8</v>
      </c>
    </row>
    <row r="552" spans="1:18" hidden="1" x14ac:dyDescent="0.2">
      <c r="A552" s="18" t="s">
        <v>190</v>
      </c>
      <c r="B552" s="81" t="s">
        <v>63</v>
      </c>
      <c r="C552" s="79" t="s">
        <v>287</v>
      </c>
      <c r="D552" s="81" t="s">
        <v>151</v>
      </c>
      <c r="E552" s="81" t="s">
        <v>69</v>
      </c>
      <c r="F552" s="81" t="s">
        <v>72</v>
      </c>
      <c r="G552" s="81" t="s">
        <v>211</v>
      </c>
      <c r="H552" s="107">
        <v>0</v>
      </c>
      <c r="I552" s="107">
        <v>0</v>
      </c>
      <c r="K552" s="107">
        <v>0</v>
      </c>
      <c r="L552" s="107">
        <v>1.3180000000000001</v>
      </c>
      <c r="M552" s="107">
        <v>0.44</v>
      </c>
      <c r="N552" s="109">
        <v>5800</v>
      </c>
      <c r="O552" s="81" t="s">
        <v>31</v>
      </c>
      <c r="R552" s="107">
        <v>5.7</v>
      </c>
    </row>
    <row r="553" spans="1:18" hidden="1" x14ac:dyDescent="0.2">
      <c r="A553" s="18" t="s">
        <v>190</v>
      </c>
      <c r="B553" s="81" t="s">
        <v>63</v>
      </c>
      <c r="C553" s="79" t="s">
        <v>450</v>
      </c>
      <c r="D553" s="81" t="s">
        <v>451</v>
      </c>
      <c r="E553" s="81" t="s">
        <v>69</v>
      </c>
      <c r="F553" s="81" t="s">
        <v>72</v>
      </c>
      <c r="G553" s="81" t="s">
        <v>211</v>
      </c>
      <c r="H553" s="107">
        <v>0</v>
      </c>
      <c r="I553" s="107">
        <v>0</v>
      </c>
      <c r="K553" s="107">
        <v>0</v>
      </c>
      <c r="L553" s="107">
        <v>0.7</v>
      </c>
      <c r="M553" s="107">
        <v>0.83</v>
      </c>
      <c r="N553" s="109">
        <v>5800</v>
      </c>
      <c r="O553" s="81" t="s">
        <v>31</v>
      </c>
      <c r="R553" s="107">
        <v>5.4</v>
      </c>
    </row>
    <row r="554" spans="1:18" hidden="1" x14ac:dyDescent="0.2">
      <c r="A554" s="18" t="s">
        <v>177</v>
      </c>
      <c r="B554" s="81" t="s">
        <v>63</v>
      </c>
      <c r="C554" s="80" t="s">
        <v>400</v>
      </c>
      <c r="D554" s="81" t="s">
        <v>401</v>
      </c>
      <c r="E554" s="81" t="s">
        <v>69</v>
      </c>
      <c r="F554" s="81" t="s">
        <v>65</v>
      </c>
      <c r="G554" s="81" t="s">
        <v>70</v>
      </c>
      <c r="H554" s="107">
        <v>0</v>
      </c>
      <c r="I554" s="107">
        <v>0</v>
      </c>
      <c r="K554" s="107">
        <v>0</v>
      </c>
      <c r="L554" s="107">
        <v>0.24</v>
      </c>
      <c r="M554" s="107">
        <v>2.36</v>
      </c>
      <c r="N554" s="109">
        <v>5700</v>
      </c>
      <c r="O554" s="81" t="s">
        <v>113</v>
      </c>
      <c r="R554" s="107">
        <v>5.3</v>
      </c>
    </row>
    <row r="555" spans="1:18" hidden="1" x14ac:dyDescent="0.2">
      <c r="A555" s="18" t="s">
        <v>177</v>
      </c>
      <c r="B555" s="81" t="s">
        <v>103</v>
      </c>
      <c r="C555" s="80" t="s">
        <v>927</v>
      </c>
      <c r="D555" s="81" t="s">
        <v>928</v>
      </c>
      <c r="E555" s="81" t="s">
        <v>69</v>
      </c>
      <c r="H555" s="107">
        <v>0</v>
      </c>
      <c r="I555" s="107">
        <v>0</v>
      </c>
      <c r="K555" s="107">
        <v>0</v>
      </c>
      <c r="L555" s="107">
        <v>1.2669999999999999</v>
      </c>
      <c r="M555" s="107">
        <v>0.43</v>
      </c>
      <c r="N555" s="109">
        <v>5400</v>
      </c>
      <c r="O555" s="81" t="s">
        <v>113</v>
      </c>
      <c r="R555" s="107">
        <v>5.3</v>
      </c>
    </row>
    <row r="556" spans="1:18" hidden="1" x14ac:dyDescent="0.2">
      <c r="A556" s="18" t="s">
        <v>177</v>
      </c>
      <c r="B556" s="81" t="s">
        <v>82</v>
      </c>
      <c r="C556" s="80" t="s">
        <v>654</v>
      </c>
      <c r="D556" s="81" t="s">
        <v>655</v>
      </c>
      <c r="E556" s="81" t="s">
        <v>69</v>
      </c>
      <c r="H556" s="107">
        <v>0</v>
      </c>
      <c r="I556" s="107">
        <v>0</v>
      </c>
      <c r="K556" s="107">
        <v>0</v>
      </c>
      <c r="L556" s="107">
        <v>0.39</v>
      </c>
      <c r="M556" s="107">
        <v>1.35</v>
      </c>
      <c r="N556" s="109">
        <v>5300</v>
      </c>
      <c r="O556" s="81" t="s">
        <v>113</v>
      </c>
      <c r="R556" s="107">
        <v>5.2</v>
      </c>
    </row>
    <row r="557" spans="1:18" hidden="1" x14ac:dyDescent="0.2">
      <c r="A557" s="18" t="s">
        <v>177</v>
      </c>
      <c r="B557" s="81" t="s">
        <v>82</v>
      </c>
      <c r="C557" s="80" t="s">
        <v>777</v>
      </c>
      <c r="D557" s="81" t="s">
        <v>742</v>
      </c>
      <c r="E557" s="81" t="s">
        <v>69</v>
      </c>
      <c r="H557" s="107">
        <v>0</v>
      </c>
      <c r="I557" s="107">
        <v>0</v>
      </c>
      <c r="K557" s="107">
        <v>0</v>
      </c>
      <c r="L557" s="107">
        <v>0.22</v>
      </c>
      <c r="M557" s="107">
        <v>2.4300000000000002</v>
      </c>
      <c r="N557" s="109">
        <v>5300</v>
      </c>
      <c r="O557" s="81" t="s">
        <v>113</v>
      </c>
      <c r="R557" s="107">
        <v>5.2</v>
      </c>
    </row>
    <row r="558" spans="1:18" hidden="1" x14ac:dyDescent="0.2">
      <c r="A558" s="18" t="s">
        <v>177</v>
      </c>
      <c r="B558" s="81" t="s">
        <v>103</v>
      </c>
      <c r="C558" s="80" t="s">
        <v>976</v>
      </c>
      <c r="D558" s="81" t="s">
        <v>977</v>
      </c>
      <c r="E558" s="81" t="s">
        <v>69</v>
      </c>
      <c r="H558" s="107">
        <v>0</v>
      </c>
      <c r="I558" s="107">
        <v>0</v>
      </c>
      <c r="K558" s="107">
        <v>0</v>
      </c>
      <c r="L558" s="107">
        <v>1.052</v>
      </c>
      <c r="M558" s="107">
        <v>0.49</v>
      </c>
      <c r="N558" s="109">
        <v>5200</v>
      </c>
      <c r="O558" s="81" t="s">
        <v>113</v>
      </c>
      <c r="R558" s="107">
        <v>5.0999999999999996</v>
      </c>
    </row>
    <row r="559" spans="1:18" hidden="1" x14ac:dyDescent="0.2">
      <c r="A559" s="18" t="s">
        <v>190</v>
      </c>
      <c r="B559" s="81" t="s">
        <v>63</v>
      </c>
      <c r="C559" s="79" t="s">
        <v>284</v>
      </c>
      <c r="D559" s="81" t="s">
        <v>151</v>
      </c>
      <c r="E559" s="81" t="s">
        <v>69</v>
      </c>
      <c r="F559" s="81" t="s">
        <v>72</v>
      </c>
      <c r="G559" s="81" t="s">
        <v>211</v>
      </c>
      <c r="H559" s="107">
        <v>0</v>
      </c>
      <c r="I559" s="107">
        <v>0</v>
      </c>
      <c r="K559" s="107">
        <v>0</v>
      </c>
      <c r="L559" s="107">
        <v>1.01</v>
      </c>
      <c r="M559" s="107">
        <v>0.51</v>
      </c>
      <c r="N559" s="109">
        <v>5200</v>
      </c>
      <c r="O559" s="81" t="s">
        <v>31</v>
      </c>
      <c r="R559" s="107">
        <v>5.0999999999999996</v>
      </c>
    </row>
    <row r="560" spans="1:18" hidden="1" x14ac:dyDescent="0.2">
      <c r="A560" s="18" t="s">
        <v>177</v>
      </c>
      <c r="B560" s="81" t="s">
        <v>127</v>
      </c>
      <c r="C560" s="80" t="s">
        <v>1064</v>
      </c>
      <c r="D560" s="81" t="s">
        <v>131</v>
      </c>
      <c r="E560" s="81" t="s">
        <v>69</v>
      </c>
      <c r="H560" s="107">
        <v>0</v>
      </c>
      <c r="I560" s="107">
        <v>0</v>
      </c>
      <c r="K560" s="107">
        <v>0</v>
      </c>
      <c r="L560" s="107">
        <v>0.72599999999999998</v>
      </c>
      <c r="M560" s="107">
        <v>0.7</v>
      </c>
      <c r="N560" s="109">
        <v>5100</v>
      </c>
      <c r="O560" s="81" t="s">
        <v>113</v>
      </c>
      <c r="Q560" s="107">
        <v>3.2473758602730154</v>
      </c>
      <c r="R560" s="107">
        <v>4.5999999999999996</v>
      </c>
    </row>
    <row r="561" spans="1:18" hidden="1" x14ac:dyDescent="0.2">
      <c r="A561" s="18" t="s">
        <v>177</v>
      </c>
      <c r="B561" s="81" t="s">
        <v>82</v>
      </c>
      <c r="C561" s="80" t="s">
        <v>639</v>
      </c>
      <c r="D561" s="81" t="s">
        <v>640</v>
      </c>
      <c r="E561" s="81" t="s">
        <v>71</v>
      </c>
      <c r="H561" s="107">
        <v>0</v>
      </c>
      <c r="I561" s="107">
        <v>0</v>
      </c>
      <c r="K561" s="107">
        <v>0</v>
      </c>
      <c r="L561" s="107">
        <v>0.53900000000000003</v>
      </c>
      <c r="M561" s="107">
        <v>0.94</v>
      </c>
      <c r="N561" s="109">
        <v>5100</v>
      </c>
      <c r="O561" s="81" t="s">
        <v>113</v>
      </c>
      <c r="R561" s="107">
        <v>4.3</v>
      </c>
    </row>
    <row r="562" spans="1:18" hidden="1" x14ac:dyDescent="0.2">
      <c r="A562" s="18" t="s">
        <v>177</v>
      </c>
      <c r="B562" s="81" t="s">
        <v>63</v>
      </c>
      <c r="C562" s="80" t="s">
        <v>403</v>
      </c>
      <c r="D562" s="81" t="s">
        <v>404</v>
      </c>
      <c r="E562" s="81" t="s">
        <v>69</v>
      </c>
      <c r="F562" s="81" t="s">
        <v>65</v>
      </c>
      <c r="G562" s="81" t="s">
        <v>70</v>
      </c>
      <c r="H562" s="107">
        <v>0</v>
      </c>
      <c r="I562" s="107">
        <v>0</v>
      </c>
      <c r="K562" s="107">
        <v>0</v>
      </c>
      <c r="L562" s="107">
        <v>0.47799999999999998</v>
      </c>
      <c r="M562" s="107">
        <v>0.9</v>
      </c>
      <c r="N562" s="109">
        <v>4300</v>
      </c>
      <c r="O562" s="81" t="s">
        <v>113</v>
      </c>
      <c r="R562" s="107">
        <v>4.2</v>
      </c>
    </row>
    <row r="563" spans="1:18" hidden="1" x14ac:dyDescent="0.2">
      <c r="A563" s="18" t="s">
        <v>177</v>
      </c>
      <c r="B563" s="81" t="s">
        <v>82</v>
      </c>
      <c r="C563" s="80" t="s">
        <v>668</v>
      </c>
      <c r="D563" s="81" t="s">
        <v>669</v>
      </c>
      <c r="E563" s="81" t="s">
        <v>69</v>
      </c>
      <c r="H563" s="107">
        <v>0</v>
      </c>
      <c r="I563" s="107">
        <v>0</v>
      </c>
      <c r="K563" s="107">
        <v>0</v>
      </c>
      <c r="L563" s="107">
        <v>0.95699999999999996</v>
      </c>
      <c r="M563" s="107">
        <v>0.44</v>
      </c>
      <c r="N563" s="109">
        <v>4200</v>
      </c>
      <c r="O563" s="81" t="s">
        <v>113</v>
      </c>
      <c r="R563" s="107">
        <v>4.2</v>
      </c>
    </row>
    <row r="564" spans="1:18" hidden="1" x14ac:dyDescent="0.2">
      <c r="A564" s="18" t="s">
        <v>190</v>
      </c>
      <c r="B564" s="81" t="s">
        <v>63</v>
      </c>
      <c r="C564" s="79" t="s">
        <v>276</v>
      </c>
      <c r="D564" s="81" t="s">
        <v>131</v>
      </c>
      <c r="E564" s="81" t="s">
        <v>69</v>
      </c>
      <c r="F564" s="81" t="s">
        <v>72</v>
      </c>
      <c r="G564" s="81" t="s">
        <v>204</v>
      </c>
      <c r="H564" s="107">
        <v>0</v>
      </c>
      <c r="I564" s="107">
        <v>0</v>
      </c>
      <c r="K564" s="107">
        <v>0</v>
      </c>
      <c r="L564" s="107">
        <v>0.3</v>
      </c>
      <c r="M564" s="107">
        <v>1.4</v>
      </c>
      <c r="N564" s="109">
        <v>4200</v>
      </c>
      <c r="O564" s="81" t="s">
        <v>31</v>
      </c>
      <c r="R564" s="107">
        <v>4.0999999999999996</v>
      </c>
    </row>
    <row r="565" spans="1:18" hidden="1" x14ac:dyDescent="0.2">
      <c r="A565" s="18" t="s">
        <v>177</v>
      </c>
      <c r="B565" s="81" t="s">
        <v>85</v>
      </c>
      <c r="C565" s="80" t="s">
        <v>859</v>
      </c>
      <c r="D565" s="81" t="s">
        <v>131</v>
      </c>
      <c r="E565" s="81" t="s">
        <v>69</v>
      </c>
      <c r="H565" s="107">
        <v>0</v>
      </c>
      <c r="I565" s="107">
        <v>0</v>
      </c>
      <c r="K565" s="107">
        <v>0</v>
      </c>
      <c r="L565" s="107">
        <v>3.1469999999999998</v>
      </c>
      <c r="M565" s="107">
        <v>0.13</v>
      </c>
      <c r="N565" s="109">
        <v>4100</v>
      </c>
      <c r="O565" s="81" t="s">
        <v>113</v>
      </c>
      <c r="R565" s="107">
        <v>3.9</v>
      </c>
    </row>
    <row r="566" spans="1:18" hidden="1" x14ac:dyDescent="0.2">
      <c r="A566" s="18" t="s">
        <v>177</v>
      </c>
      <c r="B566" s="81" t="s">
        <v>63</v>
      </c>
      <c r="C566" s="80" t="s">
        <v>402</v>
      </c>
      <c r="D566" s="81" t="s">
        <v>389</v>
      </c>
      <c r="E566" s="81" t="s">
        <v>69</v>
      </c>
      <c r="F566" s="81" t="s">
        <v>65</v>
      </c>
      <c r="G566" s="81" t="s">
        <v>70</v>
      </c>
      <c r="H566" s="107">
        <v>0</v>
      </c>
      <c r="I566" s="107">
        <v>0</v>
      </c>
      <c r="K566" s="107">
        <v>0</v>
      </c>
      <c r="L566" s="107">
        <v>0.22700000000000001</v>
      </c>
      <c r="M566" s="107">
        <v>1.7</v>
      </c>
      <c r="N566" s="109">
        <v>3900</v>
      </c>
      <c r="O566" s="81" t="s">
        <v>113</v>
      </c>
      <c r="R566" s="107">
        <v>3.8</v>
      </c>
    </row>
    <row r="567" spans="1:18" hidden="1" x14ac:dyDescent="0.2">
      <c r="A567" s="36" t="s">
        <v>1323</v>
      </c>
      <c r="B567" s="82" t="s">
        <v>149</v>
      </c>
      <c r="C567" s="80" t="s">
        <v>1251</v>
      </c>
      <c r="D567" s="81" t="s">
        <v>1215</v>
      </c>
      <c r="H567" s="107">
        <v>0</v>
      </c>
      <c r="I567" s="107">
        <v>0</v>
      </c>
      <c r="K567" s="107">
        <v>0</v>
      </c>
      <c r="L567" s="107">
        <v>7.65</v>
      </c>
      <c r="M567" s="107">
        <v>0.05</v>
      </c>
      <c r="N567" s="109">
        <v>3800</v>
      </c>
      <c r="O567" s="81" t="s">
        <v>113</v>
      </c>
      <c r="R567" s="107">
        <v>3.8</v>
      </c>
    </row>
    <row r="568" spans="1:18" hidden="1" x14ac:dyDescent="0.2">
      <c r="A568" s="18" t="s">
        <v>177</v>
      </c>
      <c r="B568" s="81" t="s">
        <v>82</v>
      </c>
      <c r="C568" s="80" t="s">
        <v>768</v>
      </c>
      <c r="D568" s="81" t="s">
        <v>742</v>
      </c>
      <c r="E568" s="81" t="s">
        <v>69</v>
      </c>
      <c r="H568" s="107">
        <v>0</v>
      </c>
      <c r="I568" s="107">
        <v>0</v>
      </c>
      <c r="K568" s="107">
        <v>0</v>
      </c>
      <c r="L568" s="107">
        <v>0.66100000000000003</v>
      </c>
      <c r="M568" s="107">
        <v>0.56999999999999995</v>
      </c>
      <c r="N568" s="109">
        <v>3800</v>
      </c>
      <c r="O568" s="81" t="s">
        <v>113</v>
      </c>
      <c r="R568" s="107">
        <v>3.8</v>
      </c>
    </row>
    <row r="569" spans="1:18" hidden="1" x14ac:dyDescent="0.2">
      <c r="A569" s="18" t="s">
        <v>190</v>
      </c>
      <c r="B569" s="81" t="s">
        <v>63</v>
      </c>
      <c r="C569" s="79" t="s">
        <v>347</v>
      </c>
      <c r="D569" s="81" t="s">
        <v>81</v>
      </c>
      <c r="E569" s="81" t="s">
        <v>69</v>
      </c>
      <c r="F569" s="81" t="s">
        <v>72</v>
      </c>
      <c r="G569" s="81" t="s">
        <v>204</v>
      </c>
      <c r="H569" s="107">
        <v>0</v>
      </c>
      <c r="I569" s="107">
        <v>0</v>
      </c>
      <c r="K569" s="107">
        <v>0</v>
      </c>
      <c r="L569" s="107">
        <v>0.5</v>
      </c>
      <c r="M569" s="107">
        <v>0.75</v>
      </c>
      <c r="N569" s="109">
        <v>3800</v>
      </c>
      <c r="O569" s="81" t="s">
        <v>31</v>
      </c>
      <c r="R569" s="107">
        <v>3.7</v>
      </c>
    </row>
    <row r="570" spans="1:18" hidden="1" x14ac:dyDescent="0.2">
      <c r="A570" s="18" t="s">
        <v>1060</v>
      </c>
      <c r="B570" s="81" t="s">
        <v>127</v>
      </c>
      <c r="C570" s="16" t="s">
        <v>1076</v>
      </c>
      <c r="D570" s="81" t="s">
        <v>131</v>
      </c>
      <c r="E570" s="81" t="s">
        <v>69</v>
      </c>
      <c r="H570" s="107">
        <v>0</v>
      </c>
      <c r="I570" s="107">
        <v>0</v>
      </c>
      <c r="K570" s="107">
        <v>0</v>
      </c>
      <c r="L570" s="107">
        <v>3.55</v>
      </c>
      <c r="M570" s="107">
        <v>0.104</v>
      </c>
      <c r="N570" s="109">
        <v>3700</v>
      </c>
      <c r="O570" s="81" t="s">
        <v>118</v>
      </c>
      <c r="R570" s="107">
        <v>3.7</v>
      </c>
    </row>
    <row r="571" spans="1:18" hidden="1" x14ac:dyDescent="0.2">
      <c r="A571" s="18" t="s">
        <v>190</v>
      </c>
      <c r="B571" s="81" t="s">
        <v>63</v>
      </c>
      <c r="C571" s="79" t="s">
        <v>286</v>
      </c>
      <c r="D571" s="81" t="s">
        <v>151</v>
      </c>
      <c r="E571" s="81" t="s">
        <v>69</v>
      </c>
      <c r="F571" s="81" t="s">
        <v>72</v>
      </c>
      <c r="G571" s="81" t="s">
        <v>211</v>
      </c>
      <c r="H571" s="107">
        <v>0</v>
      </c>
      <c r="I571" s="107">
        <v>0</v>
      </c>
      <c r="K571" s="107">
        <v>0</v>
      </c>
      <c r="L571" s="107">
        <v>1.121</v>
      </c>
      <c r="M571" s="107">
        <v>0.33</v>
      </c>
      <c r="N571" s="109">
        <v>3700</v>
      </c>
      <c r="O571" s="81" t="s">
        <v>31</v>
      </c>
      <c r="R571" s="107">
        <v>3.7</v>
      </c>
    </row>
    <row r="572" spans="1:18" hidden="1" x14ac:dyDescent="0.2">
      <c r="A572" s="18" t="s">
        <v>177</v>
      </c>
      <c r="B572" s="81" t="s">
        <v>130</v>
      </c>
      <c r="C572" s="80" t="s">
        <v>1092</v>
      </c>
      <c r="D572" s="81" t="s">
        <v>131</v>
      </c>
      <c r="E572" s="81" t="s">
        <v>69</v>
      </c>
      <c r="H572" s="107">
        <v>0</v>
      </c>
      <c r="I572" s="107">
        <v>0</v>
      </c>
      <c r="K572" s="107">
        <v>0</v>
      </c>
      <c r="L572" s="107">
        <v>0.31</v>
      </c>
      <c r="M572" s="107">
        <v>1.2</v>
      </c>
      <c r="N572" s="109">
        <v>3700</v>
      </c>
      <c r="O572" s="81" t="s">
        <v>113</v>
      </c>
      <c r="R572" s="107">
        <v>3.7</v>
      </c>
    </row>
    <row r="573" spans="1:18" hidden="1" x14ac:dyDescent="0.2">
      <c r="A573" s="18" t="s">
        <v>177</v>
      </c>
      <c r="B573" s="81" t="s">
        <v>82</v>
      </c>
      <c r="C573" s="80" t="s">
        <v>675</v>
      </c>
      <c r="D573" s="81" t="s">
        <v>676</v>
      </c>
      <c r="E573" s="81" t="s">
        <v>69</v>
      </c>
      <c r="H573" s="107">
        <v>0</v>
      </c>
      <c r="I573" s="107">
        <v>0</v>
      </c>
      <c r="K573" s="107">
        <v>0</v>
      </c>
      <c r="L573" s="107">
        <v>0.11600000000000001</v>
      </c>
      <c r="M573" s="107">
        <v>3.16</v>
      </c>
      <c r="N573" s="109">
        <v>3700</v>
      </c>
      <c r="O573" s="81" t="s">
        <v>113</v>
      </c>
      <c r="R573" s="107">
        <v>3.6</v>
      </c>
    </row>
    <row r="574" spans="1:18" hidden="1" x14ac:dyDescent="0.2">
      <c r="A574" s="18" t="s">
        <v>177</v>
      </c>
      <c r="B574" s="81" t="s">
        <v>63</v>
      </c>
      <c r="C574" s="80" t="s">
        <v>405</v>
      </c>
      <c r="D574" s="81" t="s">
        <v>365</v>
      </c>
      <c r="E574" s="81" t="s">
        <v>69</v>
      </c>
      <c r="F574" s="81" t="s">
        <v>65</v>
      </c>
      <c r="G574" s="81" t="s">
        <v>70</v>
      </c>
      <c r="H574" s="107">
        <v>0</v>
      </c>
      <c r="I574" s="107">
        <v>0</v>
      </c>
      <c r="K574" s="107">
        <v>0</v>
      </c>
      <c r="L574" s="107">
        <v>0.156</v>
      </c>
      <c r="M574" s="107">
        <v>2.3199999999999998</v>
      </c>
      <c r="N574" s="109">
        <v>3600</v>
      </c>
      <c r="O574" s="81" t="s">
        <v>113</v>
      </c>
      <c r="R574" s="107">
        <v>3.2</v>
      </c>
    </row>
    <row r="575" spans="1:18" hidden="1" x14ac:dyDescent="0.2">
      <c r="A575" s="18" t="s">
        <v>177</v>
      </c>
      <c r="B575" s="81" t="s">
        <v>63</v>
      </c>
      <c r="C575" s="80" t="s">
        <v>406</v>
      </c>
      <c r="D575" s="81" t="s">
        <v>407</v>
      </c>
      <c r="E575" s="81" t="s">
        <v>69</v>
      </c>
      <c r="F575" s="81" t="s">
        <v>65</v>
      </c>
      <c r="G575" s="81" t="s">
        <v>70</v>
      </c>
      <c r="H575" s="107">
        <v>0</v>
      </c>
      <c r="I575" s="107">
        <v>0</v>
      </c>
      <c r="K575" s="107">
        <v>0</v>
      </c>
      <c r="L575" s="107">
        <v>0.35</v>
      </c>
      <c r="M575" s="107">
        <v>0.9</v>
      </c>
      <c r="N575" s="109">
        <v>3200</v>
      </c>
      <c r="O575" s="81" t="s">
        <v>113</v>
      </c>
      <c r="R575" s="107">
        <v>3.1</v>
      </c>
    </row>
    <row r="576" spans="1:18" hidden="1" x14ac:dyDescent="0.2">
      <c r="A576" s="18" t="s">
        <v>1195</v>
      </c>
      <c r="B576" s="81" t="s">
        <v>149</v>
      </c>
      <c r="C576" s="80" t="s">
        <v>1209</v>
      </c>
      <c r="D576" s="81" t="s">
        <v>1210</v>
      </c>
      <c r="H576" s="107">
        <v>0</v>
      </c>
      <c r="I576" s="107">
        <v>0</v>
      </c>
      <c r="K576" s="107">
        <v>0</v>
      </c>
      <c r="L576" s="107">
        <v>2.8</v>
      </c>
      <c r="M576" s="107">
        <v>0.11</v>
      </c>
      <c r="N576" s="109">
        <v>3100</v>
      </c>
      <c r="O576" s="81" t="s">
        <v>113</v>
      </c>
      <c r="R576" s="107">
        <v>3</v>
      </c>
    </row>
    <row r="577" spans="1:18" hidden="1" x14ac:dyDescent="0.2">
      <c r="A577" s="18" t="s">
        <v>177</v>
      </c>
      <c r="B577" s="81" t="s">
        <v>85</v>
      </c>
      <c r="C577" s="16" t="s">
        <v>827</v>
      </c>
      <c r="D577" s="81" t="s">
        <v>131</v>
      </c>
      <c r="E577" s="81" t="s">
        <v>69</v>
      </c>
      <c r="H577" s="107">
        <v>0</v>
      </c>
      <c r="I577" s="107">
        <v>0</v>
      </c>
      <c r="K577" s="107">
        <v>0</v>
      </c>
      <c r="L577" s="107">
        <v>1</v>
      </c>
      <c r="M577" s="107">
        <v>0.3</v>
      </c>
      <c r="N577" s="109">
        <v>3000</v>
      </c>
      <c r="O577" s="81" t="s">
        <v>118</v>
      </c>
      <c r="R577" s="107">
        <v>3</v>
      </c>
    </row>
    <row r="578" spans="1:18" hidden="1" x14ac:dyDescent="0.2">
      <c r="A578" s="18" t="s">
        <v>177</v>
      </c>
      <c r="B578" s="81" t="s">
        <v>103</v>
      </c>
      <c r="C578" s="16" t="s">
        <v>946</v>
      </c>
      <c r="D578" s="81" t="s">
        <v>940</v>
      </c>
      <c r="E578" s="81" t="s">
        <v>69</v>
      </c>
      <c r="H578" s="107">
        <v>0</v>
      </c>
      <c r="I578" s="107">
        <v>0</v>
      </c>
      <c r="K578" s="107">
        <v>0</v>
      </c>
      <c r="L578" s="107">
        <v>0.49</v>
      </c>
      <c r="M578" s="107">
        <v>0.6</v>
      </c>
      <c r="N578" s="109">
        <v>3000</v>
      </c>
      <c r="O578" s="81" t="s">
        <v>118</v>
      </c>
      <c r="R578" s="107">
        <v>3</v>
      </c>
    </row>
    <row r="579" spans="1:18" hidden="1" x14ac:dyDescent="0.2">
      <c r="A579" s="18" t="s">
        <v>177</v>
      </c>
      <c r="B579" s="81" t="s">
        <v>147</v>
      </c>
      <c r="C579" s="80" t="s">
        <v>1165</v>
      </c>
      <c r="D579" s="81" t="s">
        <v>131</v>
      </c>
      <c r="E579" s="81" t="s">
        <v>69</v>
      </c>
      <c r="H579" s="107">
        <v>0</v>
      </c>
      <c r="I579" s="107">
        <v>0</v>
      </c>
      <c r="K579" s="107">
        <v>0</v>
      </c>
      <c r="L579" s="107">
        <v>0.21299999999999999</v>
      </c>
      <c r="M579" s="107">
        <v>1.4</v>
      </c>
      <c r="N579" s="109">
        <v>3000</v>
      </c>
      <c r="O579" s="81" t="s">
        <v>113</v>
      </c>
      <c r="R579" s="107">
        <v>2.8</v>
      </c>
    </row>
    <row r="580" spans="1:18" hidden="1" x14ac:dyDescent="0.2">
      <c r="A580" s="18" t="s">
        <v>177</v>
      </c>
      <c r="B580" s="81" t="s">
        <v>63</v>
      </c>
      <c r="C580" s="80" t="s">
        <v>449</v>
      </c>
      <c r="D580" s="81" t="s">
        <v>66</v>
      </c>
      <c r="E580" s="81" t="s">
        <v>69</v>
      </c>
      <c r="F580" s="81" t="s">
        <v>65</v>
      </c>
      <c r="G580" s="81" t="s">
        <v>70</v>
      </c>
      <c r="H580" s="107">
        <v>0</v>
      </c>
      <c r="I580" s="107">
        <v>0</v>
      </c>
      <c r="K580" s="107">
        <v>0</v>
      </c>
      <c r="L580" s="107">
        <v>0.08</v>
      </c>
      <c r="M580" s="107">
        <v>3.5</v>
      </c>
      <c r="N580" s="109">
        <v>2800</v>
      </c>
      <c r="O580" s="81" t="s">
        <v>113</v>
      </c>
      <c r="Q580" s="107">
        <v>2.5369000000000006</v>
      </c>
      <c r="R580" s="107">
        <v>2.5</v>
      </c>
    </row>
    <row r="581" spans="1:18" hidden="1" x14ac:dyDescent="0.2">
      <c r="A581" s="18" t="s">
        <v>177</v>
      </c>
      <c r="B581" s="81" t="s">
        <v>103</v>
      </c>
      <c r="C581" s="16" t="s">
        <v>945</v>
      </c>
      <c r="D581" s="81" t="s">
        <v>131</v>
      </c>
      <c r="E581" s="81" t="s">
        <v>69</v>
      </c>
      <c r="H581" s="107">
        <v>0</v>
      </c>
      <c r="I581" s="107">
        <v>0</v>
      </c>
      <c r="K581" s="107">
        <v>0</v>
      </c>
      <c r="L581" s="107">
        <v>0.5</v>
      </c>
      <c r="M581" s="107">
        <v>0.45</v>
      </c>
      <c r="N581" s="109">
        <v>2300</v>
      </c>
      <c r="O581" s="81" t="s">
        <v>118</v>
      </c>
      <c r="R581" s="107">
        <v>2.2999999999999998</v>
      </c>
    </row>
    <row r="582" spans="1:18" hidden="1" x14ac:dyDescent="0.2">
      <c r="A582" s="18" t="s">
        <v>177</v>
      </c>
      <c r="B582" s="81" t="s">
        <v>82</v>
      </c>
      <c r="C582" s="40" t="s">
        <v>762</v>
      </c>
      <c r="D582" s="81" t="s">
        <v>763</v>
      </c>
      <c r="E582" s="11" t="s">
        <v>160</v>
      </c>
      <c r="H582" s="107">
        <v>0</v>
      </c>
      <c r="I582" s="107">
        <v>0</v>
      </c>
      <c r="K582" s="107">
        <v>0</v>
      </c>
      <c r="L582" s="107">
        <v>0.45400000000000001</v>
      </c>
      <c r="M582" s="107">
        <v>0.5</v>
      </c>
      <c r="N582" s="109">
        <v>2300</v>
      </c>
      <c r="O582" s="81" t="s">
        <v>160</v>
      </c>
      <c r="R582" s="107">
        <v>2.2999999999999998</v>
      </c>
    </row>
    <row r="583" spans="1:18" hidden="1" x14ac:dyDescent="0.2">
      <c r="A583" s="18" t="s">
        <v>177</v>
      </c>
      <c r="B583" s="81" t="s">
        <v>147</v>
      </c>
      <c r="C583" s="80" t="s">
        <v>1169</v>
      </c>
      <c r="D583" s="81" t="s">
        <v>131</v>
      </c>
      <c r="E583" s="81" t="s">
        <v>69</v>
      </c>
      <c r="H583" s="107">
        <v>0</v>
      </c>
      <c r="I583" s="107">
        <v>0</v>
      </c>
      <c r="K583" s="107">
        <v>0</v>
      </c>
      <c r="L583" s="107">
        <v>0.16900000000000001</v>
      </c>
      <c r="M583" s="107">
        <v>1.29</v>
      </c>
      <c r="N583" s="109">
        <v>2200</v>
      </c>
      <c r="O583" s="81" t="s">
        <v>113</v>
      </c>
      <c r="R583" s="107">
        <v>2.2000000000000002</v>
      </c>
    </row>
    <row r="584" spans="1:18" hidden="1" x14ac:dyDescent="0.2">
      <c r="A584" s="18" t="s">
        <v>177</v>
      </c>
      <c r="B584" s="81" t="s">
        <v>85</v>
      </c>
      <c r="C584" s="80" t="s">
        <v>848</v>
      </c>
      <c r="D584" s="81" t="s">
        <v>131</v>
      </c>
      <c r="E584" s="81" t="s">
        <v>69</v>
      </c>
      <c r="H584" s="107">
        <v>0</v>
      </c>
      <c r="I584" s="107">
        <v>0</v>
      </c>
      <c r="K584" s="107">
        <v>0</v>
      </c>
      <c r="L584" s="107">
        <v>0.56000000000000005</v>
      </c>
      <c r="M584" s="107">
        <v>0.38</v>
      </c>
      <c r="N584" s="109">
        <v>2100</v>
      </c>
      <c r="O584" s="81" t="s">
        <v>113</v>
      </c>
      <c r="R584" s="107">
        <v>2.1</v>
      </c>
    </row>
    <row r="585" spans="1:18" hidden="1" x14ac:dyDescent="0.2">
      <c r="A585" s="18" t="s">
        <v>177</v>
      </c>
      <c r="B585" s="81" t="s">
        <v>85</v>
      </c>
      <c r="C585" s="80" t="s">
        <v>878</v>
      </c>
      <c r="D585" s="81" t="s">
        <v>131</v>
      </c>
      <c r="E585" s="81" t="s">
        <v>69</v>
      </c>
      <c r="H585" s="107">
        <v>0</v>
      </c>
      <c r="I585" s="107">
        <v>0</v>
      </c>
      <c r="K585" s="107">
        <v>0</v>
      </c>
      <c r="L585" s="107">
        <v>0.56000000000000005</v>
      </c>
      <c r="M585" s="107">
        <v>0.38</v>
      </c>
      <c r="N585" s="109">
        <v>2100</v>
      </c>
      <c r="O585" s="81" t="s">
        <v>113</v>
      </c>
      <c r="R585" s="107">
        <v>2.1</v>
      </c>
    </row>
    <row r="586" spans="1:18" hidden="1" x14ac:dyDescent="0.2">
      <c r="A586" s="18" t="s">
        <v>177</v>
      </c>
      <c r="B586" s="81" t="s">
        <v>82</v>
      </c>
      <c r="C586" s="80" t="s">
        <v>772</v>
      </c>
      <c r="D586" s="81" t="s">
        <v>773</v>
      </c>
      <c r="E586" s="81" t="s">
        <v>69</v>
      </c>
      <c r="H586" s="107">
        <v>0</v>
      </c>
      <c r="I586" s="107">
        <v>0</v>
      </c>
      <c r="K586" s="107">
        <v>0</v>
      </c>
      <c r="L586" s="107">
        <v>0.35099999999999998</v>
      </c>
      <c r="M586" s="107">
        <v>0.59</v>
      </c>
      <c r="N586" s="109">
        <v>2100</v>
      </c>
      <c r="O586" s="81" t="s">
        <v>113</v>
      </c>
      <c r="R586" s="107">
        <v>2.1</v>
      </c>
    </row>
    <row r="587" spans="1:18" hidden="1" x14ac:dyDescent="0.2">
      <c r="A587" s="18" t="s">
        <v>177</v>
      </c>
      <c r="B587" s="81" t="s">
        <v>103</v>
      </c>
      <c r="C587" s="16" t="s">
        <v>964</v>
      </c>
      <c r="D587" s="81" t="s">
        <v>131</v>
      </c>
      <c r="E587" s="81" t="s">
        <v>69</v>
      </c>
      <c r="H587" s="107">
        <v>0</v>
      </c>
      <c r="I587" s="107">
        <v>0</v>
      </c>
      <c r="K587" s="107">
        <v>0</v>
      </c>
      <c r="L587" s="107">
        <v>1.3240000000000001</v>
      </c>
      <c r="M587" s="107">
        <v>0.14000000000000001</v>
      </c>
      <c r="N587" s="109">
        <v>1900</v>
      </c>
      <c r="O587" s="81" t="s">
        <v>118</v>
      </c>
      <c r="R587" s="107">
        <v>1.9</v>
      </c>
    </row>
    <row r="588" spans="1:18" hidden="1" x14ac:dyDescent="0.2">
      <c r="A588" s="18" t="s">
        <v>177</v>
      </c>
      <c r="B588" s="81" t="s">
        <v>103</v>
      </c>
      <c r="C588" s="16" t="s">
        <v>960</v>
      </c>
      <c r="D588" s="81" t="s">
        <v>940</v>
      </c>
      <c r="E588" s="81" t="s">
        <v>69</v>
      </c>
      <c r="H588" s="107">
        <v>0</v>
      </c>
      <c r="I588" s="107">
        <v>0</v>
      </c>
      <c r="K588" s="107">
        <v>0</v>
      </c>
      <c r="L588" s="107">
        <v>0.19</v>
      </c>
      <c r="M588" s="107">
        <v>1.02</v>
      </c>
      <c r="N588" s="109">
        <v>1900</v>
      </c>
      <c r="O588" s="81" t="s">
        <v>118</v>
      </c>
      <c r="R588" s="107">
        <v>1.9</v>
      </c>
    </row>
    <row r="589" spans="1:18" hidden="1" x14ac:dyDescent="0.2">
      <c r="A589" s="18" t="s">
        <v>177</v>
      </c>
      <c r="B589" s="81" t="s">
        <v>103</v>
      </c>
      <c r="C589" s="16" t="s">
        <v>959</v>
      </c>
      <c r="D589" s="81" t="s">
        <v>940</v>
      </c>
      <c r="E589" s="81" t="s">
        <v>69</v>
      </c>
      <c r="H589" s="107">
        <v>0</v>
      </c>
      <c r="I589" s="107">
        <v>0</v>
      </c>
      <c r="K589" s="107">
        <v>0</v>
      </c>
      <c r="L589" s="107">
        <v>3.4</v>
      </c>
      <c r="M589" s="107">
        <v>0.05</v>
      </c>
      <c r="N589" s="109">
        <v>1700</v>
      </c>
      <c r="O589" s="81" t="s">
        <v>118</v>
      </c>
      <c r="R589" s="107">
        <v>1.7</v>
      </c>
    </row>
    <row r="590" spans="1:18" hidden="1" x14ac:dyDescent="0.2">
      <c r="A590" s="18" t="s">
        <v>177</v>
      </c>
      <c r="B590" s="81" t="s">
        <v>127</v>
      </c>
      <c r="C590" s="80" t="s">
        <v>1077</v>
      </c>
      <c r="D590" s="81" t="s">
        <v>131</v>
      </c>
      <c r="E590" s="81" t="s">
        <v>69</v>
      </c>
      <c r="H590" s="107">
        <v>0</v>
      </c>
      <c r="I590" s="107">
        <v>0</v>
      </c>
      <c r="K590" s="107">
        <v>0</v>
      </c>
      <c r="L590" s="107">
        <v>0.50800000000000001</v>
      </c>
      <c r="M590" s="107">
        <v>0.34</v>
      </c>
      <c r="N590" s="109">
        <v>1700</v>
      </c>
      <c r="O590" s="81" t="s">
        <v>113</v>
      </c>
      <c r="R590" s="107">
        <v>1.7</v>
      </c>
    </row>
    <row r="591" spans="1:18" hidden="1" x14ac:dyDescent="0.2">
      <c r="A591" s="18" t="s">
        <v>177</v>
      </c>
      <c r="B591" s="81" t="s">
        <v>82</v>
      </c>
      <c r="C591" s="80" t="s">
        <v>715</v>
      </c>
      <c r="D591" s="81" t="s">
        <v>676</v>
      </c>
      <c r="E591" s="81" t="s">
        <v>69</v>
      </c>
      <c r="H591" s="107">
        <v>0</v>
      </c>
      <c r="I591" s="107">
        <v>0</v>
      </c>
      <c r="K591" s="107">
        <v>0</v>
      </c>
      <c r="L591" s="107">
        <v>0.2</v>
      </c>
      <c r="M591" s="107">
        <v>0.85</v>
      </c>
      <c r="N591" s="109">
        <v>1700</v>
      </c>
      <c r="O591" s="81" t="s">
        <v>113</v>
      </c>
      <c r="R591" s="107">
        <v>1.7</v>
      </c>
    </row>
    <row r="592" spans="1:18" hidden="1" x14ac:dyDescent="0.2">
      <c r="A592" s="18" t="s">
        <v>177</v>
      </c>
      <c r="B592" s="81" t="s">
        <v>63</v>
      </c>
      <c r="C592" s="80" t="s">
        <v>409</v>
      </c>
      <c r="D592" s="81" t="s">
        <v>410</v>
      </c>
      <c r="E592" s="81" t="s">
        <v>69</v>
      </c>
      <c r="F592" s="81" t="s">
        <v>65</v>
      </c>
      <c r="G592" s="81" t="s">
        <v>70</v>
      </c>
      <c r="H592" s="107">
        <v>0</v>
      </c>
      <c r="I592" s="107">
        <v>0</v>
      </c>
      <c r="K592" s="107">
        <v>0</v>
      </c>
      <c r="L592" s="107">
        <v>8.5999999999999993E-2</v>
      </c>
      <c r="M592" s="107">
        <v>2</v>
      </c>
      <c r="N592" s="109">
        <v>1700</v>
      </c>
      <c r="O592" s="81" t="s">
        <v>113</v>
      </c>
      <c r="R592" s="107">
        <v>1.7</v>
      </c>
    </row>
    <row r="593" spans="1:18" hidden="1" x14ac:dyDescent="0.2">
      <c r="A593" s="18" t="s">
        <v>177</v>
      </c>
      <c r="B593" s="81" t="s">
        <v>103</v>
      </c>
      <c r="C593" s="80" t="s">
        <v>934</v>
      </c>
      <c r="D593" s="81" t="s">
        <v>131</v>
      </c>
      <c r="E593" s="81" t="s">
        <v>69</v>
      </c>
      <c r="H593" s="107">
        <v>0</v>
      </c>
      <c r="I593" s="107">
        <v>0</v>
      </c>
      <c r="K593" s="107">
        <v>0</v>
      </c>
      <c r="L593" s="107">
        <v>0.5</v>
      </c>
      <c r="M593" s="107">
        <v>0.28999999999999998</v>
      </c>
      <c r="N593" s="109">
        <v>1500</v>
      </c>
      <c r="O593" s="81" t="s">
        <v>113</v>
      </c>
      <c r="R593" s="107">
        <v>1.5</v>
      </c>
    </row>
    <row r="594" spans="1:18" hidden="1" x14ac:dyDescent="0.2">
      <c r="A594" s="18" t="s">
        <v>177</v>
      </c>
      <c r="B594" s="81" t="s">
        <v>85</v>
      </c>
      <c r="C594" s="80" t="s">
        <v>823</v>
      </c>
      <c r="D594" s="81" t="s">
        <v>131</v>
      </c>
      <c r="E594" s="81" t="s">
        <v>69</v>
      </c>
      <c r="H594" s="107">
        <v>0</v>
      </c>
      <c r="I594" s="107">
        <v>0</v>
      </c>
      <c r="K594" s="107">
        <v>0</v>
      </c>
      <c r="L594" s="107">
        <v>0.3</v>
      </c>
      <c r="M594" s="107">
        <v>0.49</v>
      </c>
      <c r="N594" s="109">
        <v>1500</v>
      </c>
      <c r="O594" s="81" t="s">
        <v>113</v>
      </c>
      <c r="R594" s="107">
        <v>1.5</v>
      </c>
    </row>
    <row r="595" spans="1:18" hidden="1" x14ac:dyDescent="0.2">
      <c r="A595" s="18" t="s">
        <v>177</v>
      </c>
      <c r="B595" s="81" t="s">
        <v>63</v>
      </c>
      <c r="C595" s="80" t="s">
        <v>411</v>
      </c>
      <c r="D595" s="81" t="s">
        <v>412</v>
      </c>
      <c r="E595" s="81" t="s">
        <v>69</v>
      </c>
      <c r="F595" s="81" t="s">
        <v>65</v>
      </c>
      <c r="G595" s="81" t="s">
        <v>70</v>
      </c>
      <c r="H595" s="107">
        <v>0</v>
      </c>
      <c r="I595" s="107">
        <v>0</v>
      </c>
      <c r="K595" s="107">
        <v>0</v>
      </c>
      <c r="L595" s="107">
        <v>0.22500000000000001</v>
      </c>
      <c r="M595" s="107">
        <v>0.65</v>
      </c>
      <c r="N595" s="109">
        <v>1500</v>
      </c>
      <c r="O595" s="81" t="s">
        <v>113</v>
      </c>
      <c r="R595" s="107">
        <v>1.5</v>
      </c>
    </row>
    <row r="596" spans="1:18" hidden="1" x14ac:dyDescent="0.2">
      <c r="A596" s="18" t="s">
        <v>177</v>
      </c>
      <c r="B596" s="81" t="s">
        <v>63</v>
      </c>
      <c r="C596" s="80" t="s">
        <v>424</v>
      </c>
      <c r="D596" s="81" t="s">
        <v>104</v>
      </c>
      <c r="E596" s="81" t="s">
        <v>69</v>
      </c>
      <c r="F596" s="81" t="s">
        <v>65</v>
      </c>
      <c r="G596" s="81" t="s">
        <v>70</v>
      </c>
      <c r="H596" s="107">
        <v>0</v>
      </c>
      <c r="I596" s="107">
        <v>0</v>
      </c>
      <c r="K596" s="107">
        <v>0</v>
      </c>
      <c r="L596" s="107">
        <v>0.15</v>
      </c>
      <c r="M596" s="107">
        <v>1.03</v>
      </c>
      <c r="N596" s="109">
        <v>1500</v>
      </c>
      <c r="O596" s="81" t="s">
        <v>113</v>
      </c>
      <c r="R596" s="107">
        <v>1.5</v>
      </c>
    </row>
    <row r="597" spans="1:18" hidden="1" x14ac:dyDescent="0.2">
      <c r="A597" s="18" t="s">
        <v>177</v>
      </c>
      <c r="B597" s="81" t="s">
        <v>63</v>
      </c>
      <c r="C597" s="80" t="s">
        <v>413</v>
      </c>
      <c r="D597" s="81" t="s">
        <v>414</v>
      </c>
      <c r="E597" s="81" t="s">
        <v>69</v>
      </c>
      <c r="F597" s="81" t="s">
        <v>65</v>
      </c>
      <c r="G597" s="81" t="s">
        <v>70</v>
      </c>
      <c r="H597" s="107">
        <v>0</v>
      </c>
      <c r="I597" s="107">
        <v>0</v>
      </c>
      <c r="K597" s="107">
        <v>0</v>
      </c>
      <c r="L597" s="107">
        <v>0.1</v>
      </c>
      <c r="M597" s="107">
        <v>1.4</v>
      </c>
      <c r="N597" s="109">
        <v>1400</v>
      </c>
      <c r="O597" s="81" t="s">
        <v>113</v>
      </c>
      <c r="R597" s="107">
        <v>1.4</v>
      </c>
    </row>
    <row r="598" spans="1:18" hidden="1" x14ac:dyDescent="0.2">
      <c r="A598" s="18" t="s">
        <v>177</v>
      </c>
      <c r="B598" s="81" t="s">
        <v>127</v>
      </c>
      <c r="C598" s="80" t="s">
        <v>1068</v>
      </c>
      <c r="D598" s="81" t="s">
        <v>131</v>
      </c>
      <c r="E598" s="81" t="s">
        <v>69</v>
      </c>
      <c r="H598" s="107">
        <v>0</v>
      </c>
      <c r="I598" s="107">
        <v>0</v>
      </c>
      <c r="K598" s="107">
        <v>0</v>
      </c>
      <c r="L598" s="107">
        <v>0.39</v>
      </c>
      <c r="M598" s="107">
        <v>0.3</v>
      </c>
      <c r="N598" s="109">
        <v>1200</v>
      </c>
      <c r="O598" s="81" t="s">
        <v>113</v>
      </c>
      <c r="R598" s="107">
        <v>1.2</v>
      </c>
    </row>
    <row r="599" spans="1:18" hidden="1" x14ac:dyDescent="0.2">
      <c r="A599" s="18" t="s">
        <v>177</v>
      </c>
      <c r="B599" s="81" t="s">
        <v>82</v>
      </c>
      <c r="C599" s="80" t="s">
        <v>801</v>
      </c>
      <c r="D599" s="81" t="s">
        <v>802</v>
      </c>
      <c r="E599" s="81" t="s">
        <v>69</v>
      </c>
      <c r="H599" s="107">
        <v>0</v>
      </c>
      <c r="I599" s="107">
        <v>0</v>
      </c>
      <c r="K599" s="107">
        <v>0</v>
      </c>
      <c r="L599" s="107">
        <v>0.17199999999999999</v>
      </c>
      <c r="M599" s="107">
        <v>0.62</v>
      </c>
      <c r="N599" s="109">
        <v>1100</v>
      </c>
      <c r="O599" s="81" t="s">
        <v>113</v>
      </c>
      <c r="R599" s="107">
        <v>1.1000000000000001</v>
      </c>
    </row>
    <row r="600" spans="1:18" hidden="1" x14ac:dyDescent="0.2">
      <c r="A600" s="18" t="s">
        <v>177</v>
      </c>
      <c r="B600" s="81" t="s">
        <v>103</v>
      </c>
      <c r="C600" s="16" t="s">
        <v>947</v>
      </c>
      <c r="D600" s="81" t="s">
        <v>940</v>
      </c>
      <c r="E600" s="81" t="s">
        <v>69</v>
      </c>
      <c r="H600" s="107">
        <v>0</v>
      </c>
      <c r="I600" s="107">
        <v>0</v>
      </c>
      <c r="K600" s="107">
        <v>0</v>
      </c>
      <c r="L600" s="107">
        <v>0.17</v>
      </c>
      <c r="M600" s="107">
        <v>0.66</v>
      </c>
      <c r="N600" s="109">
        <v>1100</v>
      </c>
      <c r="O600" s="81" t="s">
        <v>118</v>
      </c>
      <c r="R600" s="107">
        <v>1.1000000000000001</v>
      </c>
    </row>
    <row r="601" spans="1:18" hidden="1" x14ac:dyDescent="0.2">
      <c r="A601" s="18" t="s">
        <v>177</v>
      </c>
      <c r="B601" s="81" t="s">
        <v>103</v>
      </c>
      <c r="C601" s="16" t="s">
        <v>963</v>
      </c>
      <c r="D601" s="81" t="s">
        <v>940</v>
      </c>
      <c r="E601" s="81" t="s">
        <v>69</v>
      </c>
      <c r="H601" s="107">
        <v>0</v>
      </c>
      <c r="I601" s="107">
        <v>0</v>
      </c>
      <c r="K601" s="107">
        <v>0</v>
      </c>
      <c r="L601" s="107">
        <v>0.76</v>
      </c>
      <c r="M601" s="107">
        <v>0.13</v>
      </c>
      <c r="N601" s="109">
        <v>1000</v>
      </c>
      <c r="O601" s="81" t="s">
        <v>118</v>
      </c>
      <c r="R601" s="107">
        <v>1</v>
      </c>
    </row>
    <row r="602" spans="1:18" hidden="1" x14ac:dyDescent="0.2">
      <c r="A602" s="18" t="s">
        <v>177</v>
      </c>
      <c r="B602" s="81" t="s">
        <v>127</v>
      </c>
      <c r="C602" s="80" t="s">
        <v>1078</v>
      </c>
      <c r="D602" s="81" t="s">
        <v>131</v>
      </c>
      <c r="E602" s="81" t="s">
        <v>69</v>
      </c>
      <c r="H602" s="107">
        <v>0</v>
      </c>
      <c r="I602" s="107">
        <v>0</v>
      </c>
      <c r="K602" s="107">
        <v>0</v>
      </c>
      <c r="L602" s="107">
        <v>0.36299999999999999</v>
      </c>
      <c r="M602" s="107">
        <v>0.23</v>
      </c>
      <c r="N602" s="109">
        <v>800</v>
      </c>
      <c r="O602" s="81" t="s">
        <v>113</v>
      </c>
      <c r="R602" s="107">
        <v>0.8</v>
      </c>
    </row>
    <row r="603" spans="1:18" hidden="1" x14ac:dyDescent="0.2">
      <c r="A603" s="18" t="s">
        <v>177</v>
      </c>
      <c r="B603" s="81" t="s">
        <v>103</v>
      </c>
      <c r="C603" s="80" t="s">
        <v>930</v>
      </c>
      <c r="D603" s="81" t="s">
        <v>131</v>
      </c>
      <c r="E603" s="81" t="s">
        <v>69</v>
      </c>
      <c r="H603" s="107">
        <v>0</v>
      </c>
      <c r="I603" s="107">
        <v>0</v>
      </c>
      <c r="K603" s="107">
        <v>0</v>
      </c>
      <c r="L603" s="107">
        <v>0.21</v>
      </c>
      <c r="M603" s="107">
        <v>0.37</v>
      </c>
      <c r="N603" s="109">
        <v>800</v>
      </c>
      <c r="O603" s="81" t="s">
        <v>113</v>
      </c>
      <c r="R603" s="107">
        <v>0.8</v>
      </c>
    </row>
    <row r="604" spans="1:18" hidden="1" x14ac:dyDescent="0.2">
      <c r="A604" s="18" t="s">
        <v>177</v>
      </c>
      <c r="B604" s="81" t="s">
        <v>63</v>
      </c>
      <c r="C604" s="80" t="s">
        <v>178</v>
      </c>
      <c r="D604" s="81" t="s">
        <v>179</v>
      </c>
      <c r="E604" s="81" t="s">
        <v>69</v>
      </c>
      <c r="F604" s="81" t="s">
        <v>72</v>
      </c>
      <c r="G604" s="81" t="s">
        <v>70</v>
      </c>
      <c r="H604" s="107">
        <v>0</v>
      </c>
      <c r="I604" s="107">
        <v>0</v>
      </c>
      <c r="K604" s="107">
        <v>0</v>
      </c>
      <c r="L604" s="107">
        <v>9.4E-2</v>
      </c>
      <c r="M604" s="107">
        <v>0.8</v>
      </c>
      <c r="N604" s="109">
        <v>800</v>
      </c>
      <c r="O604" s="81" t="s">
        <v>113</v>
      </c>
      <c r="R604" s="107">
        <v>0.8</v>
      </c>
    </row>
    <row r="605" spans="1:18" hidden="1" x14ac:dyDescent="0.2">
      <c r="A605" s="18" t="s">
        <v>177</v>
      </c>
      <c r="B605" s="81" t="s">
        <v>103</v>
      </c>
      <c r="C605" s="80" t="s">
        <v>933</v>
      </c>
      <c r="D605" s="81" t="s">
        <v>131</v>
      </c>
      <c r="E605" s="81" t="s">
        <v>69</v>
      </c>
      <c r="H605" s="107">
        <v>0</v>
      </c>
      <c r="I605" s="107">
        <v>0</v>
      </c>
      <c r="K605" s="107">
        <v>0</v>
      </c>
      <c r="L605" s="107">
        <v>0.11600000000000001</v>
      </c>
      <c r="M605" s="107">
        <v>0.6</v>
      </c>
      <c r="N605" s="109">
        <v>700</v>
      </c>
      <c r="O605" s="81" t="s">
        <v>113</v>
      </c>
      <c r="R605" s="107">
        <v>0.7</v>
      </c>
    </row>
    <row r="606" spans="1:18" hidden="1" x14ac:dyDescent="0.2">
      <c r="A606" s="18" t="s">
        <v>177</v>
      </c>
      <c r="B606" s="81" t="s">
        <v>103</v>
      </c>
      <c r="C606" s="16" t="s">
        <v>961</v>
      </c>
      <c r="D606" s="81" t="s">
        <v>940</v>
      </c>
      <c r="E606" s="81" t="s">
        <v>69</v>
      </c>
      <c r="H606" s="107">
        <v>0</v>
      </c>
      <c r="I606" s="107">
        <v>0</v>
      </c>
      <c r="K606" s="107">
        <v>0</v>
      </c>
      <c r="L606" s="107">
        <v>0.1</v>
      </c>
      <c r="M606" s="107">
        <v>0.7</v>
      </c>
      <c r="N606" s="109">
        <v>700</v>
      </c>
      <c r="O606" s="81" t="s">
        <v>118</v>
      </c>
      <c r="R606" s="107">
        <v>0.7</v>
      </c>
    </row>
    <row r="607" spans="1:18" hidden="1" x14ac:dyDescent="0.2">
      <c r="A607" s="11" t="s">
        <v>173</v>
      </c>
      <c r="B607" s="81" t="s">
        <v>63</v>
      </c>
      <c r="C607" s="16" t="s">
        <v>174</v>
      </c>
      <c r="D607" s="81" t="s">
        <v>175</v>
      </c>
      <c r="E607" s="81" t="s">
        <v>69</v>
      </c>
      <c r="F607" s="98" t="s">
        <v>72</v>
      </c>
      <c r="G607" s="81" t="s">
        <v>70</v>
      </c>
      <c r="H607" s="107">
        <v>0</v>
      </c>
      <c r="I607" s="107">
        <v>0</v>
      </c>
      <c r="K607" s="107">
        <v>0</v>
      </c>
      <c r="L607" s="107">
        <v>0.94199999999999995</v>
      </c>
      <c r="M607" s="107">
        <v>5.8999999999999997E-2</v>
      </c>
      <c r="N607" s="109">
        <v>600</v>
      </c>
      <c r="O607" s="81" t="s">
        <v>118</v>
      </c>
      <c r="R607" s="107">
        <v>0.6</v>
      </c>
    </row>
    <row r="608" spans="1:18" hidden="1" x14ac:dyDescent="0.2">
      <c r="A608" s="18" t="s">
        <v>177</v>
      </c>
      <c r="B608" s="81" t="s">
        <v>103</v>
      </c>
      <c r="C608" s="16" t="s">
        <v>954</v>
      </c>
      <c r="D608" s="81" t="s">
        <v>131</v>
      </c>
      <c r="E608" s="81" t="s">
        <v>69</v>
      </c>
      <c r="H608" s="107">
        <v>0</v>
      </c>
      <c r="I608" s="107">
        <v>0</v>
      </c>
      <c r="K608" s="107">
        <v>0</v>
      </c>
      <c r="L608" s="107">
        <v>0.114</v>
      </c>
      <c r="M608" s="107">
        <v>0.45</v>
      </c>
      <c r="N608" s="109">
        <v>500</v>
      </c>
      <c r="O608" s="81" t="s">
        <v>118</v>
      </c>
      <c r="R608" s="107">
        <v>0.5</v>
      </c>
    </row>
    <row r="609" spans="1:18" hidden="1" x14ac:dyDescent="0.2">
      <c r="A609" s="18" t="s">
        <v>177</v>
      </c>
      <c r="B609" s="81" t="s">
        <v>82</v>
      </c>
      <c r="C609" s="80" t="s">
        <v>741</v>
      </c>
      <c r="D609" s="81" t="s">
        <v>742</v>
      </c>
      <c r="E609" s="81" t="s">
        <v>69</v>
      </c>
      <c r="H609" s="107">
        <v>0</v>
      </c>
      <c r="I609" s="107">
        <v>0</v>
      </c>
      <c r="K609" s="107">
        <v>0</v>
      </c>
      <c r="L609" s="107">
        <v>9.2999999999999999E-2</v>
      </c>
      <c r="M609" s="107">
        <v>0.53</v>
      </c>
      <c r="N609" s="109">
        <v>500</v>
      </c>
      <c r="O609" s="81" t="s">
        <v>113</v>
      </c>
      <c r="R609" s="107">
        <v>0.5</v>
      </c>
    </row>
    <row r="610" spans="1:18" hidden="1" x14ac:dyDescent="0.2">
      <c r="A610" s="18" t="s">
        <v>177</v>
      </c>
      <c r="B610" s="81" t="s">
        <v>63</v>
      </c>
      <c r="C610" s="80" t="s">
        <v>416</v>
      </c>
      <c r="D610" s="81" t="s">
        <v>417</v>
      </c>
      <c r="E610" s="81" t="s">
        <v>69</v>
      </c>
      <c r="F610" s="81" t="s">
        <v>65</v>
      </c>
      <c r="G610" s="81" t="s">
        <v>70</v>
      </c>
      <c r="H610" s="107">
        <v>0</v>
      </c>
      <c r="I610" s="107">
        <v>0</v>
      </c>
      <c r="K610" s="107">
        <v>0</v>
      </c>
      <c r="L610" s="107">
        <v>0.02</v>
      </c>
      <c r="M610" s="107">
        <v>2.7</v>
      </c>
      <c r="N610" s="109">
        <v>500</v>
      </c>
      <c r="O610" s="81" t="s">
        <v>113</v>
      </c>
      <c r="R610" s="107">
        <v>0.5</v>
      </c>
    </row>
    <row r="611" spans="1:18" hidden="1" x14ac:dyDescent="0.2">
      <c r="A611" s="18" t="s">
        <v>177</v>
      </c>
      <c r="B611" s="81" t="s">
        <v>103</v>
      </c>
      <c r="C611" s="16" t="s">
        <v>984</v>
      </c>
      <c r="D611" s="81" t="s">
        <v>131</v>
      </c>
      <c r="E611" s="81" t="s">
        <v>69</v>
      </c>
      <c r="H611" s="107">
        <v>0</v>
      </c>
      <c r="I611" s="107">
        <v>0</v>
      </c>
      <c r="K611" s="107">
        <v>0</v>
      </c>
      <c r="L611" s="107">
        <v>1.8</v>
      </c>
      <c r="M611" s="107">
        <v>0.02</v>
      </c>
      <c r="N611" s="109">
        <v>400</v>
      </c>
      <c r="O611" s="81" t="s">
        <v>118</v>
      </c>
      <c r="R611" s="107">
        <v>0.4</v>
      </c>
    </row>
    <row r="612" spans="1:18" hidden="1" x14ac:dyDescent="0.2">
      <c r="A612" s="18" t="s">
        <v>177</v>
      </c>
      <c r="B612" s="81" t="s">
        <v>82</v>
      </c>
      <c r="C612" s="40" t="s">
        <v>680</v>
      </c>
      <c r="D612" s="81" t="s">
        <v>131</v>
      </c>
      <c r="E612" s="11" t="s">
        <v>160</v>
      </c>
      <c r="H612" s="107">
        <v>0</v>
      </c>
      <c r="I612" s="107">
        <v>0</v>
      </c>
      <c r="K612" s="107">
        <v>0</v>
      </c>
      <c r="L612" s="107">
        <v>0.82599999999999996</v>
      </c>
      <c r="M612" s="107">
        <v>0.05</v>
      </c>
      <c r="N612" s="109">
        <v>400</v>
      </c>
      <c r="O612" s="81" t="s">
        <v>160</v>
      </c>
      <c r="R612" s="107">
        <v>0.4</v>
      </c>
    </row>
    <row r="613" spans="1:18" hidden="1" x14ac:dyDescent="0.2">
      <c r="A613" s="18" t="s">
        <v>177</v>
      </c>
      <c r="B613" s="81" t="s">
        <v>103</v>
      </c>
      <c r="C613" s="16" t="s">
        <v>958</v>
      </c>
      <c r="D613" s="81" t="s">
        <v>940</v>
      </c>
      <c r="E613" s="81" t="s">
        <v>69</v>
      </c>
      <c r="H613" s="107">
        <v>0</v>
      </c>
      <c r="I613" s="107">
        <v>0</v>
      </c>
      <c r="K613" s="107">
        <v>0</v>
      </c>
      <c r="L613" s="107">
        <v>0.69899999999999995</v>
      </c>
      <c r="M613" s="107">
        <v>5.6000000000000001E-2</v>
      </c>
      <c r="N613" s="109">
        <v>400</v>
      </c>
      <c r="O613" s="81" t="s">
        <v>118</v>
      </c>
      <c r="R613" s="107">
        <v>0.4</v>
      </c>
    </row>
    <row r="614" spans="1:18" hidden="1" x14ac:dyDescent="0.2">
      <c r="A614" s="18" t="s">
        <v>177</v>
      </c>
      <c r="B614" s="81" t="s">
        <v>103</v>
      </c>
      <c r="C614" s="80" t="s">
        <v>931</v>
      </c>
      <c r="D614" s="81" t="s">
        <v>131</v>
      </c>
      <c r="E614" s="81" t="s">
        <v>69</v>
      </c>
      <c r="H614" s="107">
        <v>0</v>
      </c>
      <c r="I614" s="107">
        <v>0</v>
      </c>
      <c r="K614" s="107">
        <v>0</v>
      </c>
      <c r="L614" s="107">
        <v>0.104</v>
      </c>
      <c r="M614" s="107">
        <v>0.43</v>
      </c>
      <c r="N614" s="109">
        <v>400</v>
      </c>
      <c r="O614" s="81" t="s">
        <v>113</v>
      </c>
      <c r="R614" s="107">
        <v>0.4</v>
      </c>
    </row>
    <row r="615" spans="1:18" hidden="1" x14ac:dyDescent="0.2">
      <c r="A615" s="18" t="s">
        <v>177</v>
      </c>
      <c r="B615" s="81" t="s">
        <v>103</v>
      </c>
      <c r="C615" s="80" t="s">
        <v>972</v>
      </c>
      <c r="D615" s="81" t="s">
        <v>131</v>
      </c>
      <c r="E615" s="81" t="s">
        <v>69</v>
      </c>
      <c r="H615" s="107">
        <v>0</v>
      </c>
      <c r="I615" s="107">
        <v>0</v>
      </c>
      <c r="K615" s="107">
        <v>0</v>
      </c>
      <c r="L615" s="107">
        <v>0.03</v>
      </c>
      <c r="M615" s="107">
        <v>1.4</v>
      </c>
      <c r="N615" s="109">
        <v>400</v>
      </c>
      <c r="O615" s="81" t="s">
        <v>113</v>
      </c>
      <c r="R615" s="107">
        <v>0.4</v>
      </c>
    </row>
    <row r="616" spans="1:18" hidden="1" x14ac:dyDescent="0.2">
      <c r="A616" s="18" t="s">
        <v>177</v>
      </c>
      <c r="B616" s="81" t="s">
        <v>82</v>
      </c>
      <c r="C616" s="16" t="s">
        <v>752</v>
      </c>
      <c r="D616" s="81" t="s">
        <v>753</v>
      </c>
      <c r="E616" s="81" t="s">
        <v>69</v>
      </c>
      <c r="H616" s="107">
        <v>0</v>
      </c>
      <c r="I616" s="107">
        <v>0</v>
      </c>
      <c r="K616" s="107">
        <v>0</v>
      </c>
      <c r="L616" s="107">
        <v>0.55600000000000005</v>
      </c>
      <c r="M616" s="107">
        <v>5.6000000000000001E-2</v>
      </c>
      <c r="N616" s="109">
        <v>300</v>
      </c>
      <c r="O616" s="81" t="s">
        <v>118</v>
      </c>
      <c r="R616" s="107">
        <v>0.3</v>
      </c>
    </row>
    <row r="617" spans="1:18" hidden="1" x14ac:dyDescent="0.2">
      <c r="A617" s="18" t="s">
        <v>177</v>
      </c>
      <c r="B617" s="81" t="s">
        <v>103</v>
      </c>
      <c r="C617" s="16" t="s">
        <v>955</v>
      </c>
      <c r="D617" s="81" t="s">
        <v>131</v>
      </c>
      <c r="E617" s="81" t="s">
        <v>69</v>
      </c>
      <c r="H617" s="107">
        <v>0</v>
      </c>
      <c r="I617" s="107">
        <v>0</v>
      </c>
      <c r="K617" s="107">
        <v>0</v>
      </c>
      <c r="L617" s="107">
        <v>0.2</v>
      </c>
      <c r="M617" s="107">
        <v>0.15</v>
      </c>
      <c r="N617" s="109">
        <v>300</v>
      </c>
      <c r="O617" s="81" t="s">
        <v>118</v>
      </c>
      <c r="R617" s="107">
        <v>0.3</v>
      </c>
    </row>
    <row r="618" spans="1:18" hidden="1" x14ac:dyDescent="0.2">
      <c r="A618" s="18" t="s">
        <v>177</v>
      </c>
      <c r="B618" s="81" t="s">
        <v>103</v>
      </c>
      <c r="C618" s="80" t="s">
        <v>932</v>
      </c>
      <c r="D618" s="81" t="s">
        <v>131</v>
      </c>
      <c r="E618" s="81" t="s">
        <v>69</v>
      </c>
      <c r="H618" s="107">
        <v>0</v>
      </c>
      <c r="I618" s="107">
        <v>0</v>
      </c>
      <c r="K618" s="107">
        <v>0</v>
      </c>
      <c r="L618" s="107">
        <v>0.13700000000000001</v>
      </c>
      <c r="M618" s="107">
        <v>0.24</v>
      </c>
      <c r="N618" s="109">
        <v>300</v>
      </c>
      <c r="O618" s="81" t="s">
        <v>113</v>
      </c>
      <c r="R618" s="107">
        <v>0.3</v>
      </c>
    </row>
    <row r="619" spans="1:18" hidden="1" x14ac:dyDescent="0.2">
      <c r="A619" s="18" t="s">
        <v>177</v>
      </c>
      <c r="B619" s="81" t="s">
        <v>103</v>
      </c>
      <c r="C619" s="80" t="s">
        <v>973</v>
      </c>
      <c r="D619" s="81" t="s">
        <v>131</v>
      </c>
      <c r="E619" s="81" t="s">
        <v>69</v>
      </c>
      <c r="H619" s="107">
        <v>0</v>
      </c>
      <c r="I619" s="107">
        <v>0</v>
      </c>
      <c r="K619" s="107">
        <v>0</v>
      </c>
      <c r="L619" s="107">
        <v>0.09</v>
      </c>
      <c r="M619" s="107">
        <v>0.34</v>
      </c>
      <c r="N619" s="109">
        <v>300</v>
      </c>
      <c r="O619" s="81" t="s">
        <v>113</v>
      </c>
      <c r="R619" s="107">
        <v>0.3</v>
      </c>
    </row>
    <row r="620" spans="1:18" hidden="1" x14ac:dyDescent="0.2">
      <c r="A620" s="18" t="s">
        <v>177</v>
      </c>
      <c r="B620" s="81" t="s">
        <v>147</v>
      </c>
      <c r="C620" s="80" t="s">
        <v>1167</v>
      </c>
      <c r="D620" s="81" t="s">
        <v>131</v>
      </c>
      <c r="E620" s="81" t="s">
        <v>69</v>
      </c>
      <c r="H620" s="107">
        <v>0</v>
      </c>
      <c r="I620" s="107">
        <v>0</v>
      </c>
      <c r="K620" s="107">
        <v>0</v>
      </c>
      <c r="L620" s="107">
        <v>7.0000000000000007E-2</v>
      </c>
      <c r="M620" s="107">
        <v>0.46</v>
      </c>
      <c r="N620" s="109">
        <v>300</v>
      </c>
      <c r="O620" s="81" t="s">
        <v>113</v>
      </c>
      <c r="R620" s="107">
        <v>0.3</v>
      </c>
    </row>
    <row r="621" spans="1:18" hidden="1" x14ac:dyDescent="0.2">
      <c r="A621" s="18" t="s">
        <v>177</v>
      </c>
      <c r="B621" s="81" t="s">
        <v>103</v>
      </c>
      <c r="C621" s="80" t="s">
        <v>982</v>
      </c>
      <c r="D621" s="81" t="s">
        <v>131</v>
      </c>
      <c r="E621" s="81" t="s">
        <v>69</v>
      </c>
      <c r="H621" s="107">
        <v>0</v>
      </c>
      <c r="I621" s="107">
        <v>0</v>
      </c>
      <c r="K621" s="107">
        <v>0</v>
      </c>
      <c r="L621" s="107">
        <v>3.5999999999999997E-2</v>
      </c>
      <c r="M621" s="107">
        <v>0.94</v>
      </c>
      <c r="N621" s="109">
        <v>300</v>
      </c>
      <c r="O621" s="81" t="s">
        <v>113</v>
      </c>
      <c r="R621" s="107">
        <v>0.3</v>
      </c>
    </row>
    <row r="622" spans="1:18" hidden="1" x14ac:dyDescent="0.2">
      <c r="A622" s="18" t="s">
        <v>177</v>
      </c>
      <c r="B622" s="81" t="s">
        <v>103</v>
      </c>
      <c r="C622" s="80" t="s">
        <v>918</v>
      </c>
      <c r="D622" s="81" t="s">
        <v>131</v>
      </c>
      <c r="E622" s="81" t="s">
        <v>69</v>
      </c>
      <c r="H622" s="107">
        <v>0</v>
      </c>
      <c r="I622" s="107">
        <v>0</v>
      </c>
      <c r="K622" s="107">
        <v>0</v>
      </c>
      <c r="L622" s="107">
        <v>0.02</v>
      </c>
      <c r="M622" s="107">
        <v>1.25</v>
      </c>
      <c r="N622" s="109">
        <v>300</v>
      </c>
      <c r="O622" s="81" t="s">
        <v>113</v>
      </c>
      <c r="R622" s="107">
        <v>0.3</v>
      </c>
    </row>
    <row r="623" spans="1:18" hidden="1" x14ac:dyDescent="0.2">
      <c r="A623" s="18" t="s">
        <v>177</v>
      </c>
      <c r="B623" s="81" t="s">
        <v>103</v>
      </c>
      <c r="C623" s="16" t="s">
        <v>969</v>
      </c>
      <c r="D623" s="81" t="s">
        <v>131</v>
      </c>
      <c r="E623" s="81" t="s">
        <v>69</v>
      </c>
      <c r="H623" s="107">
        <v>0</v>
      </c>
      <c r="I623" s="107">
        <v>0</v>
      </c>
      <c r="K623" s="107">
        <v>0</v>
      </c>
      <c r="L623" s="107">
        <v>0.7</v>
      </c>
      <c r="M623" s="107">
        <v>0.03</v>
      </c>
      <c r="N623" s="109">
        <v>200</v>
      </c>
      <c r="O623" s="81" t="s">
        <v>118</v>
      </c>
      <c r="R623" s="107">
        <v>0.2</v>
      </c>
    </row>
    <row r="624" spans="1:18" hidden="1" x14ac:dyDescent="0.2">
      <c r="A624" s="18" t="s">
        <v>177</v>
      </c>
      <c r="B624" s="81" t="s">
        <v>82</v>
      </c>
      <c r="C624" s="16" t="s">
        <v>796</v>
      </c>
      <c r="D624" s="81" t="s">
        <v>797</v>
      </c>
      <c r="E624" s="81" t="s">
        <v>69</v>
      </c>
      <c r="H624" s="107">
        <v>0</v>
      </c>
      <c r="I624" s="107">
        <v>0</v>
      </c>
      <c r="K624" s="107">
        <v>0</v>
      </c>
      <c r="L624" s="107">
        <v>0.69699999999999995</v>
      </c>
      <c r="M624" s="107">
        <v>3.3000000000000002E-2</v>
      </c>
      <c r="N624" s="109">
        <v>200</v>
      </c>
      <c r="O624" s="81" t="s">
        <v>118</v>
      </c>
      <c r="R624" s="107">
        <v>0.2</v>
      </c>
    </row>
    <row r="625" spans="1:18" hidden="1" x14ac:dyDescent="0.2">
      <c r="A625" s="18" t="s">
        <v>190</v>
      </c>
      <c r="B625" s="81" t="s">
        <v>63</v>
      </c>
      <c r="C625" s="79" t="s">
        <v>191</v>
      </c>
      <c r="D625" s="81" t="s">
        <v>131</v>
      </c>
      <c r="E625" s="81" t="s">
        <v>69</v>
      </c>
      <c r="F625" s="81" t="s">
        <v>72</v>
      </c>
      <c r="G625" s="81" t="s">
        <v>192</v>
      </c>
      <c r="H625" s="107">
        <v>0</v>
      </c>
      <c r="I625" s="107">
        <v>0</v>
      </c>
      <c r="K625" s="107">
        <v>0</v>
      </c>
      <c r="L625" s="107">
        <v>7.8E-2</v>
      </c>
      <c r="M625" s="107">
        <v>0.3</v>
      </c>
      <c r="N625" s="109">
        <v>200</v>
      </c>
      <c r="O625" s="81" t="s">
        <v>31</v>
      </c>
      <c r="R625" s="107">
        <v>0.2</v>
      </c>
    </row>
    <row r="626" spans="1:18" hidden="1" x14ac:dyDescent="0.2">
      <c r="A626" s="18" t="s">
        <v>177</v>
      </c>
      <c r="B626" s="81" t="s">
        <v>103</v>
      </c>
      <c r="C626" s="80" t="s">
        <v>953</v>
      </c>
      <c r="D626" s="81" t="s">
        <v>131</v>
      </c>
      <c r="E626" s="81" t="s">
        <v>69</v>
      </c>
      <c r="H626" s="107">
        <v>0</v>
      </c>
      <c r="I626" s="107">
        <v>0</v>
      </c>
      <c r="K626" s="107">
        <v>0</v>
      </c>
      <c r="L626" s="107">
        <v>0.05</v>
      </c>
      <c r="M626" s="107">
        <v>0.3</v>
      </c>
      <c r="N626" s="109">
        <v>200</v>
      </c>
      <c r="O626" s="81" t="s">
        <v>113</v>
      </c>
      <c r="R626" s="107">
        <v>0.2</v>
      </c>
    </row>
    <row r="627" spans="1:18" hidden="1" x14ac:dyDescent="0.2">
      <c r="A627" s="18" t="s">
        <v>177</v>
      </c>
      <c r="B627" s="81" t="s">
        <v>103</v>
      </c>
      <c r="C627" s="80" t="s">
        <v>980</v>
      </c>
      <c r="D627" s="81" t="s">
        <v>131</v>
      </c>
      <c r="E627" s="81" t="s">
        <v>69</v>
      </c>
      <c r="H627" s="107">
        <v>0</v>
      </c>
      <c r="I627" s="107">
        <v>0</v>
      </c>
      <c r="K627" s="107">
        <v>0</v>
      </c>
      <c r="L627" s="107">
        <v>0.05</v>
      </c>
      <c r="M627" s="107">
        <v>0.44</v>
      </c>
      <c r="N627" s="109">
        <v>200</v>
      </c>
      <c r="O627" s="81" t="s">
        <v>113</v>
      </c>
      <c r="R627" s="107">
        <v>0.2</v>
      </c>
    </row>
    <row r="628" spans="1:18" hidden="1" x14ac:dyDescent="0.2">
      <c r="A628" s="18" t="s">
        <v>177</v>
      </c>
      <c r="B628" s="81" t="s">
        <v>103</v>
      </c>
      <c r="C628" s="80" t="s">
        <v>941</v>
      </c>
      <c r="D628" s="81" t="s">
        <v>131</v>
      </c>
      <c r="E628" s="81" t="s">
        <v>69</v>
      </c>
      <c r="H628" s="107">
        <v>0</v>
      </c>
      <c r="I628" s="107">
        <v>0</v>
      </c>
      <c r="K628" s="107">
        <v>0</v>
      </c>
      <c r="L628" s="107">
        <v>2.5000000000000001E-2</v>
      </c>
      <c r="M628" s="107">
        <v>0.94</v>
      </c>
      <c r="N628" s="109">
        <v>200</v>
      </c>
      <c r="O628" s="81" t="s">
        <v>113</v>
      </c>
      <c r="R628" s="107">
        <v>0.2</v>
      </c>
    </row>
    <row r="629" spans="1:18" hidden="1" x14ac:dyDescent="0.2">
      <c r="A629" s="18" t="s">
        <v>177</v>
      </c>
      <c r="B629" s="81" t="s">
        <v>103</v>
      </c>
      <c r="C629" s="80" t="s">
        <v>965</v>
      </c>
      <c r="D629" s="81" t="s">
        <v>131</v>
      </c>
      <c r="E629" s="81" t="s">
        <v>69</v>
      </c>
      <c r="H629" s="107">
        <v>0</v>
      </c>
      <c r="I629" s="107">
        <v>0</v>
      </c>
      <c r="K629" s="107">
        <v>0</v>
      </c>
      <c r="L629" s="107">
        <v>0.02</v>
      </c>
      <c r="M629" s="107">
        <v>0.53</v>
      </c>
      <c r="N629" s="109">
        <v>100</v>
      </c>
      <c r="O629" s="81" t="s">
        <v>113</v>
      </c>
      <c r="R629" s="107">
        <v>0.1</v>
      </c>
    </row>
    <row r="630" spans="1:18" hidden="1" x14ac:dyDescent="0.2">
      <c r="A630" s="18" t="s">
        <v>177</v>
      </c>
      <c r="B630" s="81" t="s">
        <v>127</v>
      </c>
      <c r="C630" s="80" t="s">
        <v>1073</v>
      </c>
      <c r="D630" s="81" t="s">
        <v>131</v>
      </c>
      <c r="E630" s="81" t="s">
        <v>69</v>
      </c>
      <c r="H630" s="107">
        <v>0</v>
      </c>
      <c r="I630" s="107">
        <v>0</v>
      </c>
      <c r="L630" s="107">
        <v>8.0000000000000002E-3</v>
      </c>
      <c r="M630" s="107">
        <v>1.57</v>
      </c>
      <c r="N630" s="109">
        <v>100</v>
      </c>
      <c r="O630" s="81" t="s">
        <v>113</v>
      </c>
      <c r="R630" s="107">
        <v>0.1</v>
      </c>
    </row>
    <row r="631" spans="1:18" hidden="1" x14ac:dyDescent="0.2">
      <c r="N631" s="109">
        <v>0</v>
      </c>
    </row>
  </sheetData>
  <autoFilter ref="A3:O631" xr:uid="{982725AA-C0F8-3944-92CD-BB00E3E146FF}">
    <filterColumn colId="14">
      <colorFilter dxfId="0"/>
    </filterColumn>
    <sortState xmlns:xlrd2="http://schemas.microsoft.com/office/spreadsheetml/2017/richdata2" ref="A4:O520">
      <sortCondition descending="1" ref="N3:N631"/>
    </sortState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FBE5-CB6F-4377-A9AA-6DFDB8EE9938}">
  <sheetPr>
    <pageSetUpPr autoPageBreaks="0"/>
  </sheetPr>
  <dimension ref="A1:JH632"/>
  <sheetViews>
    <sheetView zoomScale="200" zoomScaleNormal="80" workbookViewId="0">
      <pane xSplit="1" ySplit="4" topLeftCell="B437" activePane="bottomRight" state="frozen"/>
      <selection pane="topRight" activeCell="D1" sqref="D1"/>
      <selection pane="bottomLeft" activeCell="A5" sqref="A5"/>
      <selection pane="bottomRight" activeCell="A444" sqref="A1:A1048576"/>
    </sheetView>
  </sheetViews>
  <sheetFormatPr baseColWidth="10" defaultColWidth="9.6640625" defaultRowHeight="16.25" customHeight="1" x14ac:dyDescent="0.2"/>
  <cols>
    <col min="1" max="1" width="32.6640625" style="1" customWidth="1"/>
    <col min="2" max="2" width="10.6640625" style="1" customWidth="1"/>
    <col min="3" max="4" width="12.6640625" style="1" customWidth="1"/>
    <col min="5" max="5" width="9.6640625" style="1"/>
    <col min="6" max="6" width="28.6640625" style="1" customWidth="1"/>
    <col min="7" max="7" width="9.6640625" style="1"/>
    <col min="8" max="8" width="12.6640625" style="1" customWidth="1"/>
    <col min="9" max="9" width="7.6640625" style="1" customWidth="1"/>
    <col min="10" max="29" width="7.33203125" style="1" customWidth="1"/>
    <col min="30" max="30" width="7.6640625" style="1" customWidth="1"/>
    <col min="31" max="50" width="7.33203125" style="1" customWidth="1"/>
    <col min="51" max="51" width="7.6640625" style="1" customWidth="1"/>
    <col min="52" max="71" width="7.33203125" style="1" customWidth="1"/>
    <col min="72" max="72" width="7.6640625" style="1" customWidth="1"/>
    <col min="73" max="92" width="7.33203125" style="1" customWidth="1"/>
    <col min="93" max="93" width="7.6640625" style="1" customWidth="1"/>
    <col min="94" max="113" width="7.33203125" style="1" customWidth="1"/>
    <col min="114" max="115" width="5.6640625" style="1" customWidth="1"/>
    <col min="116" max="117" width="8.6640625" style="1" customWidth="1"/>
    <col min="118" max="118" width="18.6640625" style="1" customWidth="1"/>
    <col min="119" max="119" width="1.6640625" style="1" customWidth="1"/>
    <col min="120" max="157" width="9.6640625" style="1" customWidth="1"/>
    <col min="158" max="176" width="9.6640625" style="1"/>
    <col min="177" max="195" width="9.6640625" style="1" customWidth="1"/>
    <col min="196" max="196" width="1.6640625" style="1" customWidth="1"/>
    <col min="197" max="197" width="9.6640625" style="1"/>
    <col min="198" max="198" width="7.6640625" style="1" customWidth="1"/>
    <col min="199" max="205" width="9.6640625" style="1"/>
    <col min="206" max="206" width="7.6640625" style="1" customWidth="1"/>
    <col min="207" max="211" width="9.6640625" style="1"/>
    <col min="212" max="212" width="1.6640625" style="1" customWidth="1"/>
    <col min="213" max="213" width="28.6640625" style="1" customWidth="1"/>
    <col min="214" max="215" width="34.6640625" style="1" customWidth="1"/>
    <col min="216" max="216" width="22.6640625" style="1" customWidth="1"/>
    <col min="217" max="217" width="5.6640625" style="1" customWidth="1"/>
    <col min="218" max="218" width="1.6640625" style="1" customWidth="1"/>
    <col min="219" max="219" width="28.6640625" style="1" customWidth="1"/>
    <col min="220" max="220" width="34.6640625" style="1" customWidth="1"/>
    <col min="221" max="221" width="5.6640625" style="1" customWidth="1"/>
    <col min="222" max="224" width="9.6640625" style="1"/>
    <col min="225" max="225" width="10.6640625" style="1" customWidth="1"/>
    <col min="226" max="226" width="7.6640625" style="1" customWidth="1"/>
    <col min="227" max="228" width="7.6640625" style="60" customWidth="1"/>
    <col min="229" max="229" width="10.6640625" style="1" customWidth="1"/>
    <col min="230" max="230" width="9.6640625" style="1"/>
    <col min="231" max="231" width="6.6640625" style="1" customWidth="1"/>
    <col min="232" max="233" width="9.6640625" style="1"/>
    <col min="234" max="234" width="10.6640625" style="1" customWidth="1"/>
    <col min="235" max="235" width="7.6640625" style="1" customWidth="1"/>
    <col min="236" max="236" width="10.6640625" style="1" customWidth="1"/>
    <col min="237" max="237" width="9.6640625" style="1"/>
    <col min="238" max="238" width="6.6640625" style="1" customWidth="1"/>
    <col min="239" max="239" width="1.6640625" style="1" customWidth="1"/>
    <col min="240" max="267" width="9.6640625" style="1"/>
    <col min="268" max="268" width="1.6640625" style="57" customWidth="1"/>
    <col min="269" max="16384" width="9.6640625" style="1"/>
  </cols>
  <sheetData>
    <row r="1" spans="1:268" ht="16.25" customHeight="1" x14ac:dyDescent="0.2">
      <c r="I1" s="1">
        <f t="shared" ref="I1:AN1" si="0">COUNT(I5:I631)</f>
        <v>627</v>
      </c>
      <c r="J1" s="1">
        <f t="shared" si="0"/>
        <v>96</v>
      </c>
      <c r="K1" s="1">
        <f t="shared" si="0"/>
        <v>71</v>
      </c>
      <c r="L1" s="1">
        <f t="shared" si="0"/>
        <v>5</v>
      </c>
      <c r="M1" s="1">
        <f t="shared" si="0"/>
        <v>0</v>
      </c>
      <c r="N1" s="1">
        <f t="shared" si="0"/>
        <v>0</v>
      </c>
      <c r="O1" s="1">
        <f t="shared" si="0"/>
        <v>1</v>
      </c>
      <c r="P1" s="1">
        <f t="shared" si="0"/>
        <v>3</v>
      </c>
      <c r="Q1" s="1">
        <f t="shared" si="0"/>
        <v>170</v>
      </c>
      <c r="R1" s="1">
        <f t="shared" si="0"/>
        <v>93</v>
      </c>
      <c r="S1" s="1">
        <f t="shared" si="0"/>
        <v>79</v>
      </c>
      <c r="T1" s="1">
        <f t="shared" si="0"/>
        <v>79</v>
      </c>
      <c r="U1" s="1">
        <f t="shared" si="0"/>
        <v>48</v>
      </c>
      <c r="V1" s="1">
        <f t="shared" si="0"/>
        <v>9</v>
      </c>
      <c r="W1" s="1">
        <f t="shared" si="0"/>
        <v>9</v>
      </c>
      <c r="X1" s="1">
        <f t="shared" si="0"/>
        <v>11</v>
      </c>
      <c r="Y1" s="1">
        <f t="shared" si="0"/>
        <v>28</v>
      </c>
      <c r="Z1" s="1">
        <f t="shared" si="0"/>
        <v>11</v>
      </c>
      <c r="AA1" s="1">
        <f t="shared" si="0"/>
        <v>5</v>
      </c>
      <c r="AB1" s="1">
        <f t="shared" si="0"/>
        <v>2</v>
      </c>
      <c r="AC1" s="1">
        <f t="shared" si="0"/>
        <v>2</v>
      </c>
      <c r="AD1" s="1">
        <f t="shared" si="0"/>
        <v>626</v>
      </c>
      <c r="AE1" s="1">
        <f t="shared" si="0"/>
        <v>172</v>
      </c>
      <c r="AF1" s="1">
        <f t="shared" si="0"/>
        <v>100</v>
      </c>
      <c r="AG1" s="1">
        <f t="shared" si="0"/>
        <v>7</v>
      </c>
      <c r="AH1" s="1">
        <f t="shared" si="0"/>
        <v>5</v>
      </c>
      <c r="AI1" s="1">
        <f t="shared" si="0"/>
        <v>3</v>
      </c>
      <c r="AJ1" s="1">
        <f t="shared" si="0"/>
        <v>2</v>
      </c>
      <c r="AK1" s="1">
        <f t="shared" si="0"/>
        <v>9</v>
      </c>
      <c r="AL1" s="1">
        <f t="shared" si="0"/>
        <v>297</v>
      </c>
      <c r="AM1" s="1">
        <f t="shared" si="0"/>
        <v>175</v>
      </c>
      <c r="AN1" s="1">
        <f t="shared" si="0"/>
        <v>116</v>
      </c>
      <c r="AO1" s="1">
        <f t="shared" ref="AO1:BT1" si="1">COUNT(AO5:AO631)</f>
        <v>118</v>
      </c>
      <c r="AP1" s="1">
        <f t="shared" si="1"/>
        <v>57</v>
      </c>
      <c r="AQ1" s="1">
        <f t="shared" si="1"/>
        <v>9</v>
      </c>
      <c r="AR1" s="1">
        <f t="shared" si="1"/>
        <v>9</v>
      </c>
      <c r="AS1" s="1">
        <f t="shared" si="1"/>
        <v>14</v>
      </c>
      <c r="AT1" s="1">
        <f t="shared" si="1"/>
        <v>42</v>
      </c>
      <c r="AU1" s="1">
        <f t="shared" si="1"/>
        <v>14</v>
      </c>
      <c r="AV1" s="1">
        <f t="shared" si="1"/>
        <v>6</v>
      </c>
      <c r="AW1" s="1">
        <f t="shared" si="1"/>
        <v>2</v>
      </c>
      <c r="AX1" s="1">
        <f t="shared" si="1"/>
        <v>7</v>
      </c>
      <c r="AY1" s="1">
        <f t="shared" si="1"/>
        <v>627</v>
      </c>
      <c r="AZ1" s="1">
        <f t="shared" si="1"/>
        <v>303</v>
      </c>
      <c r="BA1" s="1">
        <f t="shared" si="1"/>
        <v>123</v>
      </c>
      <c r="BB1" s="1">
        <f t="shared" si="1"/>
        <v>17</v>
      </c>
      <c r="BC1" s="1">
        <f t="shared" si="1"/>
        <v>8</v>
      </c>
      <c r="BD1" s="1">
        <f t="shared" si="1"/>
        <v>5</v>
      </c>
      <c r="BE1" s="1">
        <f t="shared" si="1"/>
        <v>4</v>
      </c>
      <c r="BF1" s="1">
        <f t="shared" si="1"/>
        <v>15</v>
      </c>
      <c r="BG1" s="1">
        <f t="shared" si="1"/>
        <v>572</v>
      </c>
      <c r="BH1" s="1">
        <f t="shared" si="1"/>
        <v>284</v>
      </c>
      <c r="BI1" s="1">
        <f t="shared" si="1"/>
        <v>141</v>
      </c>
      <c r="BJ1" s="1">
        <f t="shared" si="1"/>
        <v>144</v>
      </c>
      <c r="BK1" s="1">
        <f t="shared" si="1"/>
        <v>64</v>
      </c>
      <c r="BL1" s="1">
        <f t="shared" si="1"/>
        <v>8</v>
      </c>
      <c r="BM1" s="1">
        <f t="shared" si="1"/>
        <v>8</v>
      </c>
      <c r="BN1" s="1">
        <f t="shared" si="1"/>
        <v>21</v>
      </c>
      <c r="BO1" s="1">
        <f t="shared" si="1"/>
        <v>54</v>
      </c>
      <c r="BP1" s="1">
        <f t="shared" si="1"/>
        <v>13</v>
      </c>
      <c r="BQ1" s="1">
        <f t="shared" si="1"/>
        <v>15</v>
      </c>
      <c r="BR1" s="1">
        <f t="shared" si="1"/>
        <v>5</v>
      </c>
      <c r="BS1" s="1">
        <f t="shared" si="1"/>
        <v>6</v>
      </c>
      <c r="BT1" s="1">
        <f t="shared" si="1"/>
        <v>614</v>
      </c>
      <c r="BU1" s="1">
        <f t="shared" ref="BU1:CZ1" si="2">COUNT(BU5:BU631)</f>
        <v>46</v>
      </c>
      <c r="BV1" s="1">
        <f t="shared" si="2"/>
        <v>37</v>
      </c>
      <c r="BW1" s="1">
        <f t="shared" si="2"/>
        <v>2</v>
      </c>
      <c r="BX1" s="1">
        <f t="shared" si="2"/>
        <v>0</v>
      </c>
      <c r="BY1" s="1">
        <f t="shared" si="2"/>
        <v>0</v>
      </c>
      <c r="BZ1" s="1">
        <f t="shared" si="2"/>
        <v>0</v>
      </c>
      <c r="CA1" s="1">
        <f t="shared" si="2"/>
        <v>1</v>
      </c>
      <c r="CB1" s="1">
        <f t="shared" si="2"/>
        <v>80</v>
      </c>
      <c r="CC1" s="1">
        <f t="shared" si="2"/>
        <v>42</v>
      </c>
      <c r="CD1" s="1">
        <f t="shared" si="2"/>
        <v>40</v>
      </c>
      <c r="CE1" s="1">
        <f t="shared" si="2"/>
        <v>40</v>
      </c>
      <c r="CF1" s="1">
        <f t="shared" si="2"/>
        <v>25</v>
      </c>
      <c r="CG1" s="1">
        <f t="shared" si="2"/>
        <v>6</v>
      </c>
      <c r="CH1" s="1">
        <f t="shared" si="2"/>
        <v>6</v>
      </c>
      <c r="CI1" s="1">
        <f t="shared" si="2"/>
        <v>7</v>
      </c>
      <c r="CJ1" s="1">
        <f t="shared" si="2"/>
        <v>13</v>
      </c>
      <c r="CK1" s="1">
        <f t="shared" si="2"/>
        <v>9</v>
      </c>
      <c r="CL1" s="1">
        <f t="shared" si="2"/>
        <v>2</v>
      </c>
      <c r="CM1" s="1">
        <f t="shared" si="2"/>
        <v>0</v>
      </c>
      <c r="CN1" s="1">
        <f t="shared" si="2"/>
        <v>0</v>
      </c>
      <c r="CO1" s="1">
        <f t="shared" si="2"/>
        <v>614</v>
      </c>
      <c r="CP1" s="1">
        <f t="shared" si="2"/>
        <v>55</v>
      </c>
      <c r="CQ1" s="1">
        <f t="shared" si="2"/>
        <v>42</v>
      </c>
      <c r="CR1" s="1">
        <f t="shared" si="2"/>
        <v>2</v>
      </c>
      <c r="CS1" s="1">
        <f t="shared" si="2"/>
        <v>0</v>
      </c>
      <c r="CT1" s="1">
        <f t="shared" si="2"/>
        <v>0</v>
      </c>
      <c r="CU1" s="1">
        <f t="shared" si="2"/>
        <v>0</v>
      </c>
      <c r="CV1" s="1">
        <f t="shared" si="2"/>
        <v>1</v>
      </c>
      <c r="CW1" s="1">
        <f t="shared" si="2"/>
        <v>104</v>
      </c>
      <c r="CX1" s="1">
        <f t="shared" si="2"/>
        <v>51</v>
      </c>
      <c r="CY1" s="1">
        <f t="shared" si="2"/>
        <v>45</v>
      </c>
      <c r="CZ1" s="1">
        <f t="shared" si="2"/>
        <v>45</v>
      </c>
      <c r="DA1" s="1">
        <f t="shared" ref="DA1:DI1" si="3">COUNT(DA5:DA631)</f>
        <v>30</v>
      </c>
      <c r="DB1" s="1">
        <f t="shared" si="3"/>
        <v>5</v>
      </c>
      <c r="DC1" s="1">
        <f t="shared" si="3"/>
        <v>5</v>
      </c>
      <c r="DD1" s="1">
        <f t="shared" si="3"/>
        <v>6</v>
      </c>
      <c r="DE1" s="1">
        <f t="shared" si="3"/>
        <v>17</v>
      </c>
      <c r="DF1" s="1">
        <f t="shared" si="3"/>
        <v>8</v>
      </c>
      <c r="DG1" s="1">
        <f t="shared" si="3"/>
        <v>2</v>
      </c>
      <c r="DH1" s="1">
        <f t="shared" si="3"/>
        <v>0</v>
      </c>
      <c r="DI1" s="1">
        <f t="shared" si="3"/>
        <v>5</v>
      </c>
      <c r="DJ1" s="90" t="s">
        <v>0</v>
      </c>
      <c r="DK1" s="90" t="s">
        <v>1</v>
      </c>
      <c r="DO1" s="1" t="s">
        <v>2</v>
      </c>
      <c r="EI1" s="3">
        <f>2.96*2204.6</f>
        <v>6525.616</v>
      </c>
      <c r="EJ1" s="3">
        <f>1000000*(1272/31.1)</f>
        <v>40900321.543408357</v>
      </c>
      <c r="EK1" s="3">
        <f>1000000*(15.75/31.1)</f>
        <v>506430.86816720251</v>
      </c>
      <c r="EL1" s="3">
        <v>66051.157775039697</v>
      </c>
      <c r="EM1" s="3">
        <v>27040</v>
      </c>
      <c r="EN1" s="3">
        <f>1.018*2204.6</f>
        <v>2244.2828</v>
      </c>
      <c r="EO1" s="3">
        <f>1.327*2204.6</f>
        <v>2925.5041999999999</v>
      </c>
      <c r="EP1" s="3">
        <v>13114</v>
      </c>
      <c r="EQ1" s="3">
        <f>32.94*2204.6</f>
        <v>72619.52399999999</v>
      </c>
      <c r="ER1" s="3">
        <f>1000000*(882.66/31.1)</f>
        <v>28381350.482315108</v>
      </c>
      <c r="ES1" s="3">
        <f>1000000*(1036.43/31.1)</f>
        <v>33325723.472668812</v>
      </c>
      <c r="ET1" s="3">
        <f>1000000*(2225.3/31.1)</f>
        <v>71553054.662379429</v>
      </c>
      <c r="EU1" s="3">
        <f>1000000*(244.41/31.1)</f>
        <v>7858842.4437299026</v>
      </c>
      <c r="EV1" s="3">
        <f>1000000*(1293.27/31.1)</f>
        <v>41584244.372990347</v>
      </c>
      <c r="EW1" s="3">
        <v>279</v>
      </c>
      <c r="EX1" s="3">
        <v>93</v>
      </c>
      <c r="EY1" s="3">
        <v>9.14</v>
      </c>
      <c r="EZ1" s="3">
        <v>360000</v>
      </c>
      <c r="FA1" s="3">
        <f>716/0.44</f>
        <v>1627.2727272727273</v>
      </c>
      <c r="FU1" s="3">
        <f>2.96*2204.6</f>
        <v>6525.616</v>
      </c>
      <c r="FV1" s="3">
        <f>1000000*(1272/31.1)</f>
        <v>40900321.543408357</v>
      </c>
      <c r="FW1" s="3">
        <f>1000000*(15.75/31.1)</f>
        <v>506430.86816720251</v>
      </c>
      <c r="FX1" s="3">
        <v>66051.157775039697</v>
      </c>
      <c r="FY1" s="3">
        <v>27040</v>
      </c>
      <c r="FZ1" s="3">
        <f>1.018*2204.6</f>
        <v>2244.2828</v>
      </c>
      <c r="GA1" s="3">
        <f>1.327*2204.6</f>
        <v>2925.5041999999999</v>
      </c>
      <c r="GB1" s="3">
        <v>13114</v>
      </c>
      <c r="GC1" s="3">
        <f>32.94*2204.6</f>
        <v>72619.52399999999</v>
      </c>
      <c r="GD1" s="3">
        <f>1000000*(882.66/31.1)</f>
        <v>28381350.482315108</v>
      </c>
      <c r="GE1" s="3">
        <f>1000000*(1036.43/31.1)</f>
        <v>33325723.472668812</v>
      </c>
      <c r="GF1" s="3">
        <f>1000000*(2225.3/31.1)</f>
        <v>71553054.662379429</v>
      </c>
      <c r="GG1" s="3">
        <f>1000000*(244.41/31.1)</f>
        <v>7858842.4437299026</v>
      </c>
      <c r="GH1" s="3">
        <f>1000000*(1293.27/31.1)</f>
        <v>41584244.372990347</v>
      </c>
      <c r="GI1" s="3">
        <v>279</v>
      </c>
      <c r="GJ1" s="3">
        <v>93</v>
      </c>
      <c r="GK1" s="3">
        <v>9.14</v>
      </c>
      <c r="GL1" s="3">
        <v>360000</v>
      </c>
      <c r="GM1" s="3">
        <f>716/0.44</f>
        <v>1627.2727272727273</v>
      </c>
      <c r="GN1" s="1" t="s">
        <v>2</v>
      </c>
      <c r="GO1" s="4">
        <f>SUM(GO5:GO631)</f>
        <v>80077.303765165692</v>
      </c>
      <c r="GQ1" s="4">
        <f>SUM(GQ5:GQ631)</f>
        <v>350219.26104432996</v>
      </c>
      <c r="GR1" s="4"/>
      <c r="GT1" s="4">
        <f>SUM(GT5:GT631)</f>
        <v>40606.683976448956</v>
      </c>
      <c r="GU1" s="4">
        <f>SUM(GU5:GU631)</f>
        <v>97545.215693817212</v>
      </c>
      <c r="GV1" s="4">
        <f>SUM(GV5:GV631)</f>
        <v>212067.36137406365</v>
      </c>
      <c r="GY1" s="4">
        <f>SUM(GY5:GY631)</f>
        <v>47124.27268977106</v>
      </c>
      <c r="GZ1" s="4"/>
      <c r="HB1" s="4">
        <f>SUM(HB5:HB631)</f>
        <v>18212.262664973015</v>
      </c>
      <c r="HC1" s="4">
        <f>SUM(HC5:HC631)</f>
        <v>28912.010024798063</v>
      </c>
      <c r="HD1" s="1" t="s">
        <v>2</v>
      </c>
      <c r="HI1" s="90" t="s">
        <v>0</v>
      </c>
      <c r="HJ1" s="1" t="s">
        <v>2</v>
      </c>
      <c r="HN1" s="95">
        <f>SUM(HN5:HP37)</f>
        <v>350219.26104432967</v>
      </c>
      <c r="HO1" s="95"/>
      <c r="HP1" s="95"/>
      <c r="HQ1" s="4">
        <f>SUM(HQ5:HQ37)</f>
        <v>80077.303765165721</v>
      </c>
      <c r="HR1" s="13">
        <f>100*(HU1/1000)/HQ1</f>
        <v>0.43735146486872334</v>
      </c>
      <c r="HS1" s="13"/>
      <c r="HT1" s="13"/>
      <c r="HU1" s="4">
        <f>SUM(HU5:HU37)</f>
        <v>350219.26104432961</v>
      </c>
      <c r="HV1" s="14">
        <f>SUM(GR5:GR631)/SUM(GO5:GO631)</f>
        <v>137.52598995431023</v>
      </c>
      <c r="HW1" s="1">
        <f>SUM(HW5:HW37)</f>
        <v>627</v>
      </c>
      <c r="HX1" s="95">
        <f>SUM(HX5:HY37)</f>
        <v>47124.272689771067</v>
      </c>
      <c r="HY1" s="95"/>
      <c r="HZ1" s="4">
        <f>SUM(HZ5:HZ36)</f>
        <v>8301.1073052451939</v>
      </c>
      <c r="IA1" s="13">
        <f>100*(IB1/1000)/HZ1</f>
        <v>0.56768658634246072</v>
      </c>
      <c r="IB1" s="4">
        <f>SUM(IB5:IB37)</f>
        <v>47124.272689771067</v>
      </c>
      <c r="IC1" s="14">
        <f>SUM(GZ5:GZ631)/SUM(GW5:GW631)</f>
        <v>177.25610599529617</v>
      </c>
      <c r="ID1" s="1">
        <f>SUM(ID5:ID37)</f>
        <v>112</v>
      </c>
      <c r="JH1" s="57" t="s">
        <v>2</v>
      </c>
    </row>
    <row r="2" spans="1:268" ht="16.25" customHeight="1" x14ac:dyDescent="0.2">
      <c r="A2" s="1" t="s">
        <v>5</v>
      </c>
      <c r="B2" s="1" t="s">
        <v>6</v>
      </c>
      <c r="C2" s="83" t="s">
        <v>7</v>
      </c>
      <c r="D2" s="83"/>
      <c r="E2" s="1" t="s">
        <v>8</v>
      </c>
      <c r="F2" s="1" t="s">
        <v>9</v>
      </c>
      <c r="G2" s="1" t="s">
        <v>10</v>
      </c>
      <c r="H2" s="1" t="s">
        <v>11</v>
      </c>
      <c r="I2" s="84" t="s">
        <v>12</v>
      </c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4"/>
      <c r="BI2" s="84"/>
      <c r="BJ2" s="84"/>
      <c r="BK2" s="84"/>
      <c r="BL2" s="84"/>
      <c r="BM2" s="84"/>
      <c r="BN2" s="84"/>
      <c r="BO2" s="84"/>
      <c r="BP2" s="84"/>
      <c r="BQ2" s="84"/>
      <c r="BR2" s="84"/>
      <c r="BS2" s="84"/>
      <c r="BT2" s="85" t="s">
        <v>13</v>
      </c>
      <c r="BU2" s="85"/>
      <c r="BV2" s="85"/>
      <c r="BW2" s="85"/>
      <c r="BX2" s="85"/>
      <c r="BY2" s="85"/>
      <c r="BZ2" s="85"/>
      <c r="CA2" s="85"/>
      <c r="CB2" s="85"/>
      <c r="CC2" s="85"/>
      <c r="CD2" s="85"/>
      <c r="CE2" s="85"/>
      <c r="CF2" s="85"/>
      <c r="CG2" s="85"/>
      <c r="CH2" s="85"/>
      <c r="CI2" s="85"/>
      <c r="CJ2" s="85"/>
      <c r="CK2" s="85"/>
      <c r="CL2" s="85"/>
      <c r="CM2" s="85"/>
      <c r="CN2" s="85"/>
      <c r="CO2" s="85"/>
      <c r="CP2" s="85"/>
      <c r="CQ2" s="85"/>
      <c r="CR2" s="85"/>
      <c r="CS2" s="85"/>
      <c r="CT2" s="85"/>
      <c r="CU2" s="85"/>
      <c r="CV2" s="85"/>
      <c r="CW2" s="85"/>
      <c r="CX2" s="85"/>
      <c r="CY2" s="85"/>
      <c r="CZ2" s="85"/>
      <c r="DA2" s="85"/>
      <c r="DB2" s="85"/>
      <c r="DC2" s="85"/>
      <c r="DD2" s="85"/>
      <c r="DE2" s="85"/>
      <c r="DF2" s="85"/>
      <c r="DG2" s="85"/>
      <c r="DH2" s="85"/>
      <c r="DI2" s="85"/>
      <c r="DJ2" s="90"/>
      <c r="DK2" s="90"/>
      <c r="DN2" s="6" t="s">
        <v>14</v>
      </c>
      <c r="DO2" s="1" t="s">
        <v>2</v>
      </c>
      <c r="DP2" s="93" t="s">
        <v>12</v>
      </c>
      <c r="DQ2" s="93"/>
      <c r="DR2" s="93"/>
      <c r="DS2" s="93"/>
      <c r="DT2" s="93"/>
      <c r="DU2" s="93"/>
      <c r="DV2" s="93"/>
      <c r="DW2" s="93"/>
      <c r="DX2" s="93"/>
      <c r="DY2" s="93"/>
      <c r="DZ2" s="93"/>
      <c r="EA2" s="93"/>
      <c r="EB2" s="93"/>
      <c r="EC2" s="93"/>
      <c r="ED2" s="93"/>
      <c r="EE2" s="93"/>
      <c r="EF2" s="93"/>
      <c r="EG2" s="93"/>
      <c r="EH2" s="93"/>
      <c r="EI2" s="92" t="s">
        <v>1345</v>
      </c>
      <c r="EJ2" s="92"/>
      <c r="EK2" s="92"/>
      <c r="EL2" s="92"/>
      <c r="EM2" s="92"/>
      <c r="EN2" s="92"/>
      <c r="EO2" s="92"/>
      <c r="EP2" s="92"/>
      <c r="EQ2" s="92"/>
      <c r="ER2" s="92"/>
      <c r="ES2" s="92"/>
      <c r="ET2" s="92"/>
      <c r="EU2" s="92"/>
      <c r="EV2" s="92"/>
      <c r="EW2" s="92"/>
      <c r="EX2" s="92"/>
      <c r="EY2" s="92"/>
      <c r="EZ2" s="92"/>
      <c r="FA2" s="92"/>
      <c r="FB2" s="85" t="s">
        <v>13</v>
      </c>
      <c r="FC2" s="85"/>
      <c r="FD2" s="85"/>
      <c r="FE2" s="85"/>
      <c r="FF2" s="85"/>
      <c r="FG2" s="85"/>
      <c r="FH2" s="85"/>
      <c r="FI2" s="85"/>
      <c r="FJ2" s="85"/>
      <c r="FK2" s="85"/>
      <c r="FL2" s="85"/>
      <c r="FM2" s="85"/>
      <c r="FN2" s="85"/>
      <c r="FO2" s="85"/>
      <c r="FP2" s="85"/>
      <c r="FQ2" s="85"/>
      <c r="FR2" s="85"/>
      <c r="FS2" s="85"/>
      <c r="FT2" s="85"/>
      <c r="FU2" s="92" t="s">
        <v>1356</v>
      </c>
      <c r="FV2" s="92"/>
      <c r="FW2" s="92"/>
      <c r="FX2" s="92"/>
      <c r="FY2" s="92"/>
      <c r="FZ2" s="92"/>
      <c r="GA2" s="92"/>
      <c r="GB2" s="92"/>
      <c r="GC2" s="92"/>
      <c r="GD2" s="92"/>
      <c r="GE2" s="92"/>
      <c r="GF2" s="92"/>
      <c r="GG2" s="92"/>
      <c r="GH2" s="92"/>
      <c r="GI2" s="92"/>
      <c r="GJ2" s="92"/>
      <c r="GK2" s="92"/>
      <c r="GL2" s="92"/>
      <c r="GM2" s="92"/>
      <c r="GN2" s="1" t="s">
        <v>2</v>
      </c>
      <c r="GO2" s="84" t="s">
        <v>15</v>
      </c>
      <c r="GP2" s="84"/>
      <c r="GQ2" s="84"/>
      <c r="GR2" s="84"/>
      <c r="GS2" s="84"/>
      <c r="GT2" s="94" t="s">
        <v>1366</v>
      </c>
      <c r="GU2" s="94"/>
      <c r="GV2" s="94"/>
      <c r="GW2" s="85" t="s">
        <v>16</v>
      </c>
      <c r="GX2" s="85"/>
      <c r="GY2" s="85"/>
      <c r="GZ2" s="85"/>
      <c r="HA2" s="85"/>
      <c r="HB2" s="97" t="s">
        <v>1367</v>
      </c>
      <c r="HC2" s="97"/>
      <c r="HD2" s="1" t="s">
        <v>2</v>
      </c>
      <c r="HE2" s="1" t="s">
        <v>17</v>
      </c>
      <c r="HF2" s="1" t="s">
        <v>17</v>
      </c>
      <c r="HG2" s="1" t="s">
        <v>17</v>
      </c>
      <c r="HH2" s="1" t="s">
        <v>17</v>
      </c>
      <c r="HI2" s="90"/>
      <c r="HJ2" s="1" t="s">
        <v>2</v>
      </c>
      <c r="HN2" s="94" t="s">
        <v>1366</v>
      </c>
      <c r="HO2" s="94"/>
      <c r="HP2" s="94"/>
      <c r="HQ2" s="84" t="s">
        <v>15</v>
      </c>
      <c r="HR2" s="84"/>
      <c r="HS2" s="84"/>
      <c r="HT2" s="84"/>
      <c r="HU2" s="84"/>
      <c r="HV2" s="84"/>
      <c r="HW2" s="84"/>
      <c r="HX2" s="97" t="s">
        <v>1367</v>
      </c>
      <c r="HY2" s="97"/>
      <c r="HZ2" s="85" t="s">
        <v>16</v>
      </c>
      <c r="IA2" s="85"/>
      <c r="IB2" s="85"/>
      <c r="IC2" s="85"/>
      <c r="ID2" s="85"/>
      <c r="IF2" s="84" t="s">
        <v>1364</v>
      </c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5" t="s">
        <v>1365</v>
      </c>
      <c r="IU2" s="85"/>
      <c r="IV2" s="85"/>
      <c r="IW2" s="85"/>
      <c r="IX2" s="85"/>
      <c r="IY2" s="85"/>
      <c r="IZ2" s="85"/>
      <c r="JA2" s="85"/>
      <c r="JB2" s="85"/>
      <c r="JC2" s="85"/>
      <c r="JD2" s="85"/>
      <c r="JE2" s="85"/>
      <c r="JF2" s="85"/>
      <c r="JG2" s="85"/>
      <c r="JH2" s="57" t="s">
        <v>2</v>
      </c>
    </row>
    <row r="3" spans="1:268" ht="16.25" customHeight="1" x14ac:dyDescent="0.2">
      <c r="C3" s="1" t="s">
        <v>19</v>
      </c>
      <c r="D3" s="1" t="s">
        <v>20</v>
      </c>
      <c r="E3" s="1" t="s">
        <v>21</v>
      </c>
      <c r="G3" s="1" t="s">
        <v>22</v>
      </c>
      <c r="H3" s="1" t="s">
        <v>23</v>
      </c>
      <c r="I3" s="87" t="s">
        <v>24</v>
      </c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8" t="s">
        <v>25</v>
      </c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8"/>
      <c r="AW3" s="88"/>
      <c r="AX3" s="88"/>
      <c r="AY3" s="89" t="s">
        <v>26</v>
      </c>
      <c r="AZ3" s="89"/>
      <c r="BA3" s="89"/>
      <c r="BB3" s="89"/>
      <c r="BC3" s="89"/>
      <c r="BD3" s="89"/>
      <c r="BE3" s="89"/>
      <c r="BF3" s="89"/>
      <c r="BG3" s="89"/>
      <c r="BH3" s="89"/>
      <c r="BI3" s="89"/>
      <c r="BJ3" s="89"/>
      <c r="BK3" s="89"/>
      <c r="BL3" s="89"/>
      <c r="BM3" s="89"/>
      <c r="BN3" s="89"/>
      <c r="BO3" s="89"/>
      <c r="BP3" s="89"/>
      <c r="BQ3" s="89"/>
      <c r="BR3" s="89"/>
      <c r="BS3" s="89"/>
      <c r="BT3" s="88" t="s">
        <v>27</v>
      </c>
      <c r="BU3" s="88"/>
      <c r="BV3" s="88"/>
      <c r="BW3" s="88"/>
      <c r="BX3" s="88"/>
      <c r="BY3" s="88"/>
      <c r="BZ3" s="88"/>
      <c r="CA3" s="88"/>
      <c r="CB3" s="88"/>
      <c r="CC3" s="88"/>
      <c r="CD3" s="88"/>
      <c r="CE3" s="88"/>
      <c r="CF3" s="88"/>
      <c r="CG3" s="88"/>
      <c r="CH3" s="88"/>
      <c r="CI3" s="88"/>
      <c r="CJ3" s="88"/>
      <c r="CK3" s="88"/>
      <c r="CL3" s="88"/>
      <c r="CM3" s="88"/>
      <c r="CN3" s="88"/>
      <c r="CO3" s="89" t="s">
        <v>28</v>
      </c>
      <c r="CP3" s="89"/>
      <c r="CQ3" s="89"/>
      <c r="CR3" s="89"/>
      <c r="CS3" s="89"/>
      <c r="CT3" s="89"/>
      <c r="CU3" s="89"/>
      <c r="CV3" s="89"/>
      <c r="CW3" s="89"/>
      <c r="CX3" s="89"/>
      <c r="CY3" s="89"/>
      <c r="CZ3" s="89"/>
      <c r="DA3" s="89"/>
      <c r="DB3" s="89"/>
      <c r="DC3" s="89"/>
      <c r="DD3" s="89"/>
      <c r="DE3" s="89"/>
      <c r="DF3" s="89"/>
      <c r="DG3" s="89"/>
      <c r="DH3" s="89"/>
      <c r="DI3" s="89"/>
      <c r="DJ3" s="90"/>
      <c r="DK3" s="90"/>
      <c r="DO3" s="1" t="s">
        <v>2</v>
      </c>
      <c r="DP3" s="93"/>
      <c r="DQ3" s="93"/>
      <c r="DR3" s="93"/>
      <c r="DS3" s="93"/>
      <c r="DT3" s="93"/>
      <c r="DU3" s="93"/>
      <c r="DV3" s="93"/>
      <c r="DW3" s="93"/>
      <c r="DX3" s="93"/>
      <c r="DY3" s="93"/>
      <c r="DZ3" s="93"/>
      <c r="EA3" s="93"/>
      <c r="EB3" s="93"/>
      <c r="EC3" s="93"/>
      <c r="ED3" s="93"/>
      <c r="EE3" s="93"/>
      <c r="EF3" s="93"/>
      <c r="EG3" s="93"/>
      <c r="EH3" s="93"/>
      <c r="EI3" s="92"/>
      <c r="EJ3" s="92"/>
      <c r="EK3" s="92"/>
      <c r="EL3" s="92"/>
      <c r="EM3" s="92"/>
      <c r="EN3" s="92"/>
      <c r="EO3" s="92"/>
      <c r="EP3" s="92"/>
      <c r="EQ3" s="92"/>
      <c r="ER3" s="92"/>
      <c r="ES3" s="92"/>
      <c r="ET3" s="92"/>
      <c r="EU3" s="92"/>
      <c r="EV3" s="92"/>
      <c r="EW3" s="92"/>
      <c r="EX3" s="92"/>
      <c r="EY3" s="92"/>
      <c r="EZ3" s="92"/>
      <c r="FA3" s="92"/>
      <c r="FB3" s="85"/>
      <c r="FC3" s="85"/>
      <c r="FD3" s="85"/>
      <c r="FE3" s="85"/>
      <c r="FF3" s="85"/>
      <c r="FG3" s="85"/>
      <c r="FH3" s="85"/>
      <c r="FI3" s="85"/>
      <c r="FJ3" s="85"/>
      <c r="FK3" s="85"/>
      <c r="FL3" s="85"/>
      <c r="FM3" s="85"/>
      <c r="FN3" s="85"/>
      <c r="FO3" s="85"/>
      <c r="FP3" s="85"/>
      <c r="FQ3" s="85"/>
      <c r="FR3" s="85"/>
      <c r="FS3" s="85"/>
      <c r="FT3" s="85"/>
      <c r="FU3" s="92"/>
      <c r="FV3" s="92"/>
      <c r="FW3" s="92"/>
      <c r="FX3" s="92"/>
      <c r="FY3" s="92"/>
      <c r="FZ3" s="92"/>
      <c r="GA3" s="92"/>
      <c r="GB3" s="92"/>
      <c r="GC3" s="92"/>
      <c r="GD3" s="92"/>
      <c r="GE3" s="92"/>
      <c r="GF3" s="92"/>
      <c r="GG3" s="92"/>
      <c r="GH3" s="92"/>
      <c r="GI3" s="92"/>
      <c r="GJ3" s="92"/>
      <c r="GK3" s="92"/>
      <c r="GL3" s="92"/>
      <c r="GM3" s="92"/>
      <c r="GN3" s="1" t="s">
        <v>2</v>
      </c>
      <c r="GO3" s="84"/>
      <c r="GP3" s="84"/>
      <c r="GQ3" s="84"/>
      <c r="GR3" s="84"/>
      <c r="GS3" s="84"/>
      <c r="GT3" s="94"/>
      <c r="GU3" s="94"/>
      <c r="GV3" s="94"/>
      <c r="GW3" s="85"/>
      <c r="GX3" s="85"/>
      <c r="GY3" s="85"/>
      <c r="GZ3" s="85"/>
      <c r="HA3" s="85"/>
      <c r="HB3" s="97"/>
      <c r="HC3" s="97"/>
      <c r="HD3" s="1" t="s">
        <v>2</v>
      </c>
      <c r="HE3" s="1" t="s">
        <v>33</v>
      </c>
      <c r="HF3" s="1" t="s">
        <v>33</v>
      </c>
      <c r="HG3" s="1" t="s">
        <v>33</v>
      </c>
      <c r="HH3" s="1" t="s">
        <v>33</v>
      </c>
      <c r="HI3" s="90"/>
      <c r="HJ3" s="1" t="s">
        <v>2</v>
      </c>
      <c r="HN3" s="94"/>
      <c r="HO3" s="94"/>
      <c r="HP3" s="94"/>
      <c r="HQ3" s="84"/>
      <c r="HR3" s="84"/>
      <c r="HS3" s="84"/>
      <c r="HT3" s="84"/>
      <c r="HU3" s="84"/>
      <c r="HV3" s="84"/>
      <c r="HW3" s="84"/>
      <c r="HX3" s="97"/>
      <c r="HY3" s="97"/>
      <c r="HZ3" s="85"/>
      <c r="IA3" s="85"/>
      <c r="IB3" s="85"/>
      <c r="IC3" s="85"/>
      <c r="ID3" s="85"/>
      <c r="IF3" s="84"/>
      <c r="IG3" s="84"/>
      <c r="IH3" s="84"/>
      <c r="II3" s="84"/>
      <c r="IJ3" s="84"/>
      <c r="IK3" s="84"/>
      <c r="IL3" s="84"/>
      <c r="IM3" s="84"/>
      <c r="IN3" s="84"/>
      <c r="IO3" s="84"/>
      <c r="IP3" s="84"/>
      <c r="IQ3" s="84"/>
      <c r="IR3" s="84"/>
      <c r="IS3" s="84"/>
      <c r="IT3" s="85"/>
      <c r="IU3" s="85"/>
      <c r="IV3" s="85"/>
      <c r="IW3" s="85"/>
      <c r="IX3" s="85"/>
      <c r="IY3" s="85"/>
      <c r="IZ3" s="85"/>
      <c r="JA3" s="85"/>
      <c r="JB3" s="85"/>
      <c r="JC3" s="85"/>
      <c r="JD3" s="85"/>
      <c r="JE3" s="85"/>
      <c r="JF3" s="85"/>
      <c r="JG3" s="85"/>
      <c r="JH3" s="57" t="s">
        <v>2</v>
      </c>
    </row>
    <row r="4" spans="1:268" ht="16.25" customHeight="1" x14ac:dyDescent="0.2">
      <c r="I4" s="1" t="s">
        <v>34</v>
      </c>
      <c r="J4" s="1" t="s">
        <v>35</v>
      </c>
      <c r="K4" s="1" t="s">
        <v>36</v>
      </c>
      <c r="L4" s="1" t="s">
        <v>37</v>
      </c>
      <c r="M4" s="1" t="s">
        <v>38</v>
      </c>
      <c r="N4" s="1" t="s">
        <v>39</v>
      </c>
      <c r="O4" s="1" t="s">
        <v>40</v>
      </c>
      <c r="P4" s="1" t="s">
        <v>41</v>
      </c>
      <c r="Q4" s="1" t="s">
        <v>42</v>
      </c>
      <c r="R4" s="1" t="s">
        <v>43</v>
      </c>
      <c r="S4" s="1" t="s">
        <v>44</v>
      </c>
      <c r="T4" s="1" t="s">
        <v>45</v>
      </c>
      <c r="U4" s="1" t="s">
        <v>46</v>
      </c>
      <c r="V4" s="1" t="s">
        <v>1325</v>
      </c>
      <c r="W4" s="1" t="s">
        <v>1326</v>
      </c>
      <c r="X4" s="1" t="s">
        <v>47</v>
      </c>
      <c r="Y4" s="1" t="s">
        <v>48</v>
      </c>
      <c r="Z4" s="1" t="s">
        <v>49</v>
      </c>
      <c r="AA4" s="1" t="s">
        <v>50</v>
      </c>
      <c r="AB4" s="1" t="s">
        <v>1302</v>
      </c>
      <c r="AC4" s="1" t="s">
        <v>1327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1325</v>
      </c>
      <c r="AR4" s="1" t="s">
        <v>1326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1302</v>
      </c>
      <c r="AX4" s="1" t="s">
        <v>1327</v>
      </c>
      <c r="AY4" s="1" t="s">
        <v>34</v>
      </c>
      <c r="AZ4" s="1" t="s">
        <v>35</v>
      </c>
      <c r="BA4" s="1" t="s">
        <v>36</v>
      </c>
      <c r="BB4" s="1" t="s">
        <v>37</v>
      </c>
      <c r="BC4" s="1" t="s">
        <v>38</v>
      </c>
      <c r="BD4" s="1" t="s">
        <v>39</v>
      </c>
      <c r="BE4" s="1" t="s">
        <v>40</v>
      </c>
      <c r="BF4" s="1" t="s">
        <v>41</v>
      </c>
      <c r="BG4" s="1" t="s">
        <v>42</v>
      </c>
      <c r="BH4" s="1" t="s">
        <v>43</v>
      </c>
      <c r="BI4" s="1" t="s">
        <v>44</v>
      </c>
      <c r="BJ4" s="1" t="s">
        <v>45</v>
      </c>
      <c r="BK4" s="1" t="s">
        <v>46</v>
      </c>
      <c r="BL4" s="1" t="s">
        <v>1325</v>
      </c>
      <c r="BM4" s="1" t="s">
        <v>1326</v>
      </c>
      <c r="BN4" s="1" t="s">
        <v>47</v>
      </c>
      <c r="BO4" s="1" t="s">
        <v>48</v>
      </c>
      <c r="BP4" s="1" t="s">
        <v>49</v>
      </c>
      <c r="BQ4" s="1" t="s">
        <v>50</v>
      </c>
      <c r="BR4" s="1" t="s">
        <v>1302</v>
      </c>
      <c r="BS4" s="1" t="s">
        <v>1327</v>
      </c>
      <c r="BT4" s="1" t="s">
        <v>34</v>
      </c>
      <c r="BU4" s="1" t="s">
        <v>35</v>
      </c>
      <c r="BV4" s="1" t="s">
        <v>36</v>
      </c>
      <c r="BW4" s="1" t="s">
        <v>37</v>
      </c>
      <c r="BX4" s="1" t="s">
        <v>38</v>
      </c>
      <c r="BY4" s="1" t="s">
        <v>39</v>
      </c>
      <c r="BZ4" s="1" t="s">
        <v>40</v>
      </c>
      <c r="CA4" s="1" t="s">
        <v>41</v>
      </c>
      <c r="CB4" s="1" t="s">
        <v>42</v>
      </c>
      <c r="CC4" s="1" t="s">
        <v>43</v>
      </c>
      <c r="CD4" s="1" t="s">
        <v>44</v>
      </c>
      <c r="CE4" s="1" t="s">
        <v>45</v>
      </c>
      <c r="CF4" s="1" t="s">
        <v>46</v>
      </c>
      <c r="CG4" s="1" t="s">
        <v>1325</v>
      </c>
      <c r="CH4" s="1" t="s">
        <v>1326</v>
      </c>
      <c r="CI4" s="1" t="s">
        <v>47</v>
      </c>
      <c r="CJ4" s="1" t="s">
        <v>48</v>
      </c>
      <c r="CK4" s="1" t="s">
        <v>49</v>
      </c>
      <c r="CL4" s="1" t="s">
        <v>50</v>
      </c>
      <c r="CM4" s="1" t="s">
        <v>1302</v>
      </c>
      <c r="CN4" s="1" t="s">
        <v>1327</v>
      </c>
      <c r="CO4" s="1" t="s">
        <v>34</v>
      </c>
      <c r="CP4" s="1" t="s">
        <v>35</v>
      </c>
      <c r="CQ4" s="1" t="s">
        <v>36</v>
      </c>
      <c r="CR4" s="1" t="s">
        <v>37</v>
      </c>
      <c r="CS4" s="1" t="s">
        <v>38</v>
      </c>
      <c r="CT4" s="1" t="s">
        <v>39</v>
      </c>
      <c r="CU4" s="1" t="s">
        <v>40</v>
      </c>
      <c r="CV4" s="1" t="s">
        <v>41</v>
      </c>
      <c r="CW4" s="1" t="s">
        <v>42</v>
      </c>
      <c r="CX4" s="1" t="s">
        <v>43</v>
      </c>
      <c r="CY4" s="1" t="s">
        <v>44</v>
      </c>
      <c r="CZ4" s="1" t="s">
        <v>45</v>
      </c>
      <c r="DA4" s="1" t="s">
        <v>46</v>
      </c>
      <c r="DB4" s="1" t="s">
        <v>1325</v>
      </c>
      <c r="DC4" s="1" t="s">
        <v>1326</v>
      </c>
      <c r="DD4" s="1" t="s">
        <v>47</v>
      </c>
      <c r="DE4" s="1" t="s">
        <v>48</v>
      </c>
      <c r="DF4" s="1" t="s">
        <v>49</v>
      </c>
      <c r="DG4" s="1" t="s">
        <v>50</v>
      </c>
      <c r="DH4" s="1" t="s">
        <v>1302</v>
      </c>
      <c r="DI4" s="1" t="s">
        <v>1327</v>
      </c>
      <c r="DJ4" s="90"/>
      <c r="DK4" s="90"/>
      <c r="DL4" s="1" t="s">
        <v>42</v>
      </c>
      <c r="DM4" s="1" t="s">
        <v>43</v>
      </c>
      <c r="DO4" s="1" t="s">
        <v>2</v>
      </c>
      <c r="DP4" s="1" t="s">
        <v>51</v>
      </c>
      <c r="DQ4" s="1" t="s">
        <v>52</v>
      </c>
      <c r="DR4" s="1" t="s">
        <v>53</v>
      </c>
      <c r="DS4" s="1" t="s">
        <v>1335</v>
      </c>
      <c r="DT4" s="1" t="s">
        <v>1336</v>
      </c>
      <c r="DU4" s="1" t="s">
        <v>1337</v>
      </c>
      <c r="DV4" s="1" t="s">
        <v>1338</v>
      </c>
      <c r="DW4" s="1" t="s">
        <v>1339</v>
      </c>
      <c r="DX4" s="1" t="s">
        <v>1340</v>
      </c>
      <c r="DY4" s="1" t="s">
        <v>55</v>
      </c>
      <c r="DZ4" s="1" t="s">
        <v>56</v>
      </c>
      <c r="EA4" s="1" t="s">
        <v>57</v>
      </c>
      <c r="EB4" s="1" t="s">
        <v>1328</v>
      </c>
      <c r="EC4" s="1" t="s">
        <v>1329</v>
      </c>
      <c r="ED4" s="1" t="s">
        <v>1341</v>
      </c>
      <c r="EE4" s="1" t="s">
        <v>1342</v>
      </c>
      <c r="EF4" s="1" t="s">
        <v>1343</v>
      </c>
      <c r="EG4" s="1" t="s">
        <v>58</v>
      </c>
      <c r="EH4" s="1" t="s">
        <v>1344</v>
      </c>
      <c r="EI4" s="1" t="s">
        <v>88</v>
      </c>
      <c r="EJ4" s="1" t="s">
        <v>199</v>
      </c>
      <c r="EK4" s="1" t="s">
        <v>1319</v>
      </c>
      <c r="EL4" s="1" t="s">
        <v>1346</v>
      </c>
      <c r="EM4" s="1" t="s">
        <v>167</v>
      </c>
      <c r="EN4" s="1" t="s">
        <v>184</v>
      </c>
      <c r="EO4" s="1" t="s">
        <v>183</v>
      </c>
      <c r="EP4" s="1" t="s">
        <v>1347</v>
      </c>
      <c r="EQ4" s="1" t="s">
        <v>166</v>
      </c>
      <c r="ER4" s="1" t="s">
        <v>1348</v>
      </c>
      <c r="ES4" s="1" t="s">
        <v>1349</v>
      </c>
      <c r="ET4" s="1" t="s">
        <v>1350</v>
      </c>
      <c r="EU4" s="1" t="s">
        <v>1351</v>
      </c>
      <c r="EV4" s="1" t="s">
        <v>1352</v>
      </c>
      <c r="EW4" s="1" t="s">
        <v>1320</v>
      </c>
      <c r="EX4" s="1" t="s">
        <v>1353</v>
      </c>
      <c r="EY4" s="1" t="s">
        <v>1354</v>
      </c>
      <c r="EZ4" s="1" t="s">
        <v>1322</v>
      </c>
      <c r="FA4" s="1" t="s">
        <v>1355</v>
      </c>
      <c r="FB4" s="1" t="s">
        <v>51</v>
      </c>
      <c r="FC4" s="1" t="s">
        <v>52</v>
      </c>
      <c r="FD4" s="1" t="s">
        <v>53</v>
      </c>
      <c r="FE4" s="1" t="s">
        <v>1335</v>
      </c>
      <c r="FF4" s="1" t="s">
        <v>1336</v>
      </c>
      <c r="FG4" s="1" t="s">
        <v>1337</v>
      </c>
      <c r="FH4" s="1" t="s">
        <v>1338</v>
      </c>
      <c r="FI4" s="1" t="s">
        <v>1339</v>
      </c>
      <c r="FJ4" s="1" t="s">
        <v>1340</v>
      </c>
      <c r="FK4" s="1" t="s">
        <v>55</v>
      </c>
      <c r="FL4" s="1" t="s">
        <v>56</v>
      </c>
      <c r="FM4" s="1" t="s">
        <v>57</v>
      </c>
      <c r="FN4" s="1" t="s">
        <v>1328</v>
      </c>
      <c r="FO4" s="1" t="s">
        <v>1329</v>
      </c>
      <c r="FP4" s="1" t="s">
        <v>1341</v>
      </c>
      <c r="FQ4" s="1" t="s">
        <v>1342</v>
      </c>
      <c r="FR4" s="1" t="s">
        <v>1343</v>
      </c>
      <c r="FS4" s="1" t="s">
        <v>58</v>
      </c>
      <c r="FT4" s="1" t="s">
        <v>1344</v>
      </c>
      <c r="FU4" s="1" t="s">
        <v>88</v>
      </c>
      <c r="FV4" s="1" t="s">
        <v>199</v>
      </c>
      <c r="FW4" s="1" t="s">
        <v>1319</v>
      </c>
      <c r="FX4" s="1" t="s">
        <v>1346</v>
      </c>
      <c r="FY4" s="1" t="s">
        <v>167</v>
      </c>
      <c r="FZ4" s="1" t="s">
        <v>184</v>
      </c>
      <c r="GA4" s="1" t="s">
        <v>183</v>
      </c>
      <c r="GB4" s="1" t="s">
        <v>1347</v>
      </c>
      <c r="GC4" s="1" t="s">
        <v>166</v>
      </c>
      <c r="GD4" s="1" t="s">
        <v>1348</v>
      </c>
      <c r="GE4" s="1" t="s">
        <v>1349</v>
      </c>
      <c r="GF4" s="1" t="s">
        <v>1350</v>
      </c>
      <c r="GG4" s="1" t="s">
        <v>1351</v>
      </c>
      <c r="GH4" s="1" t="s">
        <v>1352</v>
      </c>
      <c r="GI4" s="1" t="s">
        <v>1320</v>
      </c>
      <c r="GJ4" s="1" t="s">
        <v>1353</v>
      </c>
      <c r="GK4" s="1" t="s">
        <v>1354</v>
      </c>
      <c r="GL4" s="1" t="s">
        <v>1322</v>
      </c>
      <c r="GM4" s="1" t="s">
        <v>1355</v>
      </c>
      <c r="GN4" s="1" t="s">
        <v>2</v>
      </c>
      <c r="GO4" s="1" t="s">
        <v>59</v>
      </c>
      <c r="GP4" s="1" t="s">
        <v>42</v>
      </c>
      <c r="GQ4" s="1" t="s">
        <v>54</v>
      </c>
      <c r="GR4" s="1" t="s">
        <v>1357</v>
      </c>
      <c r="GS4" s="1" t="s">
        <v>1334</v>
      </c>
      <c r="GT4" s="1" t="s">
        <v>24</v>
      </c>
      <c r="GU4" s="1" t="s">
        <v>25</v>
      </c>
      <c r="GV4" s="1" t="s">
        <v>26</v>
      </c>
      <c r="GW4" s="1" t="s">
        <v>59</v>
      </c>
      <c r="GX4" s="1" t="s">
        <v>42</v>
      </c>
      <c r="GY4" s="1" t="s">
        <v>54</v>
      </c>
      <c r="GZ4" s="1" t="s">
        <v>1357</v>
      </c>
      <c r="HA4" s="1" t="s">
        <v>1334</v>
      </c>
      <c r="HB4" s="1" t="s">
        <v>29</v>
      </c>
      <c r="HC4" s="1" t="s">
        <v>28</v>
      </c>
      <c r="HD4" s="1" t="s">
        <v>2</v>
      </c>
      <c r="HE4" s="1" t="s">
        <v>60</v>
      </c>
      <c r="HF4" s="1" t="s">
        <v>61</v>
      </c>
      <c r="HG4" s="1" t="s">
        <v>62</v>
      </c>
      <c r="HH4" s="1" t="s">
        <v>62</v>
      </c>
      <c r="HI4" s="90"/>
      <c r="HJ4" s="1" t="s">
        <v>2</v>
      </c>
      <c r="HN4" s="1" t="s">
        <v>24</v>
      </c>
      <c r="HO4" s="1" t="s">
        <v>25</v>
      </c>
      <c r="HP4" s="1" t="s">
        <v>26</v>
      </c>
      <c r="HQ4" s="1" t="s">
        <v>59</v>
      </c>
      <c r="HR4" s="1" t="s">
        <v>42</v>
      </c>
      <c r="HS4" s="63" t="s">
        <v>1383</v>
      </c>
      <c r="HT4" s="63" t="s">
        <v>1384</v>
      </c>
      <c r="HU4" s="1" t="s">
        <v>54</v>
      </c>
      <c r="HV4" s="1" t="s">
        <v>1334</v>
      </c>
      <c r="HW4" s="1" t="s">
        <v>1333</v>
      </c>
      <c r="HX4" s="1" t="s">
        <v>29</v>
      </c>
      <c r="HY4" s="1" t="s">
        <v>28</v>
      </c>
      <c r="HZ4" s="1" t="s">
        <v>59</v>
      </c>
      <c r="IA4" s="1" t="s">
        <v>42</v>
      </c>
      <c r="IB4" s="1" t="s">
        <v>54</v>
      </c>
      <c r="IC4" s="1" t="s">
        <v>1334</v>
      </c>
      <c r="ID4" s="1" t="s">
        <v>1333</v>
      </c>
      <c r="IF4" s="1" t="s">
        <v>88</v>
      </c>
      <c r="IG4" s="1" t="s">
        <v>199</v>
      </c>
      <c r="IH4" s="1" t="s">
        <v>1319</v>
      </c>
      <c r="II4" s="1" t="s">
        <v>1346</v>
      </c>
      <c r="IJ4" s="1" t="s">
        <v>167</v>
      </c>
      <c r="IK4" s="1" t="s">
        <v>184</v>
      </c>
      <c r="IL4" s="1" t="s">
        <v>183</v>
      </c>
      <c r="IM4" s="1" t="s">
        <v>1347</v>
      </c>
      <c r="IN4" s="1" t="s">
        <v>166</v>
      </c>
      <c r="IO4" s="1" t="s">
        <v>1321</v>
      </c>
      <c r="IP4" s="1" t="s">
        <v>1320</v>
      </c>
      <c r="IQ4" s="1" t="s">
        <v>1353</v>
      </c>
      <c r="IR4" s="1" t="s">
        <v>1322</v>
      </c>
      <c r="IS4" s="1" t="s">
        <v>1355</v>
      </c>
      <c r="IT4" s="1" t="s">
        <v>88</v>
      </c>
      <c r="IU4" s="1" t="s">
        <v>199</v>
      </c>
      <c r="IV4" s="1" t="s">
        <v>1319</v>
      </c>
      <c r="IW4" s="1" t="s">
        <v>1346</v>
      </c>
      <c r="IX4" s="1" t="s">
        <v>167</v>
      </c>
      <c r="IY4" s="1" t="s">
        <v>184</v>
      </c>
      <c r="IZ4" s="1" t="s">
        <v>183</v>
      </c>
      <c r="JA4" s="1" t="s">
        <v>1347</v>
      </c>
      <c r="JB4" s="1" t="s">
        <v>166</v>
      </c>
      <c r="JC4" s="1" t="s">
        <v>1321</v>
      </c>
      <c r="JD4" s="1" t="s">
        <v>1320</v>
      </c>
      <c r="JE4" s="1" t="s">
        <v>1353</v>
      </c>
      <c r="JF4" s="1" t="s">
        <v>1322</v>
      </c>
      <c r="JG4" s="1" t="s">
        <v>1355</v>
      </c>
      <c r="JH4" s="57" t="s">
        <v>2</v>
      </c>
    </row>
    <row r="5" spans="1:268" ht="16.25" customHeight="1" x14ac:dyDescent="0.2">
      <c r="A5" s="16" t="s">
        <v>662</v>
      </c>
      <c r="B5" s="1" t="s">
        <v>69</v>
      </c>
      <c r="F5" s="1" t="s">
        <v>663</v>
      </c>
      <c r="I5" s="1">
        <v>0</v>
      </c>
      <c r="AD5" s="4">
        <v>1906.63</v>
      </c>
      <c r="AL5" s="1">
        <v>0.121</v>
      </c>
      <c r="AY5" s="14">
        <v>504.88</v>
      </c>
      <c r="BG5" s="1">
        <v>9.7000000000000003E-2</v>
      </c>
      <c r="BT5" s="1">
        <v>0</v>
      </c>
      <c r="CO5" s="1">
        <v>0</v>
      </c>
      <c r="DJ5" s="1" t="s">
        <v>96</v>
      </c>
      <c r="DL5" s="1">
        <f t="shared" ref="DL5:DL31" si="4">(Q5*I5+AL5*AD5+BG5*AY5)/(I5+AD5+AY5)</f>
        <v>0.11597529763509169</v>
      </c>
      <c r="DM5" s="1">
        <f t="shared" ref="DM5:DM31" si="5">(R5*I5+AM5*AD5+BH5*AY5)/(I5+AD5+AY5)</f>
        <v>0</v>
      </c>
      <c r="DN5" s="1" t="s">
        <v>664</v>
      </c>
      <c r="DO5" s="1" t="s">
        <v>2</v>
      </c>
      <c r="DP5" s="38">
        <f t="shared" ref="DP5:DP31" si="6">(J5*$I5+AE5*$AD5+AZ5*$AY5)/100</f>
        <v>0</v>
      </c>
      <c r="DQ5" s="38">
        <f t="shared" ref="DQ5:DQ31" si="7">K5*$I5+AF5*$AD5+BA5*$AY5</f>
        <v>0</v>
      </c>
      <c r="DR5" s="38">
        <f t="shared" ref="DR5:DR31" si="8">L5*$I5+AG5*$AD5+BB5*$AY5</f>
        <v>0</v>
      </c>
      <c r="DS5" s="38">
        <f t="shared" ref="DS5:DS31" si="9">(M5*$I5+AH5*$AD5+BC5*$AY5)/100</f>
        <v>0</v>
      </c>
      <c r="DT5" s="38">
        <f t="shared" ref="DT5:DT31" si="10">(N5*$I5+AI5*$AD5+BD5*$AY5)/100</f>
        <v>0</v>
      </c>
      <c r="DU5" s="38">
        <f t="shared" ref="DU5:DU31" si="11">(O5*$I5+AJ5*$AD5+BE5*$AY5)/100</f>
        <v>0</v>
      </c>
      <c r="DV5" s="38">
        <f t="shared" ref="DV5:DV31" si="12">(P5*$I5+AK5*$AD5+BF5*$AY5)/100</f>
        <v>0</v>
      </c>
      <c r="DW5" s="38">
        <f t="shared" ref="DW5:DW31" si="13">(Q5*$I5+AL5*$AD5+BG5*$AY5)/100</f>
        <v>2.7967559</v>
      </c>
      <c r="DX5" s="38">
        <f t="shared" ref="DX5:DX31" si="14">(R5*$I5+AM5*$AD5+BH5*$AY5)/100</f>
        <v>0</v>
      </c>
      <c r="DY5" s="38">
        <f t="shared" ref="DY5:DY31" si="15">S5*$I5+AN5*$AD5+BI5*$AY5</f>
        <v>0</v>
      </c>
      <c r="DZ5" s="38">
        <f t="shared" ref="DZ5:DZ31" si="16">T5*$I5+AO5*$AD5+BJ5*$AY5</f>
        <v>0</v>
      </c>
      <c r="EA5" s="38">
        <f t="shared" ref="EA5:EA31" si="17">U5*$I5+AP5*$AD5+BK5*$AY5</f>
        <v>0</v>
      </c>
      <c r="EB5" s="38">
        <f t="shared" ref="EB5:EB31" si="18">V5*$I5+AQ5*$AD5+BL5*$AY5</f>
        <v>0</v>
      </c>
      <c r="EC5" s="38">
        <f t="shared" ref="EC5:EC31" si="19">W5*$I5+AR5*$AD5+BM5*$AY5</f>
        <v>0</v>
      </c>
      <c r="ED5" s="38">
        <f t="shared" ref="ED5:ED31" si="20">(X5*$I5+AS5*$AD5+BN5*$AY5)/100</f>
        <v>0</v>
      </c>
      <c r="EE5" s="38">
        <f t="shared" ref="EE5:EE31" si="21">(Y5*$I5+AT5*$AD5+BO5*$AY5)/100</f>
        <v>0</v>
      </c>
      <c r="EG5" s="38">
        <f t="shared" ref="EG5:EG31" si="22">AA5*$I5+AV5*$AD5+BQ5*$AY5</f>
        <v>0</v>
      </c>
      <c r="EH5" s="38">
        <f t="shared" ref="EH5:EH31" si="23">(AB5*$I5+AW5*$AD5+BR5*$AY5)/100</f>
        <v>0</v>
      </c>
      <c r="EI5" s="38">
        <f t="shared" ref="EI5:EI31" si="24">EI$1*DP5</f>
        <v>0</v>
      </c>
      <c r="EJ5" s="38">
        <f t="shared" ref="EJ5:EJ31" si="25">EJ$1*DQ5/1000000</f>
        <v>0</v>
      </c>
      <c r="EK5" s="38">
        <f t="shared" ref="EK5:EK31" si="26">EK$1*DR5/1000000</f>
        <v>0</v>
      </c>
      <c r="EL5" s="38">
        <f t="shared" ref="EL5:EL31" si="27">EL$1*DS5</f>
        <v>0</v>
      </c>
      <c r="EM5" s="38">
        <f t="shared" ref="EM5:EM31" si="28">EM$1*DT5</f>
        <v>0</v>
      </c>
      <c r="EN5" s="38">
        <f t="shared" ref="EN5:EN31" si="29">EN$1*DU5</f>
        <v>0</v>
      </c>
      <c r="EO5" s="38">
        <f t="shared" ref="EO5:EO31" si="30">EO$1*DV5</f>
        <v>0</v>
      </c>
      <c r="EP5" s="38">
        <f t="shared" ref="EP5:EP31" si="31">EP$1*DW5</f>
        <v>36676.656872599997</v>
      </c>
      <c r="EQ5" s="38">
        <f t="shared" ref="EQ5:EQ31" si="32">EQ$1*DX5</f>
        <v>0</v>
      </c>
      <c r="ER5" s="38">
        <f t="shared" ref="ER5:ER31" si="33">ER$1*DY5/1000000</f>
        <v>0</v>
      </c>
      <c r="ES5" s="38">
        <f t="shared" ref="ES5:ES31" si="34">ES$1*DZ5/1000000</f>
        <v>0</v>
      </c>
      <c r="ET5" s="38">
        <f t="shared" ref="ET5:ET31" si="35">ET$1*EA5/1000000</f>
        <v>0</v>
      </c>
      <c r="EU5" s="38">
        <f t="shared" ref="EU5:EU31" si="36">EU$1*EB5/1000000</f>
        <v>0</v>
      </c>
      <c r="EV5" s="38">
        <f t="shared" ref="EV5:EV31" si="37">EV$1*EC5/1000000</f>
        <v>0</v>
      </c>
      <c r="EW5" s="38">
        <f t="shared" ref="EW5:EW31" si="38">EW$1*ED5</f>
        <v>0</v>
      </c>
      <c r="EX5" s="38">
        <f t="shared" ref="EX5:EX31" si="39">EX$1*EE5</f>
        <v>0</v>
      </c>
      <c r="EZ5" s="38">
        <f t="shared" ref="EZ5:EZ31" si="40">EZ$1*EG5/1000000</f>
        <v>0</v>
      </c>
      <c r="FA5" s="38">
        <f t="shared" ref="FA5:FA31" si="41">FA$1*EH5</f>
        <v>0</v>
      </c>
      <c r="FB5" s="1">
        <f t="shared" ref="FB5:FB31" si="42">(BU5*$BT5+CP5*$CO5)/100</f>
        <v>0</v>
      </c>
      <c r="FC5" s="1">
        <f t="shared" ref="FC5:FC31" si="43">BV5*$BT5+CQ5*$CO5</f>
        <v>0</v>
      </c>
      <c r="FD5" s="1">
        <f t="shared" ref="FD5:FD31" si="44">BW5*$BT5+CR5*$CO5</f>
        <v>0</v>
      </c>
      <c r="FE5" s="1">
        <f t="shared" ref="FE5:FE31" si="45">(BX5*$BT5+CS5*$CO5)/100</f>
        <v>0</v>
      </c>
      <c r="FF5" s="1">
        <f t="shared" ref="FF5:FF31" si="46">(BY5*$BT5+CT5*$CO5)/100</f>
        <v>0</v>
      </c>
      <c r="FG5" s="1">
        <f t="shared" ref="FG5:FG31" si="47">(BZ5*$BT5+CU5*$CO5)/100</f>
        <v>0</v>
      </c>
      <c r="FH5" s="1">
        <f t="shared" ref="FH5:FH31" si="48">(CA5*$BT5+CV5*$CO5)/100</f>
        <v>0</v>
      </c>
      <c r="FI5" s="1">
        <f t="shared" ref="FI5:FI31" si="49">(CB5*$BT5+CW5*$CO5)/100</f>
        <v>0</v>
      </c>
      <c r="FJ5" s="1">
        <f t="shared" ref="FJ5:FJ31" si="50">(CC5*$BT5+CX5*$CO5)/100</f>
        <v>0</v>
      </c>
      <c r="FK5" s="1">
        <f t="shared" ref="FK5:FK31" si="51">CD5*$BT5+CY5*$CO5</f>
        <v>0</v>
      </c>
      <c r="FL5" s="1">
        <f t="shared" ref="FL5:FL31" si="52">CE5*$BT5+CZ5*$CO5</f>
        <v>0</v>
      </c>
      <c r="FM5" s="1">
        <f t="shared" ref="FM5:FM31" si="53">CF5*$BT5+DA5*$CO5</f>
        <v>0</v>
      </c>
      <c r="FN5" s="1">
        <f t="shared" ref="FN5:FN31" si="54">CG5*$BT5+DB5*$CO5</f>
        <v>0</v>
      </c>
      <c r="FO5" s="1">
        <f t="shared" ref="FO5:FO31" si="55">CH5*$BT5+DC5*$CO5</f>
        <v>0</v>
      </c>
      <c r="FP5" s="1">
        <f t="shared" ref="FP5:FP31" si="56">(CI5*$BT5+DD5*$CO5)/100</f>
        <v>0</v>
      </c>
      <c r="FQ5" s="1">
        <f t="shared" ref="FQ5:FQ31" si="57">(CJ5*$BT5+DE5*$CO5)/100</f>
        <v>0</v>
      </c>
      <c r="FS5" s="1">
        <f t="shared" ref="FS5:FS31" si="58">CL5*$BT5+DG5*$CO5</f>
        <v>0</v>
      </c>
      <c r="FT5" s="1">
        <f t="shared" ref="FT5:FT31" si="59">(CM5*$BT5+DH5*$CO5)/100</f>
        <v>0</v>
      </c>
      <c r="FU5" s="38">
        <f t="shared" ref="FU5:FU31" si="60">FU$1*FB5</f>
        <v>0</v>
      </c>
      <c r="FV5" s="38">
        <f t="shared" ref="FV5:FV31" si="61">FV$1*FC5/1000000</f>
        <v>0</v>
      </c>
      <c r="FW5" s="38">
        <f t="shared" ref="FW5:FW31" si="62">FW$1*FD5/1000000</f>
        <v>0</v>
      </c>
      <c r="FX5" s="38">
        <f t="shared" ref="FX5:FX31" si="63">FX$1*FE5</f>
        <v>0</v>
      </c>
      <c r="FY5" s="38">
        <f t="shared" ref="FY5:FY31" si="64">FY$1*FF5</f>
        <v>0</v>
      </c>
      <c r="FZ5" s="38">
        <f t="shared" ref="FZ5:FZ31" si="65">FZ$1*FG5</f>
        <v>0</v>
      </c>
      <c r="GA5" s="38">
        <f t="shared" ref="GA5:GA31" si="66">GA$1*FH5</f>
        <v>0</v>
      </c>
      <c r="GB5" s="38">
        <f t="shared" ref="GB5:GB31" si="67">GB$1*FI5</f>
        <v>0</v>
      </c>
      <c r="GC5" s="38">
        <f t="shared" ref="GC5:GC31" si="68">GC$1*FJ5</f>
        <v>0</v>
      </c>
      <c r="GD5" s="38">
        <f t="shared" ref="GD5:GD31" si="69">GD$1*FK5/1000000</f>
        <v>0</v>
      </c>
      <c r="GE5" s="38">
        <f t="shared" ref="GE5:GE31" si="70">GE$1*FL5/1000000</f>
        <v>0</v>
      </c>
      <c r="GF5" s="38">
        <f t="shared" ref="GF5:GF31" si="71">GF$1*FM5/1000000</f>
        <v>0</v>
      </c>
      <c r="GG5" s="38">
        <f t="shared" ref="GG5:GG31" si="72">GG$1*FN5/1000000</f>
        <v>0</v>
      </c>
      <c r="GH5" s="38">
        <f t="shared" ref="GH5:GH31" si="73">GH$1*FO5/1000000</f>
        <v>0</v>
      </c>
      <c r="GI5" s="38">
        <f t="shared" ref="GI5:GI31" si="74">GI$1*FP5</f>
        <v>0</v>
      </c>
      <c r="GJ5" s="38">
        <f t="shared" ref="GJ5:GJ31" si="75">GJ$1*FQ5</f>
        <v>0</v>
      </c>
      <c r="GL5" s="38">
        <f t="shared" ref="GL5:GL31" si="76">GL$1*FS5/1000000</f>
        <v>0</v>
      </c>
      <c r="GM5" s="38">
        <f t="shared" ref="GM5:GM31" si="77">GM$1*FT5</f>
        <v>0</v>
      </c>
      <c r="GN5" s="1" t="s">
        <v>2</v>
      </c>
      <c r="GO5" s="4">
        <f t="shared" ref="GO5:GO31" si="78">I5+AD5+AY5</f>
        <v>2411.5100000000002</v>
      </c>
      <c r="GP5" s="13">
        <f t="shared" ref="GP5:GP31" si="79">(I5*Q5+AD5*AL5+AY5*BG5)/GO5</f>
        <v>0.11597529763509169</v>
      </c>
      <c r="GQ5" s="43">
        <f t="shared" ref="GQ5:GQ31" si="80">1000*GO5*GP5/100</f>
        <v>2796.7558999999997</v>
      </c>
      <c r="GR5" s="41">
        <f t="shared" ref="GR5:GR31" si="81">SUM(EI5:FA5)</f>
        <v>36676.656872599997</v>
      </c>
      <c r="GS5" s="14">
        <f t="shared" ref="GS5:GS31" si="82">GR5/GO5</f>
        <v>15.209000531865923</v>
      </c>
      <c r="GT5" s="1">
        <f>1000*(Q5*$I5)/100</f>
        <v>0</v>
      </c>
      <c r="GU5" s="1">
        <f>1000*(AL5*$AD5)/100</f>
        <v>2307.0223000000001</v>
      </c>
      <c r="GV5" s="1">
        <f>1000*(BG5*$AY5)/100</f>
        <v>489.73360000000002</v>
      </c>
      <c r="GW5" s="37">
        <f t="shared" ref="GW5:GW31" si="83">BT5+CO5</f>
        <v>0</v>
      </c>
      <c r="GX5" s="37"/>
      <c r="GY5" s="37"/>
      <c r="GZ5" s="37"/>
      <c r="HB5" s="1">
        <f>1000*(CB5*$BT5)/100</f>
        <v>0</v>
      </c>
      <c r="HC5" s="1">
        <f>1000*(CW5*$CO5)/100</f>
        <v>0</v>
      </c>
      <c r="HD5" s="37" t="s">
        <v>2</v>
      </c>
      <c r="HE5" s="1" t="s">
        <v>118</v>
      </c>
      <c r="HF5" s="1" t="s">
        <v>665</v>
      </c>
      <c r="HG5" s="1" t="s">
        <v>666</v>
      </c>
      <c r="HH5" s="1" t="s">
        <v>667</v>
      </c>
      <c r="HI5" s="1" t="s">
        <v>96</v>
      </c>
      <c r="HJ5" s="37" t="s">
        <v>2</v>
      </c>
      <c r="HK5" s="37" t="s">
        <v>118</v>
      </c>
      <c r="HL5" s="37" t="s">
        <v>665</v>
      </c>
      <c r="HM5" s="37" t="s">
        <v>96</v>
      </c>
      <c r="HN5" s="45">
        <f>GT5</f>
        <v>0</v>
      </c>
      <c r="HO5" s="42">
        <f t="shared" ref="HO5:HP5" si="84">GU5</f>
        <v>2307.0223000000001</v>
      </c>
      <c r="HP5" s="41">
        <f t="shared" si="84"/>
        <v>489.73360000000002</v>
      </c>
      <c r="HQ5" s="42">
        <f>GO5</f>
        <v>2411.5100000000002</v>
      </c>
      <c r="HR5" s="44">
        <f t="shared" ref="HR5:HR21" si="85">100*(HU5/1000)/HQ5</f>
        <v>0.11597529763509168</v>
      </c>
      <c r="HS5" s="44">
        <f>GP5</f>
        <v>0.11597529763509169</v>
      </c>
      <c r="HT5" s="44">
        <f>GP5</f>
        <v>0.11597529763509169</v>
      </c>
      <c r="HU5" s="42">
        <f>GQ5</f>
        <v>2796.7558999999997</v>
      </c>
      <c r="HV5" s="42">
        <f>GS5</f>
        <v>15.209000531865923</v>
      </c>
      <c r="HW5" s="37">
        <f>COUNT(GQ5)</f>
        <v>1</v>
      </c>
      <c r="HX5" s="45">
        <f>HB5</f>
        <v>0</v>
      </c>
      <c r="HY5" s="45">
        <f>HC5</f>
        <v>0</v>
      </c>
      <c r="HZ5" s="37" t="s">
        <v>1318</v>
      </c>
      <c r="IA5" s="37" t="s">
        <v>1318</v>
      </c>
      <c r="IB5" s="37" t="s">
        <v>1318</v>
      </c>
      <c r="IC5" s="37" t="s">
        <v>1318</v>
      </c>
      <c r="ID5" s="37">
        <f>COUNT(GY5)</f>
        <v>0</v>
      </c>
      <c r="IF5" s="1">
        <f t="shared" ref="IF5:IN5" si="86">100*EI5/SUM($EI5:$FA5)</f>
        <v>0</v>
      </c>
      <c r="IG5" s="1">
        <f t="shared" si="86"/>
        <v>0</v>
      </c>
      <c r="IH5" s="1">
        <f t="shared" si="86"/>
        <v>0</v>
      </c>
      <c r="II5" s="1">
        <f t="shared" si="86"/>
        <v>0</v>
      </c>
      <c r="IJ5" s="1">
        <f t="shared" si="86"/>
        <v>0</v>
      </c>
      <c r="IK5" s="1">
        <f t="shared" si="86"/>
        <v>0</v>
      </c>
      <c r="IL5" s="1">
        <f t="shared" si="86"/>
        <v>0</v>
      </c>
      <c r="IM5" s="1">
        <f t="shared" si="86"/>
        <v>100</v>
      </c>
      <c r="IN5" s="1">
        <f t="shared" si="86"/>
        <v>0</v>
      </c>
      <c r="IO5" s="1">
        <f>100*SUM(ER5:EV5)/SUM($EI5:$FA5)</f>
        <v>0</v>
      </c>
      <c r="IP5" s="1">
        <f>100*EW5/SUM($EI5:$FA5)</f>
        <v>0</v>
      </c>
      <c r="IQ5" s="1">
        <f>100*EX5/SUM($EI5:$FA5)</f>
        <v>0</v>
      </c>
      <c r="IR5" s="1">
        <f>100*EZ5/SUM($EI5:$FA5)</f>
        <v>0</v>
      </c>
      <c r="IS5" s="1">
        <f>100*FA5/SUM($EI5:$FA5)</f>
        <v>0</v>
      </c>
      <c r="JH5" s="58" t="s">
        <v>2</v>
      </c>
    </row>
    <row r="6" spans="1:268" ht="16.25" customHeight="1" x14ac:dyDescent="0.2">
      <c r="A6" s="16" t="s">
        <v>602</v>
      </c>
      <c r="B6" s="1" t="s">
        <v>69</v>
      </c>
      <c r="F6" s="1" t="s">
        <v>603</v>
      </c>
      <c r="H6" s="1" t="s">
        <v>70</v>
      </c>
      <c r="I6" s="14">
        <v>19</v>
      </c>
      <c r="J6" s="1">
        <v>0.06</v>
      </c>
      <c r="Q6" s="1">
        <v>0.79</v>
      </c>
      <c r="R6" s="1">
        <v>1.4500000000000001E-2</v>
      </c>
      <c r="AD6" s="1">
        <v>21.4</v>
      </c>
      <c r="AE6" s="1">
        <v>7.0000000000000007E-2</v>
      </c>
      <c r="AL6" s="1">
        <v>0.77</v>
      </c>
      <c r="AM6" s="1">
        <v>1.23E-2</v>
      </c>
      <c r="AY6" s="1">
        <v>0</v>
      </c>
      <c r="BT6" s="1">
        <v>0</v>
      </c>
      <c r="CO6" s="1">
        <v>0</v>
      </c>
      <c r="DJ6" s="1" t="s">
        <v>163</v>
      </c>
      <c r="DK6" s="1" t="s">
        <v>163</v>
      </c>
      <c r="DL6" s="1">
        <f t="shared" si="4"/>
        <v>0.77940594059405943</v>
      </c>
      <c r="DM6" s="1">
        <f t="shared" si="5"/>
        <v>1.3334653465346537E-2</v>
      </c>
      <c r="DN6" s="1" t="s">
        <v>604</v>
      </c>
      <c r="DO6" s="1" t="s">
        <v>2</v>
      </c>
      <c r="DP6" s="38">
        <f t="shared" si="6"/>
        <v>2.6380000000000001E-2</v>
      </c>
      <c r="DQ6" s="38">
        <f t="shared" si="7"/>
        <v>0</v>
      </c>
      <c r="DR6" s="38">
        <f t="shared" si="8"/>
        <v>0</v>
      </c>
      <c r="DS6" s="38">
        <f t="shared" si="9"/>
        <v>0</v>
      </c>
      <c r="DT6" s="38">
        <f t="shared" si="10"/>
        <v>0</v>
      </c>
      <c r="DU6" s="38">
        <f t="shared" si="11"/>
        <v>0</v>
      </c>
      <c r="DV6" s="38">
        <f t="shared" si="12"/>
        <v>0</v>
      </c>
      <c r="DW6" s="38">
        <f t="shared" si="13"/>
        <v>0.31487999999999999</v>
      </c>
      <c r="DX6" s="38">
        <f t="shared" si="14"/>
        <v>5.3872000000000008E-3</v>
      </c>
      <c r="DY6" s="38">
        <f t="shared" si="15"/>
        <v>0</v>
      </c>
      <c r="DZ6" s="38">
        <f t="shared" si="16"/>
        <v>0</v>
      </c>
      <c r="EA6" s="38">
        <f t="shared" si="17"/>
        <v>0</v>
      </c>
      <c r="EB6" s="38">
        <f t="shared" si="18"/>
        <v>0</v>
      </c>
      <c r="EC6" s="38">
        <f t="shared" si="19"/>
        <v>0</v>
      </c>
      <c r="ED6" s="38">
        <f t="shared" si="20"/>
        <v>0</v>
      </c>
      <c r="EE6" s="38">
        <f t="shared" si="21"/>
        <v>0</v>
      </c>
      <c r="EG6" s="38">
        <f t="shared" si="22"/>
        <v>0</v>
      </c>
      <c r="EH6" s="38">
        <f t="shared" si="23"/>
        <v>0</v>
      </c>
      <c r="EI6" s="38">
        <f t="shared" si="24"/>
        <v>172.14575008</v>
      </c>
      <c r="EJ6" s="38">
        <f t="shared" si="25"/>
        <v>0</v>
      </c>
      <c r="EK6" s="38">
        <f t="shared" si="26"/>
        <v>0</v>
      </c>
      <c r="EL6" s="38">
        <f t="shared" si="27"/>
        <v>0</v>
      </c>
      <c r="EM6" s="38">
        <f t="shared" si="28"/>
        <v>0</v>
      </c>
      <c r="EN6" s="38">
        <f t="shared" si="29"/>
        <v>0</v>
      </c>
      <c r="EO6" s="38">
        <f t="shared" si="30"/>
        <v>0</v>
      </c>
      <c r="EP6" s="38">
        <f t="shared" si="31"/>
        <v>4129.3363200000003</v>
      </c>
      <c r="EQ6" s="38">
        <f t="shared" si="32"/>
        <v>391.21589969280001</v>
      </c>
      <c r="ER6" s="38">
        <f t="shared" si="33"/>
        <v>0</v>
      </c>
      <c r="ES6" s="38">
        <f t="shared" si="34"/>
        <v>0</v>
      </c>
      <c r="ET6" s="38">
        <f t="shared" si="35"/>
        <v>0</v>
      </c>
      <c r="EU6" s="38">
        <f t="shared" si="36"/>
        <v>0</v>
      </c>
      <c r="EV6" s="38">
        <f t="shared" si="37"/>
        <v>0</v>
      </c>
      <c r="EW6" s="38">
        <f t="shared" si="38"/>
        <v>0</v>
      </c>
      <c r="EX6" s="38">
        <f t="shared" si="39"/>
        <v>0</v>
      </c>
      <c r="EZ6" s="38">
        <f t="shared" si="40"/>
        <v>0</v>
      </c>
      <c r="FA6" s="38">
        <f t="shared" si="41"/>
        <v>0</v>
      </c>
      <c r="FB6" s="1">
        <f t="shared" si="42"/>
        <v>0</v>
      </c>
      <c r="FC6" s="1">
        <f t="shared" si="43"/>
        <v>0</v>
      </c>
      <c r="FD6" s="1">
        <f t="shared" si="44"/>
        <v>0</v>
      </c>
      <c r="FE6" s="1">
        <f t="shared" si="45"/>
        <v>0</v>
      </c>
      <c r="FF6" s="1">
        <f t="shared" si="46"/>
        <v>0</v>
      </c>
      <c r="FG6" s="1">
        <f t="shared" si="47"/>
        <v>0</v>
      </c>
      <c r="FH6" s="1">
        <f t="shared" si="48"/>
        <v>0</v>
      </c>
      <c r="FI6" s="1">
        <f t="shared" si="49"/>
        <v>0</v>
      </c>
      <c r="FJ6" s="1">
        <f t="shared" si="50"/>
        <v>0</v>
      </c>
      <c r="FK6" s="1">
        <f t="shared" si="51"/>
        <v>0</v>
      </c>
      <c r="FL6" s="1">
        <f t="shared" si="52"/>
        <v>0</v>
      </c>
      <c r="FM6" s="1">
        <f t="shared" si="53"/>
        <v>0</v>
      </c>
      <c r="FN6" s="1">
        <f t="shared" si="54"/>
        <v>0</v>
      </c>
      <c r="FO6" s="1">
        <f t="shared" si="55"/>
        <v>0</v>
      </c>
      <c r="FP6" s="1">
        <f t="shared" si="56"/>
        <v>0</v>
      </c>
      <c r="FQ6" s="1">
        <f t="shared" si="57"/>
        <v>0</v>
      </c>
      <c r="FS6" s="1">
        <f t="shared" si="58"/>
        <v>0</v>
      </c>
      <c r="FT6" s="1">
        <f t="shared" si="59"/>
        <v>0</v>
      </c>
      <c r="FU6" s="38">
        <f t="shared" si="60"/>
        <v>0</v>
      </c>
      <c r="FV6" s="38">
        <f t="shared" si="61"/>
        <v>0</v>
      </c>
      <c r="FW6" s="38">
        <f t="shared" si="62"/>
        <v>0</v>
      </c>
      <c r="FX6" s="38">
        <f t="shared" si="63"/>
        <v>0</v>
      </c>
      <c r="FY6" s="38">
        <f t="shared" si="64"/>
        <v>0</v>
      </c>
      <c r="FZ6" s="38">
        <f t="shared" si="65"/>
        <v>0</v>
      </c>
      <c r="GA6" s="38">
        <f t="shared" si="66"/>
        <v>0</v>
      </c>
      <c r="GB6" s="38">
        <f t="shared" si="67"/>
        <v>0</v>
      </c>
      <c r="GC6" s="38">
        <f t="shared" si="68"/>
        <v>0</v>
      </c>
      <c r="GD6" s="38">
        <f t="shared" si="69"/>
        <v>0</v>
      </c>
      <c r="GE6" s="38">
        <f t="shared" si="70"/>
        <v>0</v>
      </c>
      <c r="GF6" s="38">
        <f t="shared" si="71"/>
        <v>0</v>
      </c>
      <c r="GG6" s="38">
        <f t="shared" si="72"/>
        <v>0</v>
      </c>
      <c r="GH6" s="38">
        <f t="shared" si="73"/>
        <v>0</v>
      </c>
      <c r="GI6" s="38">
        <f t="shared" si="74"/>
        <v>0</v>
      </c>
      <c r="GJ6" s="38">
        <f t="shared" si="75"/>
        <v>0</v>
      </c>
      <c r="GL6" s="38">
        <f t="shared" si="76"/>
        <v>0</v>
      </c>
      <c r="GM6" s="38">
        <f t="shared" si="77"/>
        <v>0</v>
      </c>
      <c r="GN6" s="1" t="s">
        <v>2</v>
      </c>
      <c r="GO6" s="1">
        <f t="shared" si="78"/>
        <v>40.4</v>
      </c>
      <c r="GP6" s="13">
        <f t="shared" si="79"/>
        <v>0.77940594059405943</v>
      </c>
      <c r="GQ6" s="41">
        <f t="shared" si="80"/>
        <v>314.88</v>
      </c>
      <c r="GR6" s="41">
        <f t="shared" si="81"/>
        <v>4692.6979697728002</v>
      </c>
      <c r="GS6" s="14">
        <f t="shared" si="82"/>
        <v>116.1558903409109</v>
      </c>
      <c r="GT6" s="1">
        <f t="shared" ref="GT6:GT31" si="87">1000*(Q6*$I6)/100</f>
        <v>150.10000000000002</v>
      </c>
      <c r="GU6" s="1">
        <f t="shared" ref="GU6:GU31" si="88">1000*(AL6*$AD6)/100</f>
        <v>164.77999999999997</v>
      </c>
      <c r="GV6" s="1">
        <f t="shared" ref="GV6:GV31" si="89">1000*(BG6*$AY6)/100</f>
        <v>0</v>
      </c>
      <c r="GW6" s="37">
        <f t="shared" si="83"/>
        <v>0</v>
      </c>
      <c r="GX6" s="37"/>
      <c r="GY6" s="37"/>
      <c r="GZ6" s="37"/>
      <c r="HB6" s="1">
        <f t="shared" ref="HB6:HB31" si="90">1000*(CB6*$BT6)/100</f>
        <v>0</v>
      </c>
      <c r="HC6" s="1">
        <f t="shared" ref="HC6:HC31" si="91">1000*(CW6*$CO6)/100</f>
        <v>0</v>
      </c>
      <c r="HD6" s="37" t="s">
        <v>2</v>
      </c>
      <c r="HE6" s="1" t="s">
        <v>118</v>
      </c>
      <c r="HF6" s="1" t="s">
        <v>68</v>
      </c>
      <c r="HI6" s="1" t="s">
        <v>163</v>
      </c>
      <c r="HJ6" s="37" t="s">
        <v>2</v>
      </c>
      <c r="HK6" s="37" t="s">
        <v>118</v>
      </c>
      <c r="HL6" s="37" t="s">
        <v>68</v>
      </c>
      <c r="HM6" s="37" t="s">
        <v>96</v>
      </c>
      <c r="HN6" s="45">
        <f>SUM(GT7:GT9,GT11:GT14)</f>
        <v>0</v>
      </c>
      <c r="HO6" s="41">
        <f t="shared" ref="HO6:HP6" si="92">SUM(GU7:GU9,GU11:GU14)</f>
        <v>88.091441599999996</v>
      </c>
      <c r="HP6" s="41">
        <f t="shared" si="92"/>
        <v>31.201328099999998</v>
      </c>
      <c r="HQ6" s="41">
        <f>SUM(GO7:GO9,GO11:GO14)</f>
        <v>62.253066000000004</v>
      </c>
      <c r="HR6" s="44">
        <f t="shared" si="85"/>
        <v>0.19162553327092352</v>
      </c>
      <c r="HS6" s="44">
        <f>MIN(GP7:GP9,GP11:GP14)</f>
        <v>0.05</v>
      </c>
      <c r="HT6" s="44">
        <f>MAX(GP7:GP9,GP11:GP14)</f>
        <v>0.7927522935779816</v>
      </c>
      <c r="HU6" s="41">
        <f>SUM(GQ7:GQ9,GQ11:GQ14)</f>
        <v>119.29276969999998</v>
      </c>
      <c r="HV6" s="41">
        <f>SUM(GR6:GR14)/SUM(GO6:GO14)</f>
        <v>77.188172748004575</v>
      </c>
      <c r="HW6" s="37">
        <f>COUNT(GQ7:GQ9,GQ11:GQ14)</f>
        <v>7</v>
      </c>
      <c r="HX6" s="45">
        <f>SUM(HB7:HB9,HB11:HB14)</f>
        <v>0</v>
      </c>
      <c r="HY6" s="45">
        <f>SUM(HC7:HC9,HC11:HC14)</f>
        <v>0</v>
      </c>
      <c r="HZ6" s="37" t="s">
        <v>1318</v>
      </c>
      <c r="IA6" s="37" t="s">
        <v>1318</v>
      </c>
      <c r="IB6" s="37" t="s">
        <v>1318</v>
      </c>
      <c r="IC6" s="37" t="s">
        <v>1318</v>
      </c>
      <c r="ID6" s="37">
        <f>COUNT(GY7:GY9,GY11:GY14)</f>
        <v>0</v>
      </c>
      <c r="IF6" s="14">
        <f t="shared" ref="IF6:IN6" si="93">100*SUM(EI7:EI9,EI11:EI14)/SUM($EI7:$FA9,$EI11:$FA14)</f>
        <v>9.497090612731947</v>
      </c>
      <c r="IG6" s="38">
        <f t="shared" si="93"/>
        <v>0</v>
      </c>
      <c r="IH6" s="38">
        <f t="shared" si="93"/>
        <v>0</v>
      </c>
      <c r="II6" s="38">
        <f t="shared" si="93"/>
        <v>0</v>
      </c>
      <c r="IJ6" s="38">
        <f t="shared" si="93"/>
        <v>0</v>
      </c>
      <c r="IK6" s="38">
        <f t="shared" si="93"/>
        <v>0</v>
      </c>
      <c r="IL6" s="14">
        <f t="shared" si="93"/>
        <v>12.657718988771908</v>
      </c>
      <c r="IM6" s="14">
        <f t="shared" si="93"/>
        <v>48.284232842424359</v>
      </c>
      <c r="IN6" s="14">
        <f t="shared" si="93"/>
        <v>12.839657161640673</v>
      </c>
      <c r="IO6" s="14">
        <f>100*SUM(ER7:EV9,ER11:EV14)/SUM($EI7:$FA9,$EI11:$FA14)</f>
        <v>3.933769641688611</v>
      </c>
      <c r="IP6" s="38">
        <f>100*SUM(EW7:EW9,EW11:EW14)/SUM($EI7:$FA9,$EI11:$FA14)</f>
        <v>0</v>
      </c>
      <c r="IQ6" s="14">
        <f>100*SUM(EX7:EX9,EX11:EX14)/SUM($EI7:$FA9,$EI11:$FA14)</f>
        <v>12.787530752742503</v>
      </c>
      <c r="IR6" s="38">
        <f>100*SUM(EZ7:EZ9,EZ11:EZ14)/SUM($EI7:$FA9,$EI11:$FA14)</f>
        <v>0</v>
      </c>
      <c r="IS6" s="38">
        <f>100*SUM(FA7:FA9,FA11:FA14)/SUM($EI7:$FA9,$EI11:$FA14)</f>
        <v>0</v>
      </c>
      <c r="JH6" s="58" t="s">
        <v>2</v>
      </c>
    </row>
    <row r="7" spans="1:268" ht="16.25" customHeight="1" x14ac:dyDescent="0.2">
      <c r="A7" s="16" t="s">
        <v>936</v>
      </c>
      <c r="B7" s="1" t="s">
        <v>69</v>
      </c>
      <c r="F7" s="1" t="s">
        <v>131</v>
      </c>
      <c r="I7" s="1">
        <v>0</v>
      </c>
      <c r="AD7" s="1">
        <v>0</v>
      </c>
      <c r="AY7" s="1">
        <v>16.5</v>
      </c>
      <c r="AZ7" s="1">
        <v>0.03</v>
      </c>
      <c r="BF7" s="1">
        <v>0.06</v>
      </c>
      <c r="BG7" s="1">
        <v>0.05</v>
      </c>
      <c r="BO7" s="1">
        <v>27</v>
      </c>
      <c r="BT7" s="1">
        <v>0</v>
      </c>
      <c r="CO7" s="1">
        <v>0</v>
      </c>
      <c r="DJ7" s="1" t="s">
        <v>96</v>
      </c>
      <c r="DL7" s="1">
        <f t="shared" si="4"/>
        <v>0.05</v>
      </c>
      <c r="DM7" s="1">
        <f t="shared" si="5"/>
        <v>0</v>
      </c>
      <c r="DN7" s="1" t="s">
        <v>919</v>
      </c>
      <c r="DO7" s="1" t="s">
        <v>2</v>
      </c>
      <c r="DP7" s="38">
        <f t="shared" si="6"/>
        <v>4.9499999999999995E-3</v>
      </c>
      <c r="DQ7" s="38">
        <f t="shared" si="7"/>
        <v>0</v>
      </c>
      <c r="DR7" s="38">
        <f t="shared" si="8"/>
        <v>0</v>
      </c>
      <c r="DS7" s="38">
        <f t="shared" si="9"/>
        <v>0</v>
      </c>
      <c r="DT7" s="38">
        <f t="shared" si="10"/>
        <v>0</v>
      </c>
      <c r="DU7" s="38">
        <f t="shared" si="11"/>
        <v>0</v>
      </c>
      <c r="DV7" s="38">
        <f t="shared" si="12"/>
        <v>9.8999999999999991E-3</v>
      </c>
      <c r="DW7" s="38">
        <f t="shared" si="13"/>
        <v>8.2500000000000004E-3</v>
      </c>
      <c r="DX7" s="38">
        <f t="shared" si="14"/>
        <v>0</v>
      </c>
      <c r="DY7" s="38">
        <f t="shared" si="15"/>
        <v>0</v>
      </c>
      <c r="DZ7" s="38">
        <f t="shared" si="16"/>
        <v>0</v>
      </c>
      <c r="EA7" s="38">
        <f t="shared" si="17"/>
        <v>0</v>
      </c>
      <c r="EB7" s="38">
        <f t="shared" si="18"/>
        <v>0</v>
      </c>
      <c r="EC7" s="38">
        <f t="shared" si="19"/>
        <v>0</v>
      </c>
      <c r="ED7" s="38">
        <f t="shared" si="20"/>
        <v>0</v>
      </c>
      <c r="EE7" s="38">
        <f t="shared" si="21"/>
        <v>4.4550000000000001</v>
      </c>
      <c r="EG7" s="38">
        <f t="shared" si="22"/>
        <v>0</v>
      </c>
      <c r="EH7" s="38">
        <f t="shared" si="23"/>
        <v>0</v>
      </c>
      <c r="EI7" s="38">
        <f t="shared" si="24"/>
        <v>32.301799199999998</v>
      </c>
      <c r="EJ7" s="38">
        <f t="shared" si="25"/>
        <v>0</v>
      </c>
      <c r="EK7" s="38">
        <f t="shared" si="26"/>
        <v>0</v>
      </c>
      <c r="EL7" s="38">
        <f t="shared" si="27"/>
        <v>0</v>
      </c>
      <c r="EM7" s="38">
        <f t="shared" si="28"/>
        <v>0</v>
      </c>
      <c r="EN7" s="38">
        <f t="shared" si="29"/>
        <v>0</v>
      </c>
      <c r="EO7" s="38">
        <f t="shared" si="30"/>
        <v>28.962491579999995</v>
      </c>
      <c r="EP7" s="38">
        <f t="shared" si="31"/>
        <v>108.1905</v>
      </c>
      <c r="EQ7" s="38">
        <f t="shared" si="32"/>
        <v>0</v>
      </c>
      <c r="ER7" s="38">
        <f t="shared" si="33"/>
        <v>0</v>
      </c>
      <c r="ES7" s="38">
        <f t="shared" si="34"/>
        <v>0</v>
      </c>
      <c r="ET7" s="38">
        <f t="shared" si="35"/>
        <v>0</v>
      </c>
      <c r="EU7" s="38">
        <f t="shared" si="36"/>
        <v>0</v>
      </c>
      <c r="EV7" s="38">
        <f t="shared" si="37"/>
        <v>0</v>
      </c>
      <c r="EW7" s="38">
        <f t="shared" si="38"/>
        <v>0</v>
      </c>
      <c r="EX7" s="38">
        <f t="shared" si="39"/>
        <v>414.315</v>
      </c>
      <c r="EZ7" s="38">
        <f t="shared" si="40"/>
        <v>0</v>
      </c>
      <c r="FA7" s="38">
        <f t="shared" si="41"/>
        <v>0</v>
      </c>
      <c r="FB7" s="1">
        <f t="shared" si="42"/>
        <v>0</v>
      </c>
      <c r="FC7" s="1">
        <f t="shared" si="43"/>
        <v>0</v>
      </c>
      <c r="FD7" s="1">
        <f t="shared" si="44"/>
        <v>0</v>
      </c>
      <c r="FE7" s="1">
        <f t="shared" si="45"/>
        <v>0</v>
      </c>
      <c r="FF7" s="1">
        <f t="shared" si="46"/>
        <v>0</v>
      </c>
      <c r="FG7" s="1">
        <f t="shared" si="47"/>
        <v>0</v>
      </c>
      <c r="FH7" s="1">
        <f t="shared" si="48"/>
        <v>0</v>
      </c>
      <c r="FI7" s="1">
        <f t="shared" si="49"/>
        <v>0</v>
      </c>
      <c r="FJ7" s="1">
        <f t="shared" si="50"/>
        <v>0</v>
      </c>
      <c r="FK7" s="1">
        <f t="shared" si="51"/>
        <v>0</v>
      </c>
      <c r="FL7" s="1">
        <f t="shared" si="52"/>
        <v>0</v>
      </c>
      <c r="FM7" s="1">
        <f t="shared" si="53"/>
        <v>0</v>
      </c>
      <c r="FN7" s="1">
        <f t="shared" si="54"/>
        <v>0</v>
      </c>
      <c r="FO7" s="1">
        <f t="shared" si="55"/>
        <v>0</v>
      </c>
      <c r="FP7" s="1">
        <f t="shared" si="56"/>
        <v>0</v>
      </c>
      <c r="FQ7" s="1">
        <f t="shared" si="57"/>
        <v>0</v>
      </c>
      <c r="FS7" s="1">
        <f t="shared" si="58"/>
        <v>0</v>
      </c>
      <c r="FT7" s="1">
        <f t="shared" si="59"/>
        <v>0</v>
      </c>
      <c r="FU7" s="38">
        <f t="shared" si="60"/>
        <v>0</v>
      </c>
      <c r="FV7" s="38">
        <f t="shared" si="61"/>
        <v>0</v>
      </c>
      <c r="FW7" s="38">
        <f t="shared" si="62"/>
        <v>0</v>
      </c>
      <c r="FX7" s="38">
        <f t="shared" si="63"/>
        <v>0</v>
      </c>
      <c r="FY7" s="38">
        <f t="shared" si="64"/>
        <v>0</v>
      </c>
      <c r="FZ7" s="38">
        <f t="shared" si="65"/>
        <v>0</v>
      </c>
      <c r="GA7" s="38">
        <f t="shared" si="66"/>
        <v>0</v>
      </c>
      <c r="GB7" s="38">
        <f t="shared" si="67"/>
        <v>0</v>
      </c>
      <c r="GC7" s="38">
        <f t="shared" si="68"/>
        <v>0</v>
      </c>
      <c r="GD7" s="38">
        <f t="shared" si="69"/>
        <v>0</v>
      </c>
      <c r="GE7" s="38">
        <f t="shared" si="70"/>
        <v>0</v>
      </c>
      <c r="GF7" s="38">
        <f t="shared" si="71"/>
        <v>0</v>
      </c>
      <c r="GG7" s="38">
        <f t="shared" si="72"/>
        <v>0</v>
      </c>
      <c r="GH7" s="38">
        <f t="shared" si="73"/>
        <v>0</v>
      </c>
      <c r="GI7" s="38">
        <f t="shared" si="74"/>
        <v>0</v>
      </c>
      <c r="GJ7" s="38">
        <f t="shared" si="75"/>
        <v>0</v>
      </c>
      <c r="GL7" s="38">
        <f t="shared" si="76"/>
        <v>0</v>
      </c>
      <c r="GM7" s="38">
        <f t="shared" si="77"/>
        <v>0</v>
      </c>
      <c r="GN7" s="1" t="s">
        <v>2</v>
      </c>
      <c r="GO7" s="1">
        <f t="shared" si="78"/>
        <v>16.5</v>
      </c>
      <c r="GP7" s="1">
        <f t="shared" si="79"/>
        <v>0.05</v>
      </c>
      <c r="GQ7" s="41">
        <f t="shared" si="80"/>
        <v>8.25</v>
      </c>
      <c r="GR7" s="41">
        <f t="shared" si="81"/>
        <v>583.76979077999999</v>
      </c>
      <c r="GS7" s="14">
        <f t="shared" si="82"/>
        <v>35.379987319999998</v>
      </c>
      <c r="GT7" s="1">
        <f t="shared" si="87"/>
        <v>0</v>
      </c>
      <c r="GU7" s="1">
        <f t="shared" si="88"/>
        <v>0</v>
      </c>
      <c r="GV7" s="1">
        <f t="shared" si="89"/>
        <v>8.2500000000000018</v>
      </c>
      <c r="GW7" s="37">
        <f t="shared" si="83"/>
        <v>0</v>
      </c>
      <c r="GX7" s="37"/>
      <c r="GY7" s="37"/>
      <c r="GZ7" s="37"/>
      <c r="HB7" s="1">
        <f t="shared" si="90"/>
        <v>0</v>
      </c>
      <c r="HC7" s="1">
        <f t="shared" si="91"/>
        <v>0</v>
      </c>
      <c r="HD7" s="37" t="s">
        <v>2</v>
      </c>
      <c r="HE7" s="1" t="s">
        <v>118</v>
      </c>
      <c r="HF7" s="1" t="s">
        <v>68</v>
      </c>
      <c r="HI7" s="1" t="s">
        <v>96</v>
      </c>
      <c r="HJ7" s="37" t="s">
        <v>2</v>
      </c>
      <c r="HK7" s="37" t="s">
        <v>118</v>
      </c>
      <c r="HL7" s="37" t="s">
        <v>68</v>
      </c>
      <c r="HM7" s="37" t="s">
        <v>163</v>
      </c>
      <c r="HN7" s="45">
        <f>SUM(GT6,GT10)</f>
        <v>150.10000000000002</v>
      </c>
      <c r="HO7" s="41">
        <f t="shared" ref="HO7:HP7" si="94">SUM(GU6,GU10)</f>
        <v>164.77999999999997</v>
      </c>
      <c r="HP7" s="41">
        <f t="shared" si="94"/>
        <v>2.25</v>
      </c>
      <c r="HQ7" s="37">
        <f>SUM(GO6,GO10)</f>
        <v>40.9</v>
      </c>
      <c r="HR7" s="44">
        <f t="shared" si="85"/>
        <v>0.77537897310513448</v>
      </c>
      <c r="HS7" s="44">
        <f>MIN(GP6,GP10)</f>
        <v>0.45</v>
      </c>
      <c r="HT7" s="44">
        <f>MAX(GP6,GP10)</f>
        <v>0.77940594059405943</v>
      </c>
      <c r="HU7" s="41">
        <f>SUM(GQ6,GQ10)</f>
        <v>317.13</v>
      </c>
      <c r="HV7" s="41">
        <f>SUM(GR6,GR10)/SUM(GO6,GO10)</f>
        <v>115.45732199933498</v>
      </c>
      <c r="HW7" s="37">
        <f>COUNT(GQ6,GQ10)</f>
        <v>2</v>
      </c>
      <c r="HX7" s="45">
        <f>SUM(HB6,HB10)</f>
        <v>0</v>
      </c>
      <c r="HY7" s="45">
        <f>SUM(HC6,HC10)</f>
        <v>0</v>
      </c>
      <c r="HZ7" s="37" t="s">
        <v>1318</v>
      </c>
      <c r="IA7" s="37" t="s">
        <v>1318</v>
      </c>
      <c r="IB7" s="37" t="s">
        <v>1318</v>
      </c>
      <c r="IC7" s="37" t="s">
        <v>1318</v>
      </c>
      <c r="ID7" s="37">
        <f>COUNT(GY6:GY10)</f>
        <v>0</v>
      </c>
      <c r="IF7" s="14">
        <f t="shared" ref="IF7:IN7" si="95">100*SUM(EI6,EI10)/SUM($EI6:$FA6,$EI10:$FA10)</f>
        <v>3.6454531179646792</v>
      </c>
      <c r="IG7" s="1">
        <f t="shared" si="95"/>
        <v>0</v>
      </c>
      <c r="IH7" s="1">
        <f t="shared" si="95"/>
        <v>0</v>
      </c>
      <c r="II7" s="1">
        <f t="shared" si="95"/>
        <v>0</v>
      </c>
      <c r="IJ7" s="1">
        <f t="shared" si="95"/>
        <v>0</v>
      </c>
      <c r="IK7" s="1">
        <f t="shared" si="95"/>
        <v>0</v>
      </c>
      <c r="IL7" s="38">
        <f t="shared" si="95"/>
        <v>0</v>
      </c>
      <c r="IM7" s="14">
        <f t="shared" si="95"/>
        <v>88.069943743882291</v>
      </c>
      <c r="IN7" s="14">
        <f t="shared" si="95"/>
        <v>8.2846031381530292</v>
      </c>
      <c r="IO7" s="38">
        <f>100*SUM(ER6:EV6,ER10:EV10)/SUM($EI6:$FA6,$EI10:$FA10)</f>
        <v>0</v>
      </c>
      <c r="IP7" s="38">
        <f>100*SUM(EW6,EW10)/SUM($EI6:$FA6,$EI10:$FA10)</f>
        <v>0</v>
      </c>
      <c r="IQ7" s="38">
        <f>100*SUM(EX6,EX10)/SUM($EI6:$FA6,$EI10:$FA10)</f>
        <v>0</v>
      </c>
      <c r="IR7" s="38">
        <f>100*SUM(EZ6,EZ10)/SUM($EI6:$FA6,$EI10:$FA10)</f>
        <v>0</v>
      </c>
      <c r="IS7" s="38">
        <f>100*SUM(FA6,FA10)/SUM($EI6:$FA6,$EI10:$FA10)</f>
        <v>0</v>
      </c>
      <c r="JH7" s="58" t="s">
        <v>2</v>
      </c>
    </row>
    <row r="8" spans="1:268" ht="16.25" customHeight="1" x14ac:dyDescent="0.2">
      <c r="A8" s="16" t="s">
        <v>942</v>
      </c>
      <c r="B8" s="1" t="s">
        <v>69</v>
      </c>
      <c r="F8" s="1" t="s">
        <v>940</v>
      </c>
      <c r="I8" s="1">
        <v>0</v>
      </c>
      <c r="AD8" s="1">
        <v>0</v>
      </c>
      <c r="AY8" s="1">
        <v>1.5</v>
      </c>
      <c r="BG8" s="1">
        <v>0.46</v>
      </c>
      <c r="BT8" s="1">
        <v>0</v>
      </c>
      <c r="CO8" s="1">
        <v>0</v>
      </c>
      <c r="DJ8" s="1" t="s">
        <v>96</v>
      </c>
      <c r="DL8" s="1">
        <f t="shared" si="4"/>
        <v>0.46</v>
      </c>
      <c r="DM8" s="1">
        <f t="shared" si="5"/>
        <v>0</v>
      </c>
      <c r="DN8" s="1" t="s">
        <v>943</v>
      </c>
      <c r="DO8" s="1" t="s">
        <v>2</v>
      </c>
      <c r="DP8" s="38">
        <f t="shared" si="6"/>
        <v>0</v>
      </c>
      <c r="DQ8" s="38">
        <f t="shared" si="7"/>
        <v>0</v>
      </c>
      <c r="DR8" s="38">
        <f t="shared" si="8"/>
        <v>0</v>
      </c>
      <c r="DS8" s="38">
        <f t="shared" si="9"/>
        <v>0</v>
      </c>
      <c r="DT8" s="38">
        <f t="shared" si="10"/>
        <v>0</v>
      </c>
      <c r="DU8" s="38">
        <f t="shared" si="11"/>
        <v>0</v>
      </c>
      <c r="DV8" s="38">
        <f t="shared" si="12"/>
        <v>0</v>
      </c>
      <c r="DW8" s="38">
        <f t="shared" si="13"/>
        <v>6.9000000000000008E-3</v>
      </c>
      <c r="DX8" s="38">
        <f t="shared" si="14"/>
        <v>0</v>
      </c>
      <c r="DY8" s="38">
        <f t="shared" si="15"/>
        <v>0</v>
      </c>
      <c r="DZ8" s="38">
        <f t="shared" si="16"/>
        <v>0</v>
      </c>
      <c r="EA8" s="38">
        <f t="shared" si="17"/>
        <v>0</v>
      </c>
      <c r="EB8" s="38">
        <f t="shared" si="18"/>
        <v>0</v>
      </c>
      <c r="EC8" s="38">
        <f t="shared" si="19"/>
        <v>0</v>
      </c>
      <c r="ED8" s="38">
        <f t="shared" si="20"/>
        <v>0</v>
      </c>
      <c r="EE8" s="38">
        <f t="shared" si="21"/>
        <v>0</v>
      </c>
      <c r="EG8" s="38">
        <f t="shared" si="22"/>
        <v>0</v>
      </c>
      <c r="EH8" s="38">
        <f t="shared" si="23"/>
        <v>0</v>
      </c>
      <c r="EI8" s="38">
        <f t="shared" si="24"/>
        <v>0</v>
      </c>
      <c r="EJ8" s="38">
        <f t="shared" si="25"/>
        <v>0</v>
      </c>
      <c r="EK8" s="38">
        <f t="shared" si="26"/>
        <v>0</v>
      </c>
      <c r="EL8" s="38">
        <f t="shared" si="27"/>
        <v>0</v>
      </c>
      <c r="EM8" s="38">
        <f t="shared" si="28"/>
        <v>0</v>
      </c>
      <c r="EN8" s="38">
        <f t="shared" si="29"/>
        <v>0</v>
      </c>
      <c r="EO8" s="38">
        <f t="shared" si="30"/>
        <v>0</v>
      </c>
      <c r="EP8" s="38">
        <f t="shared" si="31"/>
        <v>90.48660000000001</v>
      </c>
      <c r="EQ8" s="38">
        <f t="shared" si="32"/>
        <v>0</v>
      </c>
      <c r="ER8" s="38">
        <f t="shared" si="33"/>
        <v>0</v>
      </c>
      <c r="ES8" s="38">
        <f t="shared" si="34"/>
        <v>0</v>
      </c>
      <c r="ET8" s="38">
        <f t="shared" si="35"/>
        <v>0</v>
      </c>
      <c r="EU8" s="38">
        <f t="shared" si="36"/>
        <v>0</v>
      </c>
      <c r="EV8" s="38">
        <f t="shared" si="37"/>
        <v>0</v>
      </c>
      <c r="EW8" s="38">
        <f t="shared" si="38"/>
        <v>0</v>
      </c>
      <c r="EX8" s="38">
        <f t="shared" si="39"/>
        <v>0</v>
      </c>
      <c r="EZ8" s="38">
        <f t="shared" si="40"/>
        <v>0</v>
      </c>
      <c r="FA8" s="38">
        <f t="shared" si="41"/>
        <v>0</v>
      </c>
      <c r="FB8" s="1">
        <f t="shared" si="42"/>
        <v>0</v>
      </c>
      <c r="FC8" s="1">
        <f t="shared" si="43"/>
        <v>0</v>
      </c>
      <c r="FD8" s="1">
        <f t="shared" si="44"/>
        <v>0</v>
      </c>
      <c r="FE8" s="1">
        <f t="shared" si="45"/>
        <v>0</v>
      </c>
      <c r="FF8" s="1">
        <f t="shared" si="46"/>
        <v>0</v>
      </c>
      <c r="FG8" s="1">
        <f t="shared" si="47"/>
        <v>0</v>
      </c>
      <c r="FH8" s="1">
        <f t="shared" si="48"/>
        <v>0</v>
      </c>
      <c r="FI8" s="1">
        <f t="shared" si="49"/>
        <v>0</v>
      </c>
      <c r="FJ8" s="1">
        <f t="shared" si="50"/>
        <v>0</v>
      </c>
      <c r="FK8" s="1">
        <f t="shared" si="51"/>
        <v>0</v>
      </c>
      <c r="FL8" s="1">
        <f t="shared" si="52"/>
        <v>0</v>
      </c>
      <c r="FM8" s="1">
        <f t="shared" si="53"/>
        <v>0</v>
      </c>
      <c r="FN8" s="1">
        <f t="shared" si="54"/>
        <v>0</v>
      </c>
      <c r="FO8" s="1">
        <f t="shared" si="55"/>
        <v>0</v>
      </c>
      <c r="FP8" s="1">
        <f t="shared" si="56"/>
        <v>0</v>
      </c>
      <c r="FQ8" s="1">
        <f t="shared" si="57"/>
        <v>0</v>
      </c>
      <c r="FS8" s="1">
        <f t="shared" si="58"/>
        <v>0</v>
      </c>
      <c r="FT8" s="1">
        <f t="shared" si="59"/>
        <v>0</v>
      </c>
      <c r="FU8" s="38">
        <f t="shared" si="60"/>
        <v>0</v>
      </c>
      <c r="FV8" s="38">
        <f t="shared" si="61"/>
        <v>0</v>
      </c>
      <c r="FW8" s="38">
        <f t="shared" si="62"/>
        <v>0</v>
      </c>
      <c r="FX8" s="38">
        <f t="shared" si="63"/>
        <v>0</v>
      </c>
      <c r="FY8" s="38">
        <f t="shared" si="64"/>
        <v>0</v>
      </c>
      <c r="FZ8" s="38">
        <f t="shared" si="65"/>
        <v>0</v>
      </c>
      <c r="GA8" s="38">
        <f t="shared" si="66"/>
        <v>0</v>
      </c>
      <c r="GB8" s="38">
        <f t="shared" si="67"/>
        <v>0</v>
      </c>
      <c r="GC8" s="38">
        <f t="shared" si="68"/>
        <v>0</v>
      </c>
      <c r="GD8" s="38">
        <f t="shared" si="69"/>
        <v>0</v>
      </c>
      <c r="GE8" s="38">
        <f t="shared" si="70"/>
        <v>0</v>
      </c>
      <c r="GF8" s="38">
        <f t="shared" si="71"/>
        <v>0</v>
      </c>
      <c r="GG8" s="38">
        <f t="shared" si="72"/>
        <v>0</v>
      </c>
      <c r="GH8" s="38">
        <f t="shared" si="73"/>
        <v>0</v>
      </c>
      <c r="GI8" s="38">
        <f t="shared" si="74"/>
        <v>0</v>
      </c>
      <c r="GJ8" s="38">
        <f t="shared" si="75"/>
        <v>0</v>
      </c>
      <c r="GL8" s="38">
        <f t="shared" si="76"/>
        <v>0</v>
      </c>
      <c r="GM8" s="38">
        <f t="shared" si="77"/>
        <v>0</v>
      </c>
      <c r="GN8" s="1" t="s">
        <v>2</v>
      </c>
      <c r="GO8" s="1">
        <f t="shared" si="78"/>
        <v>1.5</v>
      </c>
      <c r="GP8" s="1">
        <f t="shared" si="79"/>
        <v>0.46</v>
      </c>
      <c r="GQ8" s="41">
        <f t="shared" si="80"/>
        <v>6.9</v>
      </c>
      <c r="GR8" s="41">
        <f t="shared" si="81"/>
        <v>90.48660000000001</v>
      </c>
      <c r="GS8" s="14">
        <f t="shared" si="82"/>
        <v>60.324400000000004</v>
      </c>
      <c r="GT8" s="1">
        <f t="shared" si="87"/>
        <v>0</v>
      </c>
      <c r="GU8" s="1">
        <f t="shared" si="88"/>
        <v>0</v>
      </c>
      <c r="GV8" s="1">
        <f t="shared" si="89"/>
        <v>6.9000000000000012</v>
      </c>
      <c r="GW8" s="37">
        <f t="shared" si="83"/>
        <v>0</v>
      </c>
      <c r="GX8" s="37"/>
      <c r="GY8" s="37"/>
      <c r="GZ8" s="37"/>
      <c r="HB8" s="1">
        <f t="shared" si="90"/>
        <v>0</v>
      </c>
      <c r="HC8" s="1">
        <f t="shared" si="91"/>
        <v>0</v>
      </c>
      <c r="HD8" s="37" t="s">
        <v>2</v>
      </c>
      <c r="HE8" s="1" t="s">
        <v>118</v>
      </c>
      <c r="HF8" s="1" t="s">
        <v>68</v>
      </c>
      <c r="HI8" s="1" t="s">
        <v>96</v>
      </c>
      <c r="HJ8" s="37" t="s">
        <v>2</v>
      </c>
      <c r="HK8" s="37" t="s">
        <v>118</v>
      </c>
      <c r="HL8" s="37" t="s">
        <v>1306</v>
      </c>
      <c r="HM8" s="37" t="s">
        <v>96</v>
      </c>
      <c r="HN8" s="41">
        <f>SUM(GT15:GT16)</f>
        <v>64.1648</v>
      </c>
      <c r="HO8" s="41">
        <f t="shared" ref="HO8:HP8" si="96">SUM(GU15:GU16)</f>
        <v>871.23600000000022</v>
      </c>
      <c r="HP8" s="42">
        <f t="shared" si="96"/>
        <v>13842.607200000002</v>
      </c>
      <c r="HQ8" s="42">
        <f>SUM(GO15:GO16)</f>
        <v>1136.96</v>
      </c>
      <c r="HR8" s="44">
        <f t="shared" si="85"/>
        <v>1.2997825781030117</v>
      </c>
      <c r="HS8" s="44">
        <f>MIN(GP15:GP16)</f>
        <v>1.2955423280423282</v>
      </c>
      <c r="HT8" s="44">
        <f>MAX(GP15:GP16)</f>
        <v>1.3022982062780268</v>
      </c>
      <c r="HU8" s="42">
        <f>SUM(GQ15:GQ16)</f>
        <v>14778.008000000002</v>
      </c>
      <c r="HV8" s="42">
        <f>SUM(GR15:GR16)/SUM(GO15:GO16)</f>
        <v>872.3975002159566</v>
      </c>
      <c r="HW8" s="37">
        <f>COUNT(GQ15:GQ16)</f>
        <v>2</v>
      </c>
      <c r="HX8" s="45">
        <f>SUM(HB15:HB16)</f>
        <v>0</v>
      </c>
      <c r="HY8" s="45">
        <f>SUM(HC15:HC16)</f>
        <v>0</v>
      </c>
      <c r="HZ8" s="37" t="s">
        <v>1318</v>
      </c>
      <c r="IA8" s="37" t="s">
        <v>1318</v>
      </c>
      <c r="IB8" s="37" t="s">
        <v>1318</v>
      </c>
      <c r="IC8" s="37" t="s">
        <v>1318</v>
      </c>
      <c r="ID8" s="37">
        <f>COUNT(GY15:GY16)</f>
        <v>0</v>
      </c>
      <c r="IF8" s="14">
        <f t="shared" ref="IF8:IN8" si="97">100*SUM(EI15:EI16)/SUM($EI15:$FA16)</f>
        <v>8.2686363664296092</v>
      </c>
      <c r="IG8" s="1">
        <f t="shared" si="97"/>
        <v>0</v>
      </c>
      <c r="IH8" s="1">
        <f t="shared" si="97"/>
        <v>0</v>
      </c>
      <c r="II8" s="1">
        <f t="shared" si="97"/>
        <v>0</v>
      </c>
      <c r="IJ8" s="1">
        <f t="shared" si="97"/>
        <v>0</v>
      </c>
      <c r="IK8" s="1">
        <f t="shared" si="97"/>
        <v>0</v>
      </c>
      <c r="IL8" s="38">
        <f t="shared" si="97"/>
        <v>0</v>
      </c>
      <c r="IM8" s="14">
        <f t="shared" si="97"/>
        <v>19.538511658989652</v>
      </c>
      <c r="IN8" s="14">
        <f t="shared" si="97"/>
        <v>15.526117852464065</v>
      </c>
      <c r="IO8" s="38">
        <f>100*SUM(ER15:EV16)/SUM($EI15:$FA16)</f>
        <v>0</v>
      </c>
      <c r="IP8" s="1">
        <f>100*SUM(EW15:EW16)/SUM($EI15:$FA16)</f>
        <v>0</v>
      </c>
      <c r="IQ8" s="1">
        <f>100*SUM(EX15:EX16)/SUM($EI15:$FA16)</f>
        <v>0</v>
      </c>
      <c r="IR8" s="1">
        <f>100*SUM(EZ15:EZ16)/SUM($EI15:$FA16)</f>
        <v>0</v>
      </c>
      <c r="IS8" s="14">
        <f>100*SUM(FA15:FA16)/SUM($EI15:$FA16)</f>
        <v>56.666734122116672</v>
      </c>
      <c r="JH8" s="58" t="s">
        <v>2</v>
      </c>
    </row>
    <row r="9" spans="1:268" ht="16.25" customHeight="1" x14ac:dyDescent="0.2">
      <c r="A9" s="16" t="s">
        <v>944</v>
      </c>
      <c r="B9" s="1" t="s">
        <v>69</v>
      </c>
      <c r="F9" s="1" t="s">
        <v>940</v>
      </c>
      <c r="I9" s="1">
        <v>0</v>
      </c>
      <c r="AD9" s="1">
        <v>0.85</v>
      </c>
      <c r="AE9" s="1">
        <v>0.44</v>
      </c>
      <c r="AL9" s="1">
        <v>0.85</v>
      </c>
      <c r="AM9" s="1">
        <v>0.06</v>
      </c>
      <c r="AN9" s="1">
        <v>0.53</v>
      </c>
      <c r="AO9" s="1">
        <v>1.25</v>
      </c>
      <c r="AY9" s="1">
        <v>0.24</v>
      </c>
      <c r="AZ9" s="1">
        <v>0.27</v>
      </c>
      <c r="BG9" s="1">
        <v>0.59</v>
      </c>
      <c r="BH9" s="1">
        <v>0.04</v>
      </c>
      <c r="BI9" s="1">
        <v>0.34</v>
      </c>
      <c r="BJ9" s="1">
        <v>0.89</v>
      </c>
      <c r="BT9" s="1">
        <v>0</v>
      </c>
      <c r="CO9" s="1">
        <v>0</v>
      </c>
      <c r="DJ9" s="1" t="s">
        <v>96</v>
      </c>
      <c r="DK9" s="1" t="s">
        <v>96</v>
      </c>
      <c r="DL9" s="1">
        <f t="shared" si="4"/>
        <v>0.7927522935779816</v>
      </c>
      <c r="DM9" s="1">
        <f t="shared" si="5"/>
        <v>5.5596330275229359E-2</v>
      </c>
      <c r="DN9" s="1" t="s">
        <v>943</v>
      </c>
      <c r="DO9" s="1" t="s">
        <v>2</v>
      </c>
      <c r="DP9" s="38">
        <f t="shared" si="6"/>
        <v>4.3879999999999995E-3</v>
      </c>
      <c r="DQ9" s="38">
        <f t="shared" si="7"/>
        <v>0</v>
      </c>
      <c r="DR9" s="38">
        <f t="shared" si="8"/>
        <v>0</v>
      </c>
      <c r="DS9" s="38">
        <f t="shared" si="9"/>
        <v>0</v>
      </c>
      <c r="DT9" s="38">
        <f t="shared" si="10"/>
        <v>0</v>
      </c>
      <c r="DU9" s="38">
        <f t="shared" si="11"/>
        <v>0</v>
      </c>
      <c r="DV9" s="38">
        <f t="shared" si="12"/>
        <v>0</v>
      </c>
      <c r="DW9" s="38">
        <f t="shared" si="13"/>
        <v>8.6409999999999994E-3</v>
      </c>
      <c r="DX9" s="38">
        <f t="shared" si="14"/>
        <v>6.0599999999999998E-4</v>
      </c>
      <c r="DY9" s="38">
        <f t="shared" si="15"/>
        <v>0.53210000000000002</v>
      </c>
      <c r="DZ9" s="38">
        <f t="shared" si="16"/>
        <v>1.2761</v>
      </c>
      <c r="EA9" s="38">
        <f t="shared" si="17"/>
        <v>0</v>
      </c>
      <c r="EB9" s="38">
        <f t="shared" si="18"/>
        <v>0</v>
      </c>
      <c r="EC9" s="38">
        <f t="shared" si="19"/>
        <v>0</v>
      </c>
      <c r="ED9" s="38">
        <f t="shared" si="20"/>
        <v>0</v>
      </c>
      <c r="EE9" s="38">
        <f t="shared" si="21"/>
        <v>0</v>
      </c>
      <c r="EG9" s="38">
        <f t="shared" si="22"/>
        <v>0</v>
      </c>
      <c r="EH9" s="38">
        <f t="shared" si="23"/>
        <v>0</v>
      </c>
      <c r="EI9" s="38">
        <f t="shared" si="24"/>
        <v>28.634403007999996</v>
      </c>
      <c r="EJ9" s="38">
        <f t="shared" si="25"/>
        <v>0</v>
      </c>
      <c r="EK9" s="38">
        <f t="shared" si="26"/>
        <v>0</v>
      </c>
      <c r="EL9" s="38">
        <f t="shared" si="27"/>
        <v>0</v>
      </c>
      <c r="EM9" s="38">
        <f t="shared" si="28"/>
        <v>0</v>
      </c>
      <c r="EN9" s="38">
        <f t="shared" si="29"/>
        <v>0</v>
      </c>
      <c r="EO9" s="38">
        <f t="shared" si="30"/>
        <v>0</v>
      </c>
      <c r="EP9" s="38">
        <f t="shared" si="31"/>
        <v>113.318074</v>
      </c>
      <c r="EQ9" s="38">
        <f t="shared" si="32"/>
        <v>44.007431543999992</v>
      </c>
      <c r="ER9" s="38">
        <f t="shared" si="33"/>
        <v>15.101716591639869</v>
      </c>
      <c r="ES9" s="38">
        <f t="shared" si="34"/>
        <v>42.526955723472668</v>
      </c>
      <c r="ET9" s="38">
        <f t="shared" si="35"/>
        <v>0</v>
      </c>
      <c r="EU9" s="38">
        <f t="shared" si="36"/>
        <v>0</v>
      </c>
      <c r="EV9" s="38">
        <f t="shared" si="37"/>
        <v>0</v>
      </c>
      <c r="EW9" s="38">
        <f t="shared" si="38"/>
        <v>0</v>
      </c>
      <c r="EX9" s="38">
        <f t="shared" si="39"/>
        <v>0</v>
      </c>
      <c r="EZ9" s="38">
        <f t="shared" si="40"/>
        <v>0</v>
      </c>
      <c r="FA9" s="38">
        <f t="shared" si="41"/>
        <v>0</v>
      </c>
      <c r="FB9" s="1">
        <f t="shared" si="42"/>
        <v>0</v>
      </c>
      <c r="FC9" s="1">
        <f t="shared" si="43"/>
        <v>0</v>
      </c>
      <c r="FD9" s="1">
        <f t="shared" si="44"/>
        <v>0</v>
      </c>
      <c r="FE9" s="1">
        <f t="shared" si="45"/>
        <v>0</v>
      </c>
      <c r="FF9" s="1">
        <f t="shared" si="46"/>
        <v>0</v>
      </c>
      <c r="FG9" s="1">
        <f t="shared" si="47"/>
        <v>0</v>
      </c>
      <c r="FH9" s="1">
        <f t="shared" si="48"/>
        <v>0</v>
      </c>
      <c r="FI9" s="1">
        <f t="shared" si="49"/>
        <v>0</v>
      </c>
      <c r="FJ9" s="1">
        <f t="shared" si="50"/>
        <v>0</v>
      </c>
      <c r="FK9" s="1">
        <f t="shared" si="51"/>
        <v>0</v>
      </c>
      <c r="FL9" s="1">
        <f t="shared" si="52"/>
        <v>0</v>
      </c>
      <c r="FM9" s="1">
        <f t="shared" si="53"/>
        <v>0</v>
      </c>
      <c r="FN9" s="1">
        <f t="shared" si="54"/>
        <v>0</v>
      </c>
      <c r="FO9" s="1">
        <f t="shared" si="55"/>
        <v>0</v>
      </c>
      <c r="FP9" s="1">
        <f t="shared" si="56"/>
        <v>0</v>
      </c>
      <c r="FQ9" s="1">
        <f t="shared" si="57"/>
        <v>0</v>
      </c>
      <c r="FS9" s="1">
        <f t="shared" si="58"/>
        <v>0</v>
      </c>
      <c r="FT9" s="1">
        <f t="shared" si="59"/>
        <v>0</v>
      </c>
      <c r="FU9" s="38">
        <f t="shared" si="60"/>
        <v>0</v>
      </c>
      <c r="FV9" s="38">
        <f t="shared" si="61"/>
        <v>0</v>
      </c>
      <c r="FW9" s="38">
        <f t="shared" si="62"/>
        <v>0</v>
      </c>
      <c r="FX9" s="38">
        <f t="shared" si="63"/>
        <v>0</v>
      </c>
      <c r="FY9" s="38">
        <f t="shared" si="64"/>
        <v>0</v>
      </c>
      <c r="FZ9" s="38">
        <f t="shared" si="65"/>
        <v>0</v>
      </c>
      <c r="GA9" s="38">
        <f t="shared" si="66"/>
        <v>0</v>
      </c>
      <c r="GB9" s="38">
        <f t="shared" si="67"/>
        <v>0</v>
      </c>
      <c r="GC9" s="38">
        <f t="shared" si="68"/>
        <v>0</v>
      </c>
      <c r="GD9" s="38">
        <f t="shared" si="69"/>
        <v>0</v>
      </c>
      <c r="GE9" s="38">
        <f t="shared" si="70"/>
        <v>0</v>
      </c>
      <c r="GF9" s="38">
        <f t="shared" si="71"/>
        <v>0</v>
      </c>
      <c r="GG9" s="38">
        <f t="shared" si="72"/>
        <v>0</v>
      </c>
      <c r="GH9" s="38">
        <f t="shared" si="73"/>
        <v>0</v>
      </c>
      <c r="GI9" s="38">
        <f t="shared" si="74"/>
        <v>0</v>
      </c>
      <c r="GJ9" s="38">
        <f t="shared" si="75"/>
        <v>0</v>
      </c>
      <c r="GL9" s="38">
        <f t="shared" si="76"/>
        <v>0</v>
      </c>
      <c r="GM9" s="38">
        <f t="shared" si="77"/>
        <v>0</v>
      </c>
      <c r="GN9" s="1" t="s">
        <v>2</v>
      </c>
      <c r="GO9" s="1">
        <f t="shared" si="78"/>
        <v>1.0899999999999999</v>
      </c>
      <c r="GP9" s="13">
        <f t="shared" si="79"/>
        <v>0.7927522935779816</v>
      </c>
      <c r="GQ9" s="41">
        <f t="shared" si="80"/>
        <v>8.6409999999999982</v>
      </c>
      <c r="GR9" s="41">
        <f t="shared" si="81"/>
        <v>243.58858086711251</v>
      </c>
      <c r="GS9" s="14">
        <f t="shared" si="82"/>
        <v>223.47576226340601</v>
      </c>
      <c r="GT9" s="1">
        <f t="shared" si="87"/>
        <v>0</v>
      </c>
      <c r="GU9" s="1">
        <f t="shared" si="88"/>
        <v>7.2249999999999988</v>
      </c>
      <c r="GV9" s="1">
        <f t="shared" si="89"/>
        <v>1.4159999999999997</v>
      </c>
      <c r="GW9" s="37">
        <f t="shared" si="83"/>
        <v>0</v>
      </c>
      <c r="GX9" s="37"/>
      <c r="GY9" s="37"/>
      <c r="GZ9" s="37"/>
      <c r="HB9" s="1">
        <f t="shared" si="90"/>
        <v>0</v>
      </c>
      <c r="HC9" s="1">
        <f t="shared" si="91"/>
        <v>0</v>
      </c>
      <c r="HD9" s="37" t="s">
        <v>2</v>
      </c>
      <c r="HE9" s="1" t="s">
        <v>118</v>
      </c>
      <c r="HF9" s="1" t="s">
        <v>68</v>
      </c>
      <c r="HI9" s="1" t="s">
        <v>96</v>
      </c>
      <c r="HJ9" s="37" t="s">
        <v>2</v>
      </c>
      <c r="HK9" s="37" t="s">
        <v>118</v>
      </c>
      <c r="HL9" s="37" t="s">
        <v>1306</v>
      </c>
      <c r="HM9" s="37" t="s">
        <v>163</v>
      </c>
      <c r="HN9" s="45">
        <f>SUM(GT17:GT19)</f>
        <v>0</v>
      </c>
      <c r="HO9" s="45">
        <f t="shared" ref="HO9:HP9" si="98">SUM(GU17:GU19)</f>
        <v>0</v>
      </c>
      <c r="HP9" s="42">
        <f t="shared" si="98"/>
        <v>8912.16</v>
      </c>
      <c r="HQ9" s="42">
        <f>SUM(GO17:GO19)</f>
        <v>670.1</v>
      </c>
      <c r="HR9" s="44">
        <f t="shared" si="85"/>
        <v>1.3299746306521414</v>
      </c>
      <c r="HS9" s="44">
        <f>MIN(GP17:GP19)</f>
        <v>1.19</v>
      </c>
      <c r="HT9" s="44">
        <f>MAX(GP17:GP19)</f>
        <v>1.39</v>
      </c>
      <c r="HU9" s="42">
        <f>SUM(GQ17:GQ19)</f>
        <v>8912.16</v>
      </c>
      <c r="HV9" s="42">
        <f>SUM(GR17:GR19)/SUM(GO17:GO19)</f>
        <v>879.88495276580147</v>
      </c>
      <c r="HW9" s="37">
        <f>COUNT(GQ17:GQ19)</f>
        <v>3</v>
      </c>
      <c r="HX9" s="45">
        <f>SUM(HB17:HB19)</f>
        <v>0</v>
      </c>
      <c r="HY9" s="45">
        <f>SUM(HC17:HC19)</f>
        <v>0</v>
      </c>
      <c r="HZ9" s="37" t="s">
        <v>1318</v>
      </c>
      <c r="IA9" s="37" t="s">
        <v>1318</v>
      </c>
      <c r="IB9" s="37" t="s">
        <v>1318</v>
      </c>
      <c r="IC9" s="37" t="s">
        <v>1318</v>
      </c>
      <c r="ID9" s="37">
        <f>COUNT(GY17:GY19)</f>
        <v>0</v>
      </c>
      <c r="IF9" s="14">
        <f t="shared" ref="IF9:IN9" si="99">100*SUM(EI17:EI19)/SUM($EI17:$FA19)</f>
        <v>8.0624397905016369</v>
      </c>
      <c r="IG9" s="1">
        <f t="shared" si="99"/>
        <v>0</v>
      </c>
      <c r="IH9" s="1">
        <f t="shared" si="99"/>
        <v>0</v>
      </c>
      <c r="II9" s="1">
        <f t="shared" si="99"/>
        <v>0</v>
      </c>
      <c r="IJ9" s="1">
        <f t="shared" si="99"/>
        <v>0</v>
      </c>
      <c r="IK9" s="1">
        <f t="shared" si="99"/>
        <v>0</v>
      </c>
      <c r="IL9" s="38">
        <f t="shared" si="99"/>
        <v>0</v>
      </c>
      <c r="IM9" s="14">
        <f t="shared" si="99"/>
        <v>19.82223613615372</v>
      </c>
      <c r="IN9" s="14">
        <f t="shared" si="99"/>
        <v>18.448663575535736</v>
      </c>
      <c r="IO9" s="38">
        <f>100*SUM(ER17:EV19)/SUM($EI17:$FA19)</f>
        <v>0</v>
      </c>
      <c r="IP9" s="1">
        <f>100*SUM(EW17:EW19)/SUM($EI17:$FA19)</f>
        <v>0</v>
      </c>
      <c r="IQ9" s="1">
        <f>100*SUM(EX17:EX19)/SUM($EI17:$FA19)</f>
        <v>0</v>
      </c>
      <c r="IR9" s="1">
        <f>100*SUM(EZ17:EZ19)/SUM($EI17:$FA19)</f>
        <v>0</v>
      </c>
      <c r="IS9" s="14">
        <f>100*SUM(FA17:FA19)/SUM($EI17:$FA19)</f>
        <v>53.666660497808913</v>
      </c>
      <c r="JH9" s="58" t="s">
        <v>2</v>
      </c>
    </row>
    <row r="10" spans="1:268" ht="16.25" customHeight="1" x14ac:dyDescent="0.2">
      <c r="A10" s="16" t="s">
        <v>945</v>
      </c>
      <c r="B10" s="1" t="s">
        <v>69</v>
      </c>
      <c r="F10" s="1" t="s">
        <v>131</v>
      </c>
      <c r="I10" s="1">
        <v>0</v>
      </c>
      <c r="AD10" s="1">
        <v>0</v>
      </c>
      <c r="AY10" s="1">
        <v>0.5</v>
      </c>
      <c r="BG10" s="1">
        <v>0.45</v>
      </c>
      <c r="BT10" s="1">
        <v>0</v>
      </c>
      <c r="CO10" s="1">
        <v>0</v>
      </c>
      <c r="DJ10" s="1" t="s">
        <v>163</v>
      </c>
      <c r="DL10" s="1">
        <f t="shared" si="4"/>
        <v>0.45</v>
      </c>
      <c r="DM10" s="1">
        <f t="shared" si="5"/>
        <v>0</v>
      </c>
      <c r="DN10" s="1" t="s">
        <v>919</v>
      </c>
      <c r="DO10" s="1" t="s">
        <v>2</v>
      </c>
      <c r="DP10" s="38">
        <f t="shared" si="6"/>
        <v>0</v>
      </c>
      <c r="DQ10" s="38">
        <f t="shared" si="7"/>
        <v>0</v>
      </c>
      <c r="DR10" s="38">
        <f t="shared" si="8"/>
        <v>0</v>
      </c>
      <c r="DS10" s="38">
        <f t="shared" si="9"/>
        <v>0</v>
      </c>
      <c r="DT10" s="38">
        <f t="shared" si="10"/>
        <v>0</v>
      </c>
      <c r="DU10" s="38">
        <f t="shared" si="11"/>
        <v>0</v>
      </c>
      <c r="DV10" s="38">
        <f t="shared" si="12"/>
        <v>0</v>
      </c>
      <c r="DW10" s="38">
        <f t="shared" si="13"/>
        <v>2.2500000000000003E-3</v>
      </c>
      <c r="DX10" s="38">
        <f t="shared" si="14"/>
        <v>0</v>
      </c>
      <c r="DY10" s="38">
        <f t="shared" si="15"/>
        <v>0</v>
      </c>
      <c r="DZ10" s="38">
        <f t="shared" si="16"/>
        <v>0</v>
      </c>
      <c r="EA10" s="38">
        <f t="shared" si="17"/>
        <v>0</v>
      </c>
      <c r="EB10" s="38">
        <f t="shared" si="18"/>
        <v>0</v>
      </c>
      <c r="EC10" s="38">
        <f t="shared" si="19"/>
        <v>0</v>
      </c>
      <c r="ED10" s="38">
        <f t="shared" si="20"/>
        <v>0</v>
      </c>
      <c r="EE10" s="38">
        <f t="shared" si="21"/>
        <v>0</v>
      </c>
      <c r="EG10" s="38">
        <f t="shared" si="22"/>
        <v>0</v>
      </c>
      <c r="EH10" s="38">
        <f t="shared" si="23"/>
        <v>0</v>
      </c>
      <c r="EI10" s="38">
        <f t="shared" si="24"/>
        <v>0</v>
      </c>
      <c r="EJ10" s="38">
        <f t="shared" si="25"/>
        <v>0</v>
      </c>
      <c r="EK10" s="38">
        <f t="shared" si="26"/>
        <v>0</v>
      </c>
      <c r="EL10" s="38">
        <f t="shared" si="27"/>
        <v>0</v>
      </c>
      <c r="EM10" s="38">
        <f t="shared" si="28"/>
        <v>0</v>
      </c>
      <c r="EN10" s="38">
        <f t="shared" si="29"/>
        <v>0</v>
      </c>
      <c r="EO10" s="38">
        <f t="shared" si="30"/>
        <v>0</v>
      </c>
      <c r="EP10" s="38">
        <f t="shared" si="31"/>
        <v>29.506500000000003</v>
      </c>
      <c r="EQ10" s="38">
        <f t="shared" si="32"/>
        <v>0</v>
      </c>
      <c r="ER10" s="38">
        <f t="shared" si="33"/>
        <v>0</v>
      </c>
      <c r="ES10" s="38">
        <f t="shared" si="34"/>
        <v>0</v>
      </c>
      <c r="ET10" s="38">
        <f t="shared" si="35"/>
        <v>0</v>
      </c>
      <c r="EU10" s="38">
        <f t="shared" si="36"/>
        <v>0</v>
      </c>
      <c r="EV10" s="38">
        <f t="shared" si="37"/>
        <v>0</v>
      </c>
      <c r="EW10" s="38">
        <f t="shared" si="38"/>
        <v>0</v>
      </c>
      <c r="EX10" s="38">
        <f t="shared" si="39"/>
        <v>0</v>
      </c>
      <c r="EZ10" s="38">
        <f t="shared" si="40"/>
        <v>0</v>
      </c>
      <c r="FA10" s="38">
        <f t="shared" si="41"/>
        <v>0</v>
      </c>
      <c r="FB10" s="1">
        <f t="shared" si="42"/>
        <v>0</v>
      </c>
      <c r="FC10" s="1">
        <f t="shared" si="43"/>
        <v>0</v>
      </c>
      <c r="FD10" s="1">
        <f t="shared" si="44"/>
        <v>0</v>
      </c>
      <c r="FE10" s="1">
        <f t="shared" si="45"/>
        <v>0</v>
      </c>
      <c r="FF10" s="1">
        <f t="shared" si="46"/>
        <v>0</v>
      </c>
      <c r="FG10" s="1">
        <f t="shared" si="47"/>
        <v>0</v>
      </c>
      <c r="FH10" s="1">
        <f t="shared" si="48"/>
        <v>0</v>
      </c>
      <c r="FI10" s="1">
        <f t="shared" si="49"/>
        <v>0</v>
      </c>
      <c r="FJ10" s="1">
        <f t="shared" si="50"/>
        <v>0</v>
      </c>
      <c r="FK10" s="1">
        <f t="shared" si="51"/>
        <v>0</v>
      </c>
      <c r="FL10" s="1">
        <f t="shared" si="52"/>
        <v>0</v>
      </c>
      <c r="FM10" s="1">
        <f t="shared" si="53"/>
        <v>0</v>
      </c>
      <c r="FN10" s="1">
        <f t="shared" si="54"/>
        <v>0</v>
      </c>
      <c r="FO10" s="1">
        <f t="shared" si="55"/>
        <v>0</v>
      </c>
      <c r="FP10" s="1">
        <f t="shared" si="56"/>
        <v>0</v>
      </c>
      <c r="FQ10" s="1">
        <f t="shared" si="57"/>
        <v>0</v>
      </c>
      <c r="FS10" s="1">
        <f t="shared" si="58"/>
        <v>0</v>
      </c>
      <c r="FT10" s="1">
        <f t="shared" si="59"/>
        <v>0</v>
      </c>
      <c r="FU10" s="38">
        <f t="shared" si="60"/>
        <v>0</v>
      </c>
      <c r="FV10" s="38">
        <f t="shared" si="61"/>
        <v>0</v>
      </c>
      <c r="FW10" s="38">
        <f t="shared" si="62"/>
        <v>0</v>
      </c>
      <c r="FX10" s="38">
        <f t="shared" si="63"/>
        <v>0</v>
      </c>
      <c r="FY10" s="38">
        <f t="shared" si="64"/>
        <v>0</v>
      </c>
      <c r="FZ10" s="38">
        <f t="shared" si="65"/>
        <v>0</v>
      </c>
      <c r="GA10" s="38">
        <f t="shared" si="66"/>
        <v>0</v>
      </c>
      <c r="GB10" s="38">
        <f t="shared" si="67"/>
        <v>0</v>
      </c>
      <c r="GC10" s="38">
        <f t="shared" si="68"/>
        <v>0</v>
      </c>
      <c r="GD10" s="38">
        <f t="shared" si="69"/>
        <v>0</v>
      </c>
      <c r="GE10" s="38">
        <f t="shared" si="70"/>
        <v>0</v>
      </c>
      <c r="GF10" s="38">
        <f t="shared" si="71"/>
        <v>0</v>
      </c>
      <c r="GG10" s="38">
        <f t="shared" si="72"/>
        <v>0</v>
      </c>
      <c r="GH10" s="38">
        <f t="shared" si="73"/>
        <v>0</v>
      </c>
      <c r="GI10" s="38">
        <f t="shared" si="74"/>
        <v>0</v>
      </c>
      <c r="GJ10" s="38">
        <f t="shared" si="75"/>
        <v>0</v>
      </c>
      <c r="GL10" s="38">
        <f t="shared" si="76"/>
        <v>0</v>
      </c>
      <c r="GM10" s="38">
        <f t="shared" si="77"/>
        <v>0</v>
      </c>
      <c r="GN10" s="1" t="s">
        <v>2</v>
      </c>
      <c r="GO10" s="1">
        <f t="shared" si="78"/>
        <v>0.5</v>
      </c>
      <c r="GP10" s="1">
        <f t="shared" si="79"/>
        <v>0.45</v>
      </c>
      <c r="GQ10" s="41">
        <f t="shared" si="80"/>
        <v>2.25</v>
      </c>
      <c r="GR10" s="41">
        <f t="shared" si="81"/>
        <v>29.506500000000003</v>
      </c>
      <c r="GS10" s="14">
        <f t="shared" si="82"/>
        <v>59.013000000000005</v>
      </c>
      <c r="GT10" s="1">
        <f t="shared" si="87"/>
        <v>0</v>
      </c>
      <c r="GU10" s="1">
        <f t="shared" si="88"/>
        <v>0</v>
      </c>
      <c r="GV10" s="1">
        <f t="shared" si="89"/>
        <v>2.25</v>
      </c>
      <c r="GW10" s="37">
        <f t="shared" si="83"/>
        <v>0</v>
      </c>
      <c r="GX10" s="37"/>
      <c r="GY10" s="37"/>
      <c r="GZ10" s="37"/>
      <c r="HB10" s="1">
        <f t="shared" si="90"/>
        <v>0</v>
      </c>
      <c r="HC10" s="1">
        <f t="shared" si="91"/>
        <v>0</v>
      </c>
      <c r="HD10" s="37" t="s">
        <v>2</v>
      </c>
      <c r="HE10" s="1" t="s">
        <v>118</v>
      </c>
      <c r="HF10" s="1" t="s">
        <v>68</v>
      </c>
      <c r="HI10" s="1" t="s">
        <v>163</v>
      </c>
      <c r="HJ10" s="37" t="s">
        <v>2</v>
      </c>
      <c r="HK10" s="37" t="s">
        <v>118</v>
      </c>
      <c r="HL10" s="37" t="s">
        <v>991</v>
      </c>
      <c r="HM10" s="37" t="s">
        <v>96</v>
      </c>
      <c r="HN10" s="41">
        <f>SUM(GT23:GT26)</f>
        <v>79.559999999999988</v>
      </c>
      <c r="HO10" s="41">
        <f t="shared" ref="HO10:HP10" si="100">SUM(GU23:GU26)</f>
        <v>344.81203300000004</v>
      </c>
      <c r="HP10" s="42">
        <f t="shared" si="100"/>
        <v>4265.4056775300005</v>
      </c>
      <c r="HQ10" s="42">
        <f>SUM(GO23:GO26)</f>
        <v>1801.8792799999999</v>
      </c>
      <c r="HR10" s="44">
        <f t="shared" si="85"/>
        <v>0.26027147115704669</v>
      </c>
      <c r="HS10" s="44">
        <f>MIN(GP23:GP26)</f>
        <v>2.0127214606251116E-2</v>
      </c>
      <c r="HT10" s="44">
        <f>MAX(GP23:GP26)</f>
        <v>0.87752475247524742</v>
      </c>
      <c r="HU10" s="42">
        <f>SUM(GQ23:GQ26)</f>
        <v>4689.7777105300001</v>
      </c>
      <c r="HV10" s="42">
        <f>SUM(GR23:GR26)/SUM(GO23:GO26)</f>
        <v>77.604687427026818</v>
      </c>
      <c r="HW10" s="37">
        <f>COUNT(GQ23:GQ26)</f>
        <v>4</v>
      </c>
      <c r="HX10" s="41">
        <f>SUM(HB23:HB26)</f>
        <v>75.790000000000006</v>
      </c>
      <c r="HY10" s="41">
        <f>SUM(HC23:HC26)</f>
        <v>267.89</v>
      </c>
      <c r="HZ10" s="41">
        <f>SUM(GW23:GW26)</f>
        <v>35.4</v>
      </c>
      <c r="IA10" s="44">
        <f>100*(IB10/1000)/HZ10</f>
        <v>0.97084745762711877</v>
      </c>
      <c r="IB10" s="41">
        <f>SUM(GY23:GY26)</f>
        <v>343.68000000000006</v>
      </c>
      <c r="IC10" s="41">
        <f>SUM(GZ23:GZ26)/SUM(GW23:GW26)</f>
        <v>127.31693559322036</v>
      </c>
      <c r="ID10" s="37">
        <f>COUNT(GY23:GY26)</f>
        <v>1</v>
      </c>
      <c r="IF10" s="14">
        <f t="shared" ref="IF10:IN10" si="101">100*SUM(EI23:EI26)/SUM($EI23:$FA26)</f>
        <v>10.598872212689272</v>
      </c>
      <c r="IG10" s="1">
        <f t="shared" si="101"/>
        <v>0</v>
      </c>
      <c r="IH10" s="14">
        <f t="shared" si="101"/>
        <v>1.1046033680911205</v>
      </c>
      <c r="II10" s="14">
        <f t="shared" si="101"/>
        <v>1.2245754660921975</v>
      </c>
      <c r="IJ10" s="14">
        <f t="shared" si="101"/>
        <v>2.064243499502266</v>
      </c>
      <c r="IK10" s="13">
        <f t="shared" si="101"/>
        <v>0.12237812185504922</v>
      </c>
      <c r="IL10" s="14">
        <f t="shared" si="101"/>
        <v>17.292437346619739</v>
      </c>
      <c r="IM10" s="14">
        <f t="shared" si="101"/>
        <v>43.98188029509182</v>
      </c>
      <c r="IN10" s="14">
        <f t="shared" si="101"/>
        <v>22.41984399136005</v>
      </c>
      <c r="IO10" s="14">
        <f>100*SUM(ER23:EV26)/SUM($EI23:$FA26)</f>
        <v>1.1911656986985153</v>
      </c>
      <c r="IP10" s="1">
        <f>100*SUM(EW23:EW26)/SUM($EI23:$FA26)</f>
        <v>0</v>
      </c>
      <c r="IQ10" s="1">
        <f>100*SUM(EX23:EX26)/SUM($EI23:$FA26)</f>
        <v>0</v>
      </c>
      <c r="IR10" s="1">
        <f>100*SUM(EZ23:EZ26)/SUM($EI23:$FA26)</f>
        <v>0</v>
      </c>
      <c r="IS10" s="1">
        <f>100*SUM(FA23:FA26)/SUM($EI23:$FA26)</f>
        <v>0</v>
      </c>
      <c r="IT10" s="38">
        <f t="shared" ref="IT10:JB10" si="102">100*SUM(FU23:FU26)/SUM($FU23:$GM26)</f>
        <v>0</v>
      </c>
      <c r="IU10" s="38">
        <f t="shared" si="102"/>
        <v>0</v>
      </c>
      <c r="IV10" s="38">
        <f t="shared" si="102"/>
        <v>0</v>
      </c>
      <c r="IW10" s="38">
        <f t="shared" si="102"/>
        <v>0</v>
      </c>
      <c r="IX10" s="38">
        <f t="shared" si="102"/>
        <v>0</v>
      </c>
      <c r="IY10" s="38">
        <f t="shared" si="102"/>
        <v>0</v>
      </c>
      <c r="IZ10" s="38">
        <f t="shared" si="102"/>
        <v>0</v>
      </c>
      <c r="JA10" s="38">
        <f t="shared" si="102"/>
        <v>100</v>
      </c>
      <c r="JB10" s="38">
        <f t="shared" si="102"/>
        <v>0</v>
      </c>
      <c r="JC10" s="38">
        <f>100*SUM(GD23:GH26)/SUM($FU23:$GM26)</f>
        <v>0</v>
      </c>
      <c r="JD10" s="38">
        <f>100*SUM(GI23:GI26)/SUM($FU23:$GM26)</f>
        <v>0</v>
      </c>
      <c r="JE10" s="38">
        <f>100*SUM(GJ23:GJ26)/SUM($FU23:$GM26)</f>
        <v>0</v>
      </c>
      <c r="JF10" s="38">
        <f>100*SUM(GL23:GL26)/SUM($FU23:$GM26)</f>
        <v>0</v>
      </c>
      <c r="JG10" s="38">
        <f>100*SUM(GM23:GM26)/SUM($FU23:$GM26)</f>
        <v>0</v>
      </c>
      <c r="JH10" s="58" t="s">
        <v>2</v>
      </c>
    </row>
    <row r="11" spans="1:268" ht="16.25" customHeight="1" x14ac:dyDescent="0.2">
      <c r="A11" s="16" t="s">
        <v>946</v>
      </c>
      <c r="B11" s="1" t="s">
        <v>69</v>
      </c>
      <c r="F11" s="1" t="s">
        <v>940</v>
      </c>
      <c r="I11" s="1">
        <v>0</v>
      </c>
      <c r="AD11" s="1">
        <v>0.4</v>
      </c>
      <c r="AE11" s="1">
        <v>0.28999999999999998</v>
      </c>
      <c r="AL11" s="1">
        <v>0.63</v>
      </c>
      <c r="AM11" s="1">
        <v>0.04</v>
      </c>
      <c r="AN11" s="1">
        <v>0.28000000000000003</v>
      </c>
      <c r="AO11" s="1">
        <v>0.62</v>
      </c>
      <c r="AY11" s="1">
        <v>0.09</v>
      </c>
      <c r="AZ11" s="1">
        <v>0.23</v>
      </c>
      <c r="BG11" s="1">
        <v>0.48</v>
      </c>
      <c r="BH11" s="1">
        <v>0.03</v>
      </c>
      <c r="BI11" s="1">
        <v>0.21</v>
      </c>
      <c r="BJ11" s="1">
        <v>0.42</v>
      </c>
      <c r="BT11" s="1">
        <v>0</v>
      </c>
      <c r="CO11" s="1">
        <v>0</v>
      </c>
      <c r="DJ11" s="1" t="s">
        <v>96</v>
      </c>
      <c r="DK11" s="1" t="s">
        <v>96</v>
      </c>
      <c r="DL11" s="1">
        <f t="shared" si="4"/>
        <v>0.60244897959183674</v>
      </c>
      <c r="DM11" s="1">
        <f t="shared" si="5"/>
        <v>3.8163265306122456E-2</v>
      </c>
      <c r="DN11" s="1" t="s">
        <v>943</v>
      </c>
      <c r="DO11" s="1" t="s">
        <v>2</v>
      </c>
      <c r="DP11" s="38">
        <f t="shared" si="6"/>
        <v>1.3669999999999999E-3</v>
      </c>
      <c r="DQ11" s="38">
        <f t="shared" si="7"/>
        <v>0</v>
      </c>
      <c r="DR11" s="38">
        <f t="shared" si="8"/>
        <v>0</v>
      </c>
      <c r="DS11" s="38">
        <f t="shared" si="9"/>
        <v>0</v>
      </c>
      <c r="DT11" s="38">
        <f t="shared" si="10"/>
        <v>0</v>
      </c>
      <c r="DU11" s="38">
        <f t="shared" si="11"/>
        <v>0</v>
      </c>
      <c r="DV11" s="38">
        <f t="shared" si="12"/>
        <v>0</v>
      </c>
      <c r="DW11" s="38">
        <f t="shared" si="13"/>
        <v>2.9520000000000002E-3</v>
      </c>
      <c r="DX11" s="38">
        <f t="shared" si="14"/>
        <v>1.8700000000000002E-4</v>
      </c>
      <c r="DY11" s="38">
        <f t="shared" si="15"/>
        <v>0.13090000000000002</v>
      </c>
      <c r="DZ11" s="38">
        <f t="shared" si="16"/>
        <v>0.2858</v>
      </c>
      <c r="EA11" s="38">
        <f t="shared" si="17"/>
        <v>0</v>
      </c>
      <c r="EB11" s="38">
        <f t="shared" si="18"/>
        <v>0</v>
      </c>
      <c r="EC11" s="38">
        <f t="shared" si="19"/>
        <v>0</v>
      </c>
      <c r="ED11" s="38">
        <f t="shared" si="20"/>
        <v>0</v>
      </c>
      <c r="EE11" s="38">
        <f t="shared" si="21"/>
        <v>0</v>
      </c>
      <c r="EG11" s="38">
        <f t="shared" si="22"/>
        <v>0</v>
      </c>
      <c r="EH11" s="38">
        <f t="shared" si="23"/>
        <v>0</v>
      </c>
      <c r="EI11" s="38">
        <f t="shared" si="24"/>
        <v>8.9205170719999991</v>
      </c>
      <c r="EJ11" s="38">
        <f t="shared" si="25"/>
        <v>0</v>
      </c>
      <c r="EK11" s="38">
        <f t="shared" si="26"/>
        <v>0</v>
      </c>
      <c r="EL11" s="38">
        <f t="shared" si="27"/>
        <v>0</v>
      </c>
      <c r="EM11" s="38">
        <f t="shared" si="28"/>
        <v>0</v>
      </c>
      <c r="EN11" s="38">
        <f t="shared" si="29"/>
        <v>0</v>
      </c>
      <c r="EO11" s="38">
        <f t="shared" si="30"/>
        <v>0</v>
      </c>
      <c r="EP11" s="38">
        <f t="shared" si="31"/>
        <v>38.712528000000006</v>
      </c>
      <c r="EQ11" s="38">
        <f t="shared" si="32"/>
        <v>13.579850987999999</v>
      </c>
      <c r="ER11" s="38">
        <f t="shared" si="33"/>
        <v>3.7151187781350483</v>
      </c>
      <c r="ES11" s="38">
        <f t="shared" si="34"/>
        <v>9.5244917684887458</v>
      </c>
      <c r="ET11" s="38">
        <f t="shared" si="35"/>
        <v>0</v>
      </c>
      <c r="EU11" s="38">
        <f t="shared" si="36"/>
        <v>0</v>
      </c>
      <c r="EV11" s="38">
        <f t="shared" si="37"/>
        <v>0</v>
      </c>
      <c r="EW11" s="38">
        <f t="shared" si="38"/>
        <v>0</v>
      </c>
      <c r="EX11" s="38">
        <f t="shared" si="39"/>
        <v>0</v>
      </c>
      <c r="EZ11" s="38">
        <f t="shared" si="40"/>
        <v>0</v>
      </c>
      <c r="FA11" s="38">
        <f t="shared" si="41"/>
        <v>0</v>
      </c>
      <c r="FB11" s="1">
        <f t="shared" si="42"/>
        <v>0</v>
      </c>
      <c r="FC11" s="1">
        <f t="shared" si="43"/>
        <v>0</v>
      </c>
      <c r="FD11" s="1">
        <f t="shared" si="44"/>
        <v>0</v>
      </c>
      <c r="FE11" s="1">
        <f t="shared" si="45"/>
        <v>0</v>
      </c>
      <c r="FF11" s="1">
        <f t="shared" si="46"/>
        <v>0</v>
      </c>
      <c r="FG11" s="1">
        <f t="shared" si="47"/>
        <v>0</v>
      </c>
      <c r="FH11" s="1">
        <f t="shared" si="48"/>
        <v>0</v>
      </c>
      <c r="FI11" s="1">
        <f t="shared" si="49"/>
        <v>0</v>
      </c>
      <c r="FJ11" s="1">
        <f t="shared" si="50"/>
        <v>0</v>
      </c>
      <c r="FK11" s="1">
        <f t="shared" si="51"/>
        <v>0</v>
      </c>
      <c r="FL11" s="1">
        <f t="shared" si="52"/>
        <v>0</v>
      </c>
      <c r="FM11" s="1">
        <f t="shared" si="53"/>
        <v>0</v>
      </c>
      <c r="FN11" s="1">
        <f t="shared" si="54"/>
        <v>0</v>
      </c>
      <c r="FO11" s="1">
        <f t="shared" si="55"/>
        <v>0</v>
      </c>
      <c r="FP11" s="1">
        <f t="shared" si="56"/>
        <v>0</v>
      </c>
      <c r="FQ11" s="1">
        <f t="shared" si="57"/>
        <v>0</v>
      </c>
      <c r="FS11" s="1">
        <f t="shared" si="58"/>
        <v>0</v>
      </c>
      <c r="FT11" s="1">
        <f t="shared" si="59"/>
        <v>0</v>
      </c>
      <c r="FU11" s="38">
        <f t="shared" si="60"/>
        <v>0</v>
      </c>
      <c r="FV11" s="38">
        <f t="shared" si="61"/>
        <v>0</v>
      </c>
      <c r="FW11" s="38">
        <f t="shared" si="62"/>
        <v>0</v>
      </c>
      <c r="FX11" s="38">
        <f t="shared" si="63"/>
        <v>0</v>
      </c>
      <c r="FY11" s="38">
        <f t="shared" si="64"/>
        <v>0</v>
      </c>
      <c r="FZ11" s="38">
        <f t="shared" si="65"/>
        <v>0</v>
      </c>
      <c r="GA11" s="38">
        <f t="shared" si="66"/>
        <v>0</v>
      </c>
      <c r="GB11" s="38">
        <f t="shared" si="67"/>
        <v>0</v>
      </c>
      <c r="GC11" s="38">
        <f t="shared" si="68"/>
        <v>0</v>
      </c>
      <c r="GD11" s="38">
        <f t="shared" si="69"/>
        <v>0</v>
      </c>
      <c r="GE11" s="38">
        <f t="shared" si="70"/>
        <v>0</v>
      </c>
      <c r="GF11" s="38">
        <f t="shared" si="71"/>
        <v>0</v>
      </c>
      <c r="GG11" s="38">
        <f t="shared" si="72"/>
        <v>0</v>
      </c>
      <c r="GH11" s="38">
        <f t="shared" si="73"/>
        <v>0</v>
      </c>
      <c r="GI11" s="38">
        <f t="shared" si="74"/>
        <v>0</v>
      </c>
      <c r="GJ11" s="38">
        <f t="shared" si="75"/>
        <v>0</v>
      </c>
      <c r="GL11" s="38">
        <f t="shared" si="76"/>
        <v>0</v>
      </c>
      <c r="GM11" s="38">
        <f t="shared" si="77"/>
        <v>0</v>
      </c>
      <c r="GN11" s="1" t="s">
        <v>2</v>
      </c>
      <c r="GO11" s="1">
        <f t="shared" si="78"/>
        <v>0.49</v>
      </c>
      <c r="GP11" s="13">
        <f t="shared" si="79"/>
        <v>0.60244897959183674</v>
      </c>
      <c r="GQ11" s="41">
        <f t="shared" si="80"/>
        <v>2.952</v>
      </c>
      <c r="GR11" s="41">
        <f t="shared" si="81"/>
        <v>74.452506606623786</v>
      </c>
      <c r="GS11" s="14">
        <f t="shared" si="82"/>
        <v>151.94389103392609</v>
      </c>
      <c r="GT11" s="1">
        <f t="shared" si="87"/>
        <v>0</v>
      </c>
      <c r="GU11" s="1">
        <f t="shared" si="88"/>
        <v>2.52</v>
      </c>
      <c r="GV11" s="1">
        <f t="shared" si="89"/>
        <v>0.43199999999999994</v>
      </c>
      <c r="GW11" s="37">
        <f t="shared" si="83"/>
        <v>0</v>
      </c>
      <c r="GX11" s="37"/>
      <c r="GY11" s="37"/>
      <c r="GZ11" s="37"/>
      <c r="HB11" s="1">
        <f t="shared" si="90"/>
        <v>0</v>
      </c>
      <c r="HC11" s="1">
        <f t="shared" si="91"/>
        <v>0</v>
      </c>
      <c r="HD11" s="37" t="s">
        <v>2</v>
      </c>
      <c r="HE11" s="1" t="s">
        <v>118</v>
      </c>
      <c r="HF11" s="1" t="s">
        <v>68</v>
      </c>
      <c r="HI11" s="1" t="s">
        <v>96</v>
      </c>
      <c r="HJ11" s="37" t="s">
        <v>2</v>
      </c>
      <c r="HK11" s="37" t="s">
        <v>118</v>
      </c>
      <c r="HL11" s="37" t="s">
        <v>991</v>
      </c>
      <c r="HM11" s="37" t="s">
        <v>163</v>
      </c>
      <c r="HN11" s="45">
        <f>SUM(GT20:GT22)</f>
        <v>0</v>
      </c>
      <c r="HO11" s="44">
        <f t="shared" ref="HO11:HP11" si="103">SUM(GU20:GU22)</f>
        <v>0.46040000000000009</v>
      </c>
      <c r="HP11" s="41">
        <f t="shared" si="103"/>
        <v>12.13744</v>
      </c>
      <c r="HQ11" s="42">
        <f>SUM(GO20:GO22)</f>
        <v>6.3064</v>
      </c>
      <c r="HR11" s="44">
        <f t="shared" si="85"/>
        <v>0.19976278066725864</v>
      </c>
      <c r="HS11" s="44">
        <f>MIN(GP20:GP22)</f>
        <v>5.9405520169851386E-2</v>
      </c>
      <c r="HT11" s="44">
        <f>MAX(GP20:GP22)</f>
        <v>0.46</v>
      </c>
      <c r="HU11" s="42">
        <f>SUM(GQ20:GQ22)</f>
        <v>12.59784</v>
      </c>
      <c r="HV11" s="42">
        <f>SUM(GR20:GR22)/SUM(GO20:GO22)</f>
        <v>249.77897912827598</v>
      </c>
      <c r="HW11" s="37">
        <f>COUNT(GQ20:GQ22)</f>
        <v>3</v>
      </c>
      <c r="HX11" s="45">
        <f>SUM(HB20:HB22)</f>
        <v>0</v>
      </c>
      <c r="HY11" s="45">
        <f>SUM(HC20:HC22)</f>
        <v>0</v>
      </c>
      <c r="HZ11" s="37" t="s">
        <v>1318</v>
      </c>
      <c r="IA11" s="37" t="s">
        <v>1318</v>
      </c>
      <c r="IB11" s="37" t="s">
        <v>1318</v>
      </c>
      <c r="IC11" s="37" t="s">
        <v>1318</v>
      </c>
      <c r="ID11" s="37">
        <f>COUNT(GY20:GY22)</f>
        <v>0</v>
      </c>
      <c r="IF11" s="14">
        <f t="shared" ref="IF11:IN11" si="104">100*SUM(EI20:EI22)/SUM($EI20:$FA22)</f>
        <v>6.4403004745725765</v>
      </c>
      <c r="IG11" s="1">
        <f t="shared" si="104"/>
        <v>0</v>
      </c>
      <c r="IH11" s="38">
        <f t="shared" si="104"/>
        <v>0</v>
      </c>
      <c r="II11" s="38">
        <f t="shared" si="104"/>
        <v>0</v>
      </c>
      <c r="IJ11" s="38">
        <f t="shared" si="104"/>
        <v>0</v>
      </c>
      <c r="IK11" s="14">
        <f t="shared" si="104"/>
        <v>31.796997585539476</v>
      </c>
      <c r="IL11" s="14">
        <f t="shared" si="104"/>
        <v>9.2303828532622791</v>
      </c>
      <c r="IM11" s="14">
        <f t="shared" si="104"/>
        <v>10.488028715679345</v>
      </c>
      <c r="IN11" s="14">
        <f t="shared" si="104"/>
        <v>42.044290370946342</v>
      </c>
      <c r="IO11" s="38">
        <f>100*SUM(ER20:EV22)/SUM($EI20:$FA22)</f>
        <v>0</v>
      </c>
      <c r="IP11" s="1">
        <f>100*SUM(EW20:EW22)/SUM($EI20:$FA22)</f>
        <v>0</v>
      </c>
      <c r="IQ11" s="1">
        <f>100*SUM(EX20:EX22)/SUM($EI20:$FA22)</f>
        <v>0</v>
      </c>
      <c r="IR11" s="1">
        <f>100*SUM(EZ20:EZ22)/SUM($EI20:$FA22)</f>
        <v>0</v>
      </c>
      <c r="IS11" s="1">
        <f>100*SUM(FA20:FA22)/SUM($EI20:$FA22)</f>
        <v>0</v>
      </c>
      <c r="JH11" s="58" t="s">
        <v>2</v>
      </c>
    </row>
    <row r="12" spans="1:268" ht="16.25" customHeight="1" x14ac:dyDescent="0.2">
      <c r="A12" s="16" t="s">
        <v>947</v>
      </c>
      <c r="B12" s="1" t="s">
        <v>69</v>
      </c>
      <c r="F12" s="1" t="s">
        <v>940</v>
      </c>
      <c r="I12" s="1">
        <v>0</v>
      </c>
      <c r="AD12" s="1">
        <v>0</v>
      </c>
      <c r="AY12" s="1">
        <v>0.17</v>
      </c>
      <c r="AZ12" s="1">
        <v>0.01</v>
      </c>
      <c r="BG12" s="1">
        <v>0.66</v>
      </c>
      <c r="BT12" s="1">
        <v>0</v>
      </c>
      <c r="CO12" s="1">
        <v>0</v>
      </c>
      <c r="DJ12" s="1" t="s">
        <v>96</v>
      </c>
      <c r="DL12" s="1">
        <f t="shared" si="4"/>
        <v>0.66</v>
      </c>
      <c r="DM12" s="1">
        <f t="shared" si="5"/>
        <v>0</v>
      </c>
      <c r="DN12" s="1" t="s">
        <v>943</v>
      </c>
      <c r="DO12" s="1" t="s">
        <v>2</v>
      </c>
      <c r="DP12" s="38">
        <f t="shared" si="6"/>
        <v>1.7E-5</v>
      </c>
      <c r="DQ12" s="38">
        <f t="shared" si="7"/>
        <v>0</v>
      </c>
      <c r="DR12" s="38">
        <f t="shared" si="8"/>
        <v>0</v>
      </c>
      <c r="DS12" s="38">
        <f t="shared" si="9"/>
        <v>0</v>
      </c>
      <c r="DT12" s="38">
        <f t="shared" si="10"/>
        <v>0</v>
      </c>
      <c r="DU12" s="38">
        <f t="shared" si="11"/>
        <v>0</v>
      </c>
      <c r="DV12" s="38">
        <f t="shared" si="12"/>
        <v>0</v>
      </c>
      <c r="DW12" s="38">
        <f t="shared" si="13"/>
        <v>1.1220000000000002E-3</v>
      </c>
      <c r="DX12" s="38">
        <f t="shared" si="14"/>
        <v>0</v>
      </c>
      <c r="DY12" s="38">
        <f t="shared" si="15"/>
        <v>0</v>
      </c>
      <c r="DZ12" s="38">
        <f t="shared" si="16"/>
        <v>0</v>
      </c>
      <c r="EA12" s="38">
        <f t="shared" si="17"/>
        <v>0</v>
      </c>
      <c r="EB12" s="38">
        <f t="shared" si="18"/>
        <v>0</v>
      </c>
      <c r="EC12" s="38">
        <f t="shared" si="19"/>
        <v>0</v>
      </c>
      <c r="ED12" s="38">
        <f t="shared" si="20"/>
        <v>0</v>
      </c>
      <c r="EE12" s="38">
        <f t="shared" si="21"/>
        <v>0</v>
      </c>
      <c r="EG12" s="38">
        <f t="shared" si="22"/>
        <v>0</v>
      </c>
      <c r="EH12" s="38">
        <f t="shared" si="23"/>
        <v>0</v>
      </c>
      <c r="EI12" s="38">
        <f t="shared" si="24"/>
        <v>0.11093547199999999</v>
      </c>
      <c r="EJ12" s="38">
        <f t="shared" si="25"/>
        <v>0</v>
      </c>
      <c r="EK12" s="38">
        <f t="shared" si="26"/>
        <v>0</v>
      </c>
      <c r="EL12" s="38">
        <f t="shared" si="27"/>
        <v>0</v>
      </c>
      <c r="EM12" s="38">
        <f t="shared" si="28"/>
        <v>0</v>
      </c>
      <c r="EN12" s="38">
        <f t="shared" si="29"/>
        <v>0</v>
      </c>
      <c r="EO12" s="38">
        <f t="shared" si="30"/>
        <v>0</v>
      </c>
      <c r="EP12" s="38">
        <f t="shared" si="31"/>
        <v>14.713908000000002</v>
      </c>
      <c r="EQ12" s="38">
        <f t="shared" si="32"/>
        <v>0</v>
      </c>
      <c r="ER12" s="38">
        <f t="shared" si="33"/>
        <v>0</v>
      </c>
      <c r="ES12" s="38">
        <f t="shared" si="34"/>
        <v>0</v>
      </c>
      <c r="ET12" s="38">
        <f t="shared" si="35"/>
        <v>0</v>
      </c>
      <c r="EU12" s="38">
        <f t="shared" si="36"/>
        <v>0</v>
      </c>
      <c r="EV12" s="38">
        <f t="shared" si="37"/>
        <v>0</v>
      </c>
      <c r="EW12" s="38">
        <f t="shared" si="38"/>
        <v>0</v>
      </c>
      <c r="EX12" s="38">
        <f t="shared" si="39"/>
        <v>0</v>
      </c>
      <c r="EZ12" s="38">
        <f t="shared" si="40"/>
        <v>0</v>
      </c>
      <c r="FA12" s="38">
        <f t="shared" si="41"/>
        <v>0</v>
      </c>
      <c r="FB12" s="1">
        <f t="shared" si="42"/>
        <v>0</v>
      </c>
      <c r="FC12" s="1">
        <f t="shared" si="43"/>
        <v>0</v>
      </c>
      <c r="FD12" s="1">
        <f t="shared" si="44"/>
        <v>0</v>
      </c>
      <c r="FE12" s="1">
        <f t="shared" si="45"/>
        <v>0</v>
      </c>
      <c r="FF12" s="1">
        <f t="shared" si="46"/>
        <v>0</v>
      </c>
      <c r="FG12" s="1">
        <f t="shared" si="47"/>
        <v>0</v>
      </c>
      <c r="FH12" s="1">
        <f t="shared" si="48"/>
        <v>0</v>
      </c>
      <c r="FI12" s="1">
        <f t="shared" si="49"/>
        <v>0</v>
      </c>
      <c r="FJ12" s="1">
        <f t="shared" si="50"/>
        <v>0</v>
      </c>
      <c r="FK12" s="1">
        <f t="shared" si="51"/>
        <v>0</v>
      </c>
      <c r="FL12" s="1">
        <f t="shared" si="52"/>
        <v>0</v>
      </c>
      <c r="FM12" s="1">
        <f t="shared" si="53"/>
        <v>0</v>
      </c>
      <c r="FN12" s="1">
        <f t="shared" si="54"/>
        <v>0</v>
      </c>
      <c r="FO12" s="1">
        <f t="shared" si="55"/>
        <v>0</v>
      </c>
      <c r="FP12" s="1">
        <f t="shared" si="56"/>
        <v>0</v>
      </c>
      <c r="FQ12" s="1">
        <f t="shared" si="57"/>
        <v>0</v>
      </c>
      <c r="FS12" s="1">
        <f t="shared" si="58"/>
        <v>0</v>
      </c>
      <c r="FT12" s="1">
        <f t="shared" si="59"/>
        <v>0</v>
      </c>
      <c r="FU12" s="38">
        <f t="shared" si="60"/>
        <v>0</v>
      </c>
      <c r="FV12" s="38">
        <f t="shared" si="61"/>
        <v>0</v>
      </c>
      <c r="FW12" s="38">
        <f t="shared" si="62"/>
        <v>0</v>
      </c>
      <c r="FX12" s="38">
        <f t="shared" si="63"/>
        <v>0</v>
      </c>
      <c r="FY12" s="38">
        <f t="shared" si="64"/>
        <v>0</v>
      </c>
      <c r="FZ12" s="38">
        <f t="shared" si="65"/>
        <v>0</v>
      </c>
      <c r="GA12" s="38">
        <f t="shared" si="66"/>
        <v>0</v>
      </c>
      <c r="GB12" s="38">
        <f t="shared" si="67"/>
        <v>0</v>
      </c>
      <c r="GC12" s="38">
        <f t="shared" si="68"/>
        <v>0</v>
      </c>
      <c r="GD12" s="38">
        <f t="shared" si="69"/>
        <v>0</v>
      </c>
      <c r="GE12" s="38">
        <f t="shared" si="70"/>
        <v>0</v>
      </c>
      <c r="GF12" s="38">
        <f t="shared" si="71"/>
        <v>0</v>
      </c>
      <c r="GG12" s="38">
        <f t="shared" si="72"/>
        <v>0</v>
      </c>
      <c r="GH12" s="38">
        <f t="shared" si="73"/>
        <v>0</v>
      </c>
      <c r="GI12" s="38">
        <f t="shared" si="74"/>
        <v>0</v>
      </c>
      <c r="GJ12" s="38">
        <f t="shared" si="75"/>
        <v>0</v>
      </c>
      <c r="GL12" s="38">
        <f t="shared" si="76"/>
        <v>0</v>
      </c>
      <c r="GM12" s="38">
        <f t="shared" si="77"/>
        <v>0</v>
      </c>
      <c r="GN12" s="1" t="s">
        <v>2</v>
      </c>
      <c r="GO12" s="1">
        <f t="shared" si="78"/>
        <v>0.17</v>
      </c>
      <c r="GP12" s="1">
        <f t="shared" si="79"/>
        <v>0.66</v>
      </c>
      <c r="GQ12" s="41">
        <f t="shared" si="80"/>
        <v>1.1220000000000001</v>
      </c>
      <c r="GR12" s="41">
        <f t="shared" si="81"/>
        <v>14.824843472000001</v>
      </c>
      <c r="GS12" s="14">
        <f t="shared" si="82"/>
        <v>87.204961600000004</v>
      </c>
      <c r="GT12" s="1">
        <f t="shared" si="87"/>
        <v>0</v>
      </c>
      <c r="GU12" s="1">
        <f t="shared" si="88"/>
        <v>0</v>
      </c>
      <c r="GV12" s="1">
        <f t="shared" si="89"/>
        <v>1.1220000000000001</v>
      </c>
      <c r="GW12" s="37">
        <f t="shared" si="83"/>
        <v>0</v>
      </c>
      <c r="GX12" s="37"/>
      <c r="GY12" s="37"/>
      <c r="GZ12" s="37"/>
      <c r="HB12" s="1">
        <f t="shared" si="90"/>
        <v>0</v>
      </c>
      <c r="HC12" s="1">
        <f t="shared" si="91"/>
        <v>0</v>
      </c>
      <c r="HD12" s="37" t="s">
        <v>2</v>
      </c>
      <c r="HE12" s="1" t="s">
        <v>118</v>
      </c>
      <c r="HF12" s="1" t="s">
        <v>68</v>
      </c>
      <c r="HI12" s="1" t="s">
        <v>96</v>
      </c>
      <c r="HJ12" s="37" t="s">
        <v>2</v>
      </c>
      <c r="HK12" s="37" t="s">
        <v>118</v>
      </c>
      <c r="HL12" s="37" t="s">
        <v>651</v>
      </c>
      <c r="HM12" s="37" t="s">
        <v>96</v>
      </c>
      <c r="HN12" s="45">
        <f>SUM(GT27:GT29)</f>
        <v>0</v>
      </c>
      <c r="HO12" s="41">
        <f t="shared" ref="HO12:HP12" si="105">SUM(GU27:GU29)</f>
        <v>33.736960200000006</v>
      </c>
      <c r="HP12" s="42">
        <f t="shared" si="105"/>
        <v>2141.1573672</v>
      </c>
      <c r="HQ12" s="42">
        <f>SUM(GO27:GO29)</f>
        <v>10871.013999999999</v>
      </c>
      <c r="HR12" s="46">
        <f t="shared" si="85"/>
        <v>2.0006361204207818E-2</v>
      </c>
      <c r="HS12" s="46">
        <f>MIN(GP27:GP29)</f>
        <v>6.792347407781972E-3</v>
      </c>
      <c r="HT12" s="46">
        <f>MAX(GP27:GP29)</f>
        <v>3.4000000000000002E-2</v>
      </c>
      <c r="HU12" s="42">
        <f>SUM(GQ27:GQ29)</f>
        <v>2174.8943274000003</v>
      </c>
      <c r="HV12" s="42">
        <f>SUM(GR27:GR29)/SUM(GO27:GO29)</f>
        <v>10.982192381826142</v>
      </c>
      <c r="HW12" s="37">
        <f>COUNT(GQ27:GQ29)</f>
        <v>3</v>
      </c>
      <c r="HX12" s="45">
        <f>SUM(HB27:HB29)</f>
        <v>0</v>
      </c>
      <c r="HY12" s="45">
        <f>SUM(HC27:HC29)</f>
        <v>0</v>
      </c>
      <c r="HZ12" s="37" t="s">
        <v>1318</v>
      </c>
      <c r="IA12" s="37" t="s">
        <v>1318</v>
      </c>
      <c r="IB12" s="37" t="s">
        <v>1318</v>
      </c>
      <c r="IC12" s="37" t="s">
        <v>1318</v>
      </c>
      <c r="ID12" s="37">
        <f>COUNT(GY27:GY29)</f>
        <v>0</v>
      </c>
      <c r="IF12" s="14">
        <f t="shared" ref="IF12:IN12" si="106">100*SUM(EI27:EI29)/SUM($EI27:$FA29)</f>
        <v>4.3244734636757567</v>
      </c>
      <c r="IG12" s="1">
        <f t="shared" si="106"/>
        <v>0</v>
      </c>
      <c r="IH12" s="38">
        <f t="shared" si="106"/>
        <v>0</v>
      </c>
      <c r="II12" s="14">
        <f t="shared" si="106"/>
        <v>45.411421650751656</v>
      </c>
      <c r="IJ12" s="14">
        <f t="shared" si="106"/>
        <v>13.624207176432179</v>
      </c>
      <c r="IK12" s="38">
        <f t="shared" si="106"/>
        <v>0</v>
      </c>
      <c r="IL12" s="14">
        <f t="shared" si="106"/>
        <v>7.8854152031581108</v>
      </c>
      <c r="IM12" s="14">
        <f t="shared" si="106"/>
        <v>23.889894814277053</v>
      </c>
      <c r="IN12" s="14">
        <f t="shared" si="106"/>
        <v>4.8645876917052497</v>
      </c>
      <c r="IO12" s="38">
        <f>100*SUM(ER27:EV29)/SUM($EI27:$FA29)</f>
        <v>0</v>
      </c>
      <c r="IP12" s="1">
        <f>100*SUM(EW27:EW29)/SUM($EI27:$FA29)</f>
        <v>0</v>
      </c>
      <c r="IQ12" s="1">
        <f>100*SUM(EX27:EX29)/SUM($EI27:$FA29)</f>
        <v>0</v>
      </c>
      <c r="IR12" s="1">
        <f>100*SUM(EZ27:EZ29)/SUM($EI27:$FA29)</f>
        <v>0</v>
      </c>
      <c r="IS12" s="1">
        <f>100*SUM(FA27:FA29)/SUM($EI27:$FA29)</f>
        <v>0</v>
      </c>
      <c r="JH12" s="58" t="s">
        <v>2</v>
      </c>
    </row>
    <row r="13" spans="1:268" ht="16.25" customHeight="1" x14ac:dyDescent="0.2">
      <c r="A13" s="16" t="s">
        <v>948</v>
      </c>
      <c r="B13" s="1" t="s">
        <v>69</v>
      </c>
      <c r="F13" s="1" t="s">
        <v>940</v>
      </c>
      <c r="I13" s="1">
        <v>0</v>
      </c>
      <c r="AD13" s="13">
        <v>7.5024829999999998</v>
      </c>
      <c r="AE13" s="1">
        <v>0.02</v>
      </c>
      <c r="AL13" s="1">
        <v>0.32</v>
      </c>
      <c r="AM13" s="1">
        <v>0.01</v>
      </c>
      <c r="AN13" s="1">
        <v>7.0000000000000007E-2</v>
      </c>
      <c r="AO13" s="1">
        <v>0.15</v>
      </c>
      <c r="AY13" s="2">
        <v>0.73888299999999996</v>
      </c>
      <c r="AZ13" s="1">
        <v>0.02</v>
      </c>
      <c r="BG13" s="1">
        <v>0.27</v>
      </c>
      <c r="BH13" s="1">
        <v>0.01</v>
      </c>
      <c r="BI13" s="1">
        <v>7.0000000000000007E-2</v>
      </c>
      <c r="BJ13" s="1">
        <v>0.11</v>
      </c>
      <c r="BT13" s="1">
        <v>0</v>
      </c>
      <c r="CO13" s="1">
        <v>0</v>
      </c>
      <c r="DJ13" s="1" t="s">
        <v>96</v>
      </c>
      <c r="DL13" s="1">
        <f t="shared" si="4"/>
        <v>0.3155172297893335</v>
      </c>
      <c r="DM13" s="1">
        <f t="shared" si="5"/>
        <v>0.01</v>
      </c>
      <c r="DN13" s="1" t="s">
        <v>949</v>
      </c>
      <c r="DO13" s="1" t="s">
        <v>2</v>
      </c>
      <c r="DP13" s="38">
        <f t="shared" si="6"/>
        <v>1.6482732000000001E-3</v>
      </c>
      <c r="DQ13" s="38">
        <f t="shared" si="7"/>
        <v>0</v>
      </c>
      <c r="DR13" s="38">
        <f t="shared" si="8"/>
        <v>0</v>
      </c>
      <c r="DS13" s="38">
        <f t="shared" si="9"/>
        <v>0</v>
      </c>
      <c r="DT13" s="38">
        <f t="shared" si="10"/>
        <v>0</v>
      </c>
      <c r="DU13" s="38">
        <f t="shared" si="11"/>
        <v>0</v>
      </c>
      <c r="DV13" s="38">
        <f t="shared" si="12"/>
        <v>0</v>
      </c>
      <c r="DW13" s="38">
        <f t="shared" si="13"/>
        <v>2.60029297E-2</v>
      </c>
      <c r="DX13" s="38">
        <f t="shared" si="14"/>
        <v>8.2413660000000004E-4</v>
      </c>
      <c r="DY13" s="38">
        <f t="shared" si="15"/>
        <v>0.57689562000000005</v>
      </c>
      <c r="DZ13" s="38">
        <f t="shared" si="16"/>
        <v>1.2066495799999999</v>
      </c>
      <c r="EA13" s="38">
        <f t="shared" si="17"/>
        <v>0</v>
      </c>
      <c r="EB13" s="38">
        <f t="shared" si="18"/>
        <v>0</v>
      </c>
      <c r="EC13" s="38">
        <f t="shared" si="19"/>
        <v>0</v>
      </c>
      <c r="ED13" s="38">
        <f t="shared" si="20"/>
        <v>0</v>
      </c>
      <c r="EE13" s="38">
        <f t="shared" si="21"/>
        <v>0</v>
      </c>
      <c r="EG13" s="38">
        <f t="shared" si="22"/>
        <v>0</v>
      </c>
      <c r="EH13" s="38">
        <f t="shared" si="23"/>
        <v>0</v>
      </c>
      <c r="EI13" s="38">
        <f t="shared" si="24"/>
        <v>10.755997966291201</v>
      </c>
      <c r="EJ13" s="38">
        <f t="shared" si="25"/>
        <v>0</v>
      </c>
      <c r="EK13" s="38">
        <f t="shared" si="26"/>
        <v>0</v>
      </c>
      <c r="EL13" s="38">
        <f t="shared" si="27"/>
        <v>0</v>
      </c>
      <c r="EM13" s="38">
        <f t="shared" si="28"/>
        <v>0</v>
      </c>
      <c r="EN13" s="38">
        <f t="shared" si="29"/>
        <v>0</v>
      </c>
      <c r="EO13" s="38">
        <f t="shared" si="30"/>
        <v>0</v>
      </c>
      <c r="EP13" s="38">
        <f t="shared" si="31"/>
        <v>341.0024200858</v>
      </c>
      <c r="EQ13" s="38">
        <f t="shared" si="32"/>
        <v>59.848407602978398</v>
      </c>
      <c r="ER13" s="38">
        <f t="shared" si="33"/>
        <v>16.373076782932475</v>
      </c>
      <c r="ES13" s="38">
        <f t="shared" si="34"/>
        <v>40.212470231491963</v>
      </c>
      <c r="ET13" s="38">
        <f t="shared" si="35"/>
        <v>0</v>
      </c>
      <c r="EU13" s="38">
        <f t="shared" si="36"/>
        <v>0</v>
      </c>
      <c r="EV13" s="38">
        <f t="shared" si="37"/>
        <v>0</v>
      </c>
      <c r="EW13" s="38">
        <f t="shared" si="38"/>
        <v>0</v>
      </c>
      <c r="EX13" s="38">
        <f t="shared" si="39"/>
        <v>0</v>
      </c>
      <c r="EZ13" s="38">
        <f t="shared" si="40"/>
        <v>0</v>
      </c>
      <c r="FA13" s="38">
        <f t="shared" si="41"/>
        <v>0</v>
      </c>
      <c r="FB13" s="1">
        <f t="shared" si="42"/>
        <v>0</v>
      </c>
      <c r="FC13" s="1">
        <f t="shared" si="43"/>
        <v>0</v>
      </c>
      <c r="FD13" s="1">
        <f t="shared" si="44"/>
        <v>0</v>
      </c>
      <c r="FE13" s="1">
        <f t="shared" si="45"/>
        <v>0</v>
      </c>
      <c r="FF13" s="1">
        <f t="shared" si="46"/>
        <v>0</v>
      </c>
      <c r="FG13" s="1">
        <f t="shared" si="47"/>
        <v>0</v>
      </c>
      <c r="FH13" s="1">
        <f t="shared" si="48"/>
        <v>0</v>
      </c>
      <c r="FI13" s="1">
        <f t="shared" si="49"/>
        <v>0</v>
      </c>
      <c r="FJ13" s="1">
        <f t="shared" si="50"/>
        <v>0</v>
      </c>
      <c r="FK13" s="1">
        <f t="shared" si="51"/>
        <v>0</v>
      </c>
      <c r="FL13" s="1">
        <f t="shared" si="52"/>
        <v>0</v>
      </c>
      <c r="FM13" s="1">
        <f t="shared" si="53"/>
        <v>0</v>
      </c>
      <c r="FN13" s="1">
        <f t="shared" si="54"/>
        <v>0</v>
      </c>
      <c r="FO13" s="1">
        <f t="shared" si="55"/>
        <v>0</v>
      </c>
      <c r="FP13" s="1">
        <f t="shared" si="56"/>
        <v>0</v>
      </c>
      <c r="FQ13" s="1">
        <f t="shared" si="57"/>
        <v>0</v>
      </c>
      <c r="FS13" s="1">
        <f t="shared" si="58"/>
        <v>0</v>
      </c>
      <c r="FT13" s="1">
        <f t="shared" si="59"/>
        <v>0</v>
      </c>
      <c r="FU13" s="38">
        <f t="shared" si="60"/>
        <v>0</v>
      </c>
      <c r="FV13" s="38">
        <f t="shared" si="61"/>
        <v>0</v>
      </c>
      <c r="FW13" s="38">
        <f t="shared" si="62"/>
        <v>0</v>
      </c>
      <c r="FX13" s="38">
        <f t="shared" si="63"/>
        <v>0</v>
      </c>
      <c r="FY13" s="38">
        <f t="shared" si="64"/>
        <v>0</v>
      </c>
      <c r="FZ13" s="38">
        <f t="shared" si="65"/>
        <v>0</v>
      </c>
      <c r="GA13" s="38">
        <f t="shared" si="66"/>
        <v>0</v>
      </c>
      <c r="GB13" s="38">
        <f t="shared" si="67"/>
        <v>0</v>
      </c>
      <c r="GC13" s="38">
        <f t="shared" si="68"/>
        <v>0</v>
      </c>
      <c r="GD13" s="38">
        <f t="shared" si="69"/>
        <v>0</v>
      </c>
      <c r="GE13" s="38">
        <f t="shared" si="70"/>
        <v>0</v>
      </c>
      <c r="GF13" s="38">
        <f t="shared" si="71"/>
        <v>0</v>
      </c>
      <c r="GG13" s="38">
        <f t="shared" si="72"/>
        <v>0</v>
      </c>
      <c r="GH13" s="38">
        <f t="shared" si="73"/>
        <v>0</v>
      </c>
      <c r="GI13" s="38">
        <f t="shared" si="74"/>
        <v>0</v>
      </c>
      <c r="GJ13" s="38">
        <f t="shared" si="75"/>
        <v>0</v>
      </c>
      <c r="GL13" s="38">
        <f t="shared" si="76"/>
        <v>0</v>
      </c>
      <c r="GM13" s="38">
        <f t="shared" si="77"/>
        <v>0</v>
      </c>
      <c r="GN13" s="1" t="s">
        <v>2</v>
      </c>
      <c r="GO13" s="2">
        <f t="shared" si="78"/>
        <v>8.2413659999999993</v>
      </c>
      <c r="GP13" s="13">
        <f t="shared" si="79"/>
        <v>0.3155172297893335</v>
      </c>
      <c r="GQ13" s="41">
        <f t="shared" si="80"/>
        <v>26.002929700000003</v>
      </c>
      <c r="GR13" s="41">
        <f t="shared" si="81"/>
        <v>468.19237266949403</v>
      </c>
      <c r="GS13" s="14">
        <f t="shared" si="82"/>
        <v>56.810044920889823</v>
      </c>
      <c r="GT13" s="1">
        <f t="shared" si="87"/>
        <v>0</v>
      </c>
      <c r="GU13" s="1">
        <f t="shared" si="88"/>
        <v>24.007945599999999</v>
      </c>
      <c r="GV13" s="1">
        <f t="shared" si="89"/>
        <v>1.9949841000000001</v>
      </c>
      <c r="GW13" s="37">
        <f t="shared" si="83"/>
        <v>0</v>
      </c>
      <c r="GX13" s="37"/>
      <c r="GY13" s="37"/>
      <c r="GZ13" s="37"/>
      <c r="HB13" s="1">
        <f t="shared" si="90"/>
        <v>0</v>
      </c>
      <c r="HC13" s="1">
        <f t="shared" si="91"/>
        <v>0</v>
      </c>
      <c r="HD13" s="37" t="s">
        <v>2</v>
      </c>
      <c r="HE13" s="1" t="s">
        <v>118</v>
      </c>
      <c r="HF13" s="1" t="s">
        <v>68</v>
      </c>
      <c r="HI13" s="1" t="s">
        <v>96</v>
      </c>
      <c r="HJ13" s="37" t="s">
        <v>2</v>
      </c>
      <c r="HK13" s="37" t="s">
        <v>118</v>
      </c>
      <c r="HL13" s="37" t="s">
        <v>119</v>
      </c>
      <c r="HM13" s="37" t="s">
        <v>96</v>
      </c>
      <c r="HN13" s="45">
        <f>SUM(GT30:GT33)</f>
        <v>0</v>
      </c>
      <c r="HO13" s="41">
        <f>SUM(GU30:GU33)</f>
        <v>18.516374800000001</v>
      </c>
      <c r="HP13" s="41">
        <f>SUM(GV30:GV33)</f>
        <v>4.9277004000000009</v>
      </c>
      <c r="HQ13" s="41">
        <f>SUM(GO30:GO33)</f>
        <v>40.552489000000001</v>
      </c>
      <c r="HR13" s="44">
        <f t="shared" si="85"/>
        <v>5.7811680067282684E-2</v>
      </c>
      <c r="HS13" s="44">
        <f>MIN(GP30:GP33)</f>
        <v>3.3138918513138577E-2</v>
      </c>
      <c r="HT13" s="44">
        <f>MAX(GP30:GP33)</f>
        <v>0.12509433962264152</v>
      </c>
      <c r="HU13" s="41">
        <f>SUM(GQ30:GQ33)</f>
        <v>23.4440752</v>
      </c>
      <c r="HV13" s="41">
        <f>SUM(GR30:GR33)/SUM(GO30:GO33)</f>
        <v>119.5234075725172</v>
      </c>
      <c r="HW13" s="37">
        <f>COUNT(GQ30:GQ33)</f>
        <v>4</v>
      </c>
      <c r="HX13" s="45">
        <f>SUM(HB30:HB33)</f>
        <v>0</v>
      </c>
      <c r="HY13" s="45">
        <f>SUM(HC30:HC33)</f>
        <v>0</v>
      </c>
      <c r="HZ13" s="37" t="s">
        <v>1318</v>
      </c>
      <c r="IA13" s="37" t="s">
        <v>1318</v>
      </c>
      <c r="IB13" s="37" t="s">
        <v>1318</v>
      </c>
      <c r="IC13" s="37" t="s">
        <v>1318</v>
      </c>
      <c r="ID13" s="37">
        <f>COUNT(GY30:GY33)</f>
        <v>0</v>
      </c>
      <c r="IF13" s="14">
        <f t="shared" ref="IF13:IN13" si="107">100*SUM(EI30:EI33)/SUM($EI30:$FA33)</f>
        <v>4.0270851200457054</v>
      </c>
      <c r="IG13" s="13">
        <f t="shared" si="107"/>
        <v>3.8963998792208798E-2</v>
      </c>
      <c r="IH13" s="38">
        <f t="shared" si="107"/>
        <v>0</v>
      </c>
      <c r="II13" s="14">
        <f t="shared" si="107"/>
        <v>59.96919548109468</v>
      </c>
      <c r="IJ13" s="14">
        <f t="shared" si="107"/>
        <v>0.539011492335425</v>
      </c>
      <c r="IK13" s="38">
        <f t="shared" si="107"/>
        <v>0</v>
      </c>
      <c r="IL13" s="38">
        <f t="shared" si="107"/>
        <v>1.9781521569000691</v>
      </c>
      <c r="IM13" s="14">
        <f t="shared" si="107"/>
        <v>6.3430451641228949</v>
      </c>
      <c r="IN13" s="14">
        <f t="shared" si="107"/>
        <v>20.065293134017832</v>
      </c>
      <c r="IO13" s="38">
        <f>100*SUM(EV30:EV33)/SUM($EI30:$FA33)</f>
        <v>0</v>
      </c>
      <c r="IP13" s="38">
        <f>100*SUM(EW30:EW33)/SUM($EI30:$FA33)</f>
        <v>0</v>
      </c>
      <c r="IQ13" s="38">
        <f>100*SUM(EX30:EX33)/SUM($EI30:$FA33)</f>
        <v>0</v>
      </c>
      <c r="IR13" s="38">
        <f>100*SUM(EZ30:EZ33)/SUM($EI30:$FA33)</f>
        <v>7.039253452691197</v>
      </c>
      <c r="IS13" s="38">
        <f>100*SUM(FA30:FA33)/SUM($EI30:$FA33)</f>
        <v>0</v>
      </c>
      <c r="JH13" s="58" t="s">
        <v>2</v>
      </c>
    </row>
    <row r="14" spans="1:268" ht="16.25" customHeight="1" x14ac:dyDescent="0.2">
      <c r="A14" s="16" t="s">
        <v>966</v>
      </c>
      <c r="B14" s="1" t="s">
        <v>69</v>
      </c>
      <c r="F14" s="1" t="s">
        <v>967</v>
      </c>
      <c r="I14" s="1">
        <v>0</v>
      </c>
      <c r="AD14" s="13">
        <v>28.301300000000001</v>
      </c>
      <c r="AE14" s="1">
        <v>0.10100000000000001</v>
      </c>
      <c r="AK14" s="1">
        <v>0.378</v>
      </c>
      <c r="AL14" s="1">
        <v>0.192</v>
      </c>
      <c r="AM14" s="1">
        <v>1.2E-2</v>
      </c>
      <c r="AY14" s="2">
        <v>5.9603999999999999</v>
      </c>
      <c r="AZ14" s="1">
        <v>0.104</v>
      </c>
      <c r="BF14" s="1">
        <v>0.39100000000000001</v>
      </c>
      <c r="BG14" s="1">
        <v>0.186</v>
      </c>
      <c r="BH14" s="1">
        <v>1.2E-2</v>
      </c>
      <c r="BT14" s="1">
        <v>0</v>
      </c>
      <c r="CO14" s="1">
        <v>0</v>
      </c>
      <c r="DJ14" s="1" t="s">
        <v>96</v>
      </c>
      <c r="DK14" s="1" t="s">
        <v>96</v>
      </c>
      <c r="DL14" s="1">
        <f t="shared" si="4"/>
        <v>0.19095619890431587</v>
      </c>
      <c r="DM14" s="1">
        <f t="shared" si="5"/>
        <v>1.1999999999999999E-2</v>
      </c>
      <c r="DN14" s="1" t="s">
        <v>968</v>
      </c>
      <c r="DO14" s="1" t="s">
        <v>2</v>
      </c>
      <c r="DP14" s="38">
        <f t="shared" si="6"/>
        <v>3.4783129000000003E-2</v>
      </c>
      <c r="DQ14" s="38">
        <f t="shared" si="7"/>
        <v>0</v>
      </c>
      <c r="DR14" s="38">
        <f t="shared" si="8"/>
        <v>0</v>
      </c>
      <c r="DS14" s="38">
        <f t="shared" si="9"/>
        <v>0</v>
      </c>
      <c r="DT14" s="38">
        <f t="shared" si="10"/>
        <v>0</v>
      </c>
      <c r="DU14" s="38">
        <f t="shared" si="11"/>
        <v>0</v>
      </c>
      <c r="DV14" s="38">
        <f t="shared" si="12"/>
        <v>0.13028407800000003</v>
      </c>
      <c r="DW14" s="38">
        <f t="shared" si="13"/>
        <v>6.5424839999999998E-2</v>
      </c>
      <c r="DX14" s="38">
        <f t="shared" si="14"/>
        <v>4.1114039999999999E-3</v>
      </c>
      <c r="DY14" s="38">
        <f t="shared" si="15"/>
        <v>0</v>
      </c>
      <c r="DZ14" s="38">
        <f t="shared" si="16"/>
        <v>0</v>
      </c>
      <c r="EA14" s="38">
        <f t="shared" si="17"/>
        <v>0</v>
      </c>
      <c r="EB14" s="38">
        <f t="shared" si="18"/>
        <v>0</v>
      </c>
      <c r="EC14" s="38">
        <f t="shared" si="19"/>
        <v>0</v>
      </c>
      <c r="ED14" s="38">
        <f t="shared" si="20"/>
        <v>0</v>
      </c>
      <c r="EE14" s="38">
        <f t="shared" si="21"/>
        <v>0</v>
      </c>
      <c r="EG14" s="38">
        <f t="shared" si="22"/>
        <v>0</v>
      </c>
      <c r="EH14" s="38">
        <f t="shared" si="23"/>
        <v>0</v>
      </c>
      <c r="EI14" s="38">
        <f t="shared" si="24"/>
        <v>226.98134313246402</v>
      </c>
      <c r="EJ14" s="38">
        <f t="shared" si="25"/>
        <v>0</v>
      </c>
      <c r="EK14" s="38">
        <f t="shared" si="26"/>
        <v>0</v>
      </c>
      <c r="EL14" s="38">
        <f t="shared" si="27"/>
        <v>0</v>
      </c>
      <c r="EM14" s="38">
        <f t="shared" si="28"/>
        <v>0</v>
      </c>
      <c r="EN14" s="38">
        <f t="shared" si="29"/>
        <v>0</v>
      </c>
      <c r="EO14" s="38">
        <f t="shared" si="30"/>
        <v>381.14661738212766</v>
      </c>
      <c r="EP14" s="38">
        <f t="shared" si="31"/>
        <v>857.98135175999994</v>
      </c>
      <c r="EQ14" s="38">
        <f t="shared" si="32"/>
        <v>298.56820145169593</v>
      </c>
      <c r="ER14" s="38">
        <f t="shared" si="33"/>
        <v>0</v>
      </c>
      <c r="ES14" s="38">
        <f t="shared" si="34"/>
        <v>0</v>
      </c>
      <c r="ET14" s="38">
        <f t="shared" si="35"/>
        <v>0</v>
      </c>
      <c r="EU14" s="38">
        <f t="shared" si="36"/>
        <v>0</v>
      </c>
      <c r="EV14" s="38">
        <f t="shared" si="37"/>
        <v>0</v>
      </c>
      <c r="EW14" s="38">
        <f t="shared" si="38"/>
        <v>0</v>
      </c>
      <c r="EX14" s="38">
        <f t="shared" si="39"/>
        <v>0</v>
      </c>
      <c r="EZ14" s="38">
        <f t="shared" si="40"/>
        <v>0</v>
      </c>
      <c r="FA14" s="38">
        <f t="shared" si="41"/>
        <v>0</v>
      </c>
      <c r="FB14" s="1">
        <f t="shared" si="42"/>
        <v>0</v>
      </c>
      <c r="FC14" s="1">
        <f t="shared" si="43"/>
        <v>0</v>
      </c>
      <c r="FD14" s="1">
        <f t="shared" si="44"/>
        <v>0</v>
      </c>
      <c r="FE14" s="1">
        <f t="shared" si="45"/>
        <v>0</v>
      </c>
      <c r="FF14" s="1">
        <f t="shared" si="46"/>
        <v>0</v>
      </c>
      <c r="FG14" s="1">
        <f t="shared" si="47"/>
        <v>0</v>
      </c>
      <c r="FH14" s="1">
        <f t="shared" si="48"/>
        <v>0</v>
      </c>
      <c r="FI14" s="1">
        <f t="shared" si="49"/>
        <v>0</v>
      </c>
      <c r="FJ14" s="1">
        <f t="shared" si="50"/>
        <v>0</v>
      </c>
      <c r="FK14" s="1">
        <f t="shared" si="51"/>
        <v>0</v>
      </c>
      <c r="FL14" s="1">
        <f t="shared" si="52"/>
        <v>0</v>
      </c>
      <c r="FM14" s="1">
        <f t="shared" si="53"/>
        <v>0</v>
      </c>
      <c r="FN14" s="1">
        <f t="shared" si="54"/>
        <v>0</v>
      </c>
      <c r="FO14" s="1">
        <f t="shared" si="55"/>
        <v>0</v>
      </c>
      <c r="FP14" s="1">
        <f t="shared" si="56"/>
        <v>0</v>
      </c>
      <c r="FQ14" s="1">
        <f t="shared" si="57"/>
        <v>0</v>
      </c>
      <c r="FS14" s="1">
        <f t="shared" si="58"/>
        <v>0</v>
      </c>
      <c r="FT14" s="1">
        <f t="shared" si="59"/>
        <v>0</v>
      </c>
      <c r="FU14" s="38">
        <f t="shared" si="60"/>
        <v>0</v>
      </c>
      <c r="FV14" s="38">
        <f t="shared" si="61"/>
        <v>0</v>
      </c>
      <c r="FW14" s="38">
        <f t="shared" si="62"/>
        <v>0</v>
      </c>
      <c r="FX14" s="38">
        <f t="shared" si="63"/>
        <v>0</v>
      </c>
      <c r="FY14" s="38">
        <f t="shared" si="64"/>
        <v>0</v>
      </c>
      <c r="FZ14" s="38">
        <f t="shared" si="65"/>
        <v>0</v>
      </c>
      <c r="GA14" s="38">
        <f t="shared" si="66"/>
        <v>0</v>
      </c>
      <c r="GB14" s="38">
        <f t="shared" si="67"/>
        <v>0</v>
      </c>
      <c r="GC14" s="38">
        <f t="shared" si="68"/>
        <v>0</v>
      </c>
      <c r="GD14" s="38">
        <f t="shared" si="69"/>
        <v>0</v>
      </c>
      <c r="GE14" s="38">
        <f t="shared" si="70"/>
        <v>0</v>
      </c>
      <c r="GF14" s="38">
        <f t="shared" si="71"/>
        <v>0</v>
      </c>
      <c r="GG14" s="38">
        <f t="shared" si="72"/>
        <v>0</v>
      </c>
      <c r="GH14" s="38">
        <f t="shared" si="73"/>
        <v>0</v>
      </c>
      <c r="GI14" s="38">
        <f t="shared" si="74"/>
        <v>0</v>
      </c>
      <c r="GJ14" s="38">
        <f t="shared" si="75"/>
        <v>0</v>
      </c>
      <c r="GL14" s="38">
        <f t="shared" si="76"/>
        <v>0</v>
      </c>
      <c r="GM14" s="38">
        <f t="shared" si="77"/>
        <v>0</v>
      </c>
      <c r="GN14" s="1" t="s">
        <v>2</v>
      </c>
      <c r="GO14" s="13">
        <f t="shared" si="78"/>
        <v>34.261700000000005</v>
      </c>
      <c r="GP14" s="13">
        <f t="shared" si="79"/>
        <v>0.19095619890431587</v>
      </c>
      <c r="GQ14" s="41">
        <f t="shared" si="80"/>
        <v>65.424839999999989</v>
      </c>
      <c r="GR14" s="41">
        <f t="shared" si="81"/>
        <v>1764.6775137262875</v>
      </c>
      <c r="GS14" s="14">
        <f t="shared" si="82"/>
        <v>51.505836363236128</v>
      </c>
      <c r="GT14" s="1">
        <f t="shared" si="87"/>
        <v>0</v>
      </c>
      <c r="GU14" s="1">
        <f t="shared" si="88"/>
        <v>54.338496000000006</v>
      </c>
      <c r="GV14" s="1">
        <f t="shared" si="89"/>
        <v>11.086343999999999</v>
      </c>
      <c r="GW14" s="37">
        <f t="shared" si="83"/>
        <v>0</v>
      </c>
      <c r="GX14" s="37"/>
      <c r="GY14" s="37"/>
      <c r="GZ14" s="37"/>
      <c r="HB14" s="1">
        <f t="shared" si="90"/>
        <v>0</v>
      </c>
      <c r="HC14" s="1">
        <f t="shared" si="91"/>
        <v>0</v>
      </c>
      <c r="HD14" s="37" t="s">
        <v>2</v>
      </c>
      <c r="HE14" s="1" t="s">
        <v>118</v>
      </c>
      <c r="HF14" s="1" t="s">
        <v>68</v>
      </c>
      <c r="HI14" s="1" t="s">
        <v>96</v>
      </c>
      <c r="HJ14" s="37" t="s">
        <v>2</v>
      </c>
      <c r="HK14" s="37" t="s">
        <v>118</v>
      </c>
      <c r="HL14" s="37" t="s">
        <v>138</v>
      </c>
      <c r="HM14" s="37" t="s">
        <v>96</v>
      </c>
      <c r="HN14" s="41">
        <f>SUM(GT34:GT41)</f>
        <v>12.970599999999999</v>
      </c>
      <c r="HO14" s="41">
        <f>SUM(GU34:GU41)</f>
        <v>28.180399999999999</v>
      </c>
      <c r="HP14" s="41">
        <f>SUM(GV34:GV41)</f>
        <v>11.489100000000001</v>
      </c>
      <c r="HQ14" s="41">
        <f>SUM(GO34:GO41)</f>
        <v>18.071000000000002</v>
      </c>
      <c r="HR14" s="44">
        <f t="shared" si="85"/>
        <v>0.29129599911460347</v>
      </c>
      <c r="HS14" s="44">
        <f>MIN(GP34:GP41)</f>
        <v>0.05</v>
      </c>
      <c r="HT14" s="44">
        <f>MAX(GP34:GP41)</f>
        <v>1.02</v>
      </c>
      <c r="HU14" s="41">
        <f>SUM(GQ34:GQ41)</f>
        <v>52.640100000000004</v>
      </c>
      <c r="HV14" s="41">
        <f>SUM(GR34:GR41)/SUM(GO34:GO41)</f>
        <v>165.87590506198413</v>
      </c>
      <c r="HW14" s="37">
        <f>COUNT(GQ34:GQ41)</f>
        <v>8</v>
      </c>
      <c r="HX14" s="41">
        <f>SUM(HB34:HB41)</f>
        <v>1.8545999999999998</v>
      </c>
      <c r="HY14" s="41">
        <f>SUM(HC34:HC41)</f>
        <v>1.3311000000000002</v>
      </c>
      <c r="HZ14" s="41">
        <f>SUM(GW34:GW41)</f>
        <v>1.3359999999999999</v>
      </c>
      <c r="IA14" s="44">
        <f>100*(IB14/1000)/HZ14</f>
        <v>0.23845059880239522</v>
      </c>
      <c r="IB14" s="41">
        <f>SUM(GY34:GY41)</f>
        <v>3.1856999999999998</v>
      </c>
      <c r="IC14" s="41">
        <f>SUM(GZ34:GZ41)/SUM(GW34:GW41)</f>
        <v>246.15127892048687</v>
      </c>
      <c r="ID14" s="37">
        <f>COUNT(GY34:GY41)</f>
        <v>1</v>
      </c>
      <c r="IF14" s="14">
        <f t="shared" ref="IF14:IN14" si="108">100*SUM(EI34:EI41)/SUM($EI34:$FA41)</f>
        <v>21.042460629083731</v>
      </c>
      <c r="IG14" s="14">
        <f t="shared" si="108"/>
        <v>4.7094655586393319</v>
      </c>
      <c r="IH14" s="13">
        <f t="shared" si="108"/>
        <v>0.19790642666401731</v>
      </c>
      <c r="II14" s="38">
        <f t="shared" si="108"/>
        <v>0</v>
      </c>
      <c r="IJ14" s="38">
        <f t="shared" si="108"/>
        <v>0</v>
      </c>
      <c r="IK14" s="38">
        <f t="shared" si="108"/>
        <v>0</v>
      </c>
      <c r="IL14" s="14">
        <f t="shared" si="108"/>
        <v>5.2504596924080209</v>
      </c>
      <c r="IM14" s="14">
        <f t="shared" si="108"/>
        <v>23.029599934730971</v>
      </c>
      <c r="IN14" s="14">
        <f t="shared" si="108"/>
        <v>45.77010775847392</v>
      </c>
      <c r="IO14" s="38">
        <f>100*SUM(ER34:EV41)/SUM($EI34:$FA41)</f>
        <v>0</v>
      </c>
      <c r="IP14" s="38">
        <f>100*SUM(EW34:EW41)/SUM($EI34:$FA41)</f>
        <v>0</v>
      </c>
      <c r="IQ14" s="38">
        <f>100*SUM(EX34:EX41)/SUM($EI34:$FA41)</f>
        <v>0</v>
      </c>
      <c r="IR14" s="38">
        <f>100*SUM(EZ34:EZ41)/SUM($EI34:$FA41)</f>
        <v>0</v>
      </c>
      <c r="IS14" s="38">
        <f>100*SUM(FA34:FA41)/SUM($EI34:$FA41)</f>
        <v>0</v>
      </c>
      <c r="IT14" s="14">
        <f t="shared" ref="IT14:JB14" si="109">100*SUM(FU34:FU41)/SUM($FU34:$GM41)</f>
        <v>17.977197204743007</v>
      </c>
      <c r="IU14" s="14">
        <f t="shared" si="109"/>
        <v>15.927412584813068</v>
      </c>
      <c r="IV14" s="38">
        <f t="shared" si="109"/>
        <v>0</v>
      </c>
      <c r="IW14" s="38">
        <f t="shared" si="109"/>
        <v>0</v>
      </c>
      <c r="IX14" s="38">
        <f t="shared" si="109"/>
        <v>0</v>
      </c>
      <c r="IY14" s="38">
        <f t="shared" si="109"/>
        <v>0</v>
      </c>
      <c r="IZ14" s="14">
        <f t="shared" si="109"/>
        <v>3.8698257656275863</v>
      </c>
      <c r="JA14" s="14">
        <f t="shared" si="109"/>
        <v>12.703737174994425</v>
      </c>
      <c r="JB14" s="14">
        <f t="shared" si="109"/>
        <v>49.521827269821912</v>
      </c>
      <c r="JC14" s="38">
        <f>100*SUM(GD34:GH41)/SUM($FU34:$GM41)</f>
        <v>0</v>
      </c>
      <c r="JD14" s="38">
        <f>100*SUM(GI34:GI41)/SUM($FU34:$GM41)</f>
        <v>0</v>
      </c>
      <c r="JE14" s="38">
        <f>100*SUM(GJ34:GJ41)/SUM($FU34:$GM41)</f>
        <v>0</v>
      </c>
      <c r="JF14" s="38">
        <f>100*SUM(GL34:GL41)/SUM($FU34:$GM41)</f>
        <v>0</v>
      </c>
      <c r="JG14" s="38">
        <f>100*SUM(GM34:GM41)/SUM($FU34:$GM41)</f>
        <v>0</v>
      </c>
      <c r="JH14" s="58" t="s">
        <v>2</v>
      </c>
    </row>
    <row r="15" spans="1:268" ht="16.25" customHeight="1" x14ac:dyDescent="0.2">
      <c r="A15" s="16" t="s">
        <v>1304</v>
      </c>
      <c r="B15" s="1" t="s">
        <v>69</v>
      </c>
      <c r="E15" s="1" t="s">
        <v>200</v>
      </c>
      <c r="F15" s="1" t="s">
        <v>201</v>
      </c>
      <c r="H15" s="1" t="s">
        <v>188</v>
      </c>
      <c r="I15" s="14">
        <f>0.56*2.6</f>
        <v>1.4560000000000002</v>
      </c>
      <c r="J15" s="1">
        <v>1.05</v>
      </c>
      <c r="Q15" s="1">
        <v>1.33</v>
      </c>
      <c r="R15" s="1">
        <v>0.23</v>
      </c>
      <c r="AB15" s="1">
        <v>27.57</v>
      </c>
      <c r="AD15" s="14">
        <f>0.56*68.1</f>
        <v>38.136000000000003</v>
      </c>
      <c r="AE15" s="1">
        <v>1.18</v>
      </c>
      <c r="AL15" s="1">
        <v>1.35</v>
      </c>
      <c r="AM15" s="1">
        <v>0.21</v>
      </c>
      <c r="AW15" s="1">
        <v>30.32</v>
      </c>
      <c r="AY15" s="14">
        <f>0.56*685.3</f>
        <v>383.76800000000003</v>
      </c>
      <c r="AZ15" s="1">
        <v>1.1399999999999999</v>
      </c>
      <c r="BG15" s="1">
        <v>1.29</v>
      </c>
      <c r="BH15" s="13">
        <v>0.2</v>
      </c>
      <c r="BR15" s="1">
        <v>29.05</v>
      </c>
      <c r="BT15" s="1">
        <v>0</v>
      </c>
      <c r="CO15" s="1">
        <v>0</v>
      </c>
      <c r="DJ15" s="1" t="s">
        <v>96</v>
      </c>
      <c r="DK15" s="1" t="s">
        <v>96</v>
      </c>
      <c r="DL15" s="1">
        <f t="shared" si="4"/>
        <v>1.2955423280423282</v>
      </c>
      <c r="DM15" s="1">
        <f t="shared" si="5"/>
        <v>0.20100396825396827</v>
      </c>
      <c r="DN15" s="1" t="s">
        <v>1305</v>
      </c>
      <c r="DO15" s="1" t="s">
        <v>2</v>
      </c>
      <c r="DP15" s="38">
        <f t="shared" si="6"/>
        <v>4.8402479999999999</v>
      </c>
      <c r="DQ15" s="38">
        <f t="shared" si="7"/>
        <v>0</v>
      </c>
      <c r="DR15" s="38">
        <f t="shared" si="8"/>
        <v>0</v>
      </c>
      <c r="DS15" s="38">
        <f t="shared" si="9"/>
        <v>0</v>
      </c>
      <c r="DT15" s="38">
        <f t="shared" si="10"/>
        <v>0</v>
      </c>
      <c r="DU15" s="38">
        <f t="shared" si="11"/>
        <v>0</v>
      </c>
      <c r="DV15" s="38">
        <f t="shared" si="12"/>
        <v>0</v>
      </c>
      <c r="DW15" s="38">
        <f t="shared" si="13"/>
        <v>5.4848080000000001</v>
      </c>
      <c r="DX15" s="38">
        <f t="shared" si="14"/>
        <v>0.85097040000000002</v>
      </c>
      <c r="DY15" s="38">
        <f t="shared" si="15"/>
        <v>0</v>
      </c>
      <c r="DZ15" s="38">
        <f t="shared" si="16"/>
        <v>0</v>
      </c>
      <c r="EA15" s="38">
        <f t="shared" si="17"/>
        <v>0</v>
      </c>
      <c r="EB15" s="38">
        <f t="shared" si="18"/>
        <v>0</v>
      </c>
      <c r="EC15" s="38">
        <f t="shared" si="19"/>
        <v>0</v>
      </c>
      <c r="ED15" s="38">
        <f t="shared" si="20"/>
        <v>0</v>
      </c>
      <c r="EE15" s="38">
        <f t="shared" si="21"/>
        <v>0</v>
      </c>
      <c r="EG15" s="38">
        <f t="shared" si="22"/>
        <v>0</v>
      </c>
      <c r="EH15" s="38">
        <f t="shared" si="23"/>
        <v>123.44885840000002</v>
      </c>
      <c r="EI15" s="38">
        <f t="shared" si="24"/>
        <v>31585.599792768</v>
      </c>
      <c r="EJ15" s="38">
        <f t="shared" si="25"/>
        <v>0</v>
      </c>
      <c r="EK15" s="38">
        <f t="shared" si="26"/>
        <v>0</v>
      </c>
      <c r="EL15" s="38">
        <f t="shared" si="27"/>
        <v>0</v>
      </c>
      <c r="EM15" s="38">
        <f t="shared" si="28"/>
        <v>0</v>
      </c>
      <c r="EN15" s="38">
        <f t="shared" si="29"/>
        <v>0</v>
      </c>
      <c r="EO15" s="38">
        <f t="shared" si="30"/>
        <v>0</v>
      </c>
      <c r="EP15" s="38">
        <f t="shared" si="31"/>
        <v>71927.772112000006</v>
      </c>
      <c r="EQ15" s="38">
        <f t="shared" si="32"/>
        <v>61797.065386089591</v>
      </c>
      <c r="ER15" s="38">
        <f t="shared" si="33"/>
        <v>0</v>
      </c>
      <c r="ES15" s="38">
        <f t="shared" si="34"/>
        <v>0</v>
      </c>
      <c r="ET15" s="38">
        <f t="shared" si="35"/>
        <v>0</v>
      </c>
      <c r="EU15" s="38">
        <f t="shared" si="36"/>
        <v>0</v>
      </c>
      <c r="EV15" s="38">
        <f t="shared" si="37"/>
        <v>0</v>
      </c>
      <c r="EW15" s="38">
        <f t="shared" si="38"/>
        <v>0</v>
      </c>
      <c r="EX15" s="38">
        <f t="shared" si="39"/>
        <v>0</v>
      </c>
      <c r="EZ15" s="38">
        <f t="shared" si="40"/>
        <v>0</v>
      </c>
      <c r="FA15" s="38">
        <f t="shared" si="41"/>
        <v>200884.96048727277</v>
      </c>
      <c r="FB15" s="1">
        <f t="shared" si="42"/>
        <v>0</v>
      </c>
      <c r="FC15" s="1">
        <f t="shared" si="43"/>
        <v>0</v>
      </c>
      <c r="FD15" s="1">
        <f t="shared" si="44"/>
        <v>0</v>
      </c>
      <c r="FE15" s="1">
        <f t="shared" si="45"/>
        <v>0</v>
      </c>
      <c r="FF15" s="1">
        <f t="shared" si="46"/>
        <v>0</v>
      </c>
      <c r="FG15" s="1">
        <f t="shared" si="47"/>
        <v>0</v>
      </c>
      <c r="FH15" s="1">
        <f t="shared" si="48"/>
        <v>0</v>
      </c>
      <c r="FI15" s="1">
        <f t="shared" si="49"/>
        <v>0</v>
      </c>
      <c r="FJ15" s="1">
        <f t="shared" si="50"/>
        <v>0</v>
      </c>
      <c r="FK15" s="1">
        <f t="shared" si="51"/>
        <v>0</v>
      </c>
      <c r="FL15" s="1">
        <f t="shared" si="52"/>
        <v>0</v>
      </c>
      <c r="FM15" s="1">
        <f t="shared" si="53"/>
        <v>0</v>
      </c>
      <c r="FN15" s="1">
        <f t="shared" si="54"/>
        <v>0</v>
      </c>
      <c r="FO15" s="1">
        <f t="shared" si="55"/>
        <v>0</v>
      </c>
      <c r="FP15" s="1">
        <f t="shared" si="56"/>
        <v>0</v>
      </c>
      <c r="FQ15" s="1">
        <f t="shared" si="57"/>
        <v>0</v>
      </c>
      <c r="FS15" s="1">
        <f t="shared" si="58"/>
        <v>0</v>
      </c>
      <c r="FT15" s="1">
        <f t="shared" si="59"/>
        <v>0</v>
      </c>
      <c r="FU15" s="38">
        <f t="shared" si="60"/>
        <v>0</v>
      </c>
      <c r="FV15" s="38">
        <f t="shared" si="61"/>
        <v>0</v>
      </c>
      <c r="FW15" s="38">
        <f t="shared" si="62"/>
        <v>0</v>
      </c>
      <c r="FX15" s="38">
        <f t="shared" si="63"/>
        <v>0</v>
      </c>
      <c r="FY15" s="38">
        <f t="shared" si="64"/>
        <v>0</v>
      </c>
      <c r="FZ15" s="38">
        <f t="shared" si="65"/>
        <v>0</v>
      </c>
      <c r="GA15" s="38">
        <f t="shared" si="66"/>
        <v>0</v>
      </c>
      <c r="GB15" s="38">
        <f t="shared" si="67"/>
        <v>0</v>
      </c>
      <c r="GC15" s="38">
        <f t="shared" si="68"/>
        <v>0</v>
      </c>
      <c r="GD15" s="38">
        <f t="shared" si="69"/>
        <v>0</v>
      </c>
      <c r="GE15" s="38">
        <f t="shared" si="70"/>
        <v>0</v>
      </c>
      <c r="GF15" s="38">
        <f t="shared" si="71"/>
        <v>0</v>
      </c>
      <c r="GG15" s="38">
        <f t="shared" si="72"/>
        <v>0</v>
      </c>
      <c r="GH15" s="38">
        <f t="shared" si="73"/>
        <v>0</v>
      </c>
      <c r="GI15" s="38">
        <f t="shared" si="74"/>
        <v>0</v>
      </c>
      <c r="GJ15" s="38">
        <f t="shared" si="75"/>
        <v>0</v>
      </c>
      <c r="GL15" s="38">
        <f t="shared" si="76"/>
        <v>0</v>
      </c>
      <c r="GM15" s="38">
        <f t="shared" si="77"/>
        <v>0</v>
      </c>
      <c r="GN15" s="1" t="s">
        <v>2</v>
      </c>
      <c r="GO15" s="14">
        <f t="shared" si="78"/>
        <v>423.36</v>
      </c>
      <c r="GP15" s="13">
        <f t="shared" si="79"/>
        <v>1.2955423280423282</v>
      </c>
      <c r="GQ15" s="43">
        <f t="shared" si="80"/>
        <v>5484.8080000000009</v>
      </c>
      <c r="GR15" s="41">
        <f t="shared" si="81"/>
        <v>366195.39777813037</v>
      </c>
      <c r="GS15" s="14">
        <f t="shared" si="82"/>
        <v>864.97401213655132</v>
      </c>
      <c r="GT15" s="1">
        <f t="shared" si="87"/>
        <v>19.364800000000006</v>
      </c>
      <c r="GU15" s="1">
        <f t="shared" si="88"/>
        <v>514.83600000000013</v>
      </c>
      <c r="GV15" s="1">
        <f t="shared" si="89"/>
        <v>4950.6072000000013</v>
      </c>
      <c r="GW15" s="37">
        <f t="shared" si="83"/>
        <v>0</v>
      </c>
      <c r="GX15" s="37"/>
      <c r="GY15" s="37"/>
      <c r="GZ15" s="37"/>
      <c r="HB15" s="1">
        <f t="shared" si="90"/>
        <v>0</v>
      </c>
      <c r="HC15" s="1">
        <f t="shared" si="91"/>
        <v>0</v>
      </c>
      <c r="HD15" s="37" t="s">
        <v>2</v>
      </c>
      <c r="HE15" s="1" t="s">
        <v>118</v>
      </c>
      <c r="HF15" s="1" t="s">
        <v>1306</v>
      </c>
      <c r="HI15" s="1" t="s">
        <v>96</v>
      </c>
      <c r="HJ15" s="37" t="s">
        <v>2</v>
      </c>
      <c r="HK15" s="37" t="s">
        <v>118</v>
      </c>
      <c r="HL15" s="37" t="s">
        <v>138</v>
      </c>
      <c r="HM15" s="37" t="s">
        <v>163</v>
      </c>
      <c r="HN15" s="45">
        <f>SUM(GT42:GT46)</f>
        <v>0</v>
      </c>
      <c r="HO15" s="45">
        <f>SUM(GU42:GU46)</f>
        <v>0</v>
      </c>
      <c r="HP15" s="41">
        <f>SUM(GV42:GV46)</f>
        <v>5.7236000000000002</v>
      </c>
      <c r="HQ15" s="41">
        <f>SUM(GO42:GO46)</f>
        <v>5.024</v>
      </c>
      <c r="HR15" s="44">
        <f t="shared" si="85"/>
        <v>0.11392515923566879</v>
      </c>
      <c r="HS15" s="44">
        <f>MIN(GP42:GP46)</f>
        <v>0.02</v>
      </c>
      <c r="HT15" s="44">
        <f>MAX(GP42:GP46)</f>
        <v>0.3</v>
      </c>
      <c r="HU15" s="41">
        <f>SUM(GQ42:GQ46)</f>
        <v>5.7235999999999994</v>
      </c>
      <c r="HV15" s="41">
        <f>SUM(GR42:GR46)/SUM(GO42:GO46)</f>
        <v>260.1819645115998</v>
      </c>
      <c r="HW15" s="37">
        <f>COUNT(GQ42:GQ46)</f>
        <v>5</v>
      </c>
      <c r="HX15" s="45">
        <f>SUM(HB42:HB46)</f>
        <v>0</v>
      </c>
      <c r="HY15" s="45">
        <f>SUM(HC42:HC46)</f>
        <v>0</v>
      </c>
      <c r="HZ15" s="37" t="s">
        <v>1318</v>
      </c>
      <c r="IA15" s="37" t="s">
        <v>1318</v>
      </c>
      <c r="IB15" s="37" t="s">
        <v>1318</v>
      </c>
      <c r="IC15" s="37" t="s">
        <v>1318</v>
      </c>
      <c r="ID15" s="37">
        <f>COUNT(GY42:GY46)</f>
        <v>0</v>
      </c>
      <c r="JH15" s="58" t="s">
        <v>2</v>
      </c>
    </row>
    <row r="16" spans="1:268" ht="16.25" customHeight="1" x14ac:dyDescent="0.2">
      <c r="A16" s="16" t="s">
        <v>1307</v>
      </c>
      <c r="B16" s="1" t="s">
        <v>69</v>
      </c>
      <c r="E16" s="1" t="s">
        <v>200</v>
      </c>
      <c r="F16" s="1" t="s">
        <v>1308</v>
      </c>
      <c r="H16" s="1" t="s">
        <v>188</v>
      </c>
      <c r="I16" s="1">
        <f>0.8*4</f>
        <v>3.2</v>
      </c>
      <c r="J16" s="1">
        <v>1.1599999999999999</v>
      </c>
      <c r="Q16" s="13">
        <v>1.4</v>
      </c>
      <c r="R16" s="1">
        <v>0.13</v>
      </c>
      <c r="AB16" s="1">
        <v>31.9</v>
      </c>
      <c r="AD16" s="1">
        <f>0.8*33</f>
        <v>26.400000000000002</v>
      </c>
      <c r="AE16" s="1">
        <v>1.1499999999999999</v>
      </c>
      <c r="AL16" s="1">
        <v>1.35</v>
      </c>
      <c r="AM16" s="1">
        <v>0.13</v>
      </c>
      <c r="AW16" s="1">
        <v>31.1</v>
      </c>
      <c r="AY16" s="1">
        <f>0.8*855</f>
        <v>684</v>
      </c>
      <c r="AZ16" s="1">
        <v>1.08</v>
      </c>
      <c r="BG16" s="13">
        <v>1.3</v>
      </c>
      <c r="BH16" s="1">
        <v>0.18</v>
      </c>
      <c r="BR16" s="1">
        <v>31.1</v>
      </c>
      <c r="BT16" s="1">
        <v>0</v>
      </c>
      <c r="CO16" s="1">
        <v>0</v>
      </c>
      <c r="DJ16" s="1" t="s">
        <v>96</v>
      </c>
      <c r="DK16" s="1" t="s">
        <v>96</v>
      </c>
      <c r="DL16" s="1">
        <f t="shared" si="4"/>
        <v>1.3022982062780268</v>
      </c>
      <c r="DM16" s="1">
        <f t="shared" si="5"/>
        <v>0.17792600896860986</v>
      </c>
      <c r="DN16" s="1" t="s">
        <v>674</v>
      </c>
      <c r="DO16" s="1" t="s">
        <v>2</v>
      </c>
      <c r="DP16" s="38">
        <f t="shared" si="6"/>
        <v>7.7279200000000001</v>
      </c>
      <c r="DQ16" s="38">
        <f t="shared" si="7"/>
        <v>0</v>
      </c>
      <c r="DR16" s="38">
        <f t="shared" si="8"/>
        <v>0</v>
      </c>
      <c r="DS16" s="38">
        <f t="shared" si="9"/>
        <v>0</v>
      </c>
      <c r="DT16" s="38">
        <f t="shared" si="10"/>
        <v>0</v>
      </c>
      <c r="DU16" s="38">
        <f t="shared" si="11"/>
        <v>0</v>
      </c>
      <c r="DV16" s="38">
        <f t="shared" si="12"/>
        <v>0</v>
      </c>
      <c r="DW16" s="38">
        <f t="shared" si="13"/>
        <v>9.2932000000000006</v>
      </c>
      <c r="DX16" s="38">
        <f t="shared" si="14"/>
        <v>1.2696799999999999</v>
      </c>
      <c r="DY16" s="38">
        <f t="shared" si="15"/>
        <v>0</v>
      </c>
      <c r="DZ16" s="38">
        <f t="shared" si="16"/>
        <v>0</v>
      </c>
      <c r="EA16" s="38">
        <f t="shared" si="17"/>
        <v>0</v>
      </c>
      <c r="EB16" s="38">
        <f t="shared" si="18"/>
        <v>0</v>
      </c>
      <c r="EC16" s="38">
        <f t="shared" si="19"/>
        <v>0</v>
      </c>
      <c r="ED16" s="38">
        <f t="shared" si="20"/>
        <v>0</v>
      </c>
      <c r="EE16" s="38">
        <f t="shared" si="21"/>
        <v>0</v>
      </c>
      <c r="EG16" s="38">
        <f t="shared" si="22"/>
        <v>0</v>
      </c>
      <c r="EH16" s="38">
        <f t="shared" si="23"/>
        <v>221.95519999999999</v>
      </c>
      <c r="EI16" s="38">
        <f t="shared" si="24"/>
        <v>50429.438398719998</v>
      </c>
      <c r="EJ16" s="38">
        <f t="shared" si="25"/>
        <v>0</v>
      </c>
      <c r="EK16" s="38">
        <f t="shared" si="26"/>
        <v>0</v>
      </c>
      <c r="EL16" s="38">
        <f t="shared" si="27"/>
        <v>0</v>
      </c>
      <c r="EM16" s="38">
        <f t="shared" si="28"/>
        <v>0</v>
      </c>
      <c r="EN16" s="38">
        <f t="shared" si="29"/>
        <v>0</v>
      </c>
      <c r="EO16" s="38">
        <f t="shared" si="30"/>
        <v>0</v>
      </c>
      <c r="EP16" s="38">
        <f t="shared" si="31"/>
        <v>121871.02480000001</v>
      </c>
      <c r="EQ16" s="38">
        <f t="shared" si="32"/>
        <v>92203.557232319989</v>
      </c>
      <c r="ER16" s="38">
        <f t="shared" si="33"/>
        <v>0</v>
      </c>
      <c r="ES16" s="38">
        <f t="shared" si="34"/>
        <v>0</v>
      </c>
      <c r="ET16" s="38">
        <f t="shared" si="35"/>
        <v>0</v>
      </c>
      <c r="EU16" s="38">
        <f t="shared" si="36"/>
        <v>0</v>
      </c>
      <c r="EV16" s="38">
        <f t="shared" si="37"/>
        <v>0</v>
      </c>
      <c r="EW16" s="38">
        <f t="shared" si="38"/>
        <v>0</v>
      </c>
      <c r="EX16" s="38">
        <f t="shared" si="39"/>
        <v>0</v>
      </c>
      <c r="EZ16" s="38">
        <f t="shared" si="40"/>
        <v>0</v>
      </c>
      <c r="FA16" s="38">
        <f t="shared" si="41"/>
        <v>361181.64363636362</v>
      </c>
      <c r="FB16" s="1">
        <f t="shared" si="42"/>
        <v>0</v>
      </c>
      <c r="FC16" s="1">
        <f t="shared" si="43"/>
        <v>0</v>
      </c>
      <c r="FD16" s="1">
        <f t="shared" si="44"/>
        <v>0</v>
      </c>
      <c r="FE16" s="1">
        <f t="shared" si="45"/>
        <v>0</v>
      </c>
      <c r="FF16" s="1">
        <f t="shared" si="46"/>
        <v>0</v>
      </c>
      <c r="FG16" s="1">
        <f t="shared" si="47"/>
        <v>0</v>
      </c>
      <c r="FH16" s="1">
        <f t="shared" si="48"/>
        <v>0</v>
      </c>
      <c r="FI16" s="1">
        <f t="shared" si="49"/>
        <v>0</v>
      </c>
      <c r="FJ16" s="1">
        <f t="shared" si="50"/>
        <v>0</v>
      </c>
      <c r="FK16" s="1">
        <f t="shared" si="51"/>
        <v>0</v>
      </c>
      <c r="FL16" s="1">
        <f t="shared" si="52"/>
        <v>0</v>
      </c>
      <c r="FM16" s="1">
        <f t="shared" si="53"/>
        <v>0</v>
      </c>
      <c r="FN16" s="1">
        <f t="shared" si="54"/>
        <v>0</v>
      </c>
      <c r="FO16" s="1">
        <f t="shared" si="55"/>
        <v>0</v>
      </c>
      <c r="FP16" s="1">
        <f t="shared" si="56"/>
        <v>0</v>
      </c>
      <c r="FQ16" s="1">
        <f t="shared" si="57"/>
        <v>0</v>
      </c>
      <c r="FS16" s="1">
        <f t="shared" si="58"/>
        <v>0</v>
      </c>
      <c r="FT16" s="1">
        <f t="shared" si="59"/>
        <v>0</v>
      </c>
      <c r="FU16" s="38">
        <f t="shared" si="60"/>
        <v>0</v>
      </c>
      <c r="FV16" s="38">
        <f t="shared" si="61"/>
        <v>0</v>
      </c>
      <c r="FW16" s="38">
        <f t="shared" si="62"/>
        <v>0</v>
      </c>
      <c r="FX16" s="38">
        <f t="shared" si="63"/>
        <v>0</v>
      </c>
      <c r="FY16" s="38">
        <f t="shared" si="64"/>
        <v>0</v>
      </c>
      <c r="FZ16" s="38">
        <f t="shared" si="65"/>
        <v>0</v>
      </c>
      <c r="GA16" s="38">
        <f t="shared" si="66"/>
        <v>0</v>
      </c>
      <c r="GB16" s="38">
        <f t="shared" si="67"/>
        <v>0</v>
      </c>
      <c r="GC16" s="38">
        <f t="shared" si="68"/>
        <v>0</v>
      </c>
      <c r="GD16" s="38">
        <f t="shared" si="69"/>
        <v>0</v>
      </c>
      <c r="GE16" s="38">
        <f t="shared" si="70"/>
        <v>0</v>
      </c>
      <c r="GF16" s="38">
        <f t="shared" si="71"/>
        <v>0</v>
      </c>
      <c r="GG16" s="38">
        <f t="shared" si="72"/>
        <v>0</v>
      </c>
      <c r="GH16" s="38">
        <f t="shared" si="73"/>
        <v>0</v>
      </c>
      <c r="GI16" s="38">
        <f t="shared" si="74"/>
        <v>0</v>
      </c>
      <c r="GJ16" s="38">
        <f t="shared" si="75"/>
        <v>0</v>
      </c>
      <c r="GL16" s="38">
        <f t="shared" si="76"/>
        <v>0</v>
      </c>
      <c r="GM16" s="38">
        <f t="shared" si="77"/>
        <v>0</v>
      </c>
      <c r="GN16" s="1" t="s">
        <v>2</v>
      </c>
      <c r="GO16" s="1">
        <f t="shared" si="78"/>
        <v>713.6</v>
      </c>
      <c r="GP16" s="13">
        <f t="shared" si="79"/>
        <v>1.3022982062780268</v>
      </c>
      <c r="GQ16" s="43">
        <f t="shared" si="80"/>
        <v>9293.2000000000007</v>
      </c>
      <c r="GR16" s="41">
        <f t="shared" si="81"/>
        <v>625685.66406740365</v>
      </c>
      <c r="GS16" s="14">
        <f t="shared" si="82"/>
        <v>876.80165928728081</v>
      </c>
      <c r="GT16" s="1">
        <f t="shared" si="87"/>
        <v>44.79999999999999</v>
      </c>
      <c r="GU16" s="1">
        <f t="shared" si="88"/>
        <v>356.40000000000009</v>
      </c>
      <c r="GV16" s="1">
        <f t="shared" si="89"/>
        <v>8892</v>
      </c>
      <c r="GW16" s="37">
        <f t="shared" si="83"/>
        <v>0</v>
      </c>
      <c r="GX16" s="37"/>
      <c r="GY16" s="37"/>
      <c r="GZ16" s="37"/>
      <c r="HB16" s="1">
        <f t="shared" si="90"/>
        <v>0</v>
      </c>
      <c r="HC16" s="1">
        <f t="shared" si="91"/>
        <v>0</v>
      </c>
      <c r="HD16" s="37" t="s">
        <v>2</v>
      </c>
      <c r="HE16" s="1" t="s">
        <v>118</v>
      </c>
      <c r="HF16" s="1" t="s">
        <v>1306</v>
      </c>
      <c r="HI16" s="1" t="s">
        <v>96</v>
      </c>
      <c r="HJ16" s="37" t="s">
        <v>2</v>
      </c>
      <c r="HK16" s="37" t="s">
        <v>118</v>
      </c>
      <c r="HL16" s="37" t="s">
        <v>1358</v>
      </c>
      <c r="HM16" s="37" t="s">
        <v>96</v>
      </c>
      <c r="HN16" s="41">
        <f>SUM(GT48:GT51)</f>
        <v>168.82</v>
      </c>
      <c r="HO16" s="41">
        <f>SUM(GU48:GU51)</f>
        <v>871.88999999999987</v>
      </c>
      <c r="HP16" s="41">
        <f>SUM(GV48:GV51)</f>
        <v>482.57</v>
      </c>
      <c r="HQ16" s="41">
        <f>SUM(GO48:GO51)</f>
        <v>210.32500000000002</v>
      </c>
      <c r="HR16" s="44">
        <f t="shared" si="85"/>
        <v>0.724250564602401</v>
      </c>
      <c r="HS16" s="44">
        <f>MIN(GP48:GP51)</f>
        <v>0.40469635627530359</v>
      </c>
      <c r="HT16" s="44">
        <f>MAX(GP48:GP51)</f>
        <v>0.85544217687074831</v>
      </c>
      <c r="HU16" s="42">
        <f>SUM(GQ48:GQ51)</f>
        <v>1523.28</v>
      </c>
      <c r="HV16" s="41">
        <f>SUM(GR48:GR51)/SUM(GO48:GO51)</f>
        <v>122.90051201661277</v>
      </c>
      <c r="HW16" s="37">
        <f>COUNT(GQ48:GQ51)</f>
        <v>4</v>
      </c>
      <c r="HX16" s="45">
        <f>SUM(HB48:HB51)</f>
        <v>0</v>
      </c>
      <c r="HY16" s="41">
        <f>SUM(HC48:HC51)</f>
        <v>664.82</v>
      </c>
      <c r="HZ16" s="41">
        <f>SUM(GW48:GW51)</f>
        <v>89</v>
      </c>
      <c r="IA16" s="44">
        <f>100*(IB16/1000)/HZ16</f>
        <v>0.74698876404494396</v>
      </c>
      <c r="IB16" s="42">
        <f>SUM(GY48:GY51)</f>
        <v>664.82</v>
      </c>
      <c r="IC16" s="41">
        <f>SUM(GZ48:GZ51)/SUM(GW48:GW51)</f>
        <v>130.41391505414646</v>
      </c>
      <c r="ID16" s="37">
        <f>COUNT(GY48:GY51)</f>
        <v>1</v>
      </c>
      <c r="IF16" s="14">
        <f t="shared" ref="IF16:IN16" si="110">100*SUM(EI48:EI51)/SUM($EI48:$FA51)</f>
        <v>8.5290536766489762</v>
      </c>
      <c r="IG16" s="38">
        <f t="shared" si="110"/>
        <v>0</v>
      </c>
      <c r="IH16" s="38">
        <f t="shared" si="110"/>
        <v>0</v>
      </c>
      <c r="II16" s="38">
        <f t="shared" si="110"/>
        <v>0</v>
      </c>
      <c r="IJ16" s="38">
        <f t="shared" si="110"/>
        <v>0</v>
      </c>
      <c r="IK16" s="38">
        <f t="shared" si="110"/>
        <v>0</v>
      </c>
      <c r="IL16" s="38">
        <f t="shared" si="110"/>
        <v>0</v>
      </c>
      <c r="IM16" s="14">
        <f t="shared" si="110"/>
        <v>77.280572296656047</v>
      </c>
      <c r="IN16" s="14">
        <f t="shared" si="110"/>
        <v>8.1513845707327839</v>
      </c>
      <c r="IO16" s="14">
        <f>100*SUM(ER48:EV51)/SUM($EI48:$FA51)</f>
        <v>6.038989455962211</v>
      </c>
      <c r="IP16" s="38">
        <f>100*SUM(EW48:EW51)/SUM($EI48:$FA51)</f>
        <v>0</v>
      </c>
      <c r="IQ16" s="38">
        <f>100*SUM(EX48:EX51)/SUM($EI48:$FA51)</f>
        <v>0</v>
      </c>
      <c r="IR16" s="38">
        <f>100*SUM(EZ48:EZ51)/SUM($EI48:$FA51)</f>
        <v>0</v>
      </c>
      <c r="IS16" s="38">
        <f>100*SUM(FA48:FA51)/SUM($EI48:$FA51)</f>
        <v>0</v>
      </c>
      <c r="IT16" s="14">
        <f t="shared" ref="IT16:JB16" si="111">100*SUM(FU48:FU51)/SUM($FU48:$GM51)</f>
        <v>9.4352039342857825</v>
      </c>
      <c r="IU16" s="38">
        <f t="shared" si="111"/>
        <v>0</v>
      </c>
      <c r="IV16" s="38">
        <f t="shared" si="111"/>
        <v>0</v>
      </c>
      <c r="IW16" s="38">
        <f t="shared" si="111"/>
        <v>0</v>
      </c>
      <c r="IX16" s="38">
        <f t="shared" si="111"/>
        <v>0</v>
      </c>
      <c r="IY16" s="38">
        <f t="shared" si="111"/>
        <v>0</v>
      </c>
      <c r="IZ16" s="38">
        <f t="shared" si="111"/>
        <v>0</v>
      </c>
      <c r="JA16" s="14">
        <f t="shared" si="111"/>
        <v>75.114765534170147</v>
      </c>
      <c r="JB16" s="14">
        <f t="shared" si="111"/>
        <v>8.3525815442910165</v>
      </c>
      <c r="JC16" s="14">
        <f>100*SUM(GD48:GH51)/SUM($FU48:$GM51)</f>
        <v>7.0974489872530642</v>
      </c>
      <c r="JD16" s="38">
        <f>100*SUM(GI48:GI51)/SUM($FU48:$GM51)</f>
        <v>0</v>
      </c>
      <c r="JE16" s="38">
        <f>100*SUM(GJ48:GJ51)/SUM($FU48:$GM51)</f>
        <v>0</v>
      </c>
      <c r="JF16" s="38">
        <f>100*SUM(GL48:GL51)/SUM($FU48:$GM51)</f>
        <v>0</v>
      </c>
      <c r="JG16" s="38">
        <f>100*SUM(GM48:GM51)/SUM($FU48:$GM51)</f>
        <v>0</v>
      </c>
      <c r="JH16" s="58" t="s">
        <v>2</v>
      </c>
    </row>
    <row r="17" spans="1:268" ht="16.25" customHeight="1" x14ac:dyDescent="0.2">
      <c r="A17" s="16" t="s">
        <v>1309</v>
      </c>
      <c r="B17" s="1" t="s">
        <v>69</v>
      </c>
      <c r="E17" s="1" t="s">
        <v>200</v>
      </c>
      <c r="F17" s="1" t="s">
        <v>1311</v>
      </c>
      <c r="H17" s="1" t="s">
        <v>188</v>
      </c>
      <c r="I17" s="1">
        <v>0</v>
      </c>
      <c r="AD17" s="1">
        <v>0</v>
      </c>
      <c r="AY17" s="1">
        <v>448</v>
      </c>
      <c r="AZ17" s="1">
        <v>1.1000000000000001</v>
      </c>
      <c r="BG17" s="13">
        <v>1.39</v>
      </c>
      <c r="BH17" s="13">
        <v>0.23</v>
      </c>
      <c r="BR17" s="1">
        <v>29.3</v>
      </c>
      <c r="BT17" s="1">
        <v>0</v>
      </c>
      <c r="CO17" s="1">
        <v>0</v>
      </c>
      <c r="DJ17" s="1" t="s">
        <v>163</v>
      </c>
      <c r="DK17" s="1" t="s">
        <v>163</v>
      </c>
      <c r="DL17" s="1">
        <f t="shared" si="4"/>
        <v>1.39</v>
      </c>
      <c r="DM17" s="1">
        <f t="shared" si="5"/>
        <v>0.23</v>
      </c>
      <c r="DN17" s="1" t="s">
        <v>1310</v>
      </c>
      <c r="DO17" s="1" t="s">
        <v>2</v>
      </c>
      <c r="DP17" s="38">
        <f t="shared" si="6"/>
        <v>4.9280000000000008</v>
      </c>
      <c r="DQ17" s="38">
        <f t="shared" si="7"/>
        <v>0</v>
      </c>
      <c r="DR17" s="38">
        <f t="shared" si="8"/>
        <v>0</v>
      </c>
      <c r="DS17" s="38">
        <f t="shared" si="9"/>
        <v>0</v>
      </c>
      <c r="DT17" s="38">
        <f t="shared" si="10"/>
        <v>0</v>
      </c>
      <c r="DU17" s="38">
        <f t="shared" si="11"/>
        <v>0</v>
      </c>
      <c r="DV17" s="38">
        <f t="shared" si="12"/>
        <v>0</v>
      </c>
      <c r="DW17" s="38">
        <f t="shared" si="13"/>
        <v>6.227199999999999</v>
      </c>
      <c r="DX17" s="38">
        <f t="shared" si="14"/>
        <v>1.0304</v>
      </c>
      <c r="DY17" s="38">
        <f t="shared" si="15"/>
        <v>0</v>
      </c>
      <c r="DZ17" s="38">
        <f t="shared" si="16"/>
        <v>0</v>
      </c>
      <c r="EA17" s="38">
        <f t="shared" si="17"/>
        <v>0</v>
      </c>
      <c r="EB17" s="38">
        <f t="shared" si="18"/>
        <v>0</v>
      </c>
      <c r="EC17" s="38">
        <f t="shared" si="19"/>
        <v>0</v>
      </c>
      <c r="ED17" s="38">
        <f t="shared" si="20"/>
        <v>0</v>
      </c>
      <c r="EE17" s="38">
        <f t="shared" si="21"/>
        <v>0</v>
      </c>
      <c r="EG17" s="38">
        <f t="shared" si="22"/>
        <v>0</v>
      </c>
      <c r="EH17" s="38">
        <f t="shared" si="23"/>
        <v>131.26400000000001</v>
      </c>
      <c r="EI17" s="38">
        <f t="shared" si="24"/>
        <v>32158.235648000005</v>
      </c>
      <c r="EJ17" s="38">
        <f t="shared" si="25"/>
        <v>0</v>
      </c>
      <c r="EK17" s="38">
        <f t="shared" si="26"/>
        <v>0</v>
      </c>
      <c r="EL17" s="38">
        <f t="shared" si="27"/>
        <v>0</v>
      </c>
      <c r="EM17" s="38">
        <f t="shared" si="28"/>
        <v>0</v>
      </c>
      <c r="EN17" s="38">
        <f t="shared" si="29"/>
        <v>0</v>
      </c>
      <c r="EO17" s="38">
        <f t="shared" si="30"/>
        <v>0</v>
      </c>
      <c r="EP17" s="38">
        <f t="shared" si="31"/>
        <v>81663.50079999998</v>
      </c>
      <c r="EQ17" s="38">
        <f t="shared" si="32"/>
        <v>74827.157529599994</v>
      </c>
      <c r="ER17" s="38">
        <f t="shared" si="33"/>
        <v>0</v>
      </c>
      <c r="ES17" s="38">
        <f t="shared" si="34"/>
        <v>0</v>
      </c>
      <c r="ET17" s="38">
        <f t="shared" si="35"/>
        <v>0</v>
      </c>
      <c r="EU17" s="38">
        <f t="shared" si="36"/>
        <v>0</v>
      </c>
      <c r="EV17" s="38">
        <f t="shared" si="37"/>
        <v>0</v>
      </c>
      <c r="EW17" s="38">
        <f t="shared" si="38"/>
        <v>0</v>
      </c>
      <c r="EX17" s="38">
        <f t="shared" si="39"/>
        <v>0</v>
      </c>
      <c r="EZ17" s="38">
        <f t="shared" si="40"/>
        <v>0</v>
      </c>
      <c r="FA17" s="38">
        <f t="shared" si="41"/>
        <v>213602.3272727273</v>
      </c>
      <c r="FB17" s="1">
        <f t="shared" si="42"/>
        <v>0</v>
      </c>
      <c r="FC17" s="1">
        <f t="shared" si="43"/>
        <v>0</v>
      </c>
      <c r="FD17" s="1">
        <f t="shared" si="44"/>
        <v>0</v>
      </c>
      <c r="FE17" s="1">
        <f t="shared" si="45"/>
        <v>0</v>
      </c>
      <c r="FF17" s="1">
        <f t="shared" si="46"/>
        <v>0</v>
      </c>
      <c r="FG17" s="1">
        <f t="shared" si="47"/>
        <v>0</v>
      </c>
      <c r="FH17" s="1">
        <f t="shared" si="48"/>
        <v>0</v>
      </c>
      <c r="FI17" s="1">
        <f t="shared" si="49"/>
        <v>0</v>
      </c>
      <c r="FJ17" s="1">
        <f t="shared" si="50"/>
        <v>0</v>
      </c>
      <c r="FK17" s="1">
        <f t="shared" si="51"/>
        <v>0</v>
      </c>
      <c r="FL17" s="1">
        <f t="shared" si="52"/>
        <v>0</v>
      </c>
      <c r="FM17" s="1">
        <f t="shared" si="53"/>
        <v>0</v>
      </c>
      <c r="FN17" s="1">
        <f t="shared" si="54"/>
        <v>0</v>
      </c>
      <c r="FO17" s="1">
        <f t="shared" si="55"/>
        <v>0</v>
      </c>
      <c r="FP17" s="1">
        <f t="shared" si="56"/>
        <v>0</v>
      </c>
      <c r="FQ17" s="1">
        <f t="shared" si="57"/>
        <v>0</v>
      </c>
      <c r="FS17" s="1">
        <f t="shared" si="58"/>
        <v>0</v>
      </c>
      <c r="FT17" s="1">
        <f t="shared" si="59"/>
        <v>0</v>
      </c>
      <c r="FU17" s="38">
        <f t="shared" si="60"/>
        <v>0</v>
      </c>
      <c r="FV17" s="38">
        <f t="shared" si="61"/>
        <v>0</v>
      </c>
      <c r="FW17" s="38">
        <f t="shared" si="62"/>
        <v>0</v>
      </c>
      <c r="FX17" s="38">
        <f t="shared" si="63"/>
        <v>0</v>
      </c>
      <c r="FY17" s="38">
        <f t="shared" si="64"/>
        <v>0</v>
      </c>
      <c r="FZ17" s="38">
        <f t="shared" si="65"/>
        <v>0</v>
      </c>
      <c r="GA17" s="38">
        <f t="shared" si="66"/>
        <v>0</v>
      </c>
      <c r="GB17" s="38">
        <f t="shared" si="67"/>
        <v>0</v>
      </c>
      <c r="GC17" s="38">
        <f t="shared" si="68"/>
        <v>0</v>
      </c>
      <c r="GD17" s="38">
        <f t="shared" si="69"/>
        <v>0</v>
      </c>
      <c r="GE17" s="38">
        <f t="shared" si="70"/>
        <v>0</v>
      </c>
      <c r="GF17" s="38">
        <f t="shared" si="71"/>
        <v>0</v>
      </c>
      <c r="GG17" s="38">
        <f t="shared" si="72"/>
        <v>0</v>
      </c>
      <c r="GH17" s="38">
        <f t="shared" si="73"/>
        <v>0</v>
      </c>
      <c r="GI17" s="38">
        <f t="shared" si="74"/>
        <v>0</v>
      </c>
      <c r="GJ17" s="38">
        <f t="shared" si="75"/>
        <v>0</v>
      </c>
      <c r="GL17" s="38">
        <f t="shared" si="76"/>
        <v>0</v>
      </c>
      <c r="GM17" s="38">
        <f t="shared" si="77"/>
        <v>0</v>
      </c>
      <c r="GN17" s="1" t="s">
        <v>2</v>
      </c>
      <c r="GO17" s="1">
        <f t="shared" si="78"/>
        <v>448</v>
      </c>
      <c r="GP17" s="13">
        <f t="shared" si="79"/>
        <v>1.39</v>
      </c>
      <c r="GQ17" s="43">
        <f t="shared" si="80"/>
        <v>6227.2</v>
      </c>
      <c r="GR17" s="41">
        <f t="shared" si="81"/>
        <v>402251.2212503273</v>
      </c>
      <c r="GS17" s="14">
        <f t="shared" si="82"/>
        <v>897.88219029090919</v>
      </c>
      <c r="GT17" s="1">
        <f t="shared" si="87"/>
        <v>0</v>
      </c>
      <c r="GU17" s="1">
        <f t="shared" si="88"/>
        <v>0</v>
      </c>
      <c r="GV17" s="1">
        <f t="shared" si="89"/>
        <v>6227.1999999999989</v>
      </c>
      <c r="GW17" s="37">
        <f t="shared" si="83"/>
        <v>0</v>
      </c>
      <c r="GX17" s="37"/>
      <c r="GY17" s="37"/>
      <c r="GZ17" s="37"/>
      <c r="HB17" s="1">
        <f t="shared" si="90"/>
        <v>0</v>
      </c>
      <c r="HC17" s="1">
        <f t="shared" si="91"/>
        <v>0</v>
      </c>
      <c r="HD17" s="37" t="s">
        <v>2</v>
      </c>
      <c r="HE17" s="1" t="s">
        <v>118</v>
      </c>
      <c r="HF17" s="1" t="s">
        <v>1306</v>
      </c>
      <c r="HI17" s="1" t="s">
        <v>163</v>
      </c>
      <c r="HJ17" s="37" t="s">
        <v>2</v>
      </c>
      <c r="HK17" s="37" t="s">
        <v>118</v>
      </c>
      <c r="HL17" s="37" t="s">
        <v>1358</v>
      </c>
      <c r="HM17" s="37" t="s">
        <v>163</v>
      </c>
      <c r="HN17" s="45">
        <f>SUM(GT47)</f>
        <v>0</v>
      </c>
      <c r="HO17" s="45">
        <f>SUM(GU47)</f>
        <v>0</v>
      </c>
      <c r="HP17" s="44">
        <f>SUM(GV47)</f>
        <v>0.51300000000000001</v>
      </c>
      <c r="HQ17" s="44">
        <f>SUM(GO47)</f>
        <v>0.114</v>
      </c>
      <c r="HR17" s="44">
        <f t="shared" si="85"/>
        <v>0.44999999999999996</v>
      </c>
      <c r="HS17" s="44">
        <f>MIN(GP47)</f>
        <v>0.45</v>
      </c>
      <c r="HT17" s="44">
        <f>MAX(GP47)</f>
        <v>0.45</v>
      </c>
      <c r="HU17" s="44">
        <f>SUM(GQ47)</f>
        <v>0.51300000000000001</v>
      </c>
      <c r="HV17" s="41">
        <f>SUM(GR47)/SUM(GO47)</f>
        <v>79.463160771704182</v>
      </c>
      <c r="HW17" s="37">
        <f>COUNT(GQ47)</f>
        <v>1</v>
      </c>
      <c r="HX17" s="45">
        <f>SUM(HB47)</f>
        <v>0</v>
      </c>
      <c r="HY17" s="45">
        <f>SUM(HC47)</f>
        <v>0</v>
      </c>
      <c r="HZ17" s="37" t="s">
        <v>1318</v>
      </c>
      <c r="IA17" s="37" t="s">
        <v>1318</v>
      </c>
      <c r="IB17" s="37" t="s">
        <v>1318</v>
      </c>
      <c r="IC17" s="37" t="s">
        <v>1318</v>
      </c>
      <c r="ID17" s="37">
        <f>COUNT(GY47)</f>
        <v>0</v>
      </c>
      <c r="IF17" s="38">
        <f t="shared" ref="IF17:IO17" si="112">100*SUM(EI47)/SUM($EI47:$FA47)</f>
        <v>0</v>
      </c>
      <c r="IG17" s="14">
        <f t="shared" si="112"/>
        <v>25.735398105364848</v>
      </c>
      <c r="IH17" s="38">
        <f t="shared" si="112"/>
        <v>0</v>
      </c>
      <c r="II17" s="38">
        <f t="shared" si="112"/>
        <v>0</v>
      </c>
      <c r="IJ17" s="38">
        <f t="shared" si="112"/>
        <v>0</v>
      </c>
      <c r="IK17" s="38">
        <f t="shared" si="112"/>
        <v>0</v>
      </c>
      <c r="IL17" s="38">
        <f t="shared" si="112"/>
        <v>0</v>
      </c>
      <c r="IM17" s="14">
        <f t="shared" si="112"/>
        <v>74.264601894635149</v>
      </c>
      <c r="IN17" s="38">
        <f t="shared" si="112"/>
        <v>0</v>
      </c>
      <c r="IO17" s="38">
        <f t="shared" si="112"/>
        <v>0</v>
      </c>
      <c r="IP17" s="38">
        <f>100*SUM(EW47)/SUM($EI47:$FA47)</f>
        <v>0</v>
      </c>
      <c r="IQ17" s="38">
        <f>100*SUM(EX47)/SUM($EI47:$FA47)</f>
        <v>0</v>
      </c>
      <c r="IR17" s="38">
        <f>100*SUM(EZ47)/SUM($EI47:$FA47)</f>
        <v>0</v>
      </c>
      <c r="IS17" s="38">
        <f>100*SUM(FA47)/SUM($EI47:$FA47)</f>
        <v>0</v>
      </c>
      <c r="JH17" s="58" t="s">
        <v>2</v>
      </c>
    </row>
    <row r="18" spans="1:268" ht="16.25" customHeight="1" x14ac:dyDescent="0.2">
      <c r="A18" s="16" t="s">
        <v>1312</v>
      </c>
      <c r="B18" s="1" t="s">
        <v>69</v>
      </c>
      <c r="E18" s="1" t="s">
        <v>200</v>
      </c>
      <c r="F18" s="1" t="s">
        <v>1314</v>
      </c>
      <c r="H18" s="1" t="s">
        <v>188</v>
      </c>
      <c r="I18" s="1">
        <v>0</v>
      </c>
      <c r="AD18" s="1">
        <v>0</v>
      </c>
      <c r="AY18" s="1">
        <v>33.700000000000003</v>
      </c>
      <c r="AZ18" s="13">
        <f>100*0.435/AY18</f>
        <v>1.29080118694362</v>
      </c>
      <c r="BG18" s="13">
        <f>100*0.443/AY18</f>
        <v>1.3145400593471808</v>
      </c>
      <c r="BH18" s="13">
        <f>100*0.053/AY18</f>
        <v>0.15727002967359049</v>
      </c>
      <c r="BR18" s="14">
        <f>100*11/AY18</f>
        <v>32.640949554896139</v>
      </c>
      <c r="BT18" s="1">
        <v>0</v>
      </c>
      <c r="CO18" s="1">
        <v>0</v>
      </c>
      <c r="DJ18" s="1" t="s">
        <v>163</v>
      </c>
      <c r="DK18" s="1" t="s">
        <v>163</v>
      </c>
      <c r="DL18" s="1">
        <f t="shared" si="4"/>
        <v>1.3145400593471808</v>
      </c>
      <c r="DM18" s="1">
        <f t="shared" si="5"/>
        <v>0.15727002967359049</v>
      </c>
      <c r="DN18" s="1" t="s">
        <v>1313</v>
      </c>
      <c r="DO18" s="1" t="s">
        <v>2</v>
      </c>
      <c r="DP18" s="38">
        <f t="shared" si="6"/>
        <v>0.435</v>
      </c>
      <c r="DQ18" s="38">
        <f t="shared" si="7"/>
        <v>0</v>
      </c>
      <c r="DR18" s="38">
        <f t="shared" si="8"/>
        <v>0</v>
      </c>
      <c r="DS18" s="38">
        <f t="shared" si="9"/>
        <v>0</v>
      </c>
      <c r="DT18" s="38">
        <f t="shared" si="10"/>
        <v>0</v>
      </c>
      <c r="DU18" s="38">
        <f t="shared" si="11"/>
        <v>0</v>
      </c>
      <c r="DV18" s="38">
        <f t="shared" si="12"/>
        <v>0</v>
      </c>
      <c r="DW18" s="38">
        <f t="shared" si="13"/>
        <v>0.44299999999999995</v>
      </c>
      <c r="DX18" s="38">
        <f t="shared" si="14"/>
        <v>5.2999999999999999E-2</v>
      </c>
      <c r="DY18" s="38">
        <f t="shared" si="15"/>
        <v>0</v>
      </c>
      <c r="DZ18" s="38">
        <f t="shared" si="16"/>
        <v>0</v>
      </c>
      <c r="EA18" s="38">
        <f t="shared" si="17"/>
        <v>0</v>
      </c>
      <c r="EB18" s="38">
        <f t="shared" si="18"/>
        <v>0</v>
      </c>
      <c r="EC18" s="38">
        <f t="shared" si="19"/>
        <v>0</v>
      </c>
      <c r="ED18" s="38">
        <f t="shared" si="20"/>
        <v>0</v>
      </c>
      <c r="EE18" s="38">
        <f t="shared" si="21"/>
        <v>0</v>
      </c>
      <c r="EG18" s="38">
        <f t="shared" si="22"/>
        <v>0</v>
      </c>
      <c r="EH18" s="38">
        <f t="shared" si="23"/>
        <v>11</v>
      </c>
      <c r="EI18" s="38">
        <f t="shared" si="24"/>
        <v>2838.6429600000001</v>
      </c>
      <c r="EJ18" s="38">
        <f t="shared" si="25"/>
        <v>0</v>
      </c>
      <c r="EK18" s="38">
        <f t="shared" si="26"/>
        <v>0</v>
      </c>
      <c r="EL18" s="38">
        <f t="shared" si="27"/>
        <v>0</v>
      </c>
      <c r="EM18" s="38">
        <f t="shared" si="28"/>
        <v>0</v>
      </c>
      <c r="EN18" s="38">
        <f t="shared" si="29"/>
        <v>0</v>
      </c>
      <c r="EO18" s="38">
        <f t="shared" si="30"/>
        <v>0</v>
      </c>
      <c r="EP18" s="38">
        <f t="shared" si="31"/>
        <v>5809.5019999999995</v>
      </c>
      <c r="EQ18" s="38">
        <f t="shared" si="32"/>
        <v>3848.8347719999992</v>
      </c>
      <c r="ER18" s="38">
        <f t="shared" si="33"/>
        <v>0</v>
      </c>
      <c r="ES18" s="38">
        <f t="shared" si="34"/>
        <v>0</v>
      </c>
      <c r="ET18" s="38">
        <f t="shared" si="35"/>
        <v>0</v>
      </c>
      <c r="EU18" s="38">
        <f t="shared" si="36"/>
        <v>0</v>
      </c>
      <c r="EV18" s="38">
        <f t="shared" si="37"/>
        <v>0</v>
      </c>
      <c r="EW18" s="38">
        <f t="shared" si="38"/>
        <v>0</v>
      </c>
      <c r="EX18" s="38">
        <f t="shared" si="39"/>
        <v>0</v>
      </c>
      <c r="EZ18" s="38">
        <f t="shared" si="40"/>
        <v>0</v>
      </c>
      <c r="FA18" s="38">
        <f t="shared" si="41"/>
        <v>17900</v>
      </c>
      <c r="FB18" s="1">
        <f t="shared" si="42"/>
        <v>0</v>
      </c>
      <c r="FC18" s="1">
        <f t="shared" si="43"/>
        <v>0</v>
      </c>
      <c r="FD18" s="1">
        <f t="shared" si="44"/>
        <v>0</v>
      </c>
      <c r="FE18" s="1">
        <f t="shared" si="45"/>
        <v>0</v>
      </c>
      <c r="FF18" s="1">
        <f t="shared" si="46"/>
        <v>0</v>
      </c>
      <c r="FG18" s="1">
        <f t="shared" si="47"/>
        <v>0</v>
      </c>
      <c r="FH18" s="1">
        <f t="shared" si="48"/>
        <v>0</v>
      </c>
      <c r="FI18" s="1">
        <f t="shared" si="49"/>
        <v>0</v>
      </c>
      <c r="FJ18" s="1">
        <f t="shared" si="50"/>
        <v>0</v>
      </c>
      <c r="FK18" s="1">
        <f t="shared" si="51"/>
        <v>0</v>
      </c>
      <c r="FL18" s="1">
        <f t="shared" si="52"/>
        <v>0</v>
      </c>
      <c r="FM18" s="1">
        <f t="shared" si="53"/>
        <v>0</v>
      </c>
      <c r="FN18" s="1">
        <f t="shared" si="54"/>
        <v>0</v>
      </c>
      <c r="FO18" s="1">
        <f t="shared" si="55"/>
        <v>0</v>
      </c>
      <c r="FP18" s="1">
        <f t="shared" si="56"/>
        <v>0</v>
      </c>
      <c r="FQ18" s="1">
        <f t="shared" si="57"/>
        <v>0</v>
      </c>
      <c r="FS18" s="1">
        <f t="shared" si="58"/>
        <v>0</v>
      </c>
      <c r="FT18" s="1">
        <f t="shared" si="59"/>
        <v>0</v>
      </c>
      <c r="FU18" s="38">
        <f t="shared" si="60"/>
        <v>0</v>
      </c>
      <c r="FV18" s="38">
        <f t="shared" si="61"/>
        <v>0</v>
      </c>
      <c r="FW18" s="38">
        <f t="shared" si="62"/>
        <v>0</v>
      </c>
      <c r="FX18" s="38">
        <f t="shared" si="63"/>
        <v>0</v>
      </c>
      <c r="FY18" s="38">
        <f t="shared" si="64"/>
        <v>0</v>
      </c>
      <c r="FZ18" s="38">
        <f t="shared" si="65"/>
        <v>0</v>
      </c>
      <c r="GA18" s="38">
        <f t="shared" si="66"/>
        <v>0</v>
      </c>
      <c r="GB18" s="38">
        <f t="shared" si="67"/>
        <v>0</v>
      </c>
      <c r="GC18" s="38">
        <f t="shared" si="68"/>
        <v>0</v>
      </c>
      <c r="GD18" s="38">
        <f t="shared" si="69"/>
        <v>0</v>
      </c>
      <c r="GE18" s="38">
        <f t="shared" si="70"/>
        <v>0</v>
      </c>
      <c r="GF18" s="38">
        <f t="shared" si="71"/>
        <v>0</v>
      </c>
      <c r="GG18" s="38">
        <f t="shared" si="72"/>
        <v>0</v>
      </c>
      <c r="GH18" s="38">
        <f t="shared" si="73"/>
        <v>0</v>
      </c>
      <c r="GI18" s="38">
        <f t="shared" si="74"/>
        <v>0</v>
      </c>
      <c r="GJ18" s="38">
        <f t="shared" si="75"/>
        <v>0</v>
      </c>
      <c r="GL18" s="38">
        <f t="shared" si="76"/>
        <v>0</v>
      </c>
      <c r="GM18" s="38">
        <f t="shared" si="77"/>
        <v>0</v>
      </c>
      <c r="GN18" s="1" t="s">
        <v>2</v>
      </c>
      <c r="GO18" s="1">
        <f t="shared" si="78"/>
        <v>33.700000000000003</v>
      </c>
      <c r="GP18" s="13">
        <f t="shared" si="79"/>
        <v>1.3145400593471808</v>
      </c>
      <c r="GQ18" s="41">
        <f t="shared" si="80"/>
        <v>442.99999999999994</v>
      </c>
      <c r="GR18" s="41">
        <f t="shared" si="81"/>
        <v>30396.979732</v>
      </c>
      <c r="GS18" s="14">
        <f t="shared" si="82"/>
        <v>901.98752913946578</v>
      </c>
      <c r="GT18" s="1">
        <f t="shared" si="87"/>
        <v>0</v>
      </c>
      <c r="GU18" s="1">
        <f t="shared" si="88"/>
        <v>0</v>
      </c>
      <c r="GV18" s="1">
        <f t="shared" si="89"/>
        <v>443</v>
      </c>
      <c r="GW18" s="37">
        <f t="shared" si="83"/>
        <v>0</v>
      </c>
      <c r="GX18" s="37"/>
      <c r="GY18" s="37"/>
      <c r="GZ18" s="37"/>
      <c r="HB18" s="1">
        <f t="shared" si="90"/>
        <v>0</v>
      </c>
      <c r="HC18" s="1">
        <f t="shared" si="91"/>
        <v>0</v>
      </c>
      <c r="HD18" s="37" t="s">
        <v>2</v>
      </c>
      <c r="HE18" s="1" t="s">
        <v>118</v>
      </c>
      <c r="HF18" s="1" t="s">
        <v>1306</v>
      </c>
      <c r="HI18" s="1" t="s">
        <v>163</v>
      </c>
      <c r="HJ18" s="37" t="s">
        <v>2</v>
      </c>
      <c r="HK18" s="37" t="s">
        <v>31</v>
      </c>
      <c r="HL18" s="37" t="s">
        <v>1361</v>
      </c>
      <c r="HM18" s="37" t="s">
        <v>96</v>
      </c>
      <c r="HN18" s="42">
        <f>SUM(GT52:GT80)</f>
        <v>2876.6781000000005</v>
      </c>
      <c r="HO18" s="42">
        <f>SUM(GU52:GU80)</f>
        <v>4109.4102240000002</v>
      </c>
      <c r="HP18" s="42">
        <f>SUM(GV52:GV80)</f>
        <v>1962.3527779999999</v>
      </c>
      <c r="HQ18" s="42">
        <f>SUM(GO52:GO80)</f>
        <v>994.47766800000011</v>
      </c>
      <c r="HR18" s="44">
        <f t="shared" si="85"/>
        <v>0.899813177303042</v>
      </c>
      <c r="HS18" s="44">
        <f>MIN(GP52:GP80)</f>
        <v>0.65392829469218372</v>
      </c>
      <c r="HT18" s="44">
        <f>MAX(GP52:GP80)</f>
        <v>1.4</v>
      </c>
      <c r="HU18" s="42">
        <f>SUM(GQ52:GQ80)</f>
        <v>8948.4411019999989</v>
      </c>
      <c r="HV18" s="41">
        <f>SUM(GR52:GR80)/SUM(GO52:GO80)</f>
        <v>154.73553446151297</v>
      </c>
      <c r="HW18" s="37">
        <f>COUNT(GQ52:GQ80)</f>
        <v>29</v>
      </c>
      <c r="HX18" s="42">
        <f>SUM(HB52:HB80)</f>
        <v>1154.1500000000001</v>
      </c>
      <c r="HY18" s="41">
        <f>SUM(HC52:HC80)</f>
        <v>963.8</v>
      </c>
      <c r="HZ18" s="42">
        <f>SUM(GW52:GW80)</f>
        <v>203.59999999999997</v>
      </c>
      <c r="IA18" s="44">
        <f>100*(IB18/1000)/HZ18</f>
        <v>1.0402504911591357</v>
      </c>
      <c r="IB18" s="42">
        <f>SUM(GY52:GY80)</f>
        <v>2117.9499999999998</v>
      </c>
      <c r="IC18" s="41">
        <f>SUM(GZ52:GZ80)/SUM(GW52:GW80)</f>
        <v>178.58913487999999</v>
      </c>
      <c r="ID18" s="37">
        <f>COUNT(GY52:GY80)</f>
        <v>5</v>
      </c>
      <c r="IF18" s="38">
        <f t="shared" ref="IF18:IN18" si="113">100*SUM(EI52:EI80)/SUM($EI52:$FA80)</f>
        <v>0</v>
      </c>
      <c r="IG18" s="38">
        <f t="shared" si="113"/>
        <v>0</v>
      </c>
      <c r="IH18" s="38">
        <f t="shared" si="113"/>
        <v>0</v>
      </c>
      <c r="II18" s="38">
        <f t="shared" si="113"/>
        <v>0</v>
      </c>
      <c r="IJ18" s="38">
        <f t="shared" si="113"/>
        <v>0</v>
      </c>
      <c r="IK18" s="38">
        <f t="shared" si="113"/>
        <v>0</v>
      </c>
      <c r="IL18" s="38">
        <f t="shared" si="113"/>
        <v>0</v>
      </c>
      <c r="IM18" s="14">
        <f t="shared" si="113"/>
        <v>76.260117291203798</v>
      </c>
      <c r="IN18" s="14">
        <f t="shared" si="113"/>
        <v>21.015818740803031</v>
      </c>
      <c r="IO18" s="38">
        <f>100*SUM(ER52:EV80)/SUM($EI52:$FA80)</f>
        <v>0</v>
      </c>
      <c r="IP18" s="13">
        <f>100*SUM(EW52:EW80)/SUM($EI52:$FA80)</f>
        <v>0.23541762305611794</v>
      </c>
      <c r="IQ18" s="14">
        <f>100*SUM(EX52:EX80)/SUM($EI52:$FA80)</f>
        <v>2.488646344936988</v>
      </c>
      <c r="IR18" s="38">
        <f>100*SUM(EZ52:EZ80)/SUM($EI52:$FA80)</f>
        <v>0</v>
      </c>
      <c r="IS18" s="38">
        <f>100*SUM(FA52:FA80)/SUM($EI52:$FA80)</f>
        <v>0</v>
      </c>
      <c r="IT18" s="38">
        <f t="shared" ref="IT18:JB18" si="114">100*SUM(FU52:FU80)/SUM($FU52:$GM80)</f>
        <v>0</v>
      </c>
      <c r="IU18" s="38">
        <f t="shared" si="114"/>
        <v>0</v>
      </c>
      <c r="IV18" s="38">
        <f t="shared" si="114"/>
        <v>0</v>
      </c>
      <c r="IW18" s="38">
        <f t="shared" si="114"/>
        <v>0</v>
      </c>
      <c r="IX18" s="38">
        <f t="shared" si="114"/>
        <v>0</v>
      </c>
      <c r="IY18" s="38">
        <f t="shared" si="114"/>
        <v>0</v>
      </c>
      <c r="IZ18" s="38">
        <f t="shared" si="114"/>
        <v>0</v>
      </c>
      <c r="JA18" s="14">
        <f t="shared" si="114"/>
        <v>76.386757515944723</v>
      </c>
      <c r="JB18" s="14">
        <f t="shared" si="114"/>
        <v>23.613242484055281</v>
      </c>
      <c r="JC18" s="38">
        <f>100*SUM(GD52:GH80)/SUM($FU52:$GM80)</f>
        <v>0</v>
      </c>
      <c r="JD18" s="38">
        <f>100*SUM(GI52:GI80)/SUM($FU52:$GM80)</f>
        <v>0</v>
      </c>
      <c r="JE18" s="38">
        <f>100*SUM(GJ52:GJ80)/SUM($FU52:$GM80)</f>
        <v>0</v>
      </c>
      <c r="JF18" s="38">
        <f>100*SUM(GL52:GL80)/SUM($FU52:$GM80)</f>
        <v>0</v>
      </c>
      <c r="JG18" s="38">
        <f>100*SUM(GM52:GM80)/SUM($FU52:$GM80)</f>
        <v>0</v>
      </c>
      <c r="JH18" s="58" t="s">
        <v>2</v>
      </c>
    </row>
    <row r="19" spans="1:268" ht="16.25" customHeight="1" x14ac:dyDescent="0.2">
      <c r="A19" s="16" t="s">
        <v>1315</v>
      </c>
      <c r="B19" s="1" t="s">
        <v>69</v>
      </c>
      <c r="E19" s="1" t="s">
        <v>200</v>
      </c>
      <c r="F19" s="1" t="s">
        <v>1317</v>
      </c>
      <c r="H19" s="1" t="s">
        <v>188</v>
      </c>
      <c r="I19" s="1">
        <v>0</v>
      </c>
      <c r="AD19" s="1">
        <v>0</v>
      </c>
      <c r="AY19" s="1">
        <v>188.4</v>
      </c>
      <c r="AZ19" s="1">
        <v>1.02</v>
      </c>
      <c r="BG19" s="1">
        <v>1.19</v>
      </c>
      <c r="BH19" s="1">
        <v>0.22</v>
      </c>
      <c r="BR19" s="1">
        <v>27.7</v>
      </c>
      <c r="BT19" s="1">
        <v>0</v>
      </c>
      <c r="CO19" s="1">
        <v>0</v>
      </c>
      <c r="DJ19" s="1" t="s">
        <v>163</v>
      </c>
      <c r="DK19" s="1" t="s">
        <v>163</v>
      </c>
      <c r="DL19" s="1">
        <f t="shared" si="4"/>
        <v>1.19</v>
      </c>
      <c r="DM19" s="1">
        <f t="shared" si="5"/>
        <v>0.22</v>
      </c>
      <c r="DN19" s="1" t="s">
        <v>1316</v>
      </c>
      <c r="DO19" s="1" t="s">
        <v>2</v>
      </c>
      <c r="DP19" s="38">
        <f t="shared" si="6"/>
        <v>1.9216800000000001</v>
      </c>
      <c r="DQ19" s="38">
        <f t="shared" si="7"/>
        <v>0</v>
      </c>
      <c r="DR19" s="38">
        <f t="shared" si="8"/>
        <v>0</v>
      </c>
      <c r="DS19" s="38">
        <f t="shared" si="9"/>
        <v>0</v>
      </c>
      <c r="DT19" s="38">
        <f t="shared" si="10"/>
        <v>0</v>
      </c>
      <c r="DU19" s="38">
        <f t="shared" si="11"/>
        <v>0</v>
      </c>
      <c r="DV19" s="38">
        <f t="shared" si="12"/>
        <v>0</v>
      </c>
      <c r="DW19" s="38">
        <f t="shared" si="13"/>
        <v>2.2419600000000002</v>
      </c>
      <c r="DX19" s="38">
        <f t="shared" si="14"/>
        <v>0.41448000000000002</v>
      </c>
      <c r="DY19" s="38">
        <f t="shared" si="15"/>
        <v>0</v>
      </c>
      <c r="DZ19" s="38">
        <f t="shared" si="16"/>
        <v>0</v>
      </c>
      <c r="EA19" s="38">
        <f t="shared" si="17"/>
        <v>0</v>
      </c>
      <c r="EB19" s="38">
        <f t="shared" si="18"/>
        <v>0</v>
      </c>
      <c r="EC19" s="38">
        <f t="shared" si="19"/>
        <v>0</v>
      </c>
      <c r="ED19" s="38">
        <f t="shared" si="20"/>
        <v>0</v>
      </c>
      <c r="EE19" s="38">
        <f t="shared" si="21"/>
        <v>0</v>
      </c>
      <c r="EG19" s="38">
        <f t="shared" si="22"/>
        <v>0</v>
      </c>
      <c r="EH19" s="38">
        <f t="shared" si="23"/>
        <v>52.186800000000005</v>
      </c>
      <c r="EI19" s="38">
        <f t="shared" si="24"/>
        <v>12540.145754880001</v>
      </c>
      <c r="EJ19" s="38">
        <f t="shared" si="25"/>
        <v>0</v>
      </c>
      <c r="EK19" s="38">
        <f t="shared" si="26"/>
        <v>0</v>
      </c>
      <c r="EL19" s="38">
        <f t="shared" si="27"/>
        <v>0</v>
      </c>
      <c r="EM19" s="38">
        <f t="shared" si="28"/>
        <v>0</v>
      </c>
      <c r="EN19" s="38">
        <f t="shared" si="29"/>
        <v>0</v>
      </c>
      <c r="EO19" s="38">
        <f t="shared" si="30"/>
        <v>0</v>
      </c>
      <c r="EP19" s="38">
        <f t="shared" si="31"/>
        <v>29401.063440000002</v>
      </c>
      <c r="EQ19" s="38">
        <f t="shared" si="32"/>
        <v>30099.340307519997</v>
      </c>
      <c r="ER19" s="38">
        <f t="shared" si="33"/>
        <v>0</v>
      </c>
      <c r="ES19" s="38">
        <f t="shared" si="34"/>
        <v>0</v>
      </c>
      <c r="ET19" s="38">
        <f t="shared" si="35"/>
        <v>0</v>
      </c>
      <c r="EU19" s="38">
        <f t="shared" si="36"/>
        <v>0</v>
      </c>
      <c r="EV19" s="38">
        <f t="shared" si="37"/>
        <v>0</v>
      </c>
      <c r="EW19" s="38">
        <f t="shared" si="38"/>
        <v>0</v>
      </c>
      <c r="EX19" s="38">
        <f t="shared" si="39"/>
        <v>0</v>
      </c>
      <c r="EZ19" s="38">
        <f t="shared" si="40"/>
        <v>0</v>
      </c>
      <c r="FA19" s="38">
        <f t="shared" si="41"/>
        <v>84922.156363636372</v>
      </c>
      <c r="FB19" s="1">
        <f t="shared" si="42"/>
        <v>0</v>
      </c>
      <c r="FC19" s="1">
        <f t="shared" si="43"/>
        <v>0</v>
      </c>
      <c r="FD19" s="1">
        <f t="shared" si="44"/>
        <v>0</v>
      </c>
      <c r="FE19" s="1">
        <f t="shared" si="45"/>
        <v>0</v>
      </c>
      <c r="FF19" s="1">
        <f t="shared" si="46"/>
        <v>0</v>
      </c>
      <c r="FG19" s="1">
        <f t="shared" si="47"/>
        <v>0</v>
      </c>
      <c r="FH19" s="1">
        <f t="shared" si="48"/>
        <v>0</v>
      </c>
      <c r="FI19" s="1">
        <f t="shared" si="49"/>
        <v>0</v>
      </c>
      <c r="FJ19" s="1">
        <f t="shared" si="50"/>
        <v>0</v>
      </c>
      <c r="FK19" s="1">
        <f t="shared" si="51"/>
        <v>0</v>
      </c>
      <c r="FL19" s="1">
        <f t="shared" si="52"/>
        <v>0</v>
      </c>
      <c r="FM19" s="1">
        <f t="shared" si="53"/>
        <v>0</v>
      </c>
      <c r="FN19" s="1">
        <f t="shared" si="54"/>
        <v>0</v>
      </c>
      <c r="FO19" s="1">
        <f t="shared" si="55"/>
        <v>0</v>
      </c>
      <c r="FP19" s="1">
        <f t="shared" si="56"/>
        <v>0</v>
      </c>
      <c r="FQ19" s="1">
        <f t="shared" si="57"/>
        <v>0</v>
      </c>
      <c r="FS19" s="1">
        <f t="shared" si="58"/>
        <v>0</v>
      </c>
      <c r="FT19" s="1">
        <f t="shared" si="59"/>
        <v>0</v>
      </c>
      <c r="FU19" s="38">
        <f t="shared" si="60"/>
        <v>0</v>
      </c>
      <c r="FV19" s="38">
        <f t="shared" si="61"/>
        <v>0</v>
      </c>
      <c r="FW19" s="38">
        <f t="shared" si="62"/>
        <v>0</v>
      </c>
      <c r="FX19" s="38">
        <f t="shared" si="63"/>
        <v>0</v>
      </c>
      <c r="FY19" s="38">
        <f t="shared" si="64"/>
        <v>0</v>
      </c>
      <c r="FZ19" s="38">
        <f t="shared" si="65"/>
        <v>0</v>
      </c>
      <c r="GA19" s="38">
        <f t="shared" si="66"/>
        <v>0</v>
      </c>
      <c r="GB19" s="38">
        <f t="shared" si="67"/>
        <v>0</v>
      </c>
      <c r="GC19" s="38">
        <f t="shared" si="68"/>
        <v>0</v>
      </c>
      <c r="GD19" s="38">
        <f t="shared" si="69"/>
        <v>0</v>
      </c>
      <c r="GE19" s="38">
        <f t="shared" si="70"/>
        <v>0</v>
      </c>
      <c r="GF19" s="38">
        <f t="shared" si="71"/>
        <v>0</v>
      </c>
      <c r="GG19" s="38">
        <f t="shared" si="72"/>
        <v>0</v>
      </c>
      <c r="GH19" s="38">
        <f t="shared" si="73"/>
        <v>0</v>
      </c>
      <c r="GI19" s="38">
        <f t="shared" si="74"/>
        <v>0</v>
      </c>
      <c r="GJ19" s="38">
        <f t="shared" si="75"/>
        <v>0</v>
      </c>
      <c r="GL19" s="38">
        <f t="shared" si="76"/>
        <v>0</v>
      </c>
      <c r="GM19" s="38">
        <f t="shared" si="77"/>
        <v>0</v>
      </c>
      <c r="GN19" s="1" t="s">
        <v>2</v>
      </c>
      <c r="GO19" s="1">
        <f t="shared" si="78"/>
        <v>188.4</v>
      </c>
      <c r="GP19" s="13">
        <f t="shared" si="79"/>
        <v>1.19</v>
      </c>
      <c r="GQ19" s="43">
        <f t="shared" si="80"/>
        <v>2241.96</v>
      </c>
      <c r="GR19" s="41">
        <f t="shared" si="81"/>
        <v>156962.70586603635</v>
      </c>
      <c r="GS19" s="14">
        <f t="shared" si="82"/>
        <v>833.13538145454538</v>
      </c>
      <c r="GT19" s="1">
        <f t="shared" si="87"/>
        <v>0</v>
      </c>
      <c r="GU19" s="1">
        <f t="shared" si="88"/>
        <v>0</v>
      </c>
      <c r="GV19" s="1">
        <f t="shared" si="89"/>
        <v>2241.96</v>
      </c>
      <c r="GW19" s="37">
        <f t="shared" si="83"/>
        <v>0</v>
      </c>
      <c r="GX19" s="37"/>
      <c r="GY19" s="37"/>
      <c r="GZ19" s="37"/>
      <c r="HB19" s="1">
        <f t="shared" si="90"/>
        <v>0</v>
      </c>
      <c r="HC19" s="1">
        <f t="shared" si="91"/>
        <v>0</v>
      </c>
      <c r="HD19" s="37" t="s">
        <v>2</v>
      </c>
      <c r="HE19" s="1" t="s">
        <v>118</v>
      </c>
      <c r="HF19" s="1" t="s">
        <v>1306</v>
      </c>
      <c r="HI19" s="1" t="s">
        <v>163</v>
      </c>
      <c r="HJ19" s="37" t="s">
        <v>2</v>
      </c>
      <c r="HK19" s="37" t="s">
        <v>31</v>
      </c>
      <c r="HL19" s="37" t="s">
        <v>1361</v>
      </c>
      <c r="HM19" s="37" t="s">
        <v>163</v>
      </c>
      <c r="HN19" s="45">
        <f>SUM(GT81:GT92)</f>
        <v>0</v>
      </c>
      <c r="HO19" s="45">
        <f>SUM(GU81:GU92)</f>
        <v>0</v>
      </c>
      <c r="HP19" s="42">
        <f>SUM(GV81:GV92)</f>
        <v>4571.7808000000005</v>
      </c>
      <c r="HQ19" s="41">
        <f>SUM(GO81:GO92)</f>
        <v>486.96899999999994</v>
      </c>
      <c r="HR19" s="44">
        <f t="shared" si="85"/>
        <v>0.93882378549763978</v>
      </c>
      <c r="HS19" s="44">
        <f>MIN(GP81:GP92)</f>
        <v>0.63</v>
      </c>
      <c r="HT19" s="44">
        <f>MAX(GP81:GP92)</f>
        <v>1.35</v>
      </c>
      <c r="HU19" s="42">
        <f>SUM(GQ81:GQ92)</f>
        <v>4571.7808000000005</v>
      </c>
      <c r="HV19" s="41">
        <f>SUM(GR81:GR92)/SUM(GO81:GO92)</f>
        <v>259.91859246227671</v>
      </c>
      <c r="HW19" s="37">
        <f>COUNT(GQ81:GQ92)</f>
        <v>12</v>
      </c>
      <c r="HX19" s="45">
        <f>SUM(HB81:HB92)</f>
        <v>0</v>
      </c>
      <c r="HY19" s="45">
        <f>SUM(HC81:HC92)</f>
        <v>0</v>
      </c>
      <c r="HZ19" s="37" t="s">
        <v>1318</v>
      </c>
      <c r="IA19" s="37" t="s">
        <v>1318</v>
      </c>
      <c r="IB19" s="37" t="s">
        <v>1318</v>
      </c>
      <c r="IC19" s="37" t="s">
        <v>1318</v>
      </c>
      <c r="ID19" s="37">
        <f>COUNT(GY81:GY92)</f>
        <v>0</v>
      </c>
      <c r="JH19" s="58" t="s">
        <v>2</v>
      </c>
    </row>
    <row r="20" spans="1:268" ht="16.25" customHeight="1" x14ac:dyDescent="0.2">
      <c r="A20" s="16" t="s">
        <v>1061</v>
      </c>
      <c r="B20" s="1" t="s">
        <v>69</v>
      </c>
      <c r="F20" s="1" t="s">
        <v>131</v>
      </c>
      <c r="I20" s="1">
        <v>0</v>
      </c>
      <c r="AD20" s="1">
        <v>0</v>
      </c>
      <c r="AY20" s="14">
        <f>2*0.9072</f>
        <v>1.8144</v>
      </c>
      <c r="AZ20" s="1">
        <v>0.13</v>
      </c>
      <c r="BE20" s="1">
        <v>3.3</v>
      </c>
      <c r="BG20" s="1">
        <v>0.46</v>
      </c>
      <c r="BH20" s="1">
        <v>0.28000000000000003</v>
      </c>
      <c r="BT20" s="1">
        <v>0</v>
      </c>
      <c r="CO20" s="1">
        <v>0</v>
      </c>
      <c r="DJ20" s="1" t="s">
        <v>163</v>
      </c>
      <c r="DK20" s="1" t="s">
        <v>163</v>
      </c>
      <c r="DL20" s="1">
        <f t="shared" si="4"/>
        <v>0.46</v>
      </c>
      <c r="DM20" s="1">
        <f t="shared" si="5"/>
        <v>0.28000000000000003</v>
      </c>
      <c r="DN20" s="1" t="s">
        <v>1062</v>
      </c>
      <c r="DO20" s="1" t="s">
        <v>2</v>
      </c>
      <c r="DP20" s="38">
        <f t="shared" si="6"/>
        <v>2.3587199999999999E-3</v>
      </c>
      <c r="DQ20" s="38">
        <f t="shared" si="7"/>
        <v>0</v>
      </c>
      <c r="DR20" s="38">
        <f t="shared" si="8"/>
        <v>0</v>
      </c>
      <c r="DS20" s="38">
        <f t="shared" si="9"/>
        <v>0</v>
      </c>
      <c r="DT20" s="38">
        <f t="shared" si="10"/>
        <v>0</v>
      </c>
      <c r="DU20" s="38">
        <f t="shared" si="11"/>
        <v>5.9875199999999996E-2</v>
      </c>
      <c r="DV20" s="38">
        <f t="shared" si="12"/>
        <v>0</v>
      </c>
      <c r="DW20" s="38">
        <f t="shared" si="13"/>
        <v>8.3462399999999996E-3</v>
      </c>
      <c r="DX20" s="38">
        <f t="shared" si="14"/>
        <v>5.0803200000000001E-3</v>
      </c>
      <c r="DY20" s="38">
        <f t="shared" si="15"/>
        <v>0</v>
      </c>
      <c r="DZ20" s="38">
        <f t="shared" si="16"/>
        <v>0</v>
      </c>
      <c r="EA20" s="38">
        <f t="shared" si="17"/>
        <v>0</v>
      </c>
      <c r="EB20" s="38">
        <f t="shared" si="18"/>
        <v>0</v>
      </c>
      <c r="EC20" s="38">
        <f t="shared" si="19"/>
        <v>0</v>
      </c>
      <c r="ED20" s="38">
        <f t="shared" si="20"/>
        <v>0</v>
      </c>
      <c r="EE20" s="38">
        <f t="shared" si="21"/>
        <v>0</v>
      </c>
      <c r="EG20" s="38">
        <f t="shared" si="22"/>
        <v>0</v>
      </c>
      <c r="EH20" s="38">
        <f t="shared" si="23"/>
        <v>0</v>
      </c>
      <c r="EI20" s="38">
        <f t="shared" si="24"/>
        <v>15.39210097152</v>
      </c>
      <c r="EJ20" s="38">
        <f t="shared" si="25"/>
        <v>0</v>
      </c>
      <c r="EK20" s="38">
        <f t="shared" si="26"/>
        <v>0</v>
      </c>
      <c r="EL20" s="38">
        <f t="shared" si="27"/>
        <v>0</v>
      </c>
      <c r="EM20" s="38">
        <f t="shared" si="28"/>
        <v>0</v>
      </c>
      <c r="EN20" s="38">
        <f t="shared" si="29"/>
        <v>134.37688150655998</v>
      </c>
      <c r="EO20" s="38">
        <f t="shared" si="30"/>
        <v>0</v>
      </c>
      <c r="EP20" s="38">
        <f t="shared" si="31"/>
        <v>109.45259136</v>
      </c>
      <c r="EQ20" s="38">
        <f t="shared" si="32"/>
        <v>368.93042016767998</v>
      </c>
      <c r="ER20" s="38">
        <f t="shared" si="33"/>
        <v>0</v>
      </c>
      <c r="ES20" s="38">
        <f t="shared" si="34"/>
        <v>0</v>
      </c>
      <c r="ET20" s="38">
        <f t="shared" si="35"/>
        <v>0</v>
      </c>
      <c r="EU20" s="38">
        <f t="shared" si="36"/>
        <v>0</v>
      </c>
      <c r="EV20" s="38">
        <f t="shared" si="37"/>
        <v>0</v>
      </c>
      <c r="EW20" s="38">
        <f t="shared" si="38"/>
        <v>0</v>
      </c>
      <c r="EX20" s="38">
        <f t="shared" si="39"/>
        <v>0</v>
      </c>
      <c r="EZ20" s="38">
        <f t="shared" si="40"/>
        <v>0</v>
      </c>
      <c r="FA20" s="38">
        <f t="shared" si="41"/>
        <v>0</v>
      </c>
      <c r="FB20" s="1">
        <f t="shared" si="42"/>
        <v>0</v>
      </c>
      <c r="FC20" s="1">
        <f t="shared" si="43"/>
        <v>0</v>
      </c>
      <c r="FD20" s="1">
        <f t="shared" si="44"/>
        <v>0</v>
      </c>
      <c r="FE20" s="1">
        <f t="shared" si="45"/>
        <v>0</v>
      </c>
      <c r="FF20" s="1">
        <f t="shared" si="46"/>
        <v>0</v>
      </c>
      <c r="FG20" s="1">
        <f t="shared" si="47"/>
        <v>0</v>
      </c>
      <c r="FH20" s="1">
        <f t="shared" si="48"/>
        <v>0</v>
      </c>
      <c r="FI20" s="1">
        <f t="shared" si="49"/>
        <v>0</v>
      </c>
      <c r="FJ20" s="1">
        <f t="shared" si="50"/>
        <v>0</v>
      </c>
      <c r="FK20" s="1">
        <f t="shared" si="51"/>
        <v>0</v>
      </c>
      <c r="FL20" s="1">
        <f t="shared" si="52"/>
        <v>0</v>
      </c>
      <c r="FM20" s="1">
        <f t="shared" si="53"/>
        <v>0</v>
      </c>
      <c r="FN20" s="1">
        <f t="shared" si="54"/>
        <v>0</v>
      </c>
      <c r="FO20" s="1">
        <f t="shared" si="55"/>
        <v>0</v>
      </c>
      <c r="FP20" s="1">
        <f t="shared" si="56"/>
        <v>0</v>
      </c>
      <c r="FQ20" s="1">
        <f t="shared" si="57"/>
        <v>0</v>
      </c>
      <c r="FS20" s="1">
        <f t="shared" si="58"/>
        <v>0</v>
      </c>
      <c r="FT20" s="1">
        <f t="shared" si="59"/>
        <v>0</v>
      </c>
      <c r="FU20" s="38">
        <f t="shared" si="60"/>
        <v>0</v>
      </c>
      <c r="FV20" s="38">
        <f t="shared" si="61"/>
        <v>0</v>
      </c>
      <c r="FW20" s="38">
        <f t="shared" si="62"/>
        <v>0</v>
      </c>
      <c r="FX20" s="38">
        <f t="shared" si="63"/>
        <v>0</v>
      </c>
      <c r="FY20" s="38">
        <f t="shared" si="64"/>
        <v>0</v>
      </c>
      <c r="FZ20" s="38">
        <f t="shared" si="65"/>
        <v>0</v>
      </c>
      <c r="GA20" s="38">
        <f t="shared" si="66"/>
        <v>0</v>
      </c>
      <c r="GB20" s="38">
        <f t="shared" si="67"/>
        <v>0</v>
      </c>
      <c r="GC20" s="38">
        <f t="shared" si="68"/>
        <v>0</v>
      </c>
      <c r="GD20" s="38">
        <f t="shared" si="69"/>
        <v>0</v>
      </c>
      <c r="GE20" s="38">
        <f t="shared" si="70"/>
        <v>0</v>
      </c>
      <c r="GF20" s="38">
        <f t="shared" si="71"/>
        <v>0</v>
      </c>
      <c r="GG20" s="38">
        <f t="shared" si="72"/>
        <v>0</v>
      </c>
      <c r="GH20" s="38">
        <f t="shared" si="73"/>
        <v>0</v>
      </c>
      <c r="GI20" s="38">
        <f t="shared" si="74"/>
        <v>0</v>
      </c>
      <c r="GJ20" s="38">
        <f t="shared" si="75"/>
        <v>0</v>
      </c>
      <c r="GL20" s="38">
        <f t="shared" si="76"/>
        <v>0</v>
      </c>
      <c r="GM20" s="38">
        <f t="shared" si="77"/>
        <v>0</v>
      </c>
      <c r="GN20" s="1" t="s">
        <v>2</v>
      </c>
      <c r="GO20" s="2">
        <f t="shared" si="78"/>
        <v>1.8144</v>
      </c>
      <c r="GP20" s="1">
        <f t="shared" si="79"/>
        <v>0.46</v>
      </c>
      <c r="GQ20" s="41">
        <f t="shared" si="80"/>
        <v>8.3462399999999999</v>
      </c>
      <c r="GR20" s="41">
        <f t="shared" si="81"/>
        <v>628.15199400575989</v>
      </c>
      <c r="GS20" s="14">
        <f t="shared" si="82"/>
        <v>346.20370039999995</v>
      </c>
      <c r="GT20" s="1">
        <f t="shared" si="87"/>
        <v>0</v>
      </c>
      <c r="GU20" s="1">
        <f t="shared" si="88"/>
        <v>0</v>
      </c>
      <c r="GV20" s="1">
        <f t="shared" si="89"/>
        <v>8.3462399999999999</v>
      </c>
      <c r="GW20" s="37">
        <f t="shared" si="83"/>
        <v>0</v>
      </c>
      <c r="GX20" s="37"/>
      <c r="GY20" s="37"/>
      <c r="GZ20" s="37"/>
      <c r="HB20" s="1">
        <f t="shared" si="90"/>
        <v>0</v>
      </c>
      <c r="HC20" s="1">
        <f t="shared" si="91"/>
        <v>0</v>
      </c>
      <c r="HD20" s="37" t="s">
        <v>2</v>
      </c>
      <c r="HE20" s="1" t="s">
        <v>118</v>
      </c>
      <c r="HF20" s="1" t="s">
        <v>83</v>
      </c>
      <c r="HG20" s="1" t="s">
        <v>1063</v>
      </c>
      <c r="HI20" s="1" t="s">
        <v>163</v>
      </c>
      <c r="HJ20" s="37" t="s">
        <v>2</v>
      </c>
      <c r="HK20" s="37" t="s">
        <v>31</v>
      </c>
      <c r="HL20" s="37" t="s">
        <v>1362</v>
      </c>
      <c r="HM20" s="37" t="s">
        <v>96</v>
      </c>
      <c r="HN20" s="42">
        <f>SUM(GT93:GT122)</f>
        <v>8066.0699138</v>
      </c>
      <c r="HO20" s="42">
        <f>SUM(GU93:GU122)</f>
        <v>12843.8550297</v>
      </c>
      <c r="HP20" s="42">
        <f>SUM(GV93:GV122)</f>
        <v>12602.664912800001</v>
      </c>
      <c r="HQ20" s="42">
        <f>SUM(GO93:GO122)</f>
        <v>2075.4118050000002</v>
      </c>
      <c r="HR20" s="44">
        <f t="shared" si="85"/>
        <v>1.6147441088830077</v>
      </c>
      <c r="HS20" s="44">
        <f>MIN(GP93:GP122)</f>
        <v>0.36276043493511045</v>
      </c>
      <c r="HT20" s="44">
        <f>MAX(GP93:GP122)</f>
        <v>2.4668866571018651</v>
      </c>
      <c r="HU20" s="42">
        <f>SUM(GQ93:GQ122)</f>
        <v>33512.589856299994</v>
      </c>
      <c r="HV20" s="41">
        <f>SUM(GR93:GR122)/SUM(GO93:GO122)</f>
        <v>237.5051365059397</v>
      </c>
      <c r="HW20" s="37">
        <f>COUNT(GQ93:GQ122)</f>
        <v>30</v>
      </c>
      <c r="HX20" s="42">
        <f>SUM(HB93:HB122)</f>
        <v>6101.3109999999997</v>
      </c>
      <c r="HY20" s="42">
        <f>SUM(HC93:HC122)</f>
        <v>6133.8982000000005</v>
      </c>
      <c r="HZ20" s="42">
        <f>SUM(GW93:GW122)</f>
        <v>727.85199999999998</v>
      </c>
      <c r="IA20" s="44">
        <f>100*(IB20/1000)/HZ20</f>
        <v>1.6810023466309088</v>
      </c>
      <c r="IB20" s="42">
        <f>SUM(GY93:GY122)</f>
        <v>12235.209200000001</v>
      </c>
      <c r="IC20" s="41">
        <f>SUM(GZ93:GZ122)/SUM(GW93:GW122)</f>
        <v>234.60093402979726</v>
      </c>
      <c r="ID20" s="37">
        <f>COUNT(GY93:GY122)</f>
        <v>13</v>
      </c>
      <c r="IF20" s="38">
        <f t="shared" ref="IF20:IN20" si="115">100*SUM(EI93:EI122)/SUM($EI93:$FA122)</f>
        <v>0</v>
      </c>
      <c r="IG20" s="38">
        <f t="shared" si="115"/>
        <v>0</v>
      </c>
      <c r="IH20" s="38">
        <f t="shared" si="115"/>
        <v>0</v>
      </c>
      <c r="II20" s="38">
        <f t="shared" si="115"/>
        <v>0</v>
      </c>
      <c r="IJ20" s="38">
        <f t="shared" si="115"/>
        <v>0</v>
      </c>
      <c r="IK20" s="38">
        <f t="shared" si="115"/>
        <v>0</v>
      </c>
      <c r="IL20" s="38">
        <f t="shared" si="115"/>
        <v>0</v>
      </c>
      <c r="IM20" s="14">
        <f t="shared" si="115"/>
        <v>89.159142220750155</v>
      </c>
      <c r="IN20" s="14">
        <f t="shared" si="115"/>
        <v>7.6746606235497872</v>
      </c>
      <c r="IO20" s="38">
        <f>100*SUM(ER93:EV122)/SUM($EI93:$FA122)</f>
        <v>0</v>
      </c>
      <c r="IP20" s="19">
        <f>100*SUM(EW93:EW122)/SUM($EI93:$FA122)</f>
        <v>2.5396523607109272E-3</v>
      </c>
      <c r="IQ20" s="14">
        <f>100*SUM(EX93:EX122)/SUM($EI93:$FA122)</f>
        <v>3.1636575033393504</v>
      </c>
      <c r="IR20" s="38">
        <f>100*SUM(EZ93:EZ122)/SUM($EI93:$FA122)</f>
        <v>0</v>
      </c>
      <c r="IS20" s="38">
        <f>100*SUM(FA93:FA122)/SUM($EI93:$FA122)</f>
        <v>0</v>
      </c>
      <c r="IT20" s="38">
        <f t="shared" ref="IT20:JB20" si="116">100*SUM(FU93:FU122)/SUM($FU93:$GM122)</f>
        <v>0</v>
      </c>
      <c r="IU20" s="38">
        <f t="shared" si="116"/>
        <v>0</v>
      </c>
      <c r="IV20" s="38">
        <f t="shared" si="116"/>
        <v>0</v>
      </c>
      <c r="IW20" s="38">
        <f t="shared" si="116"/>
        <v>0</v>
      </c>
      <c r="IX20" s="38">
        <f t="shared" si="116"/>
        <v>0</v>
      </c>
      <c r="IY20" s="38">
        <f t="shared" si="116"/>
        <v>0</v>
      </c>
      <c r="IZ20" s="38">
        <f t="shared" si="116"/>
        <v>0</v>
      </c>
      <c r="JA20" s="14">
        <f t="shared" si="116"/>
        <v>93.966653904787023</v>
      </c>
      <c r="JB20" s="14">
        <f t="shared" si="116"/>
        <v>3.5338673787727526</v>
      </c>
      <c r="JC20" s="38">
        <f>100*SUM(GD93:GH122)/SUM($FU93:$GM122)</f>
        <v>0</v>
      </c>
      <c r="JD20" s="38">
        <f>100*SUM(GI93:GI122)/SUM($FU93:$GM122)</f>
        <v>0</v>
      </c>
      <c r="JE20" s="14">
        <f>100*SUM(GJ93:GJ122)/SUM($FU93:$GM122)</f>
        <v>2.4994787164402164</v>
      </c>
      <c r="JF20" s="38">
        <f>100*SUM(GL93:GL122)/SUM($FU93:$GM122)</f>
        <v>0</v>
      </c>
      <c r="JG20" s="38">
        <f>100*SUM(GM93:GM122)/SUM($FU93:$GM122)</f>
        <v>0</v>
      </c>
      <c r="JH20" s="58" t="s">
        <v>2</v>
      </c>
    </row>
    <row r="21" spans="1:268" ht="16.25" customHeight="1" x14ac:dyDescent="0.2">
      <c r="A21" s="16" t="s">
        <v>1076</v>
      </c>
      <c r="B21" s="1" t="s">
        <v>69</v>
      </c>
      <c r="F21" s="1" t="s">
        <v>131</v>
      </c>
      <c r="I21" s="1">
        <v>0</v>
      </c>
      <c r="AD21" s="1">
        <v>0</v>
      </c>
      <c r="AY21" s="1">
        <v>3.55</v>
      </c>
      <c r="AZ21" s="1">
        <v>0.34</v>
      </c>
      <c r="BE21" s="1">
        <v>4.5999999999999996</v>
      </c>
      <c r="BF21" s="1">
        <v>1.4</v>
      </c>
      <c r="BG21" s="13">
        <f>1.3*BH21</f>
        <v>0.10400000000000001</v>
      </c>
      <c r="BH21" s="1">
        <v>0.08</v>
      </c>
      <c r="BT21" s="1">
        <v>0</v>
      </c>
      <c r="CO21" s="1">
        <v>0</v>
      </c>
      <c r="DJ21" s="1" t="s">
        <v>163</v>
      </c>
      <c r="DK21" s="1" t="s">
        <v>163</v>
      </c>
      <c r="DL21" s="1">
        <f t="shared" si="4"/>
        <v>0.10400000000000001</v>
      </c>
      <c r="DM21" s="1">
        <f t="shared" si="5"/>
        <v>0.08</v>
      </c>
      <c r="DN21" s="1" t="s">
        <v>165</v>
      </c>
      <c r="DO21" s="1" t="s">
        <v>2</v>
      </c>
      <c r="DP21" s="38">
        <f t="shared" si="6"/>
        <v>1.2070000000000001E-2</v>
      </c>
      <c r="DQ21" s="38">
        <f t="shared" si="7"/>
        <v>0</v>
      </c>
      <c r="DR21" s="38">
        <f t="shared" si="8"/>
        <v>0</v>
      </c>
      <c r="DS21" s="38">
        <f t="shared" si="9"/>
        <v>0</v>
      </c>
      <c r="DT21" s="38">
        <f t="shared" si="10"/>
        <v>0</v>
      </c>
      <c r="DU21" s="38">
        <f t="shared" si="11"/>
        <v>0.16329999999999997</v>
      </c>
      <c r="DV21" s="38">
        <f t="shared" si="12"/>
        <v>4.9699999999999994E-2</v>
      </c>
      <c r="DW21" s="38">
        <f t="shared" si="13"/>
        <v>3.6920000000000004E-3</v>
      </c>
      <c r="DX21" s="38">
        <f t="shared" si="14"/>
        <v>2.8399999999999996E-3</v>
      </c>
      <c r="DY21" s="38">
        <f t="shared" si="15"/>
        <v>0</v>
      </c>
      <c r="DZ21" s="38">
        <f t="shared" si="16"/>
        <v>0</v>
      </c>
      <c r="EA21" s="38">
        <f t="shared" si="17"/>
        <v>0</v>
      </c>
      <c r="EB21" s="38">
        <f t="shared" si="18"/>
        <v>0</v>
      </c>
      <c r="EC21" s="38">
        <f t="shared" si="19"/>
        <v>0</v>
      </c>
      <c r="ED21" s="38">
        <f t="shared" si="20"/>
        <v>0</v>
      </c>
      <c r="EE21" s="38">
        <f t="shared" si="21"/>
        <v>0</v>
      </c>
      <c r="EG21" s="38">
        <f t="shared" si="22"/>
        <v>0</v>
      </c>
      <c r="EH21" s="38">
        <f t="shared" si="23"/>
        <v>0</v>
      </c>
      <c r="EI21" s="38">
        <f t="shared" si="24"/>
        <v>78.764185120000008</v>
      </c>
      <c r="EJ21" s="38">
        <f t="shared" si="25"/>
        <v>0</v>
      </c>
      <c r="EK21" s="38">
        <f t="shared" si="26"/>
        <v>0</v>
      </c>
      <c r="EL21" s="38">
        <f t="shared" si="27"/>
        <v>0</v>
      </c>
      <c r="EM21" s="38">
        <f t="shared" si="28"/>
        <v>0</v>
      </c>
      <c r="EN21" s="38">
        <f t="shared" si="29"/>
        <v>366.49138123999995</v>
      </c>
      <c r="EO21" s="38">
        <f t="shared" si="30"/>
        <v>145.39755873999997</v>
      </c>
      <c r="EP21" s="38">
        <f t="shared" si="31"/>
        <v>48.416888000000007</v>
      </c>
      <c r="EQ21" s="38">
        <f t="shared" si="32"/>
        <v>206.23944815999994</v>
      </c>
      <c r="ER21" s="38">
        <f t="shared" si="33"/>
        <v>0</v>
      </c>
      <c r="ES21" s="38">
        <f t="shared" si="34"/>
        <v>0</v>
      </c>
      <c r="ET21" s="38">
        <f t="shared" si="35"/>
        <v>0</v>
      </c>
      <c r="EU21" s="38">
        <f t="shared" si="36"/>
        <v>0</v>
      </c>
      <c r="EV21" s="38">
        <f t="shared" si="37"/>
        <v>0</v>
      </c>
      <c r="EW21" s="38">
        <f t="shared" si="38"/>
        <v>0</v>
      </c>
      <c r="EX21" s="38">
        <f t="shared" si="39"/>
        <v>0</v>
      </c>
      <c r="EZ21" s="38">
        <f t="shared" si="40"/>
        <v>0</v>
      </c>
      <c r="FA21" s="38">
        <f t="shared" si="41"/>
        <v>0</v>
      </c>
      <c r="FB21" s="1">
        <f t="shared" si="42"/>
        <v>0</v>
      </c>
      <c r="FC21" s="1">
        <f t="shared" si="43"/>
        <v>0</v>
      </c>
      <c r="FD21" s="1">
        <f t="shared" si="44"/>
        <v>0</v>
      </c>
      <c r="FE21" s="1">
        <f t="shared" si="45"/>
        <v>0</v>
      </c>
      <c r="FF21" s="1">
        <f t="shared" si="46"/>
        <v>0</v>
      </c>
      <c r="FG21" s="1">
        <f t="shared" si="47"/>
        <v>0</v>
      </c>
      <c r="FH21" s="1">
        <f t="shared" si="48"/>
        <v>0</v>
      </c>
      <c r="FI21" s="1">
        <f t="shared" si="49"/>
        <v>0</v>
      </c>
      <c r="FJ21" s="1">
        <f t="shared" si="50"/>
        <v>0</v>
      </c>
      <c r="FK21" s="1">
        <f t="shared" si="51"/>
        <v>0</v>
      </c>
      <c r="FL21" s="1">
        <f t="shared" si="52"/>
        <v>0</v>
      </c>
      <c r="FM21" s="1">
        <f t="shared" si="53"/>
        <v>0</v>
      </c>
      <c r="FN21" s="1">
        <f t="shared" si="54"/>
        <v>0</v>
      </c>
      <c r="FO21" s="1">
        <f t="shared" si="55"/>
        <v>0</v>
      </c>
      <c r="FP21" s="1">
        <f t="shared" si="56"/>
        <v>0</v>
      </c>
      <c r="FQ21" s="1">
        <f t="shared" si="57"/>
        <v>0</v>
      </c>
      <c r="FS21" s="1">
        <f t="shared" si="58"/>
        <v>0</v>
      </c>
      <c r="FT21" s="1">
        <f t="shared" si="59"/>
        <v>0</v>
      </c>
      <c r="FU21" s="38">
        <f t="shared" si="60"/>
        <v>0</v>
      </c>
      <c r="FV21" s="38">
        <f t="shared" si="61"/>
        <v>0</v>
      </c>
      <c r="FW21" s="38">
        <f t="shared" si="62"/>
        <v>0</v>
      </c>
      <c r="FX21" s="38">
        <f t="shared" si="63"/>
        <v>0</v>
      </c>
      <c r="FY21" s="38">
        <f t="shared" si="64"/>
        <v>0</v>
      </c>
      <c r="FZ21" s="38">
        <f t="shared" si="65"/>
        <v>0</v>
      </c>
      <c r="GA21" s="38">
        <f t="shared" si="66"/>
        <v>0</v>
      </c>
      <c r="GB21" s="38">
        <f t="shared" si="67"/>
        <v>0</v>
      </c>
      <c r="GC21" s="38">
        <f t="shared" si="68"/>
        <v>0</v>
      </c>
      <c r="GD21" s="38">
        <f t="shared" si="69"/>
        <v>0</v>
      </c>
      <c r="GE21" s="38">
        <f t="shared" si="70"/>
        <v>0</v>
      </c>
      <c r="GF21" s="38">
        <f t="shared" si="71"/>
        <v>0</v>
      </c>
      <c r="GG21" s="38">
        <f t="shared" si="72"/>
        <v>0</v>
      </c>
      <c r="GH21" s="38">
        <f t="shared" si="73"/>
        <v>0</v>
      </c>
      <c r="GI21" s="38">
        <f t="shared" si="74"/>
        <v>0</v>
      </c>
      <c r="GJ21" s="38">
        <f t="shared" si="75"/>
        <v>0</v>
      </c>
      <c r="GL21" s="38">
        <f t="shared" si="76"/>
        <v>0</v>
      </c>
      <c r="GM21" s="38">
        <f t="shared" si="77"/>
        <v>0</v>
      </c>
      <c r="GN21" s="1" t="s">
        <v>2</v>
      </c>
      <c r="GO21" s="1">
        <f t="shared" si="78"/>
        <v>3.55</v>
      </c>
      <c r="GP21" s="1">
        <f t="shared" si="79"/>
        <v>0.10400000000000001</v>
      </c>
      <c r="GQ21" s="41">
        <f t="shared" si="80"/>
        <v>3.6920000000000006</v>
      </c>
      <c r="GR21" s="41">
        <f t="shared" si="81"/>
        <v>845.30946125999981</v>
      </c>
      <c r="GS21" s="14">
        <f t="shared" si="82"/>
        <v>238.11534119999996</v>
      </c>
      <c r="GT21" s="1">
        <f t="shared" si="87"/>
        <v>0</v>
      </c>
      <c r="GU21" s="1">
        <f t="shared" si="88"/>
        <v>0</v>
      </c>
      <c r="GV21" s="1">
        <f t="shared" si="89"/>
        <v>3.6920000000000006</v>
      </c>
      <c r="GW21" s="37">
        <f t="shared" si="83"/>
        <v>0</v>
      </c>
      <c r="GX21" s="37"/>
      <c r="GY21" s="37"/>
      <c r="GZ21" s="37"/>
      <c r="HB21" s="1">
        <f t="shared" si="90"/>
        <v>0</v>
      </c>
      <c r="HC21" s="1">
        <f t="shared" si="91"/>
        <v>0</v>
      </c>
      <c r="HD21" s="37" t="s">
        <v>2</v>
      </c>
      <c r="HE21" s="1" t="s">
        <v>118</v>
      </c>
      <c r="HF21" s="1" t="s">
        <v>83</v>
      </c>
      <c r="HG21" s="1" t="s">
        <v>1063</v>
      </c>
      <c r="HI21" s="1" t="s">
        <v>163</v>
      </c>
      <c r="HJ21" s="37" t="s">
        <v>2</v>
      </c>
      <c r="HK21" s="37" t="s">
        <v>31</v>
      </c>
      <c r="HL21" s="37" t="s">
        <v>1362</v>
      </c>
      <c r="HM21" s="37" t="s">
        <v>163</v>
      </c>
      <c r="HN21" s="45">
        <f>SUM(GT123:GT148)</f>
        <v>0</v>
      </c>
      <c r="HO21" s="45">
        <f>SUM(GU123:GU148)</f>
        <v>0</v>
      </c>
      <c r="HP21" s="42">
        <f>SUM(GV123:GV148)</f>
        <v>24444.268019999996</v>
      </c>
      <c r="HQ21" s="42">
        <f>SUM(GO123:GO148)</f>
        <v>2099.2922999999996</v>
      </c>
      <c r="HR21" s="44">
        <f t="shared" si="85"/>
        <v>1.164405167398556</v>
      </c>
      <c r="HS21" s="44">
        <f>MIN(GP123:GP148)</f>
        <v>0.77</v>
      </c>
      <c r="HT21" s="44">
        <f>MAX(GP123:GP148)</f>
        <v>2.15</v>
      </c>
      <c r="HU21" s="42">
        <f>SUM(GQ123:GQ148)</f>
        <v>24444.268019999996</v>
      </c>
      <c r="HV21" s="41">
        <f>SUM(GR123:GR148)/SUM(GO123:GO148)</f>
        <v>201.80088047733014</v>
      </c>
      <c r="HW21" s="37">
        <f>COUNT(GQ123:GQ148)</f>
        <v>26</v>
      </c>
      <c r="HX21" s="45">
        <f>SUM(HB123:HB148)</f>
        <v>0</v>
      </c>
      <c r="HY21" s="45">
        <f>SUM(HC123:HC148)</f>
        <v>0</v>
      </c>
      <c r="HZ21" s="37" t="s">
        <v>1318</v>
      </c>
      <c r="IA21" s="37" t="s">
        <v>1318</v>
      </c>
      <c r="IB21" s="37" t="s">
        <v>1318</v>
      </c>
      <c r="IC21" s="37" t="s">
        <v>1318</v>
      </c>
      <c r="ID21" s="37">
        <f>COUNT(GY123:GY148)</f>
        <v>0</v>
      </c>
      <c r="IF21" s="1">
        <f t="shared" ref="IF21:IN21" si="117">100*SUM(EI123:EI148)/SUM($EI123:$FA148)</f>
        <v>0</v>
      </c>
      <c r="IG21" s="1">
        <f t="shared" si="117"/>
        <v>0</v>
      </c>
      <c r="IH21" s="1">
        <f t="shared" si="117"/>
        <v>0</v>
      </c>
      <c r="II21" s="1">
        <f t="shared" si="117"/>
        <v>0</v>
      </c>
      <c r="IJ21" s="1">
        <f t="shared" si="117"/>
        <v>0</v>
      </c>
      <c r="IK21" s="1">
        <f t="shared" si="117"/>
        <v>0</v>
      </c>
      <c r="IL21" s="1">
        <f t="shared" si="117"/>
        <v>0</v>
      </c>
      <c r="IM21" s="14">
        <f t="shared" si="117"/>
        <v>75.668695444468426</v>
      </c>
      <c r="IN21" s="14">
        <f t="shared" si="117"/>
        <v>14.034006981141465</v>
      </c>
      <c r="IO21" s="14">
        <f>100*SUM(ER123:EV148)/SUM($EI123:$FA148)</f>
        <v>10.297297574390115</v>
      </c>
      <c r="IP21" s="1">
        <f>100*SUM(EW123:EW148)/SUM($EI123:$FA148)</f>
        <v>0</v>
      </c>
      <c r="IQ21" s="1">
        <f>100*SUM(EX123:EX148)/SUM($EI123:$FA148)</f>
        <v>0</v>
      </c>
      <c r="IR21" s="1">
        <f>100*SUM(EZ123:EZ148)/SUM($EI123:$FA148)</f>
        <v>0</v>
      </c>
      <c r="IS21" s="1">
        <f>100*SUM(FA123:FA148)/SUM($EI123:$FA148)</f>
        <v>0</v>
      </c>
      <c r="JH21" s="58" t="s">
        <v>2</v>
      </c>
    </row>
    <row r="22" spans="1:268" ht="16.25" customHeight="1" x14ac:dyDescent="0.2">
      <c r="A22" s="16" t="s">
        <v>174</v>
      </c>
      <c r="B22" s="1" t="s">
        <v>69</v>
      </c>
      <c r="E22" s="1" t="s">
        <v>72</v>
      </c>
      <c r="F22" s="1" t="s">
        <v>175</v>
      </c>
      <c r="H22" s="1" t="s">
        <v>70</v>
      </c>
      <c r="I22" s="1">
        <v>0</v>
      </c>
      <c r="AD22" s="1">
        <f>0.406+0.286</f>
        <v>0.69199999999999995</v>
      </c>
      <c r="AE22" s="13">
        <f>(0.16*0.406+0.09*0.286)/AD22</f>
        <v>0.13106936416184972</v>
      </c>
      <c r="AL22" s="13">
        <f>(0.05*0.406+0.09*0.286)/AD22</f>
        <v>6.6531791907514459E-2</v>
      </c>
      <c r="AM22" s="13">
        <f>(0.12*0.406+0.18*0.286)/AD22</f>
        <v>0.14479768786127167</v>
      </c>
      <c r="AY22" s="1">
        <f>0.008+0.242</f>
        <v>0.25</v>
      </c>
      <c r="AZ22" s="13">
        <f>(0.21*0.008+0.08*0.242)/AY22</f>
        <v>8.4159999999999999E-2</v>
      </c>
      <c r="BG22" s="13">
        <f>(0.03*0.008+0.04*0.242)/AY22</f>
        <v>3.968E-2</v>
      </c>
      <c r="BH22" s="13">
        <f>(0.05*0.008+0.08*0.242)/AY22</f>
        <v>7.9039999999999999E-2</v>
      </c>
      <c r="BT22" s="1">
        <v>0</v>
      </c>
      <c r="CO22" s="1">
        <v>0</v>
      </c>
      <c r="DJ22" s="1" t="s">
        <v>163</v>
      </c>
      <c r="DK22" s="1" t="s">
        <v>163</v>
      </c>
      <c r="DL22" s="1">
        <f t="shared" si="4"/>
        <v>5.9405520169851386E-2</v>
      </c>
      <c r="DM22" s="1">
        <f t="shared" si="5"/>
        <v>0.12734607218683652</v>
      </c>
      <c r="DN22" s="1" t="s">
        <v>162</v>
      </c>
      <c r="DO22" s="1" t="s">
        <v>2</v>
      </c>
      <c r="DP22" s="38">
        <f t="shared" si="6"/>
        <v>1.1174000000000002E-3</v>
      </c>
      <c r="DQ22" s="38">
        <f t="shared" si="7"/>
        <v>0</v>
      </c>
      <c r="DR22" s="38">
        <f t="shared" si="8"/>
        <v>0</v>
      </c>
      <c r="DS22" s="38">
        <f t="shared" si="9"/>
        <v>0</v>
      </c>
      <c r="DT22" s="38">
        <f t="shared" si="10"/>
        <v>0</v>
      </c>
      <c r="DU22" s="38">
        <f t="shared" si="11"/>
        <v>0</v>
      </c>
      <c r="DV22" s="38">
        <f t="shared" si="12"/>
        <v>0</v>
      </c>
      <c r="DW22" s="38">
        <f t="shared" si="13"/>
        <v>5.5960000000000005E-4</v>
      </c>
      <c r="DX22" s="38">
        <f t="shared" si="14"/>
        <v>1.1995999999999999E-3</v>
      </c>
      <c r="DY22" s="38">
        <f t="shared" si="15"/>
        <v>0</v>
      </c>
      <c r="DZ22" s="38">
        <f t="shared" si="16"/>
        <v>0</v>
      </c>
      <c r="EA22" s="38">
        <f t="shared" si="17"/>
        <v>0</v>
      </c>
      <c r="EB22" s="38">
        <f t="shared" si="18"/>
        <v>0</v>
      </c>
      <c r="EC22" s="38">
        <f t="shared" si="19"/>
        <v>0</v>
      </c>
      <c r="ED22" s="38">
        <f t="shared" si="20"/>
        <v>0</v>
      </c>
      <c r="EE22" s="38">
        <f t="shared" si="21"/>
        <v>0</v>
      </c>
      <c r="EG22" s="38">
        <f t="shared" si="22"/>
        <v>0</v>
      </c>
      <c r="EH22" s="38">
        <f t="shared" si="23"/>
        <v>0</v>
      </c>
      <c r="EI22" s="38">
        <f t="shared" si="24"/>
        <v>7.2917233184000008</v>
      </c>
      <c r="EJ22" s="38">
        <f t="shared" si="25"/>
        <v>0</v>
      </c>
      <c r="EK22" s="38">
        <f t="shared" si="26"/>
        <v>0</v>
      </c>
      <c r="EL22" s="38">
        <f t="shared" si="27"/>
        <v>0</v>
      </c>
      <c r="EM22" s="38">
        <f t="shared" si="28"/>
        <v>0</v>
      </c>
      <c r="EN22" s="38">
        <f t="shared" si="29"/>
        <v>0</v>
      </c>
      <c r="EO22" s="38">
        <f t="shared" si="30"/>
        <v>0</v>
      </c>
      <c r="EP22" s="38">
        <f t="shared" si="31"/>
        <v>7.3385944000000007</v>
      </c>
      <c r="EQ22" s="38">
        <f t="shared" si="32"/>
        <v>87.11438099039998</v>
      </c>
      <c r="ER22" s="38">
        <f t="shared" si="33"/>
        <v>0</v>
      </c>
      <c r="ES22" s="38">
        <f t="shared" si="34"/>
        <v>0</v>
      </c>
      <c r="ET22" s="38">
        <f t="shared" si="35"/>
        <v>0</v>
      </c>
      <c r="EU22" s="38">
        <f t="shared" si="36"/>
        <v>0</v>
      </c>
      <c r="EV22" s="38">
        <f t="shared" si="37"/>
        <v>0</v>
      </c>
      <c r="EW22" s="38">
        <f t="shared" si="38"/>
        <v>0</v>
      </c>
      <c r="EX22" s="38">
        <f t="shared" si="39"/>
        <v>0</v>
      </c>
      <c r="EZ22" s="38">
        <f t="shared" si="40"/>
        <v>0</v>
      </c>
      <c r="FA22" s="38">
        <f t="shared" si="41"/>
        <v>0</v>
      </c>
      <c r="FB22" s="1">
        <f t="shared" si="42"/>
        <v>0</v>
      </c>
      <c r="FC22" s="1">
        <f t="shared" si="43"/>
        <v>0</v>
      </c>
      <c r="FD22" s="1">
        <f t="shared" si="44"/>
        <v>0</v>
      </c>
      <c r="FE22" s="1">
        <f t="shared" si="45"/>
        <v>0</v>
      </c>
      <c r="FF22" s="1">
        <f t="shared" si="46"/>
        <v>0</v>
      </c>
      <c r="FG22" s="1">
        <f t="shared" si="47"/>
        <v>0</v>
      </c>
      <c r="FH22" s="1">
        <f t="shared" si="48"/>
        <v>0</v>
      </c>
      <c r="FI22" s="1">
        <f t="shared" si="49"/>
        <v>0</v>
      </c>
      <c r="FJ22" s="1">
        <f t="shared" si="50"/>
        <v>0</v>
      </c>
      <c r="FK22" s="1">
        <f t="shared" si="51"/>
        <v>0</v>
      </c>
      <c r="FL22" s="1">
        <f t="shared" si="52"/>
        <v>0</v>
      </c>
      <c r="FM22" s="1">
        <f t="shared" si="53"/>
        <v>0</v>
      </c>
      <c r="FN22" s="1">
        <f t="shared" si="54"/>
        <v>0</v>
      </c>
      <c r="FO22" s="1">
        <f t="shared" si="55"/>
        <v>0</v>
      </c>
      <c r="FP22" s="1">
        <f t="shared" si="56"/>
        <v>0</v>
      </c>
      <c r="FQ22" s="1">
        <f t="shared" si="57"/>
        <v>0</v>
      </c>
      <c r="FS22" s="1">
        <f t="shared" si="58"/>
        <v>0</v>
      </c>
      <c r="FT22" s="1">
        <f t="shared" si="59"/>
        <v>0</v>
      </c>
      <c r="FU22" s="38">
        <f t="shared" si="60"/>
        <v>0</v>
      </c>
      <c r="FV22" s="38">
        <f t="shared" si="61"/>
        <v>0</v>
      </c>
      <c r="FW22" s="38">
        <f t="shared" si="62"/>
        <v>0</v>
      </c>
      <c r="FX22" s="38">
        <f t="shared" si="63"/>
        <v>0</v>
      </c>
      <c r="FY22" s="38">
        <f t="shared" si="64"/>
        <v>0</v>
      </c>
      <c r="FZ22" s="38">
        <f t="shared" si="65"/>
        <v>0</v>
      </c>
      <c r="GA22" s="38">
        <f t="shared" si="66"/>
        <v>0</v>
      </c>
      <c r="GB22" s="38">
        <f t="shared" si="67"/>
        <v>0</v>
      </c>
      <c r="GC22" s="38">
        <f t="shared" si="68"/>
        <v>0</v>
      </c>
      <c r="GD22" s="38">
        <f t="shared" si="69"/>
        <v>0</v>
      </c>
      <c r="GE22" s="38">
        <f t="shared" si="70"/>
        <v>0</v>
      </c>
      <c r="GF22" s="38">
        <f t="shared" si="71"/>
        <v>0</v>
      </c>
      <c r="GG22" s="38">
        <f t="shared" si="72"/>
        <v>0</v>
      </c>
      <c r="GH22" s="38">
        <f t="shared" si="73"/>
        <v>0</v>
      </c>
      <c r="GI22" s="38">
        <f t="shared" si="74"/>
        <v>0</v>
      </c>
      <c r="GJ22" s="38">
        <f t="shared" si="75"/>
        <v>0</v>
      </c>
      <c r="GL22" s="38">
        <f t="shared" si="76"/>
        <v>0</v>
      </c>
      <c r="GM22" s="38">
        <f t="shared" si="77"/>
        <v>0</v>
      </c>
      <c r="GN22" s="1" t="s">
        <v>2</v>
      </c>
      <c r="GO22" s="1">
        <f t="shared" si="78"/>
        <v>0.94199999999999995</v>
      </c>
      <c r="GP22" s="2">
        <f t="shared" si="79"/>
        <v>5.9405520169851386E-2</v>
      </c>
      <c r="GQ22" s="41">
        <f t="shared" si="80"/>
        <v>0.5596000000000001</v>
      </c>
      <c r="GR22" s="41">
        <f t="shared" si="81"/>
        <v>101.74469870879997</v>
      </c>
      <c r="GS22" s="14">
        <f t="shared" si="82"/>
        <v>108.00923429808915</v>
      </c>
      <c r="GT22" s="1">
        <f t="shared" si="87"/>
        <v>0</v>
      </c>
      <c r="GU22" s="1">
        <f t="shared" si="88"/>
        <v>0.46040000000000009</v>
      </c>
      <c r="GV22" s="1">
        <f t="shared" si="89"/>
        <v>9.9199999999999997E-2</v>
      </c>
      <c r="GW22" s="37">
        <f t="shared" si="83"/>
        <v>0</v>
      </c>
      <c r="GX22" s="37"/>
      <c r="GY22" s="37"/>
      <c r="GZ22" s="37"/>
      <c r="HB22" s="1">
        <f t="shared" si="90"/>
        <v>0</v>
      </c>
      <c r="HC22" s="1">
        <f t="shared" si="91"/>
        <v>0</v>
      </c>
      <c r="HD22" s="37" t="s">
        <v>2</v>
      </c>
      <c r="HE22" s="1" t="s">
        <v>118</v>
      </c>
      <c r="HF22" s="1" t="s">
        <v>176</v>
      </c>
      <c r="HI22" s="1" t="s">
        <v>163</v>
      </c>
      <c r="HJ22" s="37" t="s">
        <v>2</v>
      </c>
      <c r="HK22" s="37" t="s">
        <v>31</v>
      </c>
      <c r="HL22" s="37" t="s">
        <v>1363</v>
      </c>
      <c r="HM22" s="37" t="s">
        <v>96</v>
      </c>
      <c r="HN22" s="42">
        <f>SUM(GT149:GT237)</f>
        <v>13220.934847000004</v>
      </c>
      <c r="HO22" s="42">
        <f>SUM(GU149:GU237)</f>
        <v>28182.837667000007</v>
      </c>
      <c r="HP22" s="42">
        <f>SUM(GV149:GV237)</f>
        <v>39383.288398000004</v>
      </c>
      <c r="HQ22" s="42">
        <f>SUM(GO149:GO237)</f>
        <v>8194.0365660000043</v>
      </c>
      <c r="HR22" s="44">
        <f t="shared" ref="HR22:HR37" si="118">100*(HU22/1000)/HQ22</f>
        <v>0.98592507198728485</v>
      </c>
      <c r="HS22" s="44">
        <f>MIN(GP149:GP237)</f>
        <v>0.10148876404494382</v>
      </c>
      <c r="HT22" s="44">
        <f>MAX(GP149:GP237)</f>
        <v>1.8168978358249233</v>
      </c>
      <c r="HU22" s="42">
        <f>SUM(GQ149:GQ237)</f>
        <v>80787.060911999986</v>
      </c>
      <c r="HV22" s="41">
        <f>SUM(GR149:GR237)/SUM(GO149:GO237)</f>
        <v>179.07605739636026</v>
      </c>
      <c r="HW22" s="37">
        <f>COUNT(GQ149:GQ237)</f>
        <v>89</v>
      </c>
      <c r="HX22" s="42">
        <f>SUM(HB149:HB237)</f>
        <v>2973.4717550999999</v>
      </c>
      <c r="HY22" s="42">
        <f>SUM(HC149:HC237)</f>
        <v>8644.6288112000002</v>
      </c>
      <c r="HZ22" s="42">
        <f>SUM(GW149:GW237)</f>
        <v>1269.6306710000001</v>
      </c>
      <c r="IA22" s="44">
        <f t="shared" ref="IA22" si="119">100*(IB22/1000)/HZ22</f>
        <v>0.91507718202406285</v>
      </c>
      <c r="IB22" s="42">
        <f>SUM(GY149:GY237)</f>
        <v>11618.100566300003</v>
      </c>
      <c r="IC22" s="41">
        <f>SUM(GZ149:GZ237)/SUM(GW149:GW237)</f>
        <v>198.21356820703994</v>
      </c>
      <c r="ID22" s="37">
        <f>COUNT(GY149:GY237)</f>
        <v>20</v>
      </c>
      <c r="IF22" s="13">
        <f t="shared" ref="IF22:IN22" si="120">100*SUM(EI149:EI237)/SUM($EI149:$FA237)</f>
        <v>0.14021380628305286</v>
      </c>
      <c r="IG22" s="2">
        <f t="shared" si="120"/>
        <v>1.3974038148989246E-2</v>
      </c>
      <c r="IH22" s="38">
        <f t="shared" si="120"/>
        <v>0</v>
      </c>
      <c r="II22" s="38">
        <f t="shared" si="120"/>
        <v>0</v>
      </c>
      <c r="IJ22" s="38">
        <f t="shared" si="120"/>
        <v>0</v>
      </c>
      <c r="IK22" s="38">
        <f t="shared" si="120"/>
        <v>0</v>
      </c>
      <c r="IL22" s="38">
        <f t="shared" si="120"/>
        <v>0</v>
      </c>
      <c r="IM22" s="14">
        <f t="shared" si="120"/>
        <v>72.200726227871755</v>
      </c>
      <c r="IN22" s="14">
        <f t="shared" si="120"/>
        <v>22.355720729397213</v>
      </c>
      <c r="IO22" s="13">
        <f>100*SUM(ER149:EV237)/SUM($EI149:$FA237)</f>
        <v>0.18487521005685775</v>
      </c>
      <c r="IP22" s="13">
        <f>100*SUM(EW149:EW237)/SUM($EI149:$FA237)</f>
        <v>0.11528332732233151</v>
      </c>
      <c r="IQ22" s="14">
        <f>100*SUM(EX149:EX237)/SUM($EI149:$FA237)</f>
        <v>3.830992288135902</v>
      </c>
      <c r="IR22" s="14">
        <f>100*SUM(EZ149:EZ237)/SUM($EI149:$FA237)</f>
        <v>1.1582143727839069</v>
      </c>
      <c r="IS22" s="38">
        <f>100*SUM(FA149:FA237)/SUM($EI149:$FA237)</f>
        <v>0</v>
      </c>
      <c r="IT22" s="38">
        <f t="shared" ref="IT22:JB22" si="121">100*SUM(FU149:FU237)/SUM($FU149:$GM237)</f>
        <v>0</v>
      </c>
      <c r="IU22" s="38">
        <f t="shared" si="121"/>
        <v>0</v>
      </c>
      <c r="IV22" s="38">
        <f t="shared" si="121"/>
        <v>0</v>
      </c>
      <c r="IW22" s="38">
        <f t="shared" si="121"/>
        <v>0</v>
      </c>
      <c r="IX22" s="38">
        <f t="shared" si="121"/>
        <v>0</v>
      </c>
      <c r="IY22" s="38">
        <f t="shared" si="121"/>
        <v>0</v>
      </c>
      <c r="IZ22" s="38">
        <f t="shared" si="121"/>
        <v>0</v>
      </c>
      <c r="JA22" s="14">
        <f t="shared" si="121"/>
        <v>60.542385032536551</v>
      </c>
      <c r="JB22" s="14">
        <f t="shared" si="121"/>
        <v>33.012319530569634</v>
      </c>
      <c r="JC22" s="38">
        <f>100*SUM(GD149:GH237)/SUM($FU149:$GM237)</f>
        <v>0</v>
      </c>
      <c r="JD22" s="38">
        <f>100*SUM(GI149:GI237)/SUM($FU149:$GM237)</f>
        <v>0</v>
      </c>
      <c r="JE22" s="14">
        <f>100*SUM(GJ149:GJ237)/SUM($FU149:$GM237)</f>
        <v>5.0131519591129035</v>
      </c>
      <c r="JF22" s="14">
        <f>100*SUM(GL149:GL237)/SUM($FU149:$GM237)</f>
        <v>1.4321434777809026</v>
      </c>
      <c r="JG22" s="38">
        <f>100*SUM(GM149:GM237)/SUM($FU149:$GM237)</f>
        <v>0</v>
      </c>
      <c r="JH22" s="58" t="s">
        <v>2</v>
      </c>
    </row>
    <row r="23" spans="1:268" ht="16.25" customHeight="1" x14ac:dyDescent="0.2">
      <c r="A23" s="16" t="s">
        <v>739</v>
      </c>
      <c r="B23" s="1" t="s">
        <v>69</v>
      </c>
      <c r="F23" s="1" t="s">
        <v>740</v>
      </c>
      <c r="I23" s="1">
        <v>0</v>
      </c>
      <c r="AD23" s="1">
        <v>0</v>
      </c>
      <c r="AY23" s="13">
        <v>30.496085000000001</v>
      </c>
      <c r="BG23" s="2">
        <v>0.16020000000000001</v>
      </c>
      <c r="BH23" s="2">
        <v>8.3000000000000001E-3</v>
      </c>
      <c r="BT23" s="1">
        <v>0</v>
      </c>
      <c r="CO23" s="1">
        <v>0</v>
      </c>
      <c r="DJ23" s="1" t="s">
        <v>96</v>
      </c>
      <c r="DK23" s="1" t="s">
        <v>96</v>
      </c>
      <c r="DL23" s="1">
        <f t="shared" si="4"/>
        <v>0.16020000000000001</v>
      </c>
      <c r="DM23" s="1">
        <f t="shared" si="5"/>
        <v>8.3000000000000001E-3</v>
      </c>
      <c r="DN23" s="1" t="s">
        <v>716</v>
      </c>
      <c r="DO23" s="1" t="s">
        <v>2</v>
      </c>
      <c r="DP23" s="38">
        <f t="shared" si="6"/>
        <v>0</v>
      </c>
      <c r="DQ23" s="38">
        <f t="shared" si="7"/>
        <v>0</v>
      </c>
      <c r="DR23" s="38">
        <f t="shared" si="8"/>
        <v>0</v>
      </c>
      <c r="DS23" s="38">
        <f t="shared" si="9"/>
        <v>0</v>
      </c>
      <c r="DT23" s="38">
        <f t="shared" si="10"/>
        <v>0</v>
      </c>
      <c r="DU23" s="38">
        <f t="shared" si="11"/>
        <v>0</v>
      </c>
      <c r="DV23" s="38">
        <f t="shared" si="12"/>
        <v>0</v>
      </c>
      <c r="DW23" s="38">
        <f t="shared" si="13"/>
        <v>4.885472817E-2</v>
      </c>
      <c r="DX23" s="38">
        <f t="shared" si="14"/>
        <v>2.5311750549999999E-3</v>
      </c>
      <c r="DY23" s="38">
        <f t="shared" si="15"/>
        <v>0</v>
      </c>
      <c r="DZ23" s="38">
        <f t="shared" si="16"/>
        <v>0</v>
      </c>
      <c r="EA23" s="38">
        <f t="shared" si="17"/>
        <v>0</v>
      </c>
      <c r="EB23" s="38">
        <f t="shared" si="18"/>
        <v>0</v>
      </c>
      <c r="EC23" s="38">
        <f t="shared" si="19"/>
        <v>0</v>
      </c>
      <c r="ED23" s="38">
        <f t="shared" si="20"/>
        <v>0</v>
      </c>
      <c r="EE23" s="38">
        <f t="shared" si="21"/>
        <v>0</v>
      </c>
      <c r="EG23" s="38">
        <f t="shared" si="22"/>
        <v>0</v>
      </c>
      <c r="EH23" s="38">
        <f t="shared" si="23"/>
        <v>0</v>
      </c>
      <c r="EI23" s="38">
        <f t="shared" si="24"/>
        <v>0</v>
      </c>
      <c r="EJ23" s="38">
        <f t="shared" si="25"/>
        <v>0</v>
      </c>
      <c r="EK23" s="38">
        <f t="shared" si="26"/>
        <v>0</v>
      </c>
      <c r="EL23" s="38">
        <f t="shared" si="27"/>
        <v>0</v>
      </c>
      <c r="EM23" s="38">
        <f t="shared" si="28"/>
        <v>0</v>
      </c>
      <c r="EN23" s="38">
        <f t="shared" si="29"/>
        <v>0</v>
      </c>
      <c r="EO23" s="38">
        <f t="shared" si="30"/>
        <v>0</v>
      </c>
      <c r="EP23" s="38">
        <f t="shared" si="31"/>
        <v>640.68090522138004</v>
      </c>
      <c r="EQ23" s="38">
        <f t="shared" si="32"/>
        <v>183.81272765477379</v>
      </c>
      <c r="ER23" s="38">
        <f t="shared" si="33"/>
        <v>0</v>
      </c>
      <c r="ES23" s="38">
        <f t="shared" si="34"/>
        <v>0</v>
      </c>
      <c r="ET23" s="38">
        <f t="shared" si="35"/>
        <v>0</v>
      </c>
      <c r="EU23" s="38">
        <f t="shared" si="36"/>
        <v>0</v>
      </c>
      <c r="EV23" s="38">
        <f t="shared" si="37"/>
        <v>0</v>
      </c>
      <c r="EW23" s="38">
        <f t="shared" si="38"/>
        <v>0</v>
      </c>
      <c r="EX23" s="38">
        <f t="shared" si="39"/>
        <v>0</v>
      </c>
      <c r="EZ23" s="38">
        <f t="shared" si="40"/>
        <v>0</v>
      </c>
      <c r="FA23" s="38">
        <f t="shared" si="41"/>
        <v>0</v>
      </c>
      <c r="FB23" s="1">
        <f t="shared" si="42"/>
        <v>0</v>
      </c>
      <c r="FC23" s="1">
        <f t="shared" si="43"/>
        <v>0</v>
      </c>
      <c r="FD23" s="1">
        <f t="shared" si="44"/>
        <v>0</v>
      </c>
      <c r="FE23" s="1">
        <f t="shared" si="45"/>
        <v>0</v>
      </c>
      <c r="FF23" s="1">
        <f t="shared" si="46"/>
        <v>0</v>
      </c>
      <c r="FG23" s="1">
        <f t="shared" si="47"/>
        <v>0</v>
      </c>
      <c r="FH23" s="1">
        <f t="shared" si="48"/>
        <v>0</v>
      </c>
      <c r="FI23" s="1">
        <f t="shared" si="49"/>
        <v>0</v>
      </c>
      <c r="FJ23" s="1">
        <f t="shared" si="50"/>
        <v>0</v>
      </c>
      <c r="FK23" s="1">
        <f t="shared" si="51"/>
        <v>0</v>
      </c>
      <c r="FL23" s="1">
        <f t="shared" si="52"/>
        <v>0</v>
      </c>
      <c r="FM23" s="1">
        <f t="shared" si="53"/>
        <v>0</v>
      </c>
      <c r="FN23" s="1">
        <f t="shared" si="54"/>
        <v>0</v>
      </c>
      <c r="FO23" s="1">
        <f t="shared" si="55"/>
        <v>0</v>
      </c>
      <c r="FP23" s="1">
        <f t="shared" si="56"/>
        <v>0</v>
      </c>
      <c r="FQ23" s="1">
        <f t="shared" si="57"/>
        <v>0</v>
      </c>
      <c r="FS23" s="1">
        <f t="shared" si="58"/>
        <v>0</v>
      </c>
      <c r="FT23" s="1">
        <f t="shared" si="59"/>
        <v>0</v>
      </c>
      <c r="FU23" s="38">
        <f t="shared" si="60"/>
        <v>0</v>
      </c>
      <c r="FV23" s="38">
        <f t="shared" si="61"/>
        <v>0</v>
      </c>
      <c r="FW23" s="38">
        <f t="shared" si="62"/>
        <v>0</v>
      </c>
      <c r="FX23" s="38">
        <f t="shared" si="63"/>
        <v>0</v>
      </c>
      <c r="FY23" s="38">
        <f t="shared" si="64"/>
        <v>0</v>
      </c>
      <c r="FZ23" s="38">
        <f t="shared" si="65"/>
        <v>0</v>
      </c>
      <c r="GA23" s="38">
        <f t="shared" si="66"/>
        <v>0</v>
      </c>
      <c r="GB23" s="38">
        <f t="shared" si="67"/>
        <v>0</v>
      </c>
      <c r="GC23" s="38">
        <f t="shared" si="68"/>
        <v>0</v>
      </c>
      <c r="GD23" s="38">
        <f t="shared" si="69"/>
        <v>0</v>
      </c>
      <c r="GE23" s="38">
        <f t="shared" si="70"/>
        <v>0</v>
      </c>
      <c r="GF23" s="38">
        <f t="shared" si="71"/>
        <v>0</v>
      </c>
      <c r="GG23" s="38">
        <f t="shared" si="72"/>
        <v>0</v>
      </c>
      <c r="GH23" s="38">
        <f t="shared" si="73"/>
        <v>0</v>
      </c>
      <c r="GI23" s="38">
        <f t="shared" si="74"/>
        <v>0</v>
      </c>
      <c r="GJ23" s="38">
        <f t="shared" si="75"/>
        <v>0</v>
      </c>
      <c r="GL23" s="38">
        <f t="shared" si="76"/>
        <v>0</v>
      </c>
      <c r="GM23" s="38">
        <f t="shared" si="77"/>
        <v>0</v>
      </c>
      <c r="GN23" s="1" t="s">
        <v>2</v>
      </c>
      <c r="GO23" s="13">
        <f t="shared" si="78"/>
        <v>30.496085000000001</v>
      </c>
      <c r="GP23" s="13">
        <f t="shared" si="79"/>
        <v>0.16020000000000001</v>
      </c>
      <c r="GQ23" s="41">
        <f t="shared" si="80"/>
        <v>48.854728170000001</v>
      </c>
      <c r="GR23" s="41">
        <f t="shared" si="81"/>
        <v>824.49363287615381</v>
      </c>
      <c r="GS23" s="14">
        <f t="shared" si="82"/>
        <v>27.036048491999999</v>
      </c>
      <c r="GT23" s="1">
        <f t="shared" si="87"/>
        <v>0</v>
      </c>
      <c r="GU23" s="1">
        <f t="shared" si="88"/>
        <v>0</v>
      </c>
      <c r="GV23" s="1">
        <f t="shared" si="89"/>
        <v>48.854728170000001</v>
      </c>
      <c r="GW23" s="37">
        <f t="shared" si="83"/>
        <v>0</v>
      </c>
      <c r="GX23" s="37"/>
      <c r="GY23" s="37"/>
      <c r="GZ23" s="37"/>
      <c r="HB23" s="1">
        <f t="shared" si="90"/>
        <v>0</v>
      </c>
      <c r="HC23" s="1">
        <f t="shared" si="91"/>
        <v>0</v>
      </c>
      <c r="HD23" s="37" t="s">
        <v>2</v>
      </c>
      <c r="HE23" s="1" t="s">
        <v>118</v>
      </c>
      <c r="HF23" s="1" t="s">
        <v>83</v>
      </c>
      <c r="HG23" s="1" t="s">
        <v>138</v>
      </c>
      <c r="HI23" s="1" t="s">
        <v>96</v>
      </c>
      <c r="HJ23" s="37" t="s">
        <v>2</v>
      </c>
      <c r="HK23" s="37" t="s">
        <v>31</v>
      </c>
      <c r="HL23" s="37" t="s">
        <v>1363</v>
      </c>
      <c r="HM23" s="37" t="s">
        <v>163</v>
      </c>
      <c r="HN23" s="45">
        <f>SUM(GT238:GT285)</f>
        <v>0</v>
      </c>
      <c r="HO23" s="45">
        <f>SUM(GU238:GU285)</f>
        <v>0</v>
      </c>
      <c r="HP23" s="42">
        <f>SUM(GV238:GV285)</f>
        <v>37960.626501939994</v>
      </c>
      <c r="HQ23" s="42">
        <f>SUM(GO238:GO285)</f>
        <v>3555.9656997333336</v>
      </c>
      <c r="HR23" s="44">
        <f t="shared" si="118"/>
        <v>1.0675194787392552</v>
      </c>
      <c r="HS23" s="44">
        <f>MIN(GP238:GP285)</f>
        <v>0.3</v>
      </c>
      <c r="HT23" s="44">
        <f>MAX(GP238:GP285)</f>
        <v>2.2000000000000002</v>
      </c>
      <c r="HU23" s="42">
        <f>SUM(GQ238:GQ285)</f>
        <v>37960.626501939994</v>
      </c>
      <c r="HV23" s="41">
        <f>SUM(GR238:GR285)/SUM(GO238:GO285)</f>
        <v>175.11115545353712</v>
      </c>
      <c r="HW23" s="37">
        <f>COUNT(GQ238:GQ285)</f>
        <v>48</v>
      </c>
      <c r="HX23" s="45">
        <f>SUM(HB238:HB285)</f>
        <v>0</v>
      </c>
      <c r="HY23" s="45">
        <f>SUM(HC238:HC285)</f>
        <v>0</v>
      </c>
      <c r="HZ23" s="37" t="s">
        <v>1318</v>
      </c>
      <c r="IA23" s="37" t="s">
        <v>1318</v>
      </c>
      <c r="IB23" s="37" t="s">
        <v>1318</v>
      </c>
      <c r="IC23" s="37" t="s">
        <v>1318</v>
      </c>
      <c r="ID23" s="37">
        <f>COUNT(GY238:GY285)</f>
        <v>0</v>
      </c>
      <c r="IF23" s="1">
        <f t="shared" ref="IF23:IN23" si="122">100*SUM(EI238:EI285)/SUM($EI238:$FA285)</f>
        <v>0</v>
      </c>
      <c r="IG23" s="1">
        <f t="shared" si="122"/>
        <v>0</v>
      </c>
      <c r="IH23" s="1">
        <f t="shared" si="122"/>
        <v>0</v>
      </c>
      <c r="II23" s="1">
        <f t="shared" si="122"/>
        <v>0</v>
      </c>
      <c r="IJ23" s="1">
        <f t="shared" si="122"/>
        <v>0</v>
      </c>
      <c r="IK23" s="1">
        <f t="shared" si="122"/>
        <v>0</v>
      </c>
      <c r="IL23" s="1">
        <f t="shared" si="122"/>
        <v>0</v>
      </c>
      <c r="IM23" s="14">
        <f t="shared" si="122"/>
        <v>79.946080008027351</v>
      </c>
      <c r="IN23" s="14">
        <f t="shared" si="122"/>
        <v>19.053719565401384</v>
      </c>
      <c r="IO23" s="1">
        <f>100*SUM(ER238:EV285)/SUM($EI238:$FA285)</f>
        <v>0</v>
      </c>
      <c r="IP23" s="13">
        <f>100*SUM(EW238:EW285)/SUM($EI238:$FA285)</f>
        <v>0.13584222801182527</v>
      </c>
      <c r="IQ23" s="13">
        <f>100*SUM(EX238:EX285)/SUM($EI238:$FA285)</f>
        <v>0.85489800555681428</v>
      </c>
      <c r="IR23" s="19">
        <f>100*SUM(EZ238:EZ285)/SUM($EI238:$FA285)</f>
        <v>9.460193002620753E-3</v>
      </c>
      <c r="IS23" s="38">
        <f>100*SUM(FA238:FA285)/SUM($EI238:$FA285)</f>
        <v>0</v>
      </c>
      <c r="JH23" s="58" t="s">
        <v>2</v>
      </c>
    </row>
    <row r="24" spans="1:268" ht="16.25" customHeight="1" x14ac:dyDescent="0.2">
      <c r="A24" s="16" t="s">
        <v>974</v>
      </c>
      <c r="B24" s="1" t="s">
        <v>64</v>
      </c>
      <c r="F24" s="1" t="s">
        <v>975</v>
      </c>
      <c r="H24" s="1" t="s">
        <v>92</v>
      </c>
      <c r="I24" s="1">
        <v>0</v>
      </c>
      <c r="AD24" s="1">
        <v>0</v>
      </c>
      <c r="AY24" s="12">
        <v>1525</v>
      </c>
      <c r="AZ24" s="1">
        <v>0.14399999999999999</v>
      </c>
      <c r="BB24" s="1">
        <v>2</v>
      </c>
      <c r="BC24" s="1">
        <v>1.6999999999999999E-3</v>
      </c>
      <c r="BD24" s="1">
        <v>7.0000000000000001E-3</v>
      </c>
      <c r="BE24" s="1">
        <v>5.0000000000000001E-3</v>
      </c>
      <c r="BF24" s="1">
        <v>0.54200000000000004</v>
      </c>
      <c r="BG24" s="1">
        <v>0.26700000000000002</v>
      </c>
      <c r="BH24" s="1">
        <v>2.1000000000000001E-2</v>
      </c>
      <c r="BI24" s="1">
        <v>1.4999999999999999E-2</v>
      </c>
      <c r="BJ24" s="1">
        <v>0.02</v>
      </c>
      <c r="BT24" s="1">
        <v>0</v>
      </c>
      <c r="CO24" s="1">
        <v>0</v>
      </c>
      <c r="DJ24" s="1" t="s">
        <v>96</v>
      </c>
      <c r="DK24" s="1" t="s">
        <v>96</v>
      </c>
      <c r="DL24" s="1">
        <f t="shared" si="4"/>
        <v>0.26700000000000002</v>
      </c>
      <c r="DM24" s="1">
        <f t="shared" si="5"/>
        <v>2.0999999999999998E-2</v>
      </c>
      <c r="DN24" s="1" t="s">
        <v>67</v>
      </c>
      <c r="DO24" s="1" t="s">
        <v>2</v>
      </c>
      <c r="DP24" s="38">
        <f t="shared" si="6"/>
        <v>2.1959999999999997</v>
      </c>
      <c r="DQ24" s="38">
        <f t="shared" si="7"/>
        <v>0</v>
      </c>
      <c r="DR24" s="38">
        <f t="shared" si="8"/>
        <v>3050</v>
      </c>
      <c r="DS24" s="38">
        <f t="shared" si="9"/>
        <v>2.5924999999999997E-2</v>
      </c>
      <c r="DT24" s="38">
        <f t="shared" si="10"/>
        <v>0.10675000000000001</v>
      </c>
      <c r="DU24" s="38">
        <f t="shared" si="11"/>
        <v>7.6249999999999998E-2</v>
      </c>
      <c r="DV24" s="38">
        <f t="shared" si="12"/>
        <v>8.2655000000000012</v>
      </c>
      <c r="DW24" s="38">
        <f t="shared" si="13"/>
        <v>4.0717499999999998</v>
      </c>
      <c r="DX24" s="38">
        <f t="shared" si="14"/>
        <v>0.32024999999999998</v>
      </c>
      <c r="DY24" s="38">
        <f t="shared" si="15"/>
        <v>22.875</v>
      </c>
      <c r="DZ24" s="38">
        <f t="shared" si="16"/>
        <v>30.5</v>
      </c>
      <c r="EA24" s="38">
        <f t="shared" si="17"/>
        <v>0</v>
      </c>
      <c r="EB24" s="38">
        <f t="shared" si="18"/>
        <v>0</v>
      </c>
      <c r="EC24" s="38">
        <f t="shared" si="19"/>
        <v>0</v>
      </c>
      <c r="ED24" s="38">
        <f t="shared" si="20"/>
        <v>0</v>
      </c>
      <c r="EE24" s="38">
        <f t="shared" si="21"/>
        <v>0</v>
      </c>
      <c r="EG24" s="38">
        <f t="shared" si="22"/>
        <v>0</v>
      </c>
      <c r="EH24" s="38">
        <f t="shared" si="23"/>
        <v>0</v>
      </c>
      <c r="EI24" s="38">
        <f t="shared" si="24"/>
        <v>14330.252735999999</v>
      </c>
      <c r="EJ24" s="38">
        <f t="shared" si="25"/>
        <v>0</v>
      </c>
      <c r="EK24" s="38">
        <f t="shared" si="26"/>
        <v>1544.6141479099676</v>
      </c>
      <c r="EL24" s="38">
        <f t="shared" si="27"/>
        <v>1712.376265317904</v>
      </c>
      <c r="EM24" s="38">
        <f t="shared" si="28"/>
        <v>2886.5200000000004</v>
      </c>
      <c r="EN24" s="38">
        <f t="shared" si="29"/>
        <v>171.1265635</v>
      </c>
      <c r="EO24" s="38">
        <f t="shared" si="30"/>
        <v>24180.754965100001</v>
      </c>
      <c r="EP24" s="38">
        <f t="shared" si="31"/>
        <v>53396.929499999998</v>
      </c>
      <c r="EQ24" s="38">
        <f t="shared" si="32"/>
        <v>23256.402560999995</v>
      </c>
      <c r="ER24" s="38">
        <f t="shared" si="33"/>
        <v>649.22339228295812</v>
      </c>
      <c r="ES24" s="38">
        <f t="shared" si="34"/>
        <v>1016.4345659163988</v>
      </c>
      <c r="ET24" s="38">
        <f t="shared" si="35"/>
        <v>0</v>
      </c>
      <c r="EU24" s="38">
        <f t="shared" si="36"/>
        <v>0</v>
      </c>
      <c r="EV24" s="38">
        <f t="shared" si="37"/>
        <v>0</v>
      </c>
      <c r="EW24" s="38">
        <f t="shared" si="38"/>
        <v>0</v>
      </c>
      <c r="EX24" s="38">
        <f t="shared" si="39"/>
        <v>0</v>
      </c>
      <c r="EZ24" s="38">
        <f t="shared" si="40"/>
        <v>0</v>
      </c>
      <c r="FA24" s="38">
        <f t="shared" si="41"/>
        <v>0</v>
      </c>
      <c r="FB24" s="1">
        <f t="shared" si="42"/>
        <v>0</v>
      </c>
      <c r="FC24" s="1">
        <f t="shared" si="43"/>
        <v>0</v>
      </c>
      <c r="FD24" s="1">
        <f t="shared" si="44"/>
        <v>0</v>
      </c>
      <c r="FE24" s="1">
        <f t="shared" si="45"/>
        <v>0</v>
      </c>
      <c r="FF24" s="1">
        <f t="shared" si="46"/>
        <v>0</v>
      </c>
      <c r="FG24" s="1">
        <f t="shared" si="47"/>
        <v>0</v>
      </c>
      <c r="FH24" s="1">
        <f t="shared" si="48"/>
        <v>0</v>
      </c>
      <c r="FI24" s="1">
        <f t="shared" si="49"/>
        <v>0</v>
      </c>
      <c r="FJ24" s="1">
        <f t="shared" si="50"/>
        <v>0</v>
      </c>
      <c r="FK24" s="1">
        <f t="shared" si="51"/>
        <v>0</v>
      </c>
      <c r="FL24" s="1">
        <f t="shared" si="52"/>
        <v>0</v>
      </c>
      <c r="FM24" s="1">
        <f t="shared" si="53"/>
        <v>0</v>
      </c>
      <c r="FN24" s="1">
        <f t="shared" si="54"/>
        <v>0</v>
      </c>
      <c r="FO24" s="1">
        <f t="shared" si="55"/>
        <v>0</v>
      </c>
      <c r="FP24" s="1">
        <f t="shared" si="56"/>
        <v>0</v>
      </c>
      <c r="FQ24" s="1">
        <f t="shared" si="57"/>
        <v>0</v>
      </c>
      <c r="FS24" s="1">
        <f t="shared" si="58"/>
        <v>0</v>
      </c>
      <c r="FT24" s="1">
        <f t="shared" si="59"/>
        <v>0</v>
      </c>
      <c r="FU24" s="38">
        <f t="shared" si="60"/>
        <v>0</v>
      </c>
      <c r="FV24" s="38">
        <f t="shared" si="61"/>
        <v>0</v>
      </c>
      <c r="FW24" s="38">
        <f t="shared" si="62"/>
        <v>0</v>
      </c>
      <c r="FX24" s="38">
        <f t="shared" si="63"/>
        <v>0</v>
      </c>
      <c r="FY24" s="38">
        <f t="shared" si="64"/>
        <v>0</v>
      </c>
      <c r="FZ24" s="38">
        <f t="shared" si="65"/>
        <v>0</v>
      </c>
      <c r="GA24" s="38">
        <f t="shared" si="66"/>
        <v>0</v>
      </c>
      <c r="GB24" s="38">
        <f t="shared" si="67"/>
        <v>0</v>
      </c>
      <c r="GC24" s="38">
        <f t="shared" si="68"/>
        <v>0</v>
      </c>
      <c r="GD24" s="38">
        <f t="shared" si="69"/>
        <v>0</v>
      </c>
      <c r="GE24" s="38">
        <f t="shared" si="70"/>
        <v>0</v>
      </c>
      <c r="GF24" s="38">
        <f t="shared" si="71"/>
        <v>0</v>
      </c>
      <c r="GG24" s="38">
        <f t="shared" si="72"/>
        <v>0</v>
      </c>
      <c r="GH24" s="38">
        <f t="shared" si="73"/>
        <v>0</v>
      </c>
      <c r="GI24" s="38">
        <f t="shared" si="74"/>
        <v>0</v>
      </c>
      <c r="GJ24" s="38">
        <f t="shared" si="75"/>
        <v>0</v>
      </c>
      <c r="GL24" s="38">
        <f t="shared" si="76"/>
        <v>0</v>
      </c>
      <c r="GM24" s="38">
        <f t="shared" si="77"/>
        <v>0</v>
      </c>
      <c r="GN24" s="1" t="s">
        <v>2</v>
      </c>
      <c r="GO24" s="12">
        <f t="shared" si="78"/>
        <v>1525</v>
      </c>
      <c r="GP24" s="13">
        <f t="shared" si="79"/>
        <v>0.26700000000000002</v>
      </c>
      <c r="GQ24" s="43">
        <f t="shared" si="80"/>
        <v>4071.75</v>
      </c>
      <c r="GR24" s="41">
        <f t="shared" si="81"/>
        <v>123144.63469702723</v>
      </c>
      <c r="GS24" s="14">
        <f t="shared" si="82"/>
        <v>80.750580129198184</v>
      </c>
      <c r="GT24" s="1">
        <f t="shared" si="87"/>
        <v>0</v>
      </c>
      <c r="GU24" s="1">
        <f t="shared" si="88"/>
        <v>0</v>
      </c>
      <c r="GV24" s="1">
        <f t="shared" si="89"/>
        <v>4071.75</v>
      </c>
      <c r="GW24" s="37">
        <f t="shared" si="83"/>
        <v>0</v>
      </c>
      <c r="GX24" s="37"/>
      <c r="GY24" s="37"/>
      <c r="GZ24" s="37"/>
      <c r="HB24" s="1">
        <f t="shared" si="90"/>
        <v>0</v>
      </c>
      <c r="HC24" s="1">
        <f t="shared" si="91"/>
        <v>0</v>
      </c>
      <c r="HD24" s="37" t="s">
        <v>2</v>
      </c>
      <c r="HE24" s="1" t="s">
        <v>118</v>
      </c>
      <c r="HF24" s="1" t="s">
        <v>652</v>
      </c>
      <c r="HG24" s="1" t="s">
        <v>653</v>
      </c>
      <c r="HI24" s="1" t="s">
        <v>96</v>
      </c>
      <c r="HJ24" s="37" t="s">
        <v>2</v>
      </c>
      <c r="HK24" s="37" t="s">
        <v>113</v>
      </c>
      <c r="HL24" s="37" t="s">
        <v>223</v>
      </c>
      <c r="HM24" s="37" t="s">
        <v>96</v>
      </c>
      <c r="HN24" s="42">
        <f>SUM(GT286:GT345)</f>
        <v>3863.6189229571423</v>
      </c>
      <c r="HO24" s="42">
        <f>SUM(GU286:GU345)</f>
        <v>8970.5530251571436</v>
      </c>
      <c r="HP24" s="42">
        <f>SUM(GV286:GV345)</f>
        <v>5293.7958182738339</v>
      </c>
      <c r="HQ24" s="42">
        <f>SUM(GO286:GO345)</f>
        <v>4484.0721857142862</v>
      </c>
      <c r="HR24" s="44">
        <f t="shared" si="118"/>
        <v>0.40427466409086016</v>
      </c>
      <c r="HS24" s="44">
        <f>MIN(GP286:GP345)</f>
        <v>0.24468591773202134</v>
      </c>
      <c r="HT24" s="44">
        <f>MAX(GP286:GP345)</f>
        <v>4.9581702512817589</v>
      </c>
      <c r="HU24" s="42">
        <f>SUM(GQ286:GQ345)</f>
        <v>18127.967766388119</v>
      </c>
      <c r="HV24" s="41">
        <f>SUM(GR286:GR345)/SUM(GO286:GO345)</f>
        <v>61.107197940195114</v>
      </c>
      <c r="HW24" s="37">
        <f>COUNT(GQ286:GQ345)</f>
        <v>60</v>
      </c>
      <c r="HX24" s="42">
        <f>SUM(HB286:HB345)</f>
        <v>1030.0179499999999</v>
      </c>
      <c r="HY24" s="42">
        <f>SUM(HC286:HC345)</f>
        <v>3169.4461890000002</v>
      </c>
      <c r="HZ24" s="42">
        <f>SUM(GW286:GW345)</f>
        <v>1228.1365350000001</v>
      </c>
      <c r="IA24" s="44">
        <f t="shared" ref="IA24" si="123">100*(IB24/1000)/HZ24</f>
        <v>0.3419378887706489</v>
      </c>
      <c r="IB24" s="42">
        <f>SUM(GY286:GY345)</f>
        <v>4199.4641390000015</v>
      </c>
      <c r="IC24" s="41">
        <f>SUM(GZ286:GZ345)/SUM(GW286:GW345)</f>
        <v>52.464896969950331</v>
      </c>
      <c r="ID24" s="37">
        <f>COUNT(GY286:GY345)</f>
        <v>15</v>
      </c>
      <c r="IF24" s="13">
        <f t="shared" ref="IF24:IN24" si="124">100*SUM(EI286:EI345)/SUM($EI286:$FA345)</f>
        <v>0.34631287872435496</v>
      </c>
      <c r="IG24" s="19">
        <f t="shared" si="124"/>
        <v>1.9976308448245959E-3</v>
      </c>
      <c r="IH24" s="38">
        <f t="shared" si="124"/>
        <v>0</v>
      </c>
      <c r="II24" s="38">
        <f t="shared" si="124"/>
        <v>0</v>
      </c>
      <c r="IJ24" s="38">
        <f t="shared" si="124"/>
        <v>0</v>
      </c>
      <c r="IK24" s="38">
        <f t="shared" si="124"/>
        <v>0</v>
      </c>
      <c r="IL24" s="38">
        <f t="shared" si="124"/>
        <v>0</v>
      </c>
      <c r="IM24" s="14">
        <f t="shared" si="124"/>
        <v>86.75995829617662</v>
      </c>
      <c r="IN24" s="14">
        <f t="shared" si="124"/>
        <v>9.8201508398274537</v>
      </c>
      <c r="IO24" s="14">
        <f>100*SUM(ER286:EV345)/SUM($EI286:$FA345)</f>
        <v>1.0135711013084845</v>
      </c>
      <c r="IP24" s="38">
        <f>100*SUM(EW286:EW345)/SUM($EI286:$FA345)</f>
        <v>0</v>
      </c>
      <c r="IQ24" s="13">
        <f>100*SUM(EX286:EX345)/SUM($EI286:$FA345)</f>
        <v>2.0580092531182661</v>
      </c>
      <c r="IR24" s="38">
        <f>100*SUM(EZ286:EZ345)/SUM($EI286:$FA345)</f>
        <v>0</v>
      </c>
      <c r="IS24" s="38">
        <f>100*SUM(FA286:FA345)/SUM($EI286:$FA345)</f>
        <v>0</v>
      </c>
      <c r="IT24" s="13">
        <f t="shared" ref="IT24:JB24" si="125">100*SUM(FU286:FU345)/SUM($FU286:$GM345)</f>
        <v>0.19293258277932171</v>
      </c>
      <c r="IU24" s="38">
        <f t="shared" si="125"/>
        <v>0</v>
      </c>
      <c r="IV24" s="38">
        <f t="shared" si="125"/>
        <v>0</v>
      </c>
      <c r="IW24" s="38">
        <f t="shared" si="125"/>
        <v>0</v>
      </c>
      <c r="IX24" s="38">
        <f t="shared" si="125"/>
        <v>0</v>
      </c>
      <c r="IY24" s="38">
        <f t="shared" si="125"/>
        <v>0</v>
      </c>
      <c r="IZ24" s="38">
        <f t="shared" si="125"/>
        <v>0</v>
      </c>
      <c r="JA24" s="14">
        <f t="shared" si="125"/>
        <v>85.469975780313277</v>
      </c>
      <c r="JB24" s="14">
        <f t="shared" si="125"/>
        <v>12.916861412714939</v>
      </c>
      <c r="JC24" s="14">
        <f>100*SUM(GD286:GH345)/SUM($FU286:$GM345)</f>
        <v>1.4202302241924385</v>
      </c>
      <c r="JD24" s="38">
        <f>100*SUM(GI286:GI345)/SUM($FU286:$GM345)</f>
        <v>0</v>
      </c>
      <c r="JE24" s="38">
        <f>100*SUM(GJ286:GJ345)/SUM($FU286:$GM345)</f>
        <v>0</v>
      </c>
      <c r="JF24" s="38">
        <f>100*SUM(GL286:GL345)/SUM($FU286:$GM345)</f>
        <v>0</v>
      </c>
      <c r="JG24" s="38">
        <f>100*SUM(GM286:GM345)/SUM($FU286:$GM345)</f>
        <v>0</v>
      </c>
      <c r="JH24" s="58" t="s">
        <v>2</v>
      </c>
    </row>
    <row r="25" spans="1:268" ht="16.25" customHeight="1" x14ac:dyDescent="0.2">
      <c r="A25" s="16" t="s">
        <v>1018</v>
      </c>
      <c r="B25" s="1" t="s">
        <v>69</v>
      </c>
      <c r="F25" s="1" t="s">
        <v>263</v>
      </c>
      <c r="I25" s="1">
        <v>5.0999999999999996</v>
      </c>
      <c r="Q25" s="1">
        <v>1.56</v>
      </c>
      <c r="AD25" s="1">
        <f>4.3+30.3</f>
        <v>34.6</v>
      </c>
      <c r="AL25" s="13">
        <f>(0.69*4.3+0.96*30.3)/AD25</f>
        <v>0.92644508670520231</v>
      </c>
      <c r="AY25" s="1">
        <v>20.9</v>
      </c>
      <c r="BG25" s="1">
        <v>0.63</v>
      </c>
      <c r="BT25" s="1">
        <v>5.3</v>
      </c>
      <c r="CB25" s="1">
        <v>1.43</v>
      </c>
      <c r="CO25" s="1">
        <v>30.1</v>
      </c>
      <c r="CW25" s="1">
        <v>0.89</v>
      </c>
      <c r="DJ25" s="1" t="s">
        <v>96</v>
      </c>
      <c r="DL25" s="1">
        <f t="shared" si="4"/>
        <v>0.87752475247524742</v>
      </c>
      <c r="DM25" s="1">
        <f t="shared" si="5"/>
        <v>0</v>
      </c>
      <c r="DN25" s="1" t="s">
        <v>185</v>
      </c>
      <c r="DO25" s="1" t="s">
        <v>2</v>
      </c>
      <c r="DP25" s="38">
        <f t="shared" si="6"/>
        <v>0</v>
      </c>
      <c r="DQ25" s="38">
        <f t="shared" si="7"/>
        <v>0</v>
      </c>
      <c r="DR25" s="38">
        <f t="shared" si="8"/>
        <v>0</v>
      </c>
      <c r="DS25" s="38">
        <f t="shared" si="9"/>
        <v>0</v>
      </c>
      <c r="DT25" s="38">
        <f t="shared" si="10"/>
        <v>0</v>
      </c>
      <c r="DU25" s="38">
        <f t="shared" si="11"/>
        <v>0</v>
      </c>
      <c r="DV25" s="38">
        <f t="shared" si="12"/>
        <v>0</v>
      </c>
      <c r="DW25" s="38">
        <f t="shared" si="13"/>
        <v>0.53177999999999992</v>
      </c>
      <c r="DX25" s="38">
        <f t="shared" si="14"/>
        <v>0</v>
      </c>
      <c r="DY25" s="38">
        <f t="shared" si="15"/>
        <v>0</v>
      </c>
      <c r="DZ25" s="38">
        <f t="shared" si="16"/>
        <v>0</v>
      </c>
      <c r="EA25" s="38">
        <f t="shared" si="17"/>
        <v>0</v>
      </c>
      <c r="EB25" s="38">
        <f t="shared" si="18"/>
        <v>0</v>
      </c>
      <c r="EC25" s="38">
        <f t="shared" si="19"/>
        <v>0</v>
      </c>
      <c r="ED25" s="38">
        <f t="shared" si="20"/>
        <v>0</v>
      </c>
      <c r="EE25" s="38">
        <f t="shared" si="21"/>
        <v>0</v>
      </c>
      <c r="EG25" s="38">
        <f t="shared" si="22"/>
        <v>0</v>
      </c>
      <c r="EH25" s="38">
        <f t="shared" si="23"/>
        <v>0</v>
      </c>
      <c r="EI25" s="38">
        <f t="shared" si="24"/>
        <v>0</v>
      </c>
      <c r="EJ25" s="38">
        <f t="shared" si="25"/>
        <v>0</v>
      </c>
      <c r="EK25" s="38">
        <f t="shared" si="26"/>
        <v>0</v>
      </c>
      <c r="EL25" s="38">
        <f t="shared" si="27"/>
        <v>0</v>
      </c>
      <c r="EM25" s="38">
        <f t="shared" si="28"/>
        <v>0</v>
      </c>
      <c r="EN25" s="38">
        <f t="shared" si="29"/>
        <v>0</v>
      </c>
      <c r="EO25" s="38">
        <f t="shared" si="30"/>
        <v>0</v>
      </c>
      <c r="EP25" s="38">
        <f t="shared" si="31"/>
        <v>6973.7629199999992</v>
      </c>
      <c r="EQ25" s="38">
        <f t="shared" si="32"/>
        <v>0</v>
      </c>
      <c r="ER25" s="38">
        <f t="shared" si="33"/>
        <v>0</v>
      </c>
      <c r="ES25" s="38">
        <f t="shared" si="34"/>
        <v>0</v>
      </c>
      <c r="ET25" s="38">
        <f t="shared" si="35"/>
        <v>0</v>
      </c>
      <c r="EU25" s="38">
        <f t="shared" si="36"/>
        <v>0</v>
      </c>
      <c r="EV25" s="38">
        <f t="shared" si="37"/>
        <v>0</v>
      </c>
      <c r="EW25" s="38">
        <f t="shared" si="38"/>
        <v>0</v>
      </c>
      <c r="EX25" s="38">
        <f t="shared" si="39"/>
        <v>0</v>
      </c>
      <c r="EZ25" s="38">
        <f t="shared" si="40"/>
        <v>0</v>
      </c>
      <c r="FA25" s="38">
        <f t="shared" si="41"/>
        <v>0</v>
      </c>
      <c r="FB25" s="1">
        <f t="shared" si="42"/>
        <v>0</v>
      </c>
      <c r="FC25" s="1">
        <f t="shared" si="43"/>
        <v>0</v>
      </c>
      <c r="FD25" s="1">
        <f t="shared" si="44"/>
        <v>0</v>
      </c>
      <c r="FE25" s="1">
        <f t="shared" si="45"/>
        <v>0</v>
      </c>
      <c r="FF25" s="1">
        <f t="shared" si="46"/>
        <v>0</v>
      </c>
      <c r="FG25" s="1">
        <f t="shared" si="47"/>
        <v>0</v>
      </c>
      <c r="FH25" s="1">
        <f t="shared" si="48"/>
        <v>0</v>
      </c>
      <c r="FI25" s="1">
        <f t="shared" si="49"/>
        <v>0.34368000000000004</v>
      </c>
      <c r="FJ25" s="1">
        <f t="shared" si="50"/>
        <v>0</v>
      </c>
      <c r="FK25" s="1">
        <f t="shared" si="51"/>
        <v>0</v>
      </c>
      <c r="FL25" s="1">
        <f t="shared" si="52"/>
        <v>0</v>
      </c>
      <c r="FM25" s="1">
        <f t="shared" si="53"/>
        <v>0</v>
      </c>
      <c r="FN25" s="1">
        <f t="shared" si="54"/>
        <v>0</v>
      </c>
      <c r="FO25" s="1">
        <f t="shared" si="55"/>
        <v>0</v>
      </c>
      <c r="FP25" s="1">
        <f t="shared" si="56"/>
        <v>0</v>
      </c>
      <c r="FQ25" s="1">
        <f t="shared" si="57"/>
        <v>0</v>
      </c>
      <c r="FS25" s="1">
        <f t="shared" si="58"/>
        <v>0</v>
      </c>
      <c r="FT25" s="1">
        <f t="shared" si="59"/>
        <v>0</v>
      </c>
      <c r="FU25" s="38">
        <f t="shared" si="60"/>
        <v>0</v>
      </c>
      <c r="FV25" s="38">
        <f t="shared" si="61"/>
        <v>0</v>
      </c>
      <c r="FW25" s="38">
        <f t="shared" si="62"/>
        <v>0</v>
      </c>
      <c r="FX25" s="38">
        <f t="shared" si="63"/>
        <v>0</v>
      </c>
      <c r="FY25" s="38">
        <f t="shared" si="64"/>
        <v>0</v>
      </c>
      <c r="FZ25" s="38">
        <f t="shared" si="65"/>
        <v>0</v>
      </c>
      <c r="GA25" s="38">
        <f t="shared" si="66"/>
        <v>0</v>
      </c>
      <c r="GB25" s="38">
        <f t="shared" si="67"/>
        <v>4507.0195200000007</v>
      </c>
      <c r="GC25" s="38">
        <f t="shared" si="68"/>
        <v>0</v>
      </c>
      <c r="GD25" s="38">
        <f t="shared" si="69"/>
        <v>0</v>
      </c>
      <c r="GE25" s="38">
        <f t="shared" si="70"/>
        <v>0</v>
      </c>
      <c r="GF25" s="38">
        <f t="shared" si="71"/>
        <v>0</v>
      </c>
      <c r="GG25" s="38">
        <f t="shared" si="72"/>
        <v>0</v>
      </c>
      <c r="GH25" s="38">
        <f t="shared" si="73"/>
        <v>0</v>
      </c>
      <c r="GI25" s="38">
        <f t="shared" si="74"/>
        <v>0</v>
      </c>
      <c r="GJ25" s="38">
        <f t="shared" si="75"/>
        <v>0</v>
      </c>
      <c r="GL25" s="38">
        <f t="shared" si="76"/>
        <v>0</v>
      </c>
      <c r="GM25" s="38">
        <f t="shared" si="77"/>
        <v>0</v>
      </c>
      <c r="GN25" s="1" t="s">
        <v>2</v>
      </c>
      <c r="GO25" s="1">
        <f t="shared" si="78"/>
        <v>60.6</v>
      </c>
      <c r="GP25" s="13">
        <f t="shared" si="79"/>
        <v>0.87752475247524742</v>
      </c>
      <c r="GQ25" s="41">
        <f t="shared" si="80"/>
        <v>531.78</v>
      </c>
      <c r="GR25" s="41">
        <f t="shared" si="81"/>
        <v>6973.7629199999992</v>
      </c>
      <c r="GS25" s="14">
        <f t="shared" si="82"/>
        <v>115.07859603960395</v>
      </c>
      <c r="GT25" s="1">
        <f t="shared" si="87"/>
        <v>79.559999999999988</v>
      </c>
      <c r="GU25" s="1">
        <f t="shared" si="88"/>
        <v>320.55</v>
      </c>
      <c r="GV25" s="1">
        <f t="shared" si="89"/>
        <v>131.66999999999999</v>
      </c>
      <c r="GW25" s="37">
        <f t="shared" si="83"/>
        <v>35.4</v>
      </c>
      <c r="GX25" s="44">
        <f>(BT25*CB25+CO25*CW25)/GW25</f>
        <v>0.97084745762711877</v>
      </c>
      <c r="GY25" s="41">
        <f>1000*GW25*GX25/100</f>
        <v>343.68000000000006</v>
      </c>
      <c r="GZ25" s="41">
        <f>SUM(FU25:GM25)</f>
        <v>4507.0195200000007</v>
      </c>
      <c r="HA25" s="14">
        <f>GZ25/GW25</f>
        <v>127.31693559322036</v>
      </c>
      <c r="HB25" s="1">
        <f t="shared" si="90"/>
        <v>75.790000000000006</v>
      </c>
      <c r="HC25" s="1">
        <f t="shared" si="91"/>
        <v>267.89</v>
      </c>
      <c r="HD25" s="37" t="s">
        <v>2</v>
      </c>
      <c r="HE25" s="1" t="s">
        <v>118</v>
      </c>
      <c r="HF25" s="1" t="s">
        <v>176</v>
      </c>
      <c r="HG25" s="1" t="s">
        <v>1019</v>
      </c>
      <c r="HI25" s="1" t="s">
        <v>96</v>
      </c>
      <c r="HJ25" s="37" t="s">
        <v>2</v>
      </c>
      <c r="HK25" s="37" t="s">
        <v>113</v>
      </c>
      <c r="HL25" s="37" t="s">
        <v>223</v>
      </c>
      <c r="HM25" s="37" t="s">
        <v>163</v>
      </c>
      <c r="HN25" s="45">
        <f>SUM(GT346:GT356)</f>
        <v>0</v>
      </c>
      <c r="HO25" s="45">
        <f>SUM(GU346:GU356)</f>
        <v>0</v>
      </c>
      <c r="HP25" s="42">
        <f>SUM(GV346:GV356)</f>
        <v>4716.0392000000002</v>
      </c>
      <c r="HQ25" s="42">
        <f>SUM(GO346:GO356)</f>
        <v>1165.896</v>
      </c>
      <c r="HR25" s="44">
        <f t="shared" si="118"/>
        <v>0.40449913199805132</v>
      </c>
      <c r="HS25" s="44">
        <f>MIN(GP346:GP356)</f>
        <v>0.34</v>
      </c>
      <c r="HT25" s="44">
        <f>MAX(GP346:GP356)</f>
        <v>0.92</v>
      </c>
      <c r="HU25" s="42">
        <f>SUM(GQ346:GQ356)</f>
        <v>4716.0392000000002</v>
      </c>
      <c r="HV25" s="41">
        <f>SUM(GR346:GR356)/SUM(GO346:GO356)</f>
        <v>53.304497567072879</v>
      </c>
      <c r="HW25" s="37">
        <f>COUNT(GQ346:GQ356)</f>
        <v>11</v>
      </c>
      <c r="HX25" s="45">
        <f>SUM(HB346:HB356)</f>
        <v>0</v>
      </c>
      <c r="HY25" s="45">
        <f>SUM(HC346:HC356)</f>
        <v>0</v>
      </c>
      <c r="HZ25" s="37" t="s">
        <v>1318</v>
      </c>
      <c r="IA25" s="37" t="s">
        <v>1318</v>
      </c>
      <c r="IB25" s="37" t="s">
        <v>1318</v>
      </c>
      <c r="IC25" s="37" t="s">
        <v>1318</v>
      </c>
      <c r="ID25" s="37">
        <f>COUNT(GY346:GY356)</f>
        <v>0</v>
      </c>
      <c r="IF25" s="13">
        <f t="shared" ref="IF25:IN25" si="126">100*SUM(EI346:EI356)/SUM($EI346:$FA356)</f>
        <v>0.47502935031404236</v>
      </c>
      <c r="IG25" s="1">
        <f t="shared" si="126"/>
        <v>0</v>
      </c>
      <c r="IH25" s="1">
        <f t="shared" si="126"/>
        <v>0</v>
      </c>
      <c r="II25" s="1">
        <f t="shared" si="126"/>
        <v>0</v>
      </c>
      <c r="IJ25" s="1">
        <f t="shared" si="126"/>
        <v>0</v>
      </c>
      <c r="IK25" s="1">
        <f t="shared" si="126"/>
        <v>0</v>
      </c>
      <c r="IL25" s="19">
        <f t="shared" si="126"/>
        <v>9.8854479601296254E-3</v>
      </c>
      <c r="IM25" s="14">
        <f t="shared" si="126"/>
        <v>99.515085201725839</v>
      </c>
      <c r="IN25" s="1">
        <f t="shared" si="126"/>
        <v>0</v>
      </c>
      <c r="IO25" s="1">
        <f>100*SUM(ER346:EV356)/SUM($EI346:$FA356)</f>
        <v>0</v>
      </c>
      <c r="IP25" s="1">
        <f>100*SUM(EW346:EW356)/SUM($EI346:$FA356)</f>
        <v>0</v>
      </c>
      <c r="IQ25" s="1">
        <f>100*SUM(EX346:EX356)/SUM($EI346:$FA356)</f>
        <v>0</v>
      </c>
      <c r="IR25" s="1">
        <f>100*SUM(EZ346:EZ356)/SUM($EI346:$FA356)</f>
        <v>0</v>
      </c>
      <c r="IS25" s="1">
        <f>100*SUM(FA346:FA356)/SUM($EI346:$FA356)</f>
        <v>0</v>
      </c>
      <c r="JH25" s="58" t="s">
        <v>2</v>
      </c>
    </row>
    <row r="26" spans="1:268" ht="16.25" customHeight="1" x14ac:dyDescent="0.2">
      <c r="A26" s="16" t="s">
        <v>1023</v>
      </c>
      <c r="B26" s="1" t="s">
        <v>69</v>
      </c>
      <c r="D26" s="26"/>
      <c r="F26" s="1" t="s">
        <v>131</v>
      </c>
      <c r="I26" s="1">
        <v>0</v>
      </c>
      <c r="AD26" s="14">
        <f>43.656+78.218+9.196906</f>
        <v>131.07090600000001</v>
      </c>
      <c r="AE26" s="2">
        <f>(0.099*43.656+0.012*78.218+0.067*9.196906)/AD26</f>
        <v>4.4836439156070225E-2</v>
      </c>
      <c r="AL26" s="2">
        <f>(0.011*43.656+0.019*78.218+0.05*9.196906)/AD26</f>
        <v>1.8510616688649423E-2</v>
      </c>
      <c r="AM26" s="2">
        <f>(0.055*43.656+0.043*78.218+0.165*9.196906)/AD26</f>
        <v>5.5557283551545752E-2</v>
      </c>
      <c r="AY26" s="13">
        <v>54.712288999999998</v>
      </c>
      <c r="AZ26" s="2">
        <v>0.03</v>
      </c>
      <c r="BG26" s="1">
        <v>2.4E-2</v>
      </c>
      <c r="BH26" s="1">
        <v>6.6000000000000003E-2</v>
      </c>
      <c r="BT26" s="1">
        <v>0</v>
      </c>
      <c r="CO26" s="1">
        <v>0</v>
      </c>
      <c r="DJ26" s="1" t="s">
        <v>96</v>
      </c>
      <c r="DK26" s="1" t="s">
        <v>96</v>
      </c>
      <c r="DL26" s="1">
        <f t="shared" si="4"/>
        <v>2.0127214606251116E-2</v>
      </c>
      <c r="DM26" s="1">
        <f t="shared" si="5"/>
        <v>5.863261509739888E-2</v>
      </c>
      <c r="DN26" s="1" t="s">
        <v>1024</v>
      </c>
      <c r="DO26" s="1" t="s">
        <v>2</v>
      </c>
      <c r="DP26" s="38">
        <f t="shared" si="6"/>
        <v>7.5181213720000001E-2</v>
      </c>
      <c r="DQ26" s="38">
        <f t="shared" si="7"/>
        <v>0</v>
      </c>
      <c r="DR26" s="38">
        <f t="shared" si="8"/>
        <v>0</v>
      </c>
      <c r="DS26" s="38">
        <f t="shared" si="9"/>
        <v>0</v>
      </c>
      <c r="DT26" s="38">
        <f t="shared" si="10"/>
        <v>0</v>
      </c>
      <c r="DU26" s="38">
        <f t="shared" si="11"/>
        <v>0</v>
      </c>
      <c r="DV26" s="38">
        <f t="shared" si="12"/>
        <v>0</v>
      </c>
      <c r="DW26" s="38">
        <f t="shared" si="13"/>
        <v>3.739298236E-2</v>
      </c>
      <c r="DX26" s="38">
        <f t="shared" si="14"/>
        <v>0.10892954564</v>
      </c>
      <c r="DY26" s="38">
        <f t="shared" si="15"/>
        <v>0</v>
      </c>
      <c r="DZ26" s="38">
        <f t="shared" si="16"/>
        <v>0</v>
      </c>
      <c r="EA26" s="38">
        <f t="shared" si="17"/>
        <v>0</v>
      </c>
      <c r="EB26" s="38">
        <f t="shared" si="18"/>
        <v>0</v>
      </c>
      <c r="EC26" s="38">
        <f t="shared" si="19"/>
        <v>0</v>
      </c>
      <c r="ED26" s="38">
        <f t="shared" si="20"/>
        <v>0</v>
      </c>
      <c r="EE26" s="38">
        <f t="shared" si="21"/>
        <v>0</v>
      </c>
      <c r="EG26" s="38">
        <f t="shared" si="22"/>
        <v>0</v>
      </c>
      <c r="EH26" s="38">
        <f t="shared" si="23"/>
        <v>0</v>
      </c>
      <c r="EI26" s="38">
        <f t="shared" si="24"/>
        <v>490.60373115065153</v>
      </c>
      <c r="EJ26" s="38">
        <f t="shared" si="25"/>
        <v>0</v>
      </c>
      <c r="EK26" s="38">
        <f t="shared" si="26"/>
        <v>0</v>
      </c>
      <c r="EL26" s="38">
        <f t="shared" si="27"/>
        <v>0</v>
      </c>
      <c r="EM26" s="38">
        <f t="shared" si="28"/>
        <v>0</v>
      </c>
      <c r="EN26" s="38">
        <f t="shared" si="29"/>
        <v>0</v>
      </c>
      <c r="EO26" s="38">
        <f t="shared" si="30"/>
        <v>0</v>
      </c>
      <c r="EP26" s="38">
        <f t="shared" si="31"/>
        <v>490.37157066904001</v>
      </c>
      <c r="EQ26" s="38">
        <f t="shared" si="32"/>
        <v>7910.4117539130739</v>
      </c>
      <c r="ER26" s="38">
        <f t="shared" si="33"/>
        <v>0</v>
      </c>
      <c r="ES26" s="38">
        <f t="shared" si="34"/>
        <v>0</v>
      </c>
      <c r="ET26" s="38">
        <f t="shared" si="35"/>
        <v>0</v>
      </c>
      <c r="EU26" s="38">
        <f t="shared" si="36"/>
        <v>0</v>
      </c>
      <c r="EV26" s="38">
        <f t="shared" si="37"/>
        <v>0</v>
      </c>
      <c r="EW26" s="38">
        <f t="shared" si="38"/>
        <v>0</v>
      </c>
      <c r="EX26" s="38">
        <f t="shared" si="39"/>
        <v>0</v>
      </c>
      <c r="EZ26" s="38">
        <f t="shared" si="40"/>
        <v>0</v>
      </c>
      <c r="FA26" s="38">
        <f t="shared" si="41"/>
        <v>0</v>
      </c>
      <c r="FB26" s="1">
        <f t="shared" si="42"/>
        <v>0</v>
      </c>
      <c r="FC26" s="1">
        <f t="shared" si="43"/>
        <v>0</v>
      </c>
      <c r="FD26" s="1">
        <f t="shared" si="44"/>
        <v>0</v>
      </c>
      <c r="FE26" s="1">
        <f t="shared" si="45"/>
        <v>0</v>
      </c>
      <c r="FF26" s="1">
        <f t="shared" si="46"/>
        <v>0</v>
      </c>
      <c r="FG26" s="1">
        <f t="shared" si="47"/>
        <v>0</v>
      </c>
      <c r="FH26" s="1">
        <f t="shared" si="48"/>
        <v>0</v>
      </c>
      <c r="FI26" s="1">
        <f t="shared" si="49"/>
        <v>0</v>
      </c>
      <c r="FJ26" s="1">
        <f t="shared" si="50"/>
        <v>0</v>
      </c>
      <c r="FK26" s="1">
        <f t="shared" si="51"/>
        <v>0</v>
      </c>
      <c r="FL26" s="1">
        <f t="shared" si="52"/>
        <v>0</v>
      </c>
      <c r="FM26" s="1">
        <f t="shared" si="53"/>
        <v>0</v>
      </c>
      <c r="FN26" s="1">
        <f t="shared" si="54"/>
        <v>0</v>
      </c>
      <c r="FO26" s="1">
        <f t="shared" si="55"/>
        <v>0</v>
      </c>
      <c r="FP26" s="1">
        <f t="shared" si="56"/>
        <v>0</v>
      </c>
      <c r="FQ26" s="1">
        <f t="shared" si="57"/>
        <v>0</v>
      </c>
      <c r="FS26" s="1">
        <f t="shared" si="58"/>
        <v>0</v>
      </c>
      <c r="FT26" s="1">
        <f t="shared" si="59"/>
        <v>0</v>
      </c>
      <c r="FU26" s="38">
        <f t="shared" si="60"/>
        <v>0</v>
      </c>
      <c r="FV26" s="38">
        <f t="shared" si="61"/>
        <v>0</v>
      </c>
      <c r="FW26" s="38">
        <f t="shared" si="62"/>
        <v>0</v>
      </c>
      <c r="FX26" s="38">
        <f t="shared" si="63"/>
        <v>0</v>
      </c>
      <c r="FY26" s="38">
        <f t="shared" si="64"/>
        <v>0</v>
      </c>
      <c r="FZ26" s="38">
        <f t="shared" si="65"/>
        <v>0</v>
      </c>
      <c r="GA26" s="38">
        <f t="shared" si="66"/>
        <v>0</v>
      </c>
      <c r="GB26" s="38">
        <f t="shared" si="67"/>
        <v>0</v>
      </c>
      <c r="GC26" s="38">
        <f t="shared" si="68"/>
        <v>0</v>
      </c>
      <c r="GD26" s="38">
        <f t="shared" si="69"/>
        <v>0</v>
      </c>
      <c r="GE26" s="38">
        <f t="shared" si="70"/>
        <v>0</v>
      </c>
      <c r="GF26" s="38">
        <f t="shared" si="71"/>
        <v>0</v>
      </c>
      <c r="GG26" s="38">
        <f t="shared" si="72"/>
        <v>0</v>
      </c>
      <c r="GH26" s="38">
        <f t="shared" si="73"/>
        <v>0</v>
      </c>
      <c r="GI26" s="38">
        <f t="shared" si="74"/>
        <v>0</v>
      </c>
      <c r="GJ26" s="38">
        <f t="shared" si="75"/>
        <v>0</v>
      </c>
      <c r="GL26" s="38">
        <f t="shared" si="76"/>
        <v>0</v>
      </c>
      <c r="GM26" s="38">
        <f t="shared" si="77"/>
        <v>0</v>
      </c>
      <c r="GN26" s="1" t="s">
        <v>2</v>
      </c>
      <c r="GO26" s="14">
        <f t="shared" si="78"/>
        <v>185.78319500000001</v>
      </c>
      <c r="GP26" s="2">
        <f t="shared" si="79"/>
        <v>2.0127214606251116E-2</v>
      </c>
      <c r="GQ26" s="41">
        <f t="shared" si="80"/>
        <v>37.392982359999998</v>
      </c>
      <c r="GR26" s="41">
        <f t="shared" si="81"/>
        <v>8891.3870557327646</v>
      </c>
      <c r="GS26" s="14">
        <f t="shared" si="82"/>
        <v>47.858941470636054</v>
      </c>
      <c r="GT26" s="1">
        <f t="shared" si="87"/>
        <v>0</v>
      </c>
      <c r="GU26" s="1">
        <f t="shared" si="88"/>
        <v>24.262033000000002</v>
      </c>
      <c r="GV26" s="1">
        <f t="shared" si="89"/>
        <v>13.130949359999999</v>
      </c>
      <c r="GW26" s="37">
        <f t="shared" si="83"/>
        <v>0</v>
      </c>
      <c r="GX26" s="37"/>
      <c r="GY26" s="37"/>
      <c r="GZ26" s="37"/>
      <c r="HB26" s="1">
        <f t="shared" si="90"/>
        <v>0</v>
      </c>
      <c r="HC26" s="1">
        <f t="shared" si="91"/>
        <v>0</v>
      </c>
      <c r="HD26" s="37" t="s">
        <v>2</v>
      </c>
      <c r="HE26" s="1" t="s">
        <v>118</v>
      </c>
      <c r="HF26" s="1" t="s">
        <v>176</v>
      </c>
      <c r="HG26" s="1" t="s">
        <v>1025</v>
      </c>
      <c r="HI26" s="1" t="s">
        <v>96</v>
      </c>
      <c r="HJ26" s="37" t="s">
        <v>2</v>
      </c>
      <c r="HK26" s="37" t="s">
        <v>113</v>
      </c>
      <c r="HL26" s="37" t="s">
        <v>671</v>
      </c>
      <c r="HM26" s="37" t="s">
        <v>96</v>
      </c>
      <c r="HN26" s="41">
        <f>SUM(GT357:GT368)</f>
        <v>436.67399999999992</v>
      </c>
      <c r="HO26" s="42">
        <f>SUM(GU357:GU368)</f>
        <v>1232.4191493999995</v>
      </c>
      <c r="HP26" s="41">
        <f>SUM(GV357:GV368)</f>
        <v>775.95460000000003</v>
      </c>
      <c r="HQ26" s="41">
        <f>SUM(GO357:GO368)</f>
        <v>224.22496000000001</v>
      </c>
      <c r="HR26" s="44">
        <f t="shared" si="118"/>
        <v>1.0904440564511637</v>
      </c>
      <c r="HS26" s="44">
        <f>MIN(GP357:GP368)</f>
        <v>0.31970235634559735</v>
      </c>
      <c r="HT26" s="44">
        <f>MAX(GP357:GP368)</f>
        <v>2.5</v>
      </c>
      <c r="HU26" s="42">
        <f>SUM(GQ357:GQ368)</f>
        <v>2445.0477493999997</v>
      </c>
      <c r="HV26" s="41">
        <f>SUM(GR357:GR368)/SUM(GO357:GO368)</f>
        <v>312.28582464133638</v>
      </c>
      <c r="HW26" s="37">
        <f>COUNT(GQ357:GQ368)</f>
        <v>12</v>
      </c>
      <c r="HX26" s="41">
        <f>SUM(HB357:HB368)</f>
        <v>433.16714939999991</v>
      </c>
      <c r="HY26" s="41">
        <f>SUM(HC357:HC368)</f>
        <v>827.77800000000002</v>
      </c>
      <c r="HZ26" s="41">
        <f>SUM(GW357:GW368)</f>
        <v>83.230959999999996</v>
      </c>
      <c r="IA26" s="44">
        <f t="shared" ref="IA26" si="127">100*(IB26/1000)/HZ26</f>
        <v>1.5149953207316125</v>
      </c>
      <c r="IB26" s="42">
        <f>SUM(GY357:GY368)</f>
        <v>1260.9451494</v>
      </c>
      <c r="IC26" s="41">
        <f>SUM(GZ357:GZ368)/SUM(GW357:GW368)</f>
        <v>409.58251330735072</v>
      </c>
      <c r="ID26" s="37">
        <f>COUNT(GY357:GY368)</f>
        <v>3</v>
      </c>
      <c r="IF26" s="14">
        <f t="shared" ref="IF26:IN26" si="128">100*SUM(EI357:EI368)/SUM($EI357:$FA368)</f>
        <v>28.047226210005512</v>
      </c>
      <c r="IG26" s="14">
        <f t="shared" si="128"/>
        <v>2.6807002932434867</v>
      </c>
      <c r="IH26" s="13">
        <f t="shared" si="128"/>
        <v>0.1408281992324415</v>
      </c>
      <c r="II26" s="38">
        <f t="shared" si="128"/>
        <v>0</v>
      </c>
      <c r="IJ26" s="38">
        <f t="shared" si="128"/>
        <v>0</v>
      </c>
      <c r="IK26" s="38">
        <f t="shared" si="128"/>
        <v>0</v>
      </c>
      <c r="IL26" s="38">
        <f t="shared" si="128"/>
        <v>0</v>
      </c>
      <c r="IM26" s="14">
        <f t="shared" si="128"/>
        <v>45.791650558344635</v>
      </c>
      <c r="IN26" s="14">
        <f t="shared" si="128"/>
        <v>5.9503051793076587</v>
      </c>
      <c r="IO26" s="14">
        <f>100*SUM(ER357:EV368)/SUM($EI357:$FA368)</f>
        <v>17.389289559866263</v>
      </c>
      <c r="IP26" s="38">
        <f>100*SUM(EW357:EW368)/SUM($EI357:$FA368)</f>
        <v>0</v>
      </c>
      <c r="IQ26" s="38">
        <f>100*SUM(EX357:EX368)/SUM($EI357:$FA368)</f>
        <v>0</v>
      </c>
      <c r="IR26" s="38">
        <f>100*SUM(EZ357:EZ368)/SUM($EI357:$FA368)</f>
        <v>0</v>
      </c>
      <c r="IS26" s="38">
        <f>100*SUM(FA357:FA368)/SUM($EI357:$FA368)</f>
        <v>0</v>
      </c>
      <c r="IT26" s="14">
        <f t="shared" ref="IT26:JB26" si="129">100*SUM(FU357:FU368)/SUM($FU357:$GM368)</f>
        <v>25.279915746107537</v>
      </c>
      <c r="IU26" s="14">
        <f t="shared" si="129"/>
        <v>3.4625554622428258</v>
      </c>
      <c r="IV26" s="38">
        <f t="shared" si="129"/>
        <v>0</v>
      </c>
      <c r="IW26" s="38">
        <f t="shared" si="129"/>
        <v>0</v>
      </c>
      <c r="IX26" s="38">
        <f t="shared" si="129"/>
        <v>0</v>
      </c>
      <c r="IY26" s="38">
        <f t="shared" si="129"/>
        <v>0</v>
      </c>
      <c r="IZ26" s="38">
        <f t="shared" si="129"/>
        <v>0</v>
      </c>
      <c r="JA26" s="14">
        <f t="shared" si="129"/>
        <v>48.507072422707836</v>
      </c>
      <c r="JB26" s="14">
        <f t="shared" si="129"/>
        <v>5.6213857038984747</v>
      </c>
      <c r="JC26" s="14">
        <f>100*SUM(GD357:GH368)/SUM($FU357:$GM368)</f>
        <v>17.129070665043294</v>
      </c>
      <c r="JD26" s="38">
        <f>100*SUM(GI357:GI368)/SUM($FU357:$GM368)</f>
        <v>0</v>
      </c>
      <c r="JE26" s="38">
        <f>100*SUM(GJ357:GJ368)/SUM($FU357:$GM368)</f>
        <v>0</v>
      </c>
      <c r="JF26" s="38">
        <f>100*SUM(GL357:GL368)/SUM($FU357:$GM368)</f>
        <v>0</v>
      </c>
      <c r="JG26" s="38">
        <f>100*SUM(GM357:GM368)/SUM($FU357:$GM368)</f>
        <v>0</v>
      </c>
      <c r="JH26" s="58" t="s">
        <v>2</v>
      </c>
    </row>
    <row r="27" spans="1:268" ht="16.25" customHeight="1" x14ac:dyDescent="0.2">
      <c r="A27" s="16" t="s">
        <v>648</v>
      </c>
      <c r="B27" s="1" t="s">
        <v>69</v>
      </c>
      <c r="F27" s="1" t="s">
        <v>649</v>
      </c>
      <c r="I27" s="1">
        <v>0</v>
      </c>
      <c r="AD27" s="14">
        <f>271.934</f>
        <v>271.93400000000003</v>
      </c>
      <c r="AE27" s="2">
        <v>4.1599999999999996E-3</v>
      </c>
      <c r="AH27" s="2">
        <f>0.00109/1.179</f>
        <v>9.2451229855810006E-4</v>
      </c>
      <c r="AI27" s="2">
        <f>0.0027*(95.94/(95.94+3*16.001))</f>
        <v>1.7995873366540927E-3</v>
      </c>
      <c r="AK27" s="2">
        <v>1.7479999999999999E-2</v>
      </c>
      <c r="AL27" s="2">
        <v>7.0299999999999998E-3</v>
      </c>
      <c r="AM27" s="2">
        <v>1.65E-3</v>
      </c>
      <c r="AY27" s="4">
        <f>4440.112+496.968</f>
        <v>4937.08</v>
      </c>
      <c r="AZ27" s="2">
        <f>(0.00402*4440.112+0.00472*496.968)/AY27</f>
        <v>4.0904622165328494E-3</v>
      </c>
      <c r="BC27" s="2">
        <f>((0.00107*4440.112+0.00118*496.968)/AY27)/1.179</f>
        <v>9.1694031724053483E-4</v>
      </c>
      <c r="BD27" s="2">
        <f>((0.0023*4440.112+0.00259*496.968)/AY27)*(95.94/(95.94+3*16.001))</f>
        <v>1.5524383368586063E-3</v>
      </c>
      <c r="BF27" s="2">
        <f>(0.01696*4440.112+0.01847*496.968)/AY27</f>
        <v>1.711199706709229E-2</v>
      </c>
      <c r="BG27" s="2">
        <f>(0.00674*4440.112+0.00713*496.968)/AY27</f>
        <v>6.7792575206397305E-3</v>
      </c>
      <c r="BH27" s="2">
        <f>(0.00153*4440.112+0.00152*496.968)/AY27</f>
        <v>1.5289933969066735E-3</v>
      </c>
      <c r="BT27" s="1">
        <v>0</v>
      </c>
      <c r="CO27" s="1">
        <v>0</v>
      </c>
      <c r="DJ27" s="1" t="s">
        <v>96</v>
      </c>
      <c r="DK27" s="1" t="s">
        <v>96</v>
      </c>
      <c r="DL27" s="1">
        <f t="shared" si="4"/>
        <v>6.792347407781972E-3</v>
      </c>
      <c r="DM27" s="1">
        <f t="shared" si="5"/>
        <v>1.5353104867831032E-3</v>
      </c>
      <c r="DN27" s="1" t="s">
        <v>650</v>
      </c>
      <c r="DO27" s="1" t="s">
        <v>2</v>
      </c>
      <c r="DP27" s="38">
        <f t="shared" si="6"/>
        <v>0.21326184640000001</v>
      </c>
      <c r="DQ27" s="38">
        <f t="shared" si="7"/>
        <v>0</v>
      </c>
      <c r="DR27" s="38">
        <f t="shared" si="8"/>
        <v>0</v>
      </c>
      <c r="DS27" s="38">
        <f t="shared" si="9"/>
        <v>4.7784140288379975E-2</v>
      </c>
      <c r="DT27" s="38">
        <f t="shared" si="10"/>
        <v>8.1538812469435826E-2</v>
      </c>
      <c r="DU27" s="38">
        <f t="shared" si="11"/>
        <v>0</v>
      </c>
      <c r="DV27" s="38">
        <f t="shared" si="12"/>
        <v>0.892367048</v>
      </c>
      <c r="DW27" s="38">
        <f t="shared" si="13"/>
        <v>0.35381432740000002</v>
      </c>
      <c r="DX27" s="38">
        <f t="shared" si="14"/>
        <v>7.99745382E-2</v>
      </c>
      <c r="DY27" s="38">
        <f t="shared" si="15"/>
        <v>0</v>
      </c>
      <c r="DZ27" s="38">
        <f t="shared" si="16"/>
        <v>0</v>
      </c>
      <c r="EA27" s="38">
        <f t="shared" si="17"/>
        <v>0</v>
      </c>
      <c r="EB27" s="38">
        <f t="shared" si="18"/>
        <v>0</v>
      </c>
      <c r="EC27" s="38">
        <f t="shared" si="19"/>
        <v>0</v>
      </c>
      <c r="ED27" s="38">
        <f t="shared" si="20"/>
        <v>0</v>
      </c>
      <c r="EE27" s="38">
        <f t="shared" si="21"/>
        <v>0</v>
      </c>
      <c r="EG27" s="38">
        <f t="shared" si="22"/>
        <v>0</v>
      </c>
      <c r="EH27" s="38">
        <f t="shared" si="23"/>
        <v>0</v>
      </c>
      <c r="EI27" s="38">
        <f t="shared" si="24"/>
        <v>1391.6649170573824</v>
      </c>
      <c r="EJ27" s="38">
        <f t="shared" si="25"/>
        <v>0</v>
      </c>
      <c r="EK27" s="38">
        <f t="shared" si="26"/>
        <v>0</v>
      </c>
      <c r="EL27" s="38">
        <f t="shared" si="27"/>
        <v>3156.1977893324165</v>
      </c>
      <c r="EM27" s="38">
        <f t="shared" si="28"/>
        <v>2204.8094891735445</v>
      </c>
      <c r="EN27" s="38">
        <f t="shared" si="29"/>
        <v>0</v>
      </c>
      <c r="EO27" s="38">
        <f t="shared" si="30"/>
        <v>2610.6235468656014</v>
      </c>
      <c r="EP27" s="38">
        <f t="shared" si="31"/>
        <v>4639.9210895236001</v>
      </c>
      <c r="EQ27" s="38">
        <f t="shared" si="32"/>
        <v>5807.7128962038159</v>
      </c>
      <c r="ER27" s="38">
        <f t="shared" si="33"/>
        <v>0</v>
      </c>
      <c r="ES27" s="38">
        <f t="shared" si="34"/>
        <v>0</v>
      </c>
      <c r="ET27" s="38">
        <f t="shared" si="35"/>
        <v>0</v>
      </c>
      <c r="EU27" s="38">
        <f t="shared" si="36"/>
        <v>0</v>
      </c>
      <c r="EV27" s="38">
        <f t="shared" si="37"/>
        <v>0</v>
      </c>
      <c r="EW27" s="38">
        <f t="shared" si="38"/>
        <v>0</v>
      </c>
      <c r="EX27" s="38">
        <f t="shared" si="39"/>
        <v>0</v>
      </c>
      <c r="EZ27" s="38">
        <f t="shared" si="40"/>
        <v>0</v>
      </c>
      <c r="FA27" s="38">
        <f t="shared" si="41"/>
        <v>0</v>
      </c>
      <c r="FB27" s="1">
        <f t="shared" si="42"/>
        <v>0</v>
      </c>
      <c r="FC27" s="1">
        <f t="shared" si="43"/>
        <v>0</v>
      </c>
      <c r="FD27" s="1">
        <f t="shared" si="44"/>
        <v>0</v>
      </c>
      <c r="FE27" s="1">
        <f t="shared" si="45"/>
        <v>0</v>
      </c>
      <c r="FF27" s="1">
        <f t="shared" si="46"/>
        <v>0</v>
      </c>
      <c r="FG27" s="1">
        <f t="shared" si="47"/>
        <v>0</v>
      </c>
      <c r="FH27" s="1">
        <f t="shared" si="48"/>
        <v>0</v>
      </c>
      <c r="FI27" s="1">
        <f t="shared" si="49"/>
        <v>0</v>
      </c>
      <c r="FJ27" s="1">
        <f t="shared" si="50"/>
        <v>0</v>
      </c>
      <c r="FK27" s="1">
        <f t="shared" si="51"/>
        <v>0</v>
      </c>
      <c r="FL27" s="1">
        <f t="shared" si="52"/>
        <v>0</v>
      </c>
      <c r="FM27" s="1">
        <f t="shared" si="53"/>
        <v>0</v>
      </c>
      <c r="FN27" s="1">
        <f t="shared" si="54"/>
        <v>0</v>
      </c>
      <c r="FO27" s="1">
        <f t="shared" si="55"/>
        <v>0</v>
      </c>
      <c r="FP27" s="1">
        <f t="shared" si="56"/>
        <v>0</v>
      </c>
      <c r="FQ27" s="1">
        <f t="shared" si="57"/>
        <v>0</v>
      </c>
      <c r="FS27" s="1">
        <f t="shared" si="58"/>
        <v>0</v>
      </c>
      <c r="FT27" s="1">
        <f t="shared" si="59"/>
        <v>0</v>
      </c>
      <c r="FU27" s="38">
        <f t="shared" si="60"/>
        <v>0</v>
      </c>
      <c r="FV27" s="38">
        <f t="shared" si="61"/>
        <v>0</v>
      </c>
      <c r="FW27" s="38">
        <f t="shared" si="62"/>
        <v>0</v>
      </c>
      <c r="FX27" s="38">
        <f t="shared" si="63"/>
        <v>0</v>
      </c>
      <c r="FY27" s="38">
        <f t="shared" si="64"/>
        <v>0</v>
      </c>
      <c r="FZ27" s="38">
        <f t="shared" si="65"/>
        <v>0</v>
      </c>
      <c r="GA27" s="38">
        <f t="shared" si="66"/>
        <v>0</v>
      </c>
      <c r="GB27" s="38">
        <f t="shared" si="67"/>
        <v>0</v>
      </c>
      <c r="GC27" s="38">
        <f t="shared" si="68"/>
        <v>0</v>
      </c>
      <c r="GD27" s="38">
        <f t="shared" si="69"/>
        <v>0</v>
      </c>
      <c r="GE27" s="38">
        <f t="shared" si="70"/>
        <v>0</v>
      </c>
      <c r="GF27" s="38">
        <f t="shared" si="71"/>
        <v>0</v>
      </c>
      <c r="GG27" s="38">
        <f t="shared" si="72"/>
        <v>0</v>
      </c>
      <c r="GH27" s="38">
        <f t="shared" si="73"/>
        <v>0</v>
      </c>
      <c r="GI27" s="38">
        <f t="shared" si="74"/>
        <v>0</v>
      </c>
      <c r="GJ27" s="38">
        <f t="shared" si="75"/>
        <v>0</v>
      </c>
      <c r="GL27" s="38">
        <f t="shared" si="76"/>
        <v>0</v>
      </c>
      <c r="GM27" s="38">
        <f t="shared" si="77"/>
        <v>0</v>
      </c>
      <c r="GN27" s="1" t="s">
        <v>2</v>
      </c>
      <c r="GO27" s="4">
        <f t="shared" si="78"/>
        <v>5209.0140000000001</v>
      </c>
      <c r="GP27" s="19">
        <f t="shared" si="79"/>
        <v>6.792347407781972E-3</v>
      </c>
      <c r="GQ27" s="41">
        <f t="shared" si="80"/>
        <v>353.81432740000002</v>
      </c>
      <c r="GR27" s="41">
        <f t="shared" si="81"/>
        <v>19810.929728156359</v>
      </c>
      <c r="GS27" s="14">
        <f t="shared" si="82"/>
        <v>3.8032014750116545</v>
      </c>
      <c r="GT27" s="1">
        <f t="shared" si="87"/>
        <v>0</v>
      </c>
      <c r="GU27" s="1">
        <f t="shared" si="88"/>
        <v>19.116960200000001</v>
      </c>
      <c r="GV27" s="1">
        <f t="shared" si="89"/>
        <v>334.69736720000003</v>
      </c>
      <c r="GW27" s="37">
        <f t="shared" si="83"/>
        <v>0</v>
      </c>
      <c r="GX27" s="37"/>
      <c r="GY27" s="37"/>
      <c r="GZ27" s="37"/>
      <c r="HB27" s="1">
        <f t="shared" si="90"/>
        <v>0</v>
      </c>
      <c r="HC27" s="1">
        <f t="shared" si="91"/>
        <v>0</v>
      </c>
      <c r="HD27" s="37" t="s">
        <v>2</v>
      </c>
      <c r="HE27" s="1" t="s">
        <v>118</v>
      </c>
      <c r="HF27" s="1" t="s">
        <v>651</v>
      </c>
      <c r="HG27" s="1" t="s">
        <v>652</v>
      </c>
      <c r="HH27" s="1" t="s">
        <v>653</v>
      </c>
      <c r="HI27" s="1" t="s">
        <v>96</v>
      </c>
      <c r="HJ27" s="37" t="s">
        <v>2</v>
      </c>
      <c r="HK27" s="37" t="s">
        <v>113</v>
      </c>
      <c r="HL27" s="37" t="s">
        <v>671</v>
      </c>
      <c r="HM27" s="37" t="s">
        <v>163</v>
      </c>
      <c r="HN27" s="45">
        <f>SUM(GT369:GT370)</f>
        <v>0</v>
      </c>
      <c r="HO27" s="45">
        <f>SUM(GU369:GU370)</f>
        <v>0</v>
      </c>
      <c r="HP27" s="41">
        <f>SUM(GV369:GV370)</f>
        <v>4.2585329999999999</v>
      </c>
      <c r="HQ27" s="44">
        <f>SUM(GO369:GO370)</f>
        <v>0.75361</v>
      </c>
      <c r="HR27" s="44">
        <f t="shared" si="118"/>
        <v>0.5650844601318985</v>
      </c>
      <c r="HS27" s="44">
        <f>MIN(GP369:GP370)</f>
        <v>0.53</v>
      </c>
      <c r="HT27" s="44">
        <f>MAX(GP369:GP370)</f>
        <v>0.56999999999999995</v>
      </c>
      <c r="HU27" s="41">
        <f>SUM(GQ369:GQ370)</f>
        <v>4.2585329999999999</v>
      </c>
      <c r="HV27" s="41">
        <f>SUM(GR369:GR370)/SUM(GO369:GO370)</f>
        <v>119.77043431423679</v>
      </c>
      <c r="HW27" s="37">
        <f>COUNT(GQ369:GQ370)</f>
        <v>2</v>
      </c>
      <c r="HX27" s="45">
        <f>SUM(HB369:HB370)</f>
        <v>0</v>
      </c>
      <c r="HY27" s="45">
        <f>SUM(HC369:HC370)</f>
        <v>0</v>
      </c>
      <c r="HZ27" s="37" t="s">
        <v>1318</v>
      </c>
      <c r="IA27" s="37" t="s">
        <v>1318</v>
      </c>
      <c r="IB27" s="37" t="s">
        <v>1318</v>
      </c>
      <c r="IC27" s="37" t="s">
        <v>1318</v>
      </c>
      <c r="ID27" s="37">
        <f>COUNT(GY369:GY370)</f>
        <v>0</v>
      </c>
      <c r="IF27" s="1">
        <f t="shared" ref="IF27:IN27" si="130">100*SUM(EI369:EI370)/SUM($EI369:$FA370)</f>
        <v>38.127321215793188</v>
      </c>
      <c r="IG27" s="1">
        <f t="shared" si="130"/>
        <v>0</v>
      </c>
      <c r="IH27" s="1">
        <f t="shared" si="130"/>
        <v>0</v>
      </c>
      <c r="II27" s="1">
        <f t="shared" si="130"/>
        <v>0</v>
      </c>
      <c r="IJ27" s="1">
        <f t="shared" si="130"/>
        <v>0</v>
      </c>
      <c r="IK27" s="1">
        <f t="shared" si="130"/>
        <v>0</v>
      </c>
      <c r="IL27" s="1">
        <f t="shared" si="130"/>
        <v>0</v>
      </c>
      <c r="IM27" s="1">
        <f t="shared" si="130"/>
        <v>61.872678784206833</v>
      </c>
      <c r="IN27" s="1">
        <f t="shared" si="130"/>
        <v>0</v>
      </c>
      <c r="IO27" s="1">
        <f>100*SUM(ER369:EV370)/SUM($EI369:$FA370)</f>
        <v>0</v>
      </c>
      <c r="IP27" s="1">
        <f>100*SUM(EW369:EW370)/SUM($EI369:$FA370)</f>
        <v>0</v>
      </c>
      <c r="IQ27" s="1">
        <f>100*SUM(EX369:EX370)/SUM($EI369:$FA370)</f>
        <v>0</v>
      </c>
      <c r="IR27" s="1">
        <f>100*SUM(EZ369:EZ370)/SUM($EI369:$FA370)</f>
        <v>0</v>
      </c>
      <c r="IS27" s="1">
        <f>100*SUM(FA369:FA370)/SUM($EI369:$FA370)</f>
        <v>0</v>
      </c>
      <c r="JH27" s="58" t="s">
        <v>2</v>
      </c>
    </row>
    <row r="28" spans="1:268" ht="16.25" customHeight="1" x14ac:dyDescent="0.2">
      <c r="A28" s="16" t="s">
        <v>1170</v>
      </c>
      <c r="B28" s="1" t="s">
        <v>69</v>
      </c>
      <c r="F28" s="1" t="s">
        <v>1171</v>
      </c>
      <c r="I28" s="1">
        <v>0</v>
      </c>
      <c r="AD28" s="1">
        <v>0</v>
      </c>
      <c r="AY28" s="12">
        <v>2600</v>
      </c>
      <c r="BC28" s="2">
        <f>0.015/1.179</f>
        <v>1.2722646310432569E-2</v>
      </c>
      <c r="BD28" s="1">
        <v>0.02</v>
      </c>
      <c r="BF28" s="1">
        <v>0.04</v>
      </c>
      <c r="BG28" s="1">
        <v>0.03</v>
      </c>
      <c r="BS28" s="1">
        <v>0.26</v>
      </c>
      <c r="BT28" s="1">
        <v>0</v>
      </c>
      <c r="CO28" s="1">
        <v>0</v>
      </c>
      <c r="DJ28" s="1" t="s">
        <v>96</v>
      </c>
      <c r="DL28" s="1">
        <f t="shared" si="4"/>
        <v>0.03</v>
      </c>
      <c r="DM28" s="1">
        <f t="shared" si="5"/>
        <v>0</v>
      </c>
      <c r="DN28" s="1" t="s">
        <v>67</v>
      </c>
      <c r="DO28" s="1" t="s">
        <v>2</v>
      </c>
      <c r="DP28" s="38">
        <f t="shared" si="6"/>
        <v>0</v>
      </c>
      <c r="DQ28" s="38">
        <f t="shared" si="7"/>
        <v>0</v>
      </c>
      <c r="DR28" s="38">
        <f t="shared" si="8"/>
        <v>0</v>
      </c>
      <c r="DS28" s="38">
        <f t="shared" si="9"/>
        <v>0.33078880407124678</v>
      </c>
      <c r="DT28" s="38">
        <f t="shared" si="10"/>
        <v>0.52</v>
      </c>
      <c r="DU28" s="38">
        <f t="shared" si="11"/>
        <v>0</v>
      </c>
      <c r="DV28" s="38">
        <f t="shared" si="12"/>
        <v>1.04</v>
      </c>
      <c r="DW28" s="38">
        <f t="shared" si="13"/>
        <v>0.78</v>
      </c>
      <c r="DX28" s="38">
        <f t="shared" si="14"/>
        <v>0</v>
      </c>
      <c r="DY28" s="38">
        <f t="shared" si="15"/>
        <v>0</v>
      </c>
      <c r="DZ28" s="38">
        <f t="shared" si="16"/>
        <v>0</v>
      </c>
      <c r="EA28" s="38">
        <f t="shared" si="17"/>
        <v>0</v>
      </c>
      <c r="EB28" s="38">
        <f t="shared" si="18"/>
        <v>0</v>
      </c>
      <c r="EC28" s="38">
        <f t="shared" si="19"/>
        <v>0</v>
      </c>
      <c r="ED28" s="38">
        <f t="shared" si="20"/>
        <v>0</v>
      </c>
      <c r="EE28" s="38">
        <f t="shared" si="21"/>
        <v>0</v>
      </c>
      <c r="EG28" s="38">
        <f t="shared" si="22"/>
        <v>0</v>
      </c>
      <c r="EH28" s="38">
        <f t="shared" si="23"/>
        <v>0</v>
      </c>
      <c r="EI28" s="38">
        <f t="shared" si="24"/>
        <v>0</v>
      </c>
      <c r="EJ28" s="38">
        <f t="shared" si="25"/>
        <v>0</v>
      </c>
      <c r="EK28" s="38">
        <f t="shared" si="26"/>
        <v>0</v>
      </c>
      <c r="EL28" s="38">
        <f t="shared" si="27"/>
        <v>21848.983487926616</v>
      </c>
      <c r="EM28" s="38">
        <f t="shared" si="28"/>
        <v>14060.800000000001</v>
      </c>
      <c r="EN28" s="38">
        <f t="shared" si="29"/>
        <v>0</v>
      </c>
      <c r="EO28" s="38">
        <f t="shared" si="30"/>
        <v>3042.5243679999999</v>
      </c>
      <c r="EP28" s="38">
        <f t="shared" si="31"/>
        <v>10228.92</v>
      </c>
      <c r="EQ28" s="38">
        <f t="shared" si="32"/>
        <v>0</v>
      </c>
      <c r="ER28" s="38">
        <f t="shared" si="33"/>
        <v>0</v>
      </c>
      <c r="ES28" s="38">
        <f t="shared" si="34"/>
        <v>0</v>
      </c>
      <c r="ET28" s="38">
        <f t="shared" si="35"/>
        <v>0</v>
      </c>
      <c r="EU28" s="38">
        <f t="shared" si="36"/>
        <v>0</v>
      </c>
      <c r="EV28" s="38">
        <f t="shared" si="37"/>
        <v>0</v>
      </c>
      <c r="EW28" s="38">
        <f t="shared" si="38"/>
        <v>0</v>
      </c>
      <c r="EX28" s="38">
        <f t="shared" si="39"/>
        <v>0</v>
      </c>
      <c r="EZ28" s="38">
        <f t="shared" si="40"/>
        <v>0</v>
      </c>
      <c r="FA28" s="38">
        <f t="shared" si="41"/>
        <v>0</v>
      </c>
      <c r="FB28" s="1">
        <f t="shared" si="42"/>
        <v>0</v>
      </c>
      <c r="FC28" s="1">
        <f t="shared" si="43"/>
        <v>0</v>
      </c>
      <c r="FD28" s="1">
        <f t="shared" si="44"/>
        <v>0</v>
      </c>
      <c r="FE28" s="1">
        <f t="shared" si="45"/>
        <v>0</v>
      </c>
      <c r="FF28" s="1">
        <f t="shared" si="46"/>
        <v>0</v>
      </c>
      <c r="FG28" s="1">
        <f t="shared" si="47"/>
        <v>0</v>
      </c>
      <c r="FH28" s="1">
        <f t="shared" si="48"/>
        <v>0</v>
      </c>
      <c r="FI28" s="1">
        <f t="shared" si="49"/>
        <v>0</v>
      </c>
      <c r="FJ28" s="1">
        <f t="shared" si="50"/>
        <v>0</v>
      </c>
      <c r="FK28" s="1">
        <f t="shared" si="51"/>
        <v>0</v>
      </c>
      <c r="FL28" s="1">
        <f t="shared" si="52"/>
        <v>0</v>
      </c>
      <c r="FM28" s="1">
        <f t="shared" si="53"/>
        <v>0</v>
      </c>
      <c r="FN28" s="1">
        <f t="shared" si="54"/>
        <v>0</v>
      </c>
      <c r="FO28" s="1">
        <f t="shared" si="55"/>
        <v>0</v>
      </c>
      <c r="FP28" s="1">
        <f t="shared" si="56"/>
        <v>0</v>
      </c>
      <c r="FQ28" s="1">
        <f t="shared" si="57"/>
        <v>0</v>
      </c>
      <c r="FS28" s="1">
        <f t="shared" si="58"/>
        <v>0</v>
      </c>
      <c r="FT28" s="1">
        <f t="shared" si="59"/>
        <v>0</v>
      </c>
      <c r="FU28" s="38">
        <f t="shared" si="60"/>
        <v>0</v>
      </c>
      <c r="FV28" s="38">
        <f t="shared" si="61"/>
        <v>0</v>
      </c>
      <c r="FW28" s="38">
        <f t="shared" si="62"/>
        <v>0</v>
      </c>
      <c r="FX28" s="38">
        <f t="shared" si="63"/>
        <v>0</v>
      </c>
      <c r="FY28" s="38">
        <f t="shared" si="64"/>
        <v>0</v>
      </c>
      <c r="FZ28" s="38">
        <f t="shared" si="65"/>
        <v>0</v>
      </c>
      <c r="GA28" s="38">
        <f t="shared" si="66"/>
        <v>0</v>
      </c>
      <c r="GB28" s="38">
        <f t="shared" si="67"/>
        <v>0</v>
      </c>
      <c r="GC28" s="38">
        <f t="shared" si="68"/>
        <v>0</v>
      </c>
      <c r="GD28" s="38">
        <f t="shared" si="69"/>
        <v>0</v>
      </c>
      <c r="GE28" s="38">
        <f t="shared" si="70"/>
        <v>0</v>
      </c>
      <c r="GF28" s="38">
        <f t="shared" si="71"/>
        <v>0</v>
      </c>
      <c r="GG28" s="38">
        <f t="shared" si="72"/>
        <v>0</v>
      </c>
      <c r="GH28" s="38">
        <f t="shared" si="73"/>
        <v>0</v>
      </c>
      <c r="GI28" s="38">
        <f t="shared" si="74"/>
        <v>0</v>
      </c>
      <c r="GJ28" s="38">
        <f t="shared" si="75"/>
        <v>0</v>
      </c>
      <c r="GL28" s="38">
        <f t="shared" si="76"/>
        <v>0</v>
      </c>
      <c r="GM28" s="38">
        <f t="shared" si="77"/>
        <v>0</v>
      </c>
      <c r="GN28" s="1" t="s">
        <v>2</v>
      </c>
      <c r="GO28" s="12">
        <f t="shared" si="78"/>
        <v>2600</v>
      </c>
      <c r="GP28" s="1">
        <f t="shared" si="79"/>
        <v>0.03</v>
      </c>
      <c r="GQ28" s="41">
        <f t="shared" si="80"/>
        <v>780</v>
      </c>
      <c r="GR28" s="41">
        <f t="shared" si="81"/>
        <v>49181.227855926612</v>
      </c>
      <c r="GS28" s="14">
        <f t="shared" si="82"/>
        <v>18.915856867664083</v>
      </c>
      <c r="GT28" s="1">
        <f t="shared" si="87"/>
        <v>0</v>
      </c>
      <c r="GU28" s="1">
        <f t="shared" si="88"/>
        <v>0</v>
      </c>
      <c r="GV28" s="1">
        <f t="shared" si="89"/>
        <v>780</v>
      </c>
      <c r="GW28" s="37">
        <f t="shared" si="83"/>
        <v>0</v>
      </c>
      <c r="GX28" s="37"/>
      <c r="GY28" s="37"/>
      <c r="GZ28" s="37"/>
      <c r="HB28" s="1">
        <f t="shared" si="90"/>
        <v>0</v>
      </c>
      <c r="HC28" s="1">
        <f t="shared" si="91"/>
        <v>0</v>
      </c>
      <c r="HD28" s="37" t="s">
        <v>2</v>
      </c>
      <c r="HE28" s="1" t="s">
        <v>118</v>
      </c>
      <c r="HF28" s="1" t="s">
        <v>651</v>
      </c>
      <c r="HG28" s="1" t="s">
        <v>652</v>
      </c>
      <c r="HH28" s="1" t="s">
        <v>653</v>
      </c>
      <c r="HI28" s="1" t="s">
        <v>96</v>
      </c>
      <c r="HJ28" s="37" t="s">
        <v>2</v>
      </c>
      <c r="HK28" s="37" t="s">
        <v>113</v>
      </c>
      <c r="HL28" s="37" t="s">
        <v>261</v>
      </c>
      <c r="HM28" s="37" t="s">
        <v>96</v>
      </c>
      <c r="HN28" s="42">
        <f>SUM(GT371:GT465)</f>
        <v>7220.4854734116198</v>
      </c>
      <c r="HO28" s="42">
        <f>SUM(GU371:GU465)</f>
        <v>13651.301915538093</v>
      </c>
      <c r="HP28" s="42">
        <f>SUM(GV371:GV465)</f>
        <v>13895.338820972993</v>
      </c>
      <c r="HQ28" s="42">
        <f>SUM(GO371:GO465)</f>
        <v>21007.507608255059</v>
      </c>
      <c r="HR28" s="44">
        <f t="shared" si="118"/>
        <v>0.16549857726225786</v>
      </c>
      <c r="HS28" s="44">
        <f>MIN(GP371:GP465)</f>
        <v>0.03</v>
      </c>
      <c r="HT28" s="44">
        <f>MAX(GP371:GP465)</f>
        <v>1.652610505600969</v>
      </c>
      <c r="HU28" s="42">
        <f>SUM(GQ371:GQ465)</f>
        <v>34767.126209922695</v>
      </c>
      <c r="HV28" s="41">
        <f>SUM(GR371:GR465)/SUM(GO371:GO465)</f>
        <v>162.11181801913909</v>
      </c>
      <c r="HW28" s="37">
        <f>COUNT(GQ371:GQ465)</f>
        <v>95</v>
      </c>
      <c r="HX28" s="42">
        <f>SUM(HB371:HB465)</f>
        <v>2604.4068804730105</v>
      </c>
      <c r="HY28" s="42">
        <f>SUM(HC371:HC465)</f>
        <v>3014.7641393980625</v>
      </c>
      <c r="HZ28" s="42">
        <f>SUM(GW371:GW465)</f>
        <v>3513.349481245195</v>
      </c>
      <c r="IA28" s="44">
        <f t="shared" ref="IA28" si="131">100*(IB28/1000)/HZ28</f>
        <v>0.159937718973506</v>
      </c>
      <c r="IB28" s="42">
        <f>SUM(GY371:GY465)</f>
        <v>5619.1710198710716</v>
      </c>
      <c r="IC28" s="41">
        <f>SUM(GZ371:GZ465)/SUM(GW371:GW465)</f>
        <v>155.50743994332507</v>
      </c>
      <c r="ID28" s="37">
        <f>COUNT(GY371:GY465)</f>
        <v>37</v>
      </c>
      <c r="IF28" s="14">
        <f t="shared" ref="IF28:IN28" si="132">100*SUM(EI371:EI465)/SUM($EI371:$FA465)</f>
        <v>3.2724067682776821</v>
      </c>
      <c r="IG28" s="14">
        <f t="shared" si="132"/>
        <v>3.7404621095840032</v>
      </c>
      <c r="IH28" s="27">
        <f t="shared" si="132"/>
        <v>0</v>
      </c>
      <c r="II28" s="38">
        <f t="shared" si="132"/>
        <v>0</v>
      </c>
      <c r="IJ28" s="38">
        <f t="shared" si="132"/>
        <v>0</v>
      </c>
      <c r="IK28" s="38">
        <f t="shared" si="132"/>
        <v>0</v>
      </c>
      <c r="IL28" s="38">
        <f t="shared" si="132"/>
        <v>0</v>
      </c>
      <c r="IM28" s="14">
        <f t="shared" si="132"/>
        <v>13.387971146934007</v>
      </c>
      <c r="IN28" s="14">
        <f t="shared" si="132"/>
        <v>1.0116817537279787</v>
      </c>
      <c r="IO28" s="14">
        <f>100*SUM(ER371:EV465)/SUM($EI371:$FA465)</f>
        <v>74.750937669242774</v>
      </c>
      <c r="IP28" s="14">
        <f>100*SUM(EW371:EW465)/SUM($EI371:$FA465)</f>
        <v>3.8365405522335667</v>
      </c>
      <c r="IQ28" s="38">
        <f>100*SUM(EX371:EX465)/SUM($EI371:$FA465)</f>
        <v>0</v>
      </c>
      <c r="IR28" s="38">
        <f>100*SUM(EZ371:EZ465)/SUM($EI371:$FA465)</f>
        <v>0</v>
      </c>
      <c r="IS28" s="38">
        <f>100*SUM(FA371:FA465)/SUM($EI371:$FA465)</f>
        <v>0</v>
      </c>
      <c r="IT28" s="14">
        <f t="shared" ref="IT28:JB28" si="133">100*SUM(FU371:FU465)/SUM($FU371:$GM465)</f>
        <v>3.5295056385017398</v>
      </c>
      <c r="IU28" s="14">
        <f t="shared" si="133"/>
        <v>3.8527097542340836</v>
      </c>
      <c r="IV28" s="38">
        <f t="shared" si="133"/>
        <v>0</v>
      </c>
      <c r="IW28" s="38">
        <f t="shared" si="133"/>
        <v>0</v>
      </c>
      <c r="IX28" s="38">
        <f t="shared" si="133"/>
        <v>0</v>
      </c>
      <c r="IY28" s="38">
        <f t="shared" si="133"/>
        <v>0</v>
      </c>
      <c r="IZ28" s="38">
        <f t="shared" si="133"/>
        <v>0</v>
      </c>
      <c r="JA28" s="14">
        <f t="shared" si="133"/>
        <v>13.487607071294896</v>
      </c>
      <c r="JB28" s="14">
        <f t="shared" si="133"/>
        <v>1.7567971436785146</v>
      </c>
      <c r="JC28" s="14">
        <f>100*SUM(GD371:GH465)/SUM($FU371:$GM465)</f>
        <v>73.247008342836935</v>
      </c>
      <c r="JD28" s="14">
        <f>100*SUM(GI371:GI465)/SUM($FU371:$GM465)</f>
        <v>4.1263720494538223</v>
      </c>
      <c r="JE28" s="38">
        <f>100*SUM(GJ371:GJ465)/SUM($FU371:$GM465)</f>
        <v>0</v>
      </c>
      <c r="JF28" s="38">
        <f>100*SUM(GL371:GL465)/SUM($FU371:$GM465)</f>
        <v>0</v>
      </c>
      <c r="JG28" s="1">
        <f>100*SUM(GM371:GM465)/SUM($FU371:$GM465)</f>
        <v>0</v>
      </c>
      <c r="JH28" s="58" t="s">
        <v>2</v>
      </c>
    </row>
    <row r="29" spans="1:268" ht="16.25" customHeight="1" x14ac:dyDescent="0.2">
      <c r="A29" s="16" t="s">
        <v>1172</v>
      </c>
      <c r="B29" s="1" t="s">
        <v>69</v>
      </c>
      <c r="F29" s="1" t="s">
        <v>1173</v>
      </c>
      <c r="I29" s="1">
        <v>0</v>
      </c>
      <c r="AD29" s="1">
        <v>43</v>
      </c>
      <c r="AE29" s="2">
        <v>0.01</v>
      </c>
      <c r="AH29" s="2">
        <f>0.019/1.179</f>
        <v>1.6115351993214587E-2</v>
      </c>
      <c r="AK29" s="1">
        <v>4.1000000000000002E-2</v>
      </c>
      <c r="AL29" s="1">
        <v>3.4000000000000002E-2</v>
      </c>
      <c r="AY29" s="12">
        <v>3019</v>
      </c>
      <c r="AZ29" s="1">
        <v>1.9E-2</v>
      </c>
      <c r="BC29" s="2">
        <f>0.017/1.179</f>
        <v>1.441899915182358E-2</v>
      </c>
      <c r="BF29" s="1">
        <v>4.2000000000000003E-2</v>
      </c>
      <c r="BG29" s="1">
        <v>3.4000000000000002E-2</v>
      </c>
      <c r="BT29" s="1">
        <v>0</v>
      </c>
      <c r="CO29" s="1">
        <v>0</v>
      </c>
      <c r="DJ29" s="1" t="s">
        <v>96</v>
      </c>
      <c r="DL29" s="1">
        <f t="shared" si="4"/>
        <v>3.4000000000000002E-2</v>
      </c>
      <c r="DM29" s="1">
        <f t="shared" si="5"/>
        <v>0</v>
      </c>
      <c r="DN29" s="1" t="s">
        <v>1174</v>
      </c>
      <c r="DO29" s="1" t="s">
        <v>2</v>
      </c>
      <c r="DP29" s="38">
        <f t="shared" si="6"/>
        <v>0.57790999999999992</v>
      </c>
      <c r="DQ29" s="38">
        <f t="shared" si="7"/>
        <v>0</v>
      </c>
      <c r="DR29" s="38">
        <f t="shared" si="8"/>
        <v>0</v>
      </c>
      <c r="DS29" s="38">
        <f t="shared" si="9"/>
        <v>0.44223918575063614</v>
      </c>
      <c r="DT29" s="38">
        <f t="shared" si="10"/>
        <v>0</v>
      </c>
      <c r="DU29" s="38">
        <f t="shared" si="11"/>
        <v>0</v>
      </c>
      <c r="DV29" s="38">
        <f t="shared" si="12"/>
        <v>1.2856100000000001</v>
      </c>
      <c r="DW29" s="38">
        <f t="shared" si="13"/>
        <v>1.04108</v>
      </c>
      <c r="DX29" s="38">
        <f t="shared" si="14"/>
        <v>0</v>
      </c>
      <c r="DY29" s="38">
        <f t="shared" si="15"/>
        <v>0</v>
      </c>
      <c r="DZ29" s="38">
        <f t="shared" si="16"/>
        <v>0</v>
      </c>
      <c r="EA29" s="38">
        <f t="shared" si="17"/>
        <v>0</v>
      </c>
      <c r="EB29" s="38">
        <f t="shared" si="18"/>
        <v>0</v>
      </c>
      <c r="EC29" s="38">
        <f t="shared" si="19"/>
        <v>0</v>
      </c>
      <c r="ED29" s="38">
        <f t="shared" si="20"/>
        <v>0</v>
      </c>
      <c r="EE29" s="38">
        <f t="shared" si="21"/>
        <v>0</v>
      </c>
      <c r="EG29" s="38">
        <f t="shared" si="22"/>
        <v>0</v>
      </c>
      <c r="EH29" s="38">
        <f t="shared" si="23"/>
        <v>0</v>
      </c>
      <c r="EI29" s="38">
        <f t="shared" si="24"/>
        <v>3771.2187425599996</v>
      </c>
      <c r="EJ29" s="38">
        <f t="shared" si="25"/>
        <v>0</v>
      </c>
      <c r="EK29" s="38">
        <f t="shared" si="26"/>
        <v>0</v>
      </c>
      <c r="EL29" s="38">
        <f t="shared" si="27"/>
        <v>29210.410232320355</v>
      </c>
      <c r="EM29" s="38">
        <f t="shared" si="28"/>
        <v>0</v>
      </c>
      <c r="EN29" s="38">
        <f t="shared" si="29"/>
        <v>0</v>
      </c>
      <c r="EO29" s="38">
        <f t="shared" si="30"/>
        <v>3761.0574545620002</v>
      </c>
      <c r="EP29" s="38">
        <f t="shared" si="31"/>
        <v>13652.723120000001</v>
      </c>
      <c r="EQ29" s="38">
        <f t="shared" si="32"/>
        <v>0</v>
      </c>
      <c r="ER29" s="38">
        <f t="shared" si="33"/>
        <v>0</v>
      </c>
      <c r="ES29" s="38">
        <f t="shared" si="34"/>
        <v>0</v>
      </c>
      <c r="ET29" s="38">
        <f t="shared" si="35"/>
        <v>0</v>
      </c>
      <c r="EU29" s="38">
        <f t="shared" si="36"/>
        <v>0</v>
      </c>
      <c r="EV29" s="38">
        <f t="shared" si="37"/>
        <v>0</v>
      </c>
      <c r="EW29" s="38">
        <f t="shared" si="38"/>
        <v>0</v>
      </c>
      <c r="EX29" s="38">
        <f t="shared" si="39"/>
        <v>0</v>
      </c>
      <c r="EZ29" s="38">
        <f t="shared" si="40"/>
        <v>0</v>
      </c>
      <c r="FA29" s="38">
        <f t="shared" si="41"/>
        <v>0</v>
      </c>
      <c r="FB29" s="1">
        <f t="shared" si="42"/>
        <v>0</v>
      </c>
      <c r="FC29" s="1">
        <f t="shared" si="43"/>
        <v>0</v>
      </c>
      <c r="FD29" s="1">
        <f t="shared" si="44"/>
        <v>0</v>
      </c>
      <c r="FE29" s="1">
        <f t="shared" si="45"/>
        <v>0</v>
      </c>
      <c r="FF29" s="1">
        <f t="shared" si="46"/>
        <v>0</v>
      </c>
      <c r="FG29" s="1">
        <f t="shared" si="47"/>
        <v>0</v>
      </c>
      <c r="FH29" s="1">
        <f t="shared" si="48"/>
        <v>0</v>
      </c>
      <c r="FI29" s="1">
        <f t="shared" si="49"/>
        <v>0</v>
      </c>
      <c r="FJ29" s="1">
        <f t="shared" si="50"/>
        <v>0</v>
      </c>
      <c r="FK29" s="1">
        <f t="shared" si="51"/>
        <v>0</v>
      </c>
      <c r="FL29" s="1">
        <f t="shared" si="52"/>
        <v>0</v>
      </c>
      <c r="FM29" s="1">
        <f t="shared" si="53"/>
        <v>0</v>
      </c>
      <c r="FN29" s="1">
        <f t="shared" si="54"/>
        <v>0</v>
      </c>
      <c r="FO29" s="1">
        <f t="shared" si="55"/>
        <v>0</v>
      </c>
      <c r="FP29" s="1">
        <f t="shared" si="56"/>
        <v>0</v>
      </c>
      <c r="FQ29" s="1">
        <f t="shared" si="57"/>
        <v>0</v>
      </c>
      <c r="FS29" s="1">
        <f t="shared" si="58"/>
        <v>0</v>
      </c>
      <c r="FT29" s="1">
        <f t="shared" si="59"/>
        <v>0</v>
      </c>
      <c r="FU29" s="38">
        <f t="shared" si="60"/>
        <v>0</v>
      </c>
      <c r="FV29" s="38">
        <f t="shared" si="61"/>
        <v>0</v>
      </c>
      <c r="FW29" s="38">
        <f t="shared" si="62"/>
        <v>0</v>
      </c>
      <c r="FX29" s="38">
        <f t="shared" si="63"/>
        <v>0</v>
      </c>
      <c r="FY29" s="38">
        <f t="shared" si="64"/>
        <v>0</v>
      </c>
      <c r="FZ29" s="38">
        <f t="shared" si="65"/>
        <v>0</v>
      </c>
      <c r="GA29" s="38">
        <f t="shared" si="66"/>
        <v>0</v>
      </c>
      <c r="GB29" s="38">
        <f t="shared" si="67"/>
        <v>0</v>
      </c>
      <c r="GC29" s="38">
        <f t="shared" si="68"/>
        <v>0</v>
      </c>
      <c r="GD29" s="38">
        <f t="shared" si="69"/>
        <v>0</v>
      </c>
      <c r="GE29" s="38">
        <f t="shared" si="70"/>
        <v>0</v>
      </c>
      <c r="GF29" s="38">
        <f t="shared" si="71"/>
        <v>0</v>
      </c>
      <c r="GG29" s="38">
        <f t="shared" si="72"/>
        <v>0</v>
      </c>
      <c r="GH29" s="38">
        <f t="shared" si="73"/>
        <v>0</v>
      </c>
      <c r="GI29" s="38">
        <f t="shared" si="74"/>
        <v>0</v>
      </c>
      <c r="GJ29" s="38">
        <f t="shared" si="75"/>
        <v>0</v>
      </c>
      <c r="GL29" s="38">
        <f t="shared" si="76"/>
        <v>0</v>
      </c>
      <c r="GM29" s="38">
        <f t="shared" si="77"/>
        <v>0</v>
      </c>
      <c r="GN29" s="1" t="s">
        <v>2</v>
      </c>
      <c r="GO29" s="12">
        <f t="shared" si="78"/>
        <v>3062</v>
      </c>
      <c r="GP29" s="1">
        <f t="shared" si="79"/>
        <v>3.4000000000000002E-2</v>
      </c>
      <c r="GQ29" s="43">
        <f t="shared" si="80"/>
        <v>1041.0800000000002</v>
      </c>
      <c r="GR29" s="41">
        <f t="shared" si="81"/>
        <v>50395.40954944236</v>
      </c>
      <c r="GS29" s="14">
        <f t="shared" si="82"/>
        <v>16.458331008962233</v>
      </c>
      <c r="GT29" s="1">
        <f t="shared" si="87"/>
        <v>0</v>
      </c>
      <c r="GU29" s="1">
        <f t="shared" si="88"/>
        <v>14.620000000000003</v>
      </c>
      <c r="GV29" s="1">
        <f t="shared" si="89"/>
        <v>1026.46</v>
      </c>
      <c r="GW29" s="37">
        <f t="shared" si="83"/>
        <v>0</v>
      </c>
      <c r="GX29" s="37"/>
      <c r="GY29" s="37"/>
      <c r="GZ29" s="37"/>
      <c r="HB29" s="1">
        <f t="shared" si="90"/>
        <v>0</v>
      </c>
      <c r="HC29" s="1">
        <f t="shared" si="91"/>
        <v>0</v>
      </c>
      <c r="HD29" s="37" t="s">
        <v>2</v>
      </c>
      <c r="HE29" s="1" t="s">
        <v>118</v>
      </c>
      <c r="HF29" s="1" t="s">
        <v>651</v>
      </c>
      <c r="HG29" s="1" t="s">
        <v>652</v>
      </c>
      <c r="HH29" s="1" t="s">
        <v>653</v>
      </c>
      <c r="HI29" s="1" t="s">
        <v>96</v>
      </c>
      <c r="HJ29" s="37" t="s">
        <v>2</v>
      </c>
      <c r="HK29" s="37" t="s">
        <v>113</v>
      </c>
      <c r="HL29" s="37" t="s">
        <v>261</v>
      </c>
      <c r="HM29" s="37" t="s">
        <v>163</v>
      </c>
      <c r="HN29" s="45">
        <f>SUM(GT466:GT482)</f>
        <v>0</v>
      </c>
      <c r="HO29" s="45">
        <f>SUM(GU466:GU482)</f>
        <v>0</v>
      </c>
      <c r="HP29" s="42">
        <f>SUM(GV466:GV482)</f>
        <v>10482.276581689084</v>
      </c>
      <c r="HQ29" s="42">
        <f>SUM(GO466:GO482)</f>
        <v>3475.7530959999995</v>
      </c>
      <c r="HR29" s="44">
        <f t="shared" si="118"/>
        <v>0.30158288843221925</v>
      </c>
      <c r="HS29" s="44">
        <f>MIN(GP466:GP482)</f>
        <v>0.12099999999999998</v>
      </c>
      <c r="HT29" s="44">
        <f>MAX(GP466:GP482)</f>
        <v>5.0999999999999996</v>
      </c>
      <c r="HU29" s="42">
        <f>SUM(GQ466:GQ482)</f>
        <v>10482.276581689084</v>
      </c>
      <c r="HV29" s="41">
        <f>SUM(GR466:GR482)/SUM(GO466:GO482)</f>
        <v>46.544038423664361</v>
      </c>
      <c r="HW29" s="37">
        <f>COUNT(GQ466:GQ482)</f>
        <v>17</v>
      </c>
      <c r="HX29" s="45">
        <f>SUM(HB466:HB482)</f>
        <v>0</v>
      </c>
      <c r="HY29" s="45">
        <f>SUM(HC466:HC482)</f>
        <v>0</v>
      </c>
      <c r="HZ29" s="37" t="s">
        <v>1318</v>
      </c>
      <c r="IA29" s="37" t="s">
        <v>1318</v>
      </c>
      <c r="IB29" s="37" t="s">
        <v>1318</v>
      </c>
      <c r="IC29" s="37" t="s">
        <v>1318</v>
      </c>
      <c r="ID29" s="37">
        <f>COUNT(GY466:GY482)</f>
        <v>0</v>
      </c>
      <c r="IF29" s="14">
        <f t="shared" ref="IF29:IN29" si="134">100*SUM(EI466:EI482)/SUM($EI466:$FA482)</f>
        <v>6.6629950896048626</v>
      </c>
      <c r="IG29" s="13">
        <f t="shared" si="134"/>
        <v>0.85885928975304771</v>
      </c>
      <c r="IH29" s="2">
        <f t="shared" si="134"/>
        <v>1.4438901438242285E-2</v>
      </c>
      <c r="II29" s="1">
        <f t="shared" si="134"/>
        <v>0</v>
      </c>
      <c r="IJ29" s="1">
        <f t="shared" si="134"/>
        <v>0</v>
      </c>
      <c r="IK29" s="1">
        <f t="shared" si="134"/>
        <v>0</v>
      </c>
      <c r="IL29" s="1">
        <f t="shared" si="134"/>
        <v>0</v>
      </c>
      <c r="IM29" s="14">
        <f t="shared" si="134"/>
        <v>84.972385999262727</v>
      </c>
      <c r="IN29" s="14">
        <f t="shared" si="134"/>
        <v>3.2446281014434275</v>
      </c>
      <c r="IO29" s="14">
        <f>100*SUM(ER466:EV482)/SUM($EI466:$FA482)</f>
        <v>4.2466926184977281</v>
      </c>
      <c r="IP29" s="1">
        <f>100*SUM(EW466:EW482)/SUM($EI466:$FA482)</f>
        <v>0</v>
      </c>
      <c r="IQ29" s="1">
        <f>100*SUM(EX466:EX482)/SUM($EI466:$FA482)</f>
        <v>0</v>
      </c>
      <c r="IR29" s="1">
        <f>100*SUM(EZ466:EZ482)/SUM($EI466:$FA482)</f>
        <v>0</v>
      </c>
      <c r="IS29" s="1">
        <f>100*SUM(FA466:FA482)/SUM($EI466:$FA482)</f>
        <v>0</v>
      </c>
      <c r="JH29" s="58" t="s">
        <v>2</v>
      </c>
    </row>
    <row r="30" spans="1:268" ht="16.25" customHeight="1" x14ac:dyDescent="0.2">
      <c r="A30" s="16" t="s">
        <v>116</v>
      </c>
      <c r="B30" s="1" t="s">
        <v>69</v>
      </c>
      <c r="E30" s="1" t="s">
        <v>72</v>
      </c>
      <c r="F30" s="1" t="s">
        <v>110</v>
      </c>
      <c r="H30" s="1" t="s">
        <v>95</v>
      </c>
      <c r="I30" s="1">
        <v>0</v>
      </c>
      <c r="AD30" s="14">
        <v>4</v>
      </c>
      <c r="AE30" s="1">
        <v>0.37</v>
      </c>
      <c r="AL30" s="1">
        <v>0.13</v>
      </c>
      <c r="AM30" s="13">
        <v>0.1</v>
      </c>
      <c r="AY30" s="1">
        <v>1.3</v>
      </c>
      <c r="AZ30" s="1">
        <v>0.31</v>
      </c>
      <c r="BG30" s="1">
        <v>0.11</v>
      </c>
      <c r="BH30" s="1">
        <v>0.08</v>
      </c>
      <c r="BT30" s="1">
        <v>0</v>
      </c>
      <c r="CO30" s="1">
        <v>0</v>
      </c>
      <c r="DJ30" s="1" t="s">
        <v>96</v>
      </c>
      <c r="DK30" s="1" t="s">
        <v>96</v>
      </c>
      <c r="DL30" s="1">
        <f t="shared" si="4"/>
        <v>0.12509433962264152</v>
      </c>
      <c r="DM30" s="1">
        <f t="shared" si="5"/>
        <v>9.5094339622641508E-2</v>
      </c>
      <c r="DN30" s="1" t="s">
        <v>111</v>
      </c>
      <c r="DO30" s="1" t="s">
        <v>2</v>
      </c>
      <c r="DP30" s="38">
        <f t="shared" si="6"/>
        <v>1.883E-2</v>
      </c>
      <c r="DQ30" s="38">
        <f t="shared" si="7"/>
        <v>0</v>
      </c>
      <c r="DR30" s="38">
        <f t="shared" si="8"/>
        <v>0</v>
      </c>
      <c r="DS30" s="38">
        <f t="shared" si="9"/>
        <v>0</v>
      </c>
      <c r="DT30" s="38">
        <f t="shared" si="10"/>
        <v>0</v>
      </c>
      <c r="DU30" s="38">
        <f t="shared" si="11"/>
        <v>0</v>
      </c>
      <c r="DV30" s="38">
        <f t="shared" si="12"/>
        <v>0</v>
      </c>
      <c r="DW30" s="38">
        <f t="shared" si="13"/>
        <v>6.6300000000000005E-3</v>
      </c>
      <c r="DX30" s="38">
        <f t="shared" si="14"/>
        <v>5.0400000000000002E-3</v>
      </c>
      <c r="DY30" s="38">
        <f t="shared" si="15"/>
        <v>0</v>
      </c>
      <c r="DZ30" s="38">
        <f t="shared" si="16"/>
        <v>0</v>
      </c>
      <c r="EA30" s="38">
        <f t="shared" si="17"/>
        <v>0</v>
      </c>
      <c r="EB30" s="38">
        <f t="shared" si="18"/>
        <v>0</v>
      </c>
      <c r="EC30" s="38">
        <f t="shared" si="19"/>
        <v>0</v>
      </c>
      <c r="ED30" s="38">
        <f t="shared" si="20"/>
        <v>0</v>
      </c>
      <c r="EE30" s="38">
        <f t="shared" si="21"/>
        <v>0</v>
      </c>
      <c r="EG30" s="38">
        <f t="shared" si="22"/>
        <v>0</v>
      </c>
      <c r="EH30" s="38">
        <f t="shared" si="23"/>
        <v>0</v>
      </c>
      <c r="EI30" s="38">
        <f t="shared" si="24"/>
        <v>122.87734927999999</v>
      </c>
      <c r="EJ30" s="38">
        <f t="shared" si="25"/>
        <v>0</v>
      </c>
      <c r="EK30" s="38">
        <f t="shared" si="26"/>
        <v>0</v>
      </c>
      <c r="EL30" s="38">
        <f t="shared" si="27"/>
        <v>0</v>
      </c>
      <c r="EM30" s="38">
        <f t="shared" si="28"/>
        <v>0</v>
      </c>
      <c r="EN30" s="38">
        <f t="shared" si="29"/>
        <v>0</v>
      </c>
      <c r="EO30" s="38">
        <f t="shared" si="30"/>
        <v>0</v>
      </c>
      <c r="EP30" s="38">
        <f t="shared" si="31"/>
        <v>86.945820000000012</v>
      </c>
      <c r="EQ30" s="38">
        <f t="shared" si="32"/>
        <v>366.00240095999999</v>
      </c>
      <c r="ER30" s="38">
        <f t="shared" si="33"/>
        <v>0</v>
      </c>
      <c r="ES30" s="38">
        <f t="shared" si="34"/>
        <v>0</v>
      </c>
      <c r="ET30" s="38">
        <f t="shared" si="35"/>
        <v>0</v>
      </c>
      <c r="EU30" s="38">
        <f t="shared" si="36"/>
        <v>0</v>
      </c>
      <c r="EV30" s="38">
        <f t="shared" si="37"/>
        <v>0</v>
      </c>
      <c r="EW30" s="38">
        <f t="shared" si="38"/>
        <v>0</v>
      </c>
      <c r="EX30" s="38">
        <f t="shared" si="39"/>
        <v>0</v>
      </c>
      <c r="EZ30" s="38">
        <f t="shared" si="40"/>
        <v>0</v>
      </c>
      <c r="FA30" s="38">
        <f t="shared" si="41"/>
        <v>0</v>
      </c>
      <c r="FB30" s="1">
        <f t="shared" si="42"/>
        <v>0</v>
      </c>
      <c r="FC30" s="1">
        <f t="shared" si="43"/>
        <v>0</v>
      </c>
      <c r="FD30" s="1">
        <f t="shared" si="44"/>
        <v>0</v>
      </c>
      <c r="FE30" s="1">
        <f t="shared" si="45"/>
        <v>0</v>
      </c>
      <c r="FF30" s="1">
        <f t="shared" si="46"/>
        <v>0</v>
      </c>
      <c r="FG30" s="1">
        <f t="shared" si="47"/>
        <v>0</v>
      </c>
      <c r="FH30" s="1">
        <f t="shared" si="48"/>
        <v>0</v>
      </c>
      <c r="FI30" s="1">
        <f t="shared" si="49"/>
        <v>0</v>
      </c>
      <c r="FJ30" s="1">
        <f t="shared" si="50"/>
        <v>0</v>
      </c>
      <c r="FK30" s="1">
        <f t="shared" si="51"/>
        <v>0</v>
      </c>
      <c r="FL30" s="1">
        <f t="shared" si="52"/>
        <v>0</v>
      </c>
      <c r="FM30" s="1">
        <f t="shared" si="53"/>
        <v>0</v>
      </c>
      <c r="FN30" s="1">
        <f t="shared" si="54"/>
        <v>0</v>
      </c>
      <c r="FO30" s="1">
        <f t="shared" si="55"/>
        <v>0</v>
      </c>
      <c r="FP30" s="1">
        <f t="shared" si="56"/>
        <v>0</v>
      </c>
      <c r="FQ30" s="1">
        <f t="shared" si="57"/>
        <v>0</v>
      </c>
      <c r="FS30" s="1">
        <f t="shared" si="58"/>
        <v>0</v>
      </c>
      <c r="FT30" s="1">
        <f t="shared" si="59"/>
        <v>0</v>
      </c>
      <c r="FU30" s="38">
        <f t="shared" si="60"/>
        <v>0</v>
      </c>
      <c r="FV30" s="38">
        <f t="shared" si="61"/>
        <v>0</v>
      </c>
      <c r="FW30" s="38">
        <f t="shared" si="62"/>
        <v>0</v>
      </c>
      <c r="FX30" s="38">
        <f t="shared" si="63"/>
        <v>0</v>
      </c>
      <c r="FY30" s="38">
        <f t="shared" si="64"/>
        <v>0</v>
      </c>
      <c r="FZ30" s="38">
        <f t="shared" si="65"/>
        <v>0</v>
      </c>
      <c r="GA30" s="38">
        <f t="shared" si="66"/>
        <v>0</v>
      </c>
      <c r="GB30" s="38">
        <f t="shared" si="67"/>
        <v>0</v>
      </c>
      <c r="GC30" s="38">
        <f t="shared" si="68"/>
        <v>0</v>
      </c>
      <c r="GD30" s="38">
        <f t="shared" si="69"/>
        <v>0</v>
      </c>
      <c r="GE30" s="38">
        <f t="shared" si="70"/>
        <v>0</v>
      </c>
      <c r="GF30" s="38">
        <f t="shared" si="71"/>
        <v>0</v>
      </c>
      <c r="GG30" s="38">
        <f t="shared" si="72"/>
        <v>0</v>
      </c>
      <c r="GH30" s="38">
        <f t="shared" si="73"/>
        <v>0</v>
      </c>
      <c r="GI30" s="38">
        <f t="shared" si="74"/>
        <v>0</v>
      </c>
      <c r="GJ30" s="38">
        <f t="shared" si="75"/>
        <v>0</v>
      </c>
      <c r="GL30" s="38">
        <f t="shared" si="76"/>
        <v>0</v>
      </c>
      <c r="GM30" s="38">
        <f t="shared" si="77"/>
        <v>0</v>
      </c>
      <c r="GN30" s="1" t="s">
        <v>2</v>
      </c>
      <c r="GO30" s="1">
        <f t="shared" si="78"/>
        <v>5.3</v>
      </c>
      <c r="GP30" s="13">
        <f t="shared" si="79"/>
        <v>0.12509433962264152</v>
      </c>
      <c r="GQ30" s="41">
        <f t="shared" si="80"/>
        <v>6.6300000000000008</v>
      </c>
      <c r="GR30" s="41">
        <f t="shared" si="81"/>
        <v>575.82557023999993</v>
      </c>
      <c r="GS30" s="14">
        <f t="shared" si="82"/>
        <v>108.64633400754717</v>
      </c>
      <c r="GT30" s="1">
        <f t="shared" si="87"/>
        <v>0</v>
      </c>
      <c r="GU30" s="1">
        <f t="shared" si="88"/>
        <v>5.2</v>
      </c>
      <c r="GV30" s="1">
        <f t="shared" si="89"/>
        <v>1.4300000000000004</v>
      </c>
      <c r="GW30" s="37">
        <f t="shared" si="83"/>
        <v>0</v>
      </c>
      <c r="GX30" s="37"/>
      <c r="GY30" s="37"/>
      <c r="GZ30" s="37"/>
      <c r="HB30" s="1">
        <f t="shared" si="90"/>
        <v>0</v>
      </c>
      <c r="HC30" s="1">
        <f t="shared" si="91"/>
        <v>0</v>
      </c>
      <c r="HD30" s="37" t="s">
        <v>2</v>
      </c>
      <c r="HE30" s="1" t="s">
        <v>118</v>
      </c>
      <c r="HF30" s="1" t="s">
        <v>119</v>
      </c>
      <c r="HI30" s="1" t="s">
        <v>96</v>
      </c>
      <c r="HJ30" s="37" t="s">
        <v>2</v>
      </c>
      <c r="HK30" s="37" t="s">
        <v>113</v>
      </c>
      <c r="HL30" s="37" t="s">
        <v>831</v>
      </c>
      <c r="HM30" s="37" t="s">
        <v>96</v>
      </c>
      <c r="HN30" s="41">
        <f>SUM(GT483:GT500)</f>
        <v>587.91444858021157</v>
      </c>
      <c r="HO30" s="42">
        <f>SUM(GU483:GU500)</f>
        <v>3516.6495667219738</v>
      </c>
      <c r="HP30" s="42">
        <f>SUM(GV483:GV500)</f>
        <v>1585.654474147444</v>
      </c>
      <c r="HQ30" s="41">
        <f>SUM(GO483:GO500)</f>
        <v>681.44680700000004</v>
      </c>
      <c r="HR30" s="44">
        <f t="shared" si="118"/>
        <v>0.83502019981577635</v>
      </c>
      <c r="HS30" s="44">
        <f>MIN(GP483:GP500)</f>
        <v>0.13</v>
      </c>
      <c r="HT30" s="44">
        <f>MAX(GP483:GP500)</f>
        <v>3.2018731988472617</v>
      </c>
      <c r="HU30" s="42">
        <f>SUM(GQ483:GQ500)</f>
        <v>5690.2184894496286</v>
      </c>
      <c r="HV30" s="41">
        <f>SUM(GR483:GR500)/SUM(GO483:GO500)</f>
        <v>166.55446576317757</v>
      </c>
      <c r="HW30" s="37">
        <f>COUNT(GQ483:GQ500)</f>
        <v>18</v>
      </c>
      <c r="HX30" s="41">
        <f>SUM(HB483:HB500)</f>
        <v>631.2648999999999</v>
      </c>
      <c r="HY30" s="41">
        <f>SUM(HC483:HC500)</f>
        <v>780.60439999999994</v>
      </c>
      <c r="HZ30" s="41">
        <f>SUM(GW483:GW500)</f>
        <v>142.26400000000004</v>
      </c>
      <c r="IA30" s="44">
        <f t="shared" ref="IA30" si="135">100*(IB30/1000)/HZ30</f>
        <v>0.99242907552156523</v>
      </c>
      <c r="IB30" s="42">
        <f>SUM(GY483:GY500)</f>
        <v>1411.8692999999998</v>
      </c>
      <c r="IC30" s="41">
        <f>SUM(GZ483:GZ500)/SUM(GW483:GW500)</f>
        <v>183.41799487797098</v>
      </c>
      <c r="ID30" s="37">
        <f>COUNT(GY483:GY500)</f>
        <v>5</v>
      </c>
      <c r="IF30" s="14">
        <f t="shared" ref="IF30:IN30" si="136">100*SUM(EI483:EI500)/SUM($EI483:$FA500)</f>
        <v>13.595138205273278</v>
      </c>
      <c r="IG30" s="13">
        <f t="shared" si="136"/>
        <v>0.55496005497685152</v>
      </c>
      <c r="IH30" s="2">
        <f t="shared" si="136"/>
        <v>2.84962716809791E-2</v>
      </c>
      <c r="II30" s="38">
        <f t="shared" si="136"/>
        <v>0</v>
      </c>
      <c r="IJ30" s="38">
        <f t="shared" si="136"/>
        <v>0</v>
      </c>
      <c r="IK30" s="38">
        <f t="shared" si="136"/>
        <v>0</v>
      </c>
      <c r="IL30" s="38">
        <f t="shared" si="136"/>
        <v>0</v>
      </c>
      <c r="IM30" s="14">
        <f t="shared" si="136"/>
        <v>65.746990632808647</v>
      </c>
      <c r="IN30" s="14">
        <f t="shared" si="136"/>
        <v>12.976769090993301</v>
      </c>
      <c r="IO30" s="14">
        <f>100*SUM(ER483:EV500)/SUM($EI483:$FA500)</f>
        <v>7.097645744266865</v>
      </c>
      <c r="IP30" s="38">
        <f>100*SUM(EW483:EW500)/SUM($EI483:$FA500)</f>
        <v>0</v>
      </c>
      <c r="IQ30" s="38">
        <f>100*SUM(EX483:EX500)/SUM($EI483:$FA500)</f>
        <v>0</v>
      </c>
      <c r="IR30" s="38">
        <f>100*SUM(EZ483:EZ500)/SUM($EI483:$FA500)</f>
        <v>0</v>
      </c>
      <c r="IS30" s="38">
        <f>100*SUM(FA483:FA500)/SUM($EI483:$FA500)</f>
        <v>0</v>
      </c>
      <c r="IT30" s="14">
        <f t="shared" ref="IT30:JB30" si="137">100*SUM(FU483:FU500)/SUM($FU483:$GM500)</f>
        <v>11.540470437181927</v>
      </c>
      <c r="IU30" s="13">
        <f t="shared" si="137"/>
        <v>0.46871816834227797</v>
      </c>
      <c r="IV30" s="13">
        <f t="shared" si="137"/>
        <v>0.12394794433951932</v>
      </c>
      <c r="IW30" s="38">
        <f t="shared" si="137"/>
        <v>0</v>
      </c>
      <c r="IX30" s="38">
        <f t="shared" si="137"/>
        <v>0</v>
      </c>
      <c r="IY30" s="38">
        <f t="shared" si="137"/>
        <v>0</v>
      </c>
      <c r="IZ30" s="38">
        <f t="shared" si="137"/>
        <v>0</v>
      </c>
      <c r="JA30" s="14">
        <f t="shared" si="137"/>
        <v>70.956586920757516</v>
      </c>
      <c r="JB30" s="14">
        <f t="shared" si="137"/>
        <v>12.252695456394683</v>
      </c>
      <c r="JC30" s="47">
        <f>100*SUM(GD483:GH500)/SUM($FU483:$GM500)</f>
        <v>4.657581072984069</v>
      </c>
      <c r="JD30" s="38">
        <f>100*SUM(GI483:GI500)/SUM($FU483:$GM500)</f>
        <v>0</v>
      </c>
      <c r="JE30" s="38">
        <f>100*SUM(GJ483:GJ500)/SUM($FU483:$GM500)</f>
        <v>0</v>
      </c>
      <c r="JF30" s="38">
        <f>100*SUM(GL483:GL500)/SUM($FU483:$GM500)</f>
        <v>0</v>
      </c>
      <c r="JG30" s="38">
        <f>100*SUM(GM483:GM500)/SUM($FU483:$GM500)</f>
        <v>0</v>
      </c>
      <c r="JH30" s="58" t="s">
        <v>2</v>
      </c>
    </row>
    <row r="31" spans="1:268" ht="16.25" customHeight="1" x14ac:dyDescent="0.2">
      <c r="A31" s="16" t="s">
        <v>752</v>
      </c>
      <c r="B31" s="1" t="s">
        <v>69</v>
      </c>
      <c r="F31" s="1" t="s">
        <v>753</v>
      </c>
      <c r="I31" s="1">
        <v>0</v>
      </c>
      <c r="AD31" s="1">
        <f>0.0582+0.336</f>
        <v>0.39419999999999999</v>
      </c>
      <c r="AE31" s="13">
        <f>(0.41*0.0582+0*0.336)/AD31</f>
        <v>6.0532724505327241E-2</v>
      </c>
      <c r="AH31" s="13">
        <f>(10.68*0.0582+0.48*0.336)/AD31/1.179</f>
        <v>1.6844241501775747</v>
      </c>
      <c r="AI31" s="13">
        <f>(0.22*0.0582+0*0.336)/AD31</f>
        <v>3.2480974124809742E-2</v>
      </c>
      <c r="AL31" s="13">
        <f>(0.15*0.0582+0*0.336)/AD31</f>
        <v>2.2146118721461189E-2</v>
      </c>
      <c r="AM31" s="2">
        <f>(0.03*0.0582+0*0.336)/AD31</f>
        <v>4.4292237442922376E-3</v>
      </c>
      <c r="AY31" s="1">
        <f>0.0366+0.007+0.118</f>
        <v>0.16159999999999999</v>
      </c>
      <c r="AZ31" s="13">
        <f>(0.57*0.0366+0*0.007+0.86*0.118)/AY31</f>
        <v>0.75706683168316824</v>
      </c>
      <c r="BC31" s="13">
        <f>(13.07*0.0366+0.31*0.007+11.58*0.118)/AY31/1.179</f>
        <v>9.6940476490397121</v>
      </c>
      <c r="BD31" s="13">
        <f>(0.26*0.0366+0*0.007+0.1*0.118)/AY31</f>
        <v>0.13190594059405941</v>
      </c>
      <c r="BG31" s="13">
        <f>(0.55*0.0366+0*0.007+0.02*0.118)/AY31</f>
        <v>0.13917079207920793</v>
      </c>
      <c r="BH31" s="13">
        <f>(0.1*0.0366+0*0.007+0.01*0.118)/AY31</f>
        <v>2.9950495049504956E-2</v>
      </c>
      <c r="BT31" s="1">
        <v>0</v>
      </c>
      <c r="CO31" s="1">
        <v>0</v>
      </c>
      <c r="DJ31" s="1" t="s">
        <v>96</v>
      </c>
      <c r="DK31" s="1" t="s">
        <v>96</v>
      </c>
      <c r="DL31" s="1">
        <f t="shared" si="4"/>
        <v>5.6171284634760704E-2</v>
      </c>
      <c r="DM31" s="1">
        <f t="shared" si="5"/>
        <v>1.1849586182079886E-2</v>
      </c>
      <c r="DN31" s="1" t="s">
        <v>754</v>
      </c>
      <c r="DO31" s="1" t="s">
        <v>2</v>
      </c>
      <c r="DP31" s="38">
        <f t="shared" si="6"/>
        <v>1.4620399999999997E-3</v>
      </c>
      <c r="DQ31" s="38">
        <f t="shared" si="7"/>
        <v>0</v>
      </c>
      <c r="DR31" s="38">
        <f t="shared" si="8"/>
        <v>0</v>
      </c>
      <c r="DS31" s="38">
        <f t="shared" si="9"/>
        <v>2.230558100084817E-2</v>
      </c>
      <c r="DT31" s="38">
        <f t="shared" si="10"/>
        <v>3.412E-4</v>
      </c>
      <c r="DU31" s="38">
        <f t="shared" si="11"/>
        <v>0</v>
      </c>
      <c r="DV31" s="38">
        <f t="shared" si="12"/>
        <v>0</v>
      </c>
      <c r="DW31" s="38">
        <f t="shared" si="13"/>
        <v>3.122E-4</v>
      </c>
      <c r="DX31" s="38">
        <f t="shared" si="14"/>
        <v>6.586000000000001E-5</v>
      </c>
      <c r="DY31" s="38">
        <f t="shared" si="15"/>
        <v>0</v>
      </c>
      <c r="DZ31" s="38">
        <f t="shared" si="16"/>
        <v>0</v>
      </c>
      <c r="EA31" s="38">
        <f t="shared" si="17"/>
        <v>0</v>
      </c>
      <c r="EB31" s="38">
        <f t="shared" si="18"/>
        <v>0</v>
      </c>
      <c r="EC31" s="38">
        <f t="shared" si="19"/>
        <v>0</v>
      </c>
      <c r="ED31" s="38">
        <f t="shared" si="20"/>
        <v>0</v>
      </c>
      <c r="EE31" s="38">
        <f t="shared" si="21"/>
        <v>0</v>
      </c>
      <c r="EG31" s="38">
        <f t="shared" si="22"/>
        <v>0</v>
      </c>
      <c r="EH31" s="38">
        <f t="shared" si="23"/>
        <v>0</v>
      </c>
      <c r="EI31" s="38">
        <f t="shared" si="24"/>
        <v>9.5407116166399977</v>
      </c>
      <c r="EJ31" s="38">
        <f t="shared" si="25"/>
        <v>0</v>
      </c>
      <c r="EK31" s="38">
        <f t="shared" si="26"/>
        <v>0</v>
      </c>
      <c r="EL31" s="38">
        <f t="shared" si="27"/>
        <v>1473.3094499509505</v>
      </c>
      <c r="EM31" s="38">
        <f t="shared" si="28"/>
        <v>9.2260480000000005</v>
      </c>
      <c r="EN31" s="38">
        <f t="shared" si="29"/>
        <v>0</v>
      </c>
      <c r="EO31" s="38">
        <f t="shared" si="30"/>
        <v>0</v>
      </c>
      <c r="EP31" s="38">
        <f t="shared" si="31"/>
        <v>4.0941907999999998</v>
      </c>
      <c r="EQ31" s="38">
        <f t="shared" si="32"/>
        <v>4.7827218506399998</v>
      </c>
      <c r="ER31" s="38">
        <f t="shared" si="33"/>
        <v>0</v>
      </c>
      <c r="ES31" s="38">
        <f t="shared" si="34"/>
        <v>0</v>
      </c>
      <c r="ET31" s="38">
        <f t="shared" si="35"/>
        <v>0</v>
      </c>
      <c r="EU31" s="38">
        <f t="shared" si="36"/>
        <v>0</v>
      </c>
      <c r="EV31" s="38">
        <f t="shared" si="37"/>
        <v>0</v>
      </c>
      <c r="EW31" s="38">
        <f t="shared" si="38"/>
        <v>0</v>
      </c>
      <c r="EX31" s="38">
        <f t="shared" si="39"/>
        <v>0</v>
      </c>
      <c r="EZ31" s="38">
        <f t="shared" si="40"/>
        <v>0</v>
      </c>
      <c r="FA31" s="38">
        <f t="shared" si="41"/>
        <v>0</v>
      </c>
      <c r="FB31" s="1">
        <f t="shared" si="42"/>
        <v>0</v>
      </c>
      <c r="FC31" s="1">
        <f t="shared" si="43"/>
        <v>0</v>
      </c>
      <c r="FD31" s="1">
        <f t="shared" si="44"/>
        <v>0</v>
      </c>
      <c r="FE31" s="1">
        <f t="shared" si="45"/>
        <v>0</v>
      </c>
      <c r="FF31" s="1">
        <f t="shared" si="46"/>
        <v>0</v>
      </c>
      <c r="FG31" s="1">
        <f t="shared" si="47"/>
        <v>0</v>
      </c>
      <c r="FH31" s="1">
        <f t="shared" si="48"/>
        <v>0</v>
      </c>
      <c r="FI31" s="1">
        <f t="shared" si="49"/>
        <v>0</v>
      </c>
      <c r="FJ31" s="1">
        <f t="shared" si="50"/>
        <v>0</v>
      </c>
      <c r="FK31" s="1">
        <f t="shared" si="51"/>
        <v>0</v>
      </c>
      <c r="FL31" s="1">
        <f t="shared" si="52"/>
        <v>0</v>
      </c>
      <c r="FM31" s="1">
        <f t="shared" si="53"/>
        <v>0</v>
      </c>
      <c r="FN31" s="1">
        <f t="shared" si="54"/>
        <v>0</v>
      </c>
      <c r="FO31" s="1">
        <f t="shared" si="55"/>
        <v>0</v>
      </c>
      <c r="FP31" s="1">
        <f t="shared" si="56"/>
        <v>0</v>
      </c>
      <c r="FQ31" s="1">
        <f t="shared" si="57"/>
        <v>0</v>
      </c>
      <c r="FS31" s="1">
        <f t="shared" si="58"/>
        <v>0</v>
      </c>
      <c r="FT31" s="1">
        <f t="shared" si="59"/>
        <v>0</v>
      </c>
      <c r="FU31" s="38">
        <f t="shared" si="60"/>
        <v>0</v>
      </c>
      <c r="FV31" s="38">
        <f t="shared" si="61"/>
        <v>0</v>
      </c>
      <c r="FW31" s="38">
        <f t="shared" si="62"/>
        <v>0</v>
      </c>
      <c r="FX31" s="38">
        <f t="shared" si="63"/>
        <v>0</v>
      </c>
      <c r="FY31" s="38">
        <f t="shared" si="64"/>
        <v>0</v>
      </c>
      <c r="FZ31" s="38">
        <f t="shared" si="65"/>
        <v>0</v>
      </c>
      <c r="GA31" s="38">
        <f t="shared" si="66"/>
        <v>0</v>
      </c>
      <c r="GB31" s="38">
        <f t="shared" si="67"/>
        <v>0</v>
      </c>
      <c r="GC31" s="38">
        <f t="shared" si="68"/>
        <v>0</v>
      </c>
      <c r="GD31" s="38">
        <f t="shared" si="69"/>
        <v>0</v>
      </c>
      <c r="GE31" s="38">
        <f t="shared" si="70"/>
        <v>0</v>
      </c>
      <c r="GF31" s="38">
        <f t="shared" si="71"/>
        <v>0</v>
      </c>
      <c r="GG31" s="38">
        <f t="shared" si="72"/>
        <v>0</v>
      </c>
      <c r="GH31" s="38">
        <f t="shared" si="73"/>
        <v>0</v>
      </c>
      <c r="GI31" s="38">
        <f t="shared" si="74"/>
        <v>0</v>
      </c>
      <c r="GJ31" s="38">
        <f t="shared" si="75"/>
        <v>0</v>
      </c>
      <c r="GL31" s="38">
        <f t="shared" si="76"/>
        <v>0</v>
      </c>
      <c r="GM31" s="38">
        <f t="shared" si="77"/>
        <v>0</v>
      </c>
      <c r="GN31" s="1" t="s">
        <v>2</v>
      </c>
      <c r="GO31" s="2">
        <f t="shared" si="78"/>
        <v>0.55579999999999996</v>
      </c>
      <c r="GP31" s="2">
        <f t="shared" si="79"/>
        <v>5.6171284634760704E-2</v>
      </c>
      <c r="GQ31" s="41">
        <f t="shared" si="80"/>
        <v>0.31219999999999998</v>
      </c>
      <c r="GR31" s="41">
        <f t="shared" si="81"/>
        <v>1500.9531222182304</v>
      </c>
      <c r="GS31" s="14">
        <f t="shared" si="82"/>
        <v>2700.5273879421202</v>
      </c>
      <c r="GT31" s="1">
        <f t="shared" si="87"/>
        <v>0</v>
      </c>
      <c r="GU31" s="1">
        <f t="shared" si="88"/>
        <v>8.7300000000000003E-2</v>
      </c>
      <c r="GV31" s="1">
        <f t="shared" si="89"/>
        <v>0.22489999999999999</v>
      </c>
      <c r="GW31" s="37">
        <f t="shared" si="83"/>
        <v>0</v>
      </c>
      <c r="GX31" s="37"/>
      <c r="GY31" s="37"/>
      <c r="GZ31" s="37"/>
      <c r="HB31" s="1">
        <f t="shared" si="90"/>
        <v>0</v>
      </c>
      <c r="HC31" s="1">
        <f t="shared" si="91"/>
        <v>0</v>
      </c>
      <c r="HD31" s="37" t="s">
        <v>2</v>
      </c>
      <c r="HE31" s="1" t="s">
        <v>118</v>
      </c>
      <c r="HF31" s="1" t="s">
        <v>119</v>
      </c>
      <c r="HI31" s="1" t="s">
        <v>96</v>
      </c>
      <c r="HJ31" s="37" t="s">
        <v>2</v>
      </c>
      <c r="HK31" s="37" t="s">
        <v>113</v>
      </c>
      <c r="HL31" s="37" t="s">
        <v>831</v>
      </c>
      <c r="HM31" s="37" t="s">
        <v>163</v>
      </c>
      <c r="HN31" s="45">
        <f>SUM(GT501:GT502)</f>
        <v>0</v>
      </c>
      <c r="HO31" s="45">
        <f>SUM(GU501:GU502)</f>
        <v>0</v>
      </c>
      <c r="HP31" s="41">
        <f>SUM(GV501:GV502)</f>
        <v>34.515000000000001</v>
      </c>
      <c r="HQ31" s="37">
        <f>SUM(GO501:GO502)</f>
        <v>8.9700000000000006</v>
      </c>
      <c r="HR31" s="44">
        <f t="shared" si="118"/>
        <v>0.38478260869565217</v>
      </c>
      <c r="HS31" s="44">
        <f>MIN(GP501:GP502)</f>
        <v>0.35</v>
      </c>
      <c r="HT31" s="44">
        <f>MAX(GP501:GP502)</f>
        <v>0.47</v>
      </c>
      <c r="HU31" s="41">
        <f>SUM(GQ501:GQ502)</f>
        <v>34.515000000000001</v>
      </c>
      <c r="HV31" s="41">
        <f>SUM(GR501:GR502)/SUM(GO501:GO502)</f>
        <v>60.686604133333326</v>
      </c>
      <c r="HW31" s="37">
        <f>COUNT(GQ501:GQ502)</f>
        <v>2</v>
      </c>
      <c r="HX31" s="45">
        <f>SUM(HB501:HB502)</f>
        <v>0</v>
      </c>
      <c r="HY31" s="45">
        <f>SUM(HC501:HC502)</f>
        <v>0</v>
      </c>
      <c r="HZ31" s="37" t="s">
        <v>1318</v>
      </c>
      <c r="IA31" s="37" t="s">
        <v>1318</v>
      </c>
      <c r="IB31" s="37" t="s">
        <v>1318</v>
      </c>
      <c r="IC31" s="37" t="s">
        <v>1318</v>
      </c>
      <c r="ID31" s="37">
        <f>COUNT(GY501:GY502)</f>
        <v>0</v>
      </c>
      <c r="IF31" s="14">
        <f t="shared" ref="IF31:IN31" si="138">100*SUM(EI501:EI502)/SUM($EI501:$FA502)</f>
        <v>8.3530364575657607</v>
      </c>
      <c r="IG31" s="1">
        <f t="shared" si="138"/>
        <v>0</v>
      </c>
      <c r="IH31" s="1">
        <f t="shared" si="138"/>
        <v>0</v>
      </c>
      <c r="II31" s="1">
        <f t="shared" si="138"/>
        <v>0</v>
      </c>
      <c r="IJ31" s="1">
        <f t="shared" si="138"/>
        <v>0</v>
      </c>
      <c r="IK31" s="1">
        <f t="shared" si="138"/>
        <v>0</v>
      </c>
      <c r="IL31" s="1">
        <f t="shared" si="138"/>
        <v>0</v>
      </c>
      <c r="IM31" s="14">
        <f t="shared" si="138"/>
        <v>83.149143085156496</v>
      </c>
      <c r="IN31" s="14">
        <f t="shared" si="138"/>
        <v>8.4978204572777507</v>
      </c>
      <c r="IO31" s="1">
        <f>100*SUM(ER501:EV502)/SUM($EI501:$FA502)</f>
        <v>0</v>
      </c>
      <c r="IP31" s="1">
        <f>100*SUM(EW501:EW502)/SUM($EI501:$FA502)</f>
        <v>0</v>
      </c>
      <c r="IQ31" s="1">
        <f>100*SUM(EX501:EX502)/SUM($EI501:$FA502)</f>
        <v>0</v>
      </c>
      <c r="IR31" s="1">
        <f>100*SUM(EZ501:EZ502)/SUM($EI501:$FA502)</f>
        <v>0</v>
      </c>
      <c r="IS31" s="1">
        <f>100*SUM(FA501:FA502)/SUM($EI501:$FA502)</f>
        <v>0</v>
      </c>
      <c r="JH31" s="58" t="s">
        <v>2</v>
      </c>
    </row>
    <row r="32" spans="1:268" ht="16.25" customHeight="1" x14ac:dyDescent="0.2">
      <c r="A32" s="16" t="s">
        <v>124</v>
      </c>
      <c r="B32" s="57" t="s">
        <v>69</v>
      </c>
      <c r="C32" s="57"/>
      <c r="D32" s="57"/>
      <c r="E32" s="57" t="s">
        <v>72</v>
      </c>
      <c r="F32" s="57" t="s">
        <v>125</v>
      </c>
      <c r="G32" s="57"/>
      <c r="H32" s="57" t="s">
        <v>95</v>
      </c>
      <c r="I32" s="57">
        <v>0</v>
      </c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>
        <f>1.3+19.8</f>
        <v>21.1</v>
      </c>
      <c r="AE32" s="2">
        <f>(0.075*1.3+0.034*19.8)/AD32</f>
        <v>3.6526066350710901E-2</v>
      </c>
      <c r="AF32" s="57"/>
      <c r="AG32" s="57"/>
      <c r="AH32" s="2">
        <f>((0.069*1.3+0.072*19.8)/AD32)/1.179</f>
        <v>6.0911930345018871E-2</v>
      </c>
      <c r="AI32" s="2"/>
      <c r="AJ32" s="57"/>
      <c r="AK32" s="13">
        <f>(0.128*1.3+0.134*19.8)/AD32</f>
        <v>0.13363033175355452</v>
      </c>
      <c r="AL32" s="2">
        <f>(0.044*1.3+0.063*19.8)/AD32</f>
        <v>6.1829383886255918E-2</v>
      </c>
      <c r="AM32" s="2">
        <f>(0.021*1.3+0.031*19.8)/AD32</f>
        <v>3.038388625592417E-2</v>
      </c>
      <c r="AN32" s="57"/>
      <c r="AO32" s="57"/>
      <c r="AP32" s="57"/>
      <c r="AQ32" s="57"/>
      <c r="AR32" s="57"/>
      <c r="AS32" s="57"/>
      <c r="AT32" s="57"/>
      <c r="AU32" s="57"/>
      <c r="AV32" s="17">
        <f>(60*1.3+30*13.2)/(1.3+13.2)</f>
        <v>32.689655172413794</v>
      </c>
      <c r="AW32" s="57"/>
      <c r="AX32" s="57"/>
      <c r="AY32" s="57">
        <f>2.5+10.4</f>
        <v>12.9</v>
      </c>
      <c r="AZ32" s="2">
        <f>(0.027*2.5+0.011*10.4)/AY32</f>
        <v>1.4100775193798449E-2</v>
      </c>
      <c r="BA32" s="57"/>
      <c r="BB32" s="57"/>
      <c r="BC32" s="2">
        <f>((0.038*2.5+0.033*10.4)/AY32)/1.179</f>
        <v>2.8811698259594586E-2</v>
      </c>
      <c r="BD32" s="2"/>
      <c r="BE32" s="57"/>
      <c r="BF32" s="2">
        <f>(0.05*2.5+0.032*10.4)/AY32</f>
        <v>3.548837209302326E-2</v>
      </c>
      <c r="BG32" s="2">
        <f>(0.025*2.5+0.025*10.4)/AY32</f>
        <v>2.5000000000000001E-2</v>
      </c>
      <c r="BH32" s="2">
        <f>(0.014*2.5+0.014*10.4)/AY32</f>
        <v>1.4E-2</v>
      </c>
      <c r="BI32" s="57"/>
      <c r="BJ32" s="57"/>
      <c r="BK32" s="57"/>
      <c r="BL32" s="57"/>
      <c r="BM32" s="57"/>
      <c r="BN32" s="57"/>
      <c r="BO32" s="57"/>
      <c r="BP32" s="57"/>
      <c r="BQ32" s="17">
        <f>(20*2.5+20*16.1)/(2.5+16.1)</f>
        <v>20</v>
      </c>
      <c r="BR32" s="57"/>
      <c r="BS32" s="57"/>
      <c r="BT32" s="57">
        <v>0</v>
      </c>
      <c r="BU32" s="57"/>
      <c r="BV32" s="57"/>
      <c r="BW32" s="57"/>
      <c r="BX32" s="57"/>
      <c r="BY32" s="57"/>
      <c r="BZ32" s="57"/>
      <c r="CA32" s="57"/>
      <c r="CB32" s="57"/>
      <c r="CC32" s="57"/>
      <c r="CD32" s="57"/>
      <c r="CE32" s="57"/>
      <c r="CF32" s="57"/>
      <c r="CG32" s="57"/>
      <c r="CH32" s="57"/>
      <c r="CI32" s="57"/>
      <c r="CJ32" s="57"/>
      <c r="CK32" s="57"/>
      <c r="CL32" s="57"/>
      <c r="CM32" s="57"/>
      <c r="CN32" s="57"/>
      <c r="CO32" s="57">
        <v>0</v>
      </c>
      <c r="CP32" s="57"/>
      <c r="CQ32" s="57"/>
      <c r="CR32" s="57"/>
      <c r="CS32" s="57"/>
      <c r="CT32" s="57"/>
      <c r="CU32" s="57"/>
      <c r="CV32" s="57"/>
      <c r="CW32" s="57"/>
      <c r="CX32" s="57"/>
      <c r="CY32" s="57"/>
      <c r="CZ32" s="57"/>
      <c r="DA32" s="57"/>
      <c r="DB32" s="57"/>
      <c r="DC32" s="57"/>
      <c r="DD32" s="57"/>
      <c r="DE32" s="57"/>
      <c r="DF32" s="57"/>
      <c r="DG32" s="57"/>
      <c r="DH32" s="57"/>
      <c r="DI32" s="57"/>
      <c r="DJ32" s="57" t="s">
        <v>96</v>
      </c>
      <c r="DK32" s="57" t="s">
        <v>96</v>
      </c>
      <c r="DL32" s="57">
        <f t="shared" ref="DL32:DL69" si="139">(Q32*I32+AL32*AD32+BG32*AY32)/(I32+AD32+AY32)</f>
        <v>4.7855882352941179E-2</v>
      </c>
      <c r="DM32" s="57">
        <f t="shared" ref="DM32:DM69" si="140">(R32*I32+AM32*AD32+BH32*AY32)/(I32+AD32+AY32)</f>
        <v>2.416764705882353E-2</v>
      </c>
      <c r="DN32" s="57" t="s">
        <v>126</v>
      </c>
      <c r="DO32" s="57" t="s">
        <v>2</v>
      </c>
      <c r="DP32" s="38">
        <f t="shared" ref="DP32:DP63" si="141">(J32*$I32+AE32*$AD32+AZ32*$AY32)/100</f>
        <v>9.5260000000000015E-3</v>
      </c>
      <c r="DQ32" s="38">
        <f t="shared" ref="DQ32:DQ63" si="142">K32*$I32+AF32*$AD32+BA32*$AY32</f>
        <v>0</v>
      </c>
      <c r="DR32" s="38">
        <f t="shared" ref="DR32:DR63" si="143">L32*$I32+AG32*$AD32+BB32*$AY32</f>
        <v>0</v>
      </c>
      <c r="DS32" s="38">
        <f t="shared" ref="DS32:DS63" si="144">(M32*$I32+AH32*$AD32+BC32*$AY32)/100</f>
        <v>1.6569126378286683E-2</v>
      </c>
      <c r="DT32" s="38">
        <f t="shared" ref="DT32:DT63" si="145">(N32*$I32+AI32*$AD32+BD32*$AY32)/100</f>
        <v>0</v>
      </c>
      <c r="DU32" s="38">
        <f t="shared" ref="DU32:DU63" si="146">(O32*$I32+AJ32*$AD32+BE32*$AY32)/100</f>
        <v>0</v>
      </c>
      <c r="DV32" s="38">
        <f t="shared" ref="DV32:DV63" si="147">(P32*$I32+AK32*$AD32+BF32*$AY32)/100</f>
        <v>3.2774000000000005E-2</v>
      </c>
      <c r="DW32" s="38">
        <f t="shared" ref="DW32:DW63" si="148">(Q32*$I32+AL32*$AD32+BG32*$AY32)/100</f>
        <v>1.6271000000000001E-2</v>
      </c>
      <c r="DX32" s="38">
        <f t="shared" ref="DX32:DX63" si="149">(R32*$I32+AM32*$AD32+BH32*$AY32)/100</f>
        <v>8.2170000000000003E-3</v>
      </c>
      <c r="DY32" s="38">
        <f t="shared" ref="DY32:DY63" si="150">S32*$I32+AN32*$AD32+BI32*$AY32</f>
        <v>0</v>
      </c>
      <c r="DZ32" s="38">
        <f t="shared" ref="DZ32:DZ63" si="151">T32*$I32+AO32*$AD32+BJ32*$AY32</f>
        <v>0</v>
      </c>
      <c r="EA32" s="38">
        <f t="shared" ref="EA32:EA63" si="152">U32*$I32+AP32*$AD32+BK32*$AY32</f>
        <v>0</v>
      </c>
      <c r="EB32" s="38">
        <f t="shared" ref="EB32:EB63" si="153">V32*$I32+AQ32*$AD32+BL32*$AY32</f>
        <v>0</v>
      </c>
      <c r="EC32" s="38">
        <f t="shared" ref="EC32:EC63" si="154">W32*$I32+AR32*$AD32+BM32*$AY32</f>
        <v>0</v>
      </c>
      <c r="ED32" s="38">
        <f t="shared" ref="ED32:ED63" si="155">(X32*$I32+AS32*$AD32+BN32*$AY32)/100</f>
        <v>0</v>
      </c>
      <c r="EE32" s="38">
        <f t="shared" ref="EE32:EE63" si="156">(Y32*$I32+AT32*$AD32+BO32*$AY32)/100</f>
        <v>0</v>
      </c>
      <c r="EF32" s="57"/>
      <c r="EG32" s="38">
        <f t="shared" ref="EG32:EG63" si="157">AA32*$I32+AV32*$AD32+BQ32*$AY32</f>
        <v>947.75172413793109</v>
      </c>
      <c r="EH32" s="38">
        <f t="shared" ref="EH32:EH63" si="158">(AB32*$I32+AW32*$AD32+BR32*$AY32)/100</f>
        <v>0</v>
      </c>
      <c r="EI32" s="38">
        <f t="shared" ref="EI32:EI94" si="159">EI$1*DP32</f>
        <v>62.163018016000009</v>
      </c>
      <c r="EJ32" s="38">
        <f t="shared" ref="EJ32:EJ94" si="160">EJ$1*DQ32/1000000</f>
        <v>0</v>
      </c>
      <c r="EK32" s="38">
        <f t="shared" ref="EK32:EK94" si="161">EK$1*DR32/1000000</f>
        <v>0</v>
      </c>
      <c r="EL32" s="38">
        <f t="shared" ref="EL32:EL94" si="162">EL$1*DS32</f>
        <v>1094.4099806067859</v>
      </c>
      <c r="EM32" s="38">
        <f t="shared" ref="EM32:EM94" si="163">EM$1*DT32</f>
        <v>0</v>
      </c>
      <c r="EN32" s="38">
        <f t="shared" ref="EN32:EN94" si="164">EN$1*DU32</f>
        <v>0</v>
      </c>
      <c r="EO32" s="38">
        <f t="shared" ref="EO32:EO94" si="165">EO$1*DV32</f>
        <v>95.880474650800011</v>
      </c>
      <c r="EP32" s="38">
        <f t="shared" ref="EP32:EP94" si="166">EP$1*DW32</f>
        <v>213.377894</v>
      </c>
      <c r="EQ32" s="38">
        <f t="shared" ref="EQ32:EQ94" si="167">EQ$1*DX32</f>
        <v>596.71462870799996</v>
      </c>
      <c r="ER32" s="38">
        <f t="shared" ref="ER32:ER94" si="168">ER$1*DY32/1000000</f>
        <v>0</v>
      </c>
      <c r="ES32" s="38">
        <f t="shared" ref="ES32:ES94" si="169">ES$1*DZ32/1000000</f>
        <v>0</v>
      </c>
      <c r="ET32" s="38">
        <f t="shared" ref="ET32:ET94" si="170">ET$1*EA32/1000000</f>
        <v>0</v>
      </c>
      <c r="EU32" s="38">
        <f t="shared" ref="EU32:EU94" si="171">EU$1*EB32/1000000</f>
        <v>0</v>
      </c>
      <c r="EV32" s="38">
        <f t="shared" ref="EV32:EV94" si="172">EV$1*EC32/1000000</f>
        <v>0</v>
      </c>
      <c r="EW32" s="38">
        <f t="shared" ref="EW32:EW94" si="173">EW$1*ED32</f>
        <v>0</v>
      </c>
      <c r="EX32" s="38">
        <f t="shared" ref="EX32:EX94" si="174">EX$1*EE32</f>
        <v>0</v>
      </c>
      <c r="EY32" s="57"/>
      <c r="EZ32" s="38">
        <f t="shared" ref="EZ32:EZ94" si="175">EZ$1*EG32/1000000</f>
        <v>341.19062068965519</v>
      </c>
      <c r="FA32" s="38">
        <f t="shared" ref="FA32:FA94" si="176">FA$1*EH32</f>
        <v>0</v>
      </c>
      <c r="FB32" s="57">
        <f t="shared" ref="FB32:FB63" si="177">(BU32*$BT32+CP32*$CO32)/100</f>
        <v>0</v>
      </c>
      <c r="FC32" s="57">
        <f t="shared" ref="FC32:FC63" si="178">BV32*$BT32+CQ32*$CO32</f>
        <v>0</v>
      </c>
      <c r="FD32" s="57">
        <f t="shared" ref="FD32:FD63" si="179">BW32*$BT32+CR32*$CO32</f>
        <v>0</v>
      </c>
      <c r="FE32" s="57">
        <f t="shared" ref="FE32:FE63" si="180">(BX32*$BT32+CS32*$CO32)/100</f>
        <v>0</v>
      </c>
      <c r="FF32" s="57">
        <f t="shared" ref="FF32:FF63" si="181">(BY32*$BT32+CT32*$CO32)/100</f>
        <v>0</v>
      </c>
      <c r="FG32" s="57">
        <f t="shared" ref="FG32:FG63" si="182">(BZ32*$BT32+CU32*$CO32)/100</f>
        <v>0</v>
      </c>
      <c r="FH32" s="57">
        <f t="shared" ref="FH32:FH63" si="183">(CA32*$BT32+CV32*$CO32)/100</f>
        <v>0</v>
      </c>
      <c r="FI32" s="57">
        <f t="shared" ref="FI32:FI63" si="184">(CB32*$BT32+CW32*$CO32)/100</f>
        <v>0</v>
      </c>
      <c r="FJ32" s="57">
        <f t="shared" ref="FJ32:FJ63" si="185">(CC32*$BT32+CX32*$CO32)/100</f>
        <v>0</v>
      </c>
      <c r="FK32" s="57">
        <f t="shared" ref="FK32:FK63" si="186">CD32*$BT32+CY32*$CO32</f>
        <v>0</v>
      </c>
      <c r="FL32" s="57">
        <f t="shared" ref="FL32:FL63" si="187">CE32*$BT32+CZ32*$CO32</f>
        <v>0</v>
      </c>
      <c r="FM32" s="57">
        <f t="shared" ref="FM32:FM63" si="188">CF32*$BT32+DA32*$CO32</f>
        <v>0</v>
      </c>
      <c r="FN32" s="57">
        <f t="shared" ref="FN32:FN63" si="189">CG32*$BT32+DB32*$CO32</f>
        <v>0</v>
      </c>
      <c r="FO32" s="57">
        <f t="shared" ref="FO32:FO63" si="190">CH32*$BT32+DC32*$CO32</f>
        <v>0</v>
      </c>
      <c r="FP32" s="57">
        <f t="shared" ref="FP32:FP63" si="191">(CI32*$BT32+DD32*$CO32)/100</f>
        <v>0</v>
      </c>
      <c r="FQ32" s="57">
        <f t="shared" ref="FQ32:FQ63" si="192">(CJ32*$BT32+DE32*$CO32)/100</f>
        <v>0</v>
      </c>
      <c r="FR32" s="57"/>
      <c r="FS32" s="57">
        <f t="shared" ref="FS32:FS63" si="193">CL32*$BT32+DG32*$CO32</f>
        <v>0</v>
      </c>
      <c r="FT32" s="57">
        <f t="shared" ref="FT32:FT63" si="194">(CM32*$BT32+DH32*$CO32)/100</f>
        <v>0</v>
      </c>
      <c r="FU32" s="38">
        <f t="shared" ref="FU32:FU94" si="195">FU$1*FB32</f>
        <v>0</v>
      </c>
      <c r="FV32" s="38">
        <f t="shared" ref="FV32:FV94" si="196">FV$1*FC32/1000000</f>
        <v>0</v>
      </c>
      <c r="FW32" s="38">
        <f t="shared" ref="FW32:FW94" si="197">FW$1*FD32/1000000</f>
        <v>0</v>
      </c>
      <c r="FX32" s="38">
        <f t="shared" ref="FX32:FX94" si="198">FX$1*FE32</f>
        <v>0</v>
      </c>
      <c r="FY32" s="38">
        <f t="shared" ref="FY32:FY94" si="199">FY$1*FF32</f>
        <v>0</v>
      </c>
      <c r="FZ32" s="38">
        <f t="shared" ref="FZ32:FZ94" si="200">FZ$1*FG32</f>
        <v>0</v>
      </c>
      <c r="GA32" s="38">
        <f t="shared" ref="GA32:GA94" si="201">GA$1*FH32</f>
        <v>0</v>
      </c>
      <c r="GB32" s="38">
        <f t="shared" ref="GB32:GB94" si="202">GB$1*FI32</f>
        <v>0</v>
      </c>
      <c r="GC32" s="38">
        <f t="shared" ref="GC32:GC94" si="203">GC$1*FJ32</f>
        <v>0</v>
      </c>
      <c r="GD32" s="38">
        <f t="shared" ref="GD32:GD94" si="204">GD$1*FK32/1000000</f>
        <v>0</v>
      </c>
      <c r="GE32" s="38">
        <f t="shared" ref="GE32:GE94" si="205">GE$1*FL32/1000000</f>
        <v>0</v>
      </c>
      <c r="GF32" s="38">
        <f t="shared" ref="GF32:GF94" si="206">GF$1*FM32/1000000</f>
        <v>0</v>
      </c>
      <c r="GG32" s="38">
        <f t="shared" ref="GG32:GG94" si="207">GG$1*FN32/1000000</f>
        <v>0</v>
      </c>
      <c r="GH32" s="38">
        <f t="shared" ref="GH32:GH94" si="208">GH$1*FO32/1000000</f>
        <v>0</v>
      </c>
      <c r="GI32" s="38">
        <f t="shared" ref="GI32:GI94" si="209">GI$1*FP32</f>
        <v>0</v>
      </c>
      <c r="GJ32" s="38">
        <f t="shared" ref="GJ32:GJ94" si="210">GJ$1*FQ32</f>
        <v>0</v>
      </c>
      <c r="GK32" s="57"/>
      <c r="GL32" s="38">
        <f t="shared" ref="GL32:GL94" si="211">GL$1*FS32/1000000</f>
        <v>0</v>
      </c>
      <c r="GM32" s="38">
        <f t="shared" ref="GM32:GM94" si="212">GM$1*FT32</f>
        <v>0</v>
      </c>
      <c r="GN32" s="57" t="s">
        <v>2</v>
      </c>
      <c r="GO32" s="57">
        <f t="shared" ref="GO32:GO69" si="213">I32+AD32+AY32</f>
        <v>34</v>
      </c>
      <c r="GP32" s="2">
        <f t="shared" ref="GP32:GP69" si="214">(I32*Q32+AD32*AL32+AY32*BG32)/GO32</f>
        <v>4.7855882352941179E-2</v>
      </c>
      <c r="GQ32" s="41">
        <f t="shared" ref="GQ32:GQ69" si="215">1000*GO32*GP32/100</f>
        <v>16.271000000000001</v>
      </c>
      <c r="GR32" s="41">
        <f t="shared" ref="GR32:GR69" si="216">SUM(EI32:FA32)</f>
        <v>2403.7366166712413</v>
      </c>
      <c r="GS32" s="14">
        <f t="shared" ref="GS32:GS69" si="217">GR32/GO32</f>
        <v>70.698135784448269</v>
      </c>
      <c r="GT32" s="57">
        <f t="shared" ref="GT32:GT63" si="218">1000*(Q32*$I32)/100</f>
        <v>0</v>
      </c>
      <c r="GU32" s="57">
        <f t="shared" ref="GU32:GU63" si="219">1000*(AL32*$AD32)/100</f>
        <v>13.045999999999999</v>
      </c>
      <c r="GV32" s="57">
        <f t="shared" ref="GV32:GV63" si="220">1000*(BG32*$AY32)/100</f>
        <v>3.2250000000000001</v>
      </c>
      <c r="GW32" s="58">
        <f t="shared" ref="GW32:GW69" si="221">BT32+CO32</f>
        <v>0</v>
      </c>
      <c r="GX32" s="58"/>
      <c r="GY32" s="58"/>
      <c r="GZ32" s="58"/>
      <c r="HA32" s="57"/>
      <c r="HB32" s="57">
        <f t="shared" ref="HB32:HB63" si="222">1000*(CB32*$BT32)/100</f>
        <v>0</v>
      </c>
      <c r="HC32" s="57">
        <f t="shared" ref="HC32:HC63" si="223">1000*(CW32*$CO32)/100</f>
        <v>0</v>
      </c>
      <c r="HD32" s="58" t="s">
        <v>2</v>
      </c>
      <c r="HE32" s="62" t="s">
        <v>118</v>
      </c>
      <c r="HF32" s="57" t="s">
        <v>119</v>
      </c>
      <c r="HG32" s="57"/>
      <c r="HH32" s="57"/>
      <c r="HI32" s="57" t="s">
        <v>96</v>
      </c>
      <c r="HJ32" s="58" t="s">
        <v>2</v>
      </c>
      <c r="HK32" s="37" t="s">
        <v>113</v>
      </c>
      <c r="HL32" s="37" t="s">
        <v>129</v>
      </c>
      <c r="HM32" s="37" t="s">
        <v>96</v>
      </c>
      <c r="HN32" s="42">
        <f>SUM(GT503:GT561)</f>
        <v>2999.5329707000014</v>
      </c>
      <c r="HO32" s="42">
        <f>SUM(GU503:GU561)</f>
        <v>18732.960306699999</v>
      </c>
      <c r="HP32" s="42">
        <f>SUM(GV503:GV561)</f>
        <v>10617.600204799995</v>
      </c>
      <c r="HQ32" s="42">
        <f>SUM(GO503:GO561)</f>
        <v>8926.3666690000045</v>
      </c>
      <c r="HR32" s="44">
        <f t="shared" si="118"/>
        <v>0.36241053814814972</v>
      </c>
      <c r="HS32" s="44">
        <f>MIN(GP503:GP561)</f>
        <v>9.5406884632003447E-3</v>
      </c>
      <c r="HT32" s="44">
        <f>MAX(GP503:GP561)</f>
        <v>3.2753609687936662</v>
      </c>
      <c r="HU32" s="42">
        <f>SUM(GQ503:GQ561)</f>
        <v>32350.093482199984</v>
      </c>
      <c r="HV32" s="41">
        <f>SUM(GR503:GR561)/SUM(GO503:GO561)</f>
        <v>149.83398782008774</v>
      </c>
      <c r="HW32" s="37">
        <f>COUNT(GQ503:GQ561)</f>
        <v>59</v>
      </c>
      <c r="HX32" s="42">
        <f>SUM(HB503:HB561)</f>
        <v>3206.8284300000005</v>
      </c>
      <c r="HY32" s="42">
        <f>SUM(HC503:HC561)</f>
        <v>4442.4491851999992</v>
      </c>
      <c r="HZ32" s="42">
        <f>SUM(GW503:GW561)</f>
        <v>1007.2476579999999</v>
      </c>
      <c r="IA32" s="44">
        <f t="shared" ref="IA32:IA33" si="224">100*(IB32/1000)/HZ32</f>
        <v>0.75942371813387732</v>
      </c>
      <c r="IB32" s="42">
        <f>SUM(GY503:GY561)</f>
        <v>7649.2776151999997</v>
      </c>
      <c r="IC32" s="41">
        <f>SUM(GZ503:GZ561)/SUM(GW503:GW561)</f>
        <v>322.83610928177274</v>
      </c>
      <c r="ID32" s="37">
        <f>COUNT(GY503:GY561)</f>
        <v>10</v>
      </c>
      <c r="IF32" s="14">
        <f t="shared" ref="IF32:IN32" si="225">100*SUM(EI503:EI561)/SUM($EI503:$FA561)</f>
        <v>26.185496942072973</v>
      </c>
      <c r="IG32" s="14">
        <f t="shared" si="225"/>
        <v>2.3756405629367454</v>
      </c>
      <c r="IH32" s="13">
        <f t="shared" si="225"/>
        <v>0.16788887501488456</v>
      </c>
      <c r="II32" s="38">
        <f t="shared" si="225"/>
        <v>0</v>
      </c>
      <c r="IJ32" s="38">
        <f t="shared" si="225"/>
        <v>0</v>
      </c>
      <c r="IK32" s="38">
        <f t="shared" si="225"/>
        <v>0</v>
      </c>
      <c r="IL32" s="2">
        <f t="shared" si="225"/>
        <v>9.609911239005911E-2</v>
      </c>
      <c r="IM32" s="14">
        <f t="shared" si="225"/>
        <v>31.719450749595929</v>
      </c>
      <c r="IN32" s="14">
        <f t="shared" si="225"/>
        <v>6.8113926043451976</v>
      </c>
      <c r="IO32" s="14">
        <f>100*SUM(ER503:EV561)/SUM($EI503:$FA561)</f>
        <v>32.644031153644022</v>
      </c>
      <c r="IP32" s="38">
        <f>100*SUM(EW503:EW561)/SUM($EI503:$FA561)</f>
        <v>0</v>
      </c>
      <c r="IQ32" s="38">
        <f>100*SUM(EX503:EX561)/SUM($EI503:$FA561)</f>
        <v>0</v>
      </c>
      <c r="IR32" s="38">
        <f>100*SUM(EZ503:EZ561)/SUM($EI503:$FA561)</f>
        <v>0</v>
      </c>
      <c r="IS32" s="38">
        <f>100*SUM(FA503:FA561)/SUM($EI503:$FA561)</f>
        <v>0</v>
      </c>
      <c r="IT32" s="14">
        <f t="shared" ref="IT32:JB32" si="226">100*SUM(FU503:FU561)/SUM($FU503:$GM561)</f>
        <v>26.586089808821253</v>
      </c>
      <c r="IU32" s="14">
        <f t="shared" si="226"/>
        <v>2.1794311483889794</v>
      </c>
      <c r="IV32" s="2">
        <f t="shared" si="226"/>
        <v>4.2163459787903597E-2</v>
      </c>
      <c r="IW32" s="38">
        <f t="shared" si="226"/>
        <v>0</v>
      </c>
      <c r="IX32" s="38">
        <f t="shared" si="226"/>
        <v>0</v>
      </c>
      <c r="IY32" s="38">
        <f t="shared" si="226"/>
        <v>0</v>
      </c>
      <c r="IZ32" s="38">
        <f t="shared" si="226"/>
        <v>0</v>
      </c>
      <c r="JA32" s="14">
        <f t="shared" si="226"/>
        <v>30.848725880645961</v>
      </c>
      <c r="JB32" s="14">
        <f t="shared" si="226"/>
        <v>5.1093717266819603</v>
      </c>
      <c r="JC32" s="14">
        <f>100*SUM(GD503:GH561)/SUM($FU503:$GM561)</f>
        <v>35.234217975673921</v>
      </c>
      <c r="JD32" s="38">
        <f>100*SUM(GI503:GI561)/SUM($FU503:$GM561)</f>
        <v>0</v>
      </c>
      <c r="JE32" s="38">
        <f>100*SUM(GJ503:GJ561)/SUM($FU503:$GM561)</f>
        <v>0</v>
      </c>
      <c r="JF32" s="38">
        <f>100*SUM(GL503:GL561)/SUM($FU503:$GM561)</f>
        <v>0</v>
      </c>
      <c r="JG32" s="38">
        <f>100*SUM(GM503:GM561)/SUM($FU503:$GM561)</f>
        <v>0</v>
      </c>
      <c r="JH32" s="58" t="s">
        <v>2</v>
      </c>
    </row>
    <row r="33" spans="1:268" ht="16.25" customHeight="1" x14ac:dyDescent="0.2">
      <c r="A33" s="16" t="s">
        <v>796</v>
      </c>
      <c r="B33" s="1" t="s">
        <v>69</v>
      </c>
      <c r="F33" s="1" t="s">
        <v>797</v>
      </c>
      <c r="I33" s="1">
        <v>0</v>
      </c>
      <c r="AD33" s="2">
        <v>0.45768700000000001</v>
      </c>
      <c r="AE33" s="1">
        <v>0.01</v>
      </c>
      <c r="AF33" s="1">
        <v>0.08</v>
      </c>
      <c r="AH33" s="13">
        <f>1.04/1.179</f>
        <v>0.88210347752332485</v>
      </c>
      <c r="AI33" s="13">
        <v>0.1</v>
      </c>
      <c r="AL33" s="1">
        <v>0.04</v>
      </c>
      <c r="AM33" s="1">
        <v>0.01</v>
      </c>
      <c r="AY33" s="2">
        <v>0.23900199999999999</v>
      </c>
      <c r="AZ33" s="1">
        <v>0.02</v>
      </c>
      <c r="BA33" s="1">
        <v>0.04</v>
      </c>
      <c r="BC33" s="13">
        <f>0.54/1.179</f>
        <v>0.4580152671755725</v>
      </c>
      <c r="BD33" s="1">
        <v>7.0000000000000007E-2</v>
      </c>
      <c r="BG33" s="1">
        <v>0.02</v>
      </c>
      <c r="BH33" s="1">
        <v>0.01</v>
      </c>
      <c r="BT33" s="1">
        <v>0</v>
      </c>
      <c r="CO33" s="1">
        <v>0</v>
      </c>
      <c r="DJ33" s="1" t="s">
        <v>96</v>
      </c>
      <c r="DK33" s="1" t="s">
        <v>96</v>
      </c>
      <c r="DL33" s="1">
        <f t="shared" si="139"/>
        <v>3.3138918513138577E-2</v>
      </c>
      <c r="DM33" s="1">
        <f t="shared" si="140"/>
        <v>0.01</v>
      </c>
      <c r="DN33" s="1" t="s">
        <v>798</v>
      </c>
      <c r="DO33" s="1" t="s">
        <v>2</v>
      </c>
      <c r="DP33" s="38">
        <f t="shared" si="141"/>
        <v>9.3569099999999992E-5</v>
      </c>
      <c r="DQ33" s="38">
        <f t="shared" si="142"/>
        <v>4.6175040000000001E-2</v>
      </c>
      <c r="DR33" s="38">
        <f t="shared" si="143"/>
        <v>0</v>
      </c>
      <c r="DS33" s="38">
        <f t="shared" si="144"/>
        <v>5.1319385920271417E-3</v>
      </c>
      <c r="DT33" s="38">
        <f t="shared" si="145"/>
        <v>6.2498839999999996E-4</v>
      </c>
      <c r="DU33" s="38">
        <f t="shared" si="146"/>
        <v>0</v>
      </c>
      <c r="DV33" s="38">
        <f t="shared" si="147"/>
        <v>0</v>
      </c>
      <c r="DW33" s="38">
        <f t="shared" si="148"/>
        <v>2.308752E-4</v>
      </c>
      <c r="DX33" s="38">
        <f t="shared" si="149"/>
        <v>6.9668899999999993E-5</v>
      </c>
      <c r="DY33" s="38">
        <f t="shared" si="150"/>
        <v>0</v>
      </c>
      <c r="DZ33" s="38">
        <f t="shared" si="151"/>
        <v>0</v>
      </c>
      <c r="EA33" s="38">
        <f t="shared" si="152"/>
        <v>0</v>
      </c>
      <c r="EB33" s="38">
        <f t="shared" si="153"/>
        <v>0</v>
      </c>
      <c r="EC33" s="38">
        <f t="shared" si="154"/>
        <v>0</v>
      </c>
      <c r="ED33" s="38">
        <f t="shared" si="155"/>
        <v>0</v>
      </c>
      <c r="EE33" s="38">
        <f t="shared" si="156"/>
        <v>0</v>
      </c>
      <c r="EG33" s="38">
        <f t="shared" si="157"/>
        <v>0</v>
      </c>
      <c r="EH33" s="38">
        <f t="shared" si="158"/>
        <v>0</v>
      </c>
      <c r="EI33" s="38">
        <f t="shared" si="159"/>
        <v>0.61059601606559999</v>
      </c>
      <c r="EJ33" s="38">
        <f t="shared" si="160"/>
        <v>1.8885739832797426</v>
      </c>
      <c r="EK33" s="38">
        <f t="shared" si="161"/>
        <v>0</v>
      </c>
      <c r="EL33" s="38">
        <f t="shared" si="162"/>
        <v>338.9704856337998</v>
      </c>
      <c r="EM33" s="38">
        <f t="shared" si="163"/>
        <v>16.899686335999998</v>
      </c>
      <c r="EN33" s="38">
        <f t="shared" si="164"/>
        <v>0</v>
      </c>
      <c r="EO33" s="38">
        <f t="shared" si="165"/>
        <v>0</v>
      </c>
      <c r="EP33" s="38">
        <f t="shared" si="166"/>
        <v>3.0276973728000001</v>
      </c>
      <c r="EQ33" s="38">
        <f t="shared" si="167"/>
        <v>5.0593223556035989</v>
      </c>
      <c r="ER33" s="38">
        <f t="shared" si="168"/>
        <v>0</v>
      </c>
      <c r="ES33" s="38">
        <f t="shared" si="169"/>
        <v>0</v>
      </c>
      <c r="ET33" s="38">
        <f t="shared" si="170"/>
        <v>0</v>
      </c>
      <c r="EU33" s="38">
        <f t="shared" si="171"/>
        <v>0</v>
      </c>
      <c r="EV33" s="38">
        <f t="shared" si="172"/>
        <v>0</v>
      </c>
      <c r="EW33" s="38">
        <f t="shared" si="173"/>
        <v>0</v>
      </c>
      <c r="EX33" s="38">
        <f t="shared" si="174"/>
        <v>0</v>
      </c>
      <c r="EZ33" s="38">
        <f t="shared" si="175"/>
        <v>0</v>
      </c>
      <c r="FA33" s="38">
        <f t="shared" si="176"/>
        <v>0</v>
      </c>
      <c r="FB33" s="1">
        <f t="shared" si="177"/>
        <v>0</v>
      </c>
      <c r="FC33" s="1">
        <f t="shared" si="178"/>
        <v>0</v>
      </c>
      <c r="FD33" s="1">
        <f t="shared" si="179"/>
        <v>0</v>
      </c>
      <c r="FE33" s="1">
        <f t="shared" si="180"/>
        <v>0</v>
      </c>
      <c r="FF33" s="1">
        <f t="shared" si="181"/>
        <v>0</v>
      </c>
      <c r="FG33" s="1">
        <f t="shared" si="182"/>
        <v>0</v>
      </c>
      <c r="FH33" s="1">
        <f t="shared" si="183"/>
        <v>0</v>
      </c>
      <c r="FI33" s="1">
        <f t="shared" si="184"/>
        <v>0</v>
      </c>
      <c r="FJ33" s="1">
        <f t="shared" si="185"/>
        <v>0</v>
      </c>
      <c r="FK33" s="1">
        <f t="shared" si="186"/>
        <v>0</v>
      </c>
      <c r="FL33" s="1">
        <f t="shared" si="187"/>
        <v>0</v>
      </c>
      <c r="FM33" s="1">
        <f t="shared" si="188"/>
        <v>0</v>
      </c>
      <c r="FN33" s="1">
        <f t="shared" si="189"/>
        <v>0</v>
      </c>
      <c r="FO33" s="1">
        <f t="shared" si="190"/>
        <v>0</v>
      </c>
      <c r="FP33" s="1">
        <f t="shared" si="191"/>
        <v>0</v>
      </c>
      <c r="FQ33" s="1">
        <f t="shared" si="192"/>
        <v>0</v>
      </c>
      <c r="FS33" s="1">
        <f t="shared" si="193"/>
        <v>0</v>
      </c>
      <c r="FT33" s="1">
        <f t="shared" si="194"/>
        <v>0</v>
      </c>
      <c r="FU33" s="38">
        <f t="shared" si="195"/>
        <v>0</v>
      </c>
      <c r="FV33" s="38">
        <f t="shared" si="196"/>
        <v>0</v>
      </c>
      <c r="FW33" s="38">
        <f t="shared" si="197"/>
        <v>0</v>
      </c>
      <c r="FX33" s="38">
        <f t="shared" si="198"/>
        <v>0</v>
      </c>
      <c r="FY33" s="38">
        <f t="shared" si="199"/>
        <v>0</v>
      </c>
      <c r="FZ33" s="38">
        <f t="shared" si="200"/>
        <v>0</v>
      </c>
      <c r="GA33" s="38">
        <f t="shared" si="201"/>
        <v>0</v>
      </c>
      <c r="GB33" s="38">
        <f t="shared" si="202"/>
        <v>0</v>
      </c>
      <c r="GC33" s="38">
        <f t="shared" si="203"/>
        <v>0</v>
      </c>
      <c r="GD33" s="38">
        <f t="shared" si="204"/>
        <v>0</v>
      </c>
      <c r="GE33" s="38">
        <f t="shared" si="205"/>
        <v>0</v>
      </c>
      <c r="GF33" s="38">
        <f t="shared" si="206"/>
        <v>0</v>
      </c>
      <c r="GG33" s="38">
        <f t="shared" si="207"/>
        <v>0</v>
      </c>
      <c r="GH33" s="38">
        <f t="shared" si="208"/>
        <v>0</v>
      </c>
      <c r="GI33" s="38">
        <f t="shared" si="209"/>
        <v>0</v>
      </c>
      <c r="GJ33" s="38">
        <f t="shared" si="210"/>
        <v>0</v>
      </c>
      <c r="GL33" s="38">
        <f t="shared" si="211"/>
        <v>0</v>
      </c>
      <c r="GM33" s="38">
        <f t="shared" si="212"/>
        <v>0</v>
      </c>
      <c r="GN33" s="1" t="s">
        <v>2</v>
      </c>
      <c r="GO33" s="2">
        <f t="shared" si="213"/>
        <v>0.696689</v>
      </c>
      <c r="GP33" s="2">
        <f t="shared" si="214"/>
        <v>3.3138918513138577E-2</v>
      </c>
      <c r="GQ33" s="41">
        <f t="shared" si="215"/>
        <v>0.2308752</v>
      </c>
      <c r="GR33" s="41">
        <f t="shared" si="216"/>
        <v>366.45636169754874</v>
      </c>
      <c r="GS33" s="14">
        <f t="shared" si="217"/>
        <v>525.99705420574855</v>
      </c>
      <c r="GT33" s="1">
        <f t="shared" si="218"/>
        <v>0</v>
      </c>
      <c r="GU33" s="1">
        <f t="shared" si="219"/>
        <v>0.18307480000000001</v>
      </c>
      <c r="GV33" s="1">
        <f t="shared" si="220"/>
        <v>4.7800400000000007E-2</v>
      </c>
      <c r="GW33" s="37">
        <f t="shared" si="221"/>
        <v>0</v>
      </c>
      <c r="GX33" s="37"/>
      <c r="GY33" s="37"/>
      <c r="GZ33" s="37"/>
      <c r="HB33" s="1">
        <f t="shared" si="222"/>
        <v>0</v>
      </c>
      <c r="HC33" s="1">
        <f t="shared" si="223"/>
        <v>0</v>
      </c>
      <c r="HD33" s="37" t="s">
        <v>2</v>
      </c>
      <c r="HE33" s="1" t="s">
        <v>118</v>
      </c>
      <c r="HF33" s="1" t="s">
        <v>119</v>
      </c>
      <c r="HI33" s="1" t="s">
        <v>96</v>
      </c>
      <c r="HJ33" s="37" t="s">
        <v>2</v>
      </c>
      <c r="HK33" s="37" t="s">
        <v>113</v>
      </c>
      <c r="HL33" s="37" t="s">
        <v>129</v>
      </c>
      <c r="HM33" s="37" t="s">
        <v>163</v>
      </c>
      <c r="HN33" s="45">
        <f>SUM(GT562:GT619)</f>
        <v>0</v>
      </c>
      <c r="HO33" s="45">
        <f>SUM(GU562:GU619)</f>
        <v>0</v>
      </c>
      <c r="HP33" s="42">
        <f>SUM(GV562:GV619)</f>
        <v>10440.054413210139</v>
      </c>
      <c r="HQ33" s="42">
        <f>SUM(GO562:GO619)</f>
        <v>2938.4900914630198</v>
      </c>
      <c r="HR33" s="44">
        <f t="shared" si="118"/>
        <v>0.35528635755964821</v>
      </c>
      <c r="HS33" s="44">
        <f>MIN(GP562:GP619)</f>
        <v>5.8139534883720929E-2</v>
      </c>
      <c r="HT33" s="44">
        <f>MAX(GP562:GP619)</f>
        <v>2.2999999999999998</v>
      </c>
      <c r="HU33" s="42">
        <f>SUM(GQ562:GQ619)</f>
        <v>10440.054413210139</v>
      </c>
      <c r="HV33" s="41">
        <f>SUM(GR562:GR619)/SUM(GO562:GO619)</f>
        <v>91.654835513020714</v>
      </c>
      <c r="HW33" s="37">
        <f>COUNT(GQ562:GQ619)</f>
        <v>58</v>
      </c>
      <c r="HX33" s="45">
        <f>SUM(HB562:HB619)</f>
        <v>0</v>
      </c>
      <c r="HY33" s="45">
        <f>SUM(HC562:HC619)</f>
        <v>0.6</v>
      </c>
      <c r="HZ33" s="56">
        <f>SUM(GW562:GW619)</f>
        <v>5.9999999999999991E-2</v>
      </c>
      <c r="IA33" s="44">
        <f t="shared" si="224"/>
        <v>1.0000000000000002</v>
      </c>
      <c r="IB33" s="42">
        <f>SUM(GY562:GY619)</f>
        <v>0.6</v>
      </c>
      <c r="IC33" s="41">
        <f>SUM(GZ562:GZ619)/SUM(GW562:GW619)</f>
        <v>1000.4863654019292</v>
      </c>
      <c r="ID33" s="37">
        <f>COUNT(GY562:GY619)</f>
        <v>1</v>
      </c>
      <c r="IF33" s="14">
        <f t="shared" ref="IF33:IN33" si="227">100*SUM(EI562:EI619)/SUM($EI562:$FA619)</f>
        <v>35.651091346750057</v>
      </c>
      <c r="IG33" s="14">
        <f t="shared" si="227"/>
        <v>2.7765416104216105</v>
      </c>
      <c r="IH33" s="27">
        <f t="shared" si="227"/>
        <v>3.2689836846542804E-4</v>
      </c>
      <c r="II33" s="1">
        <f t="shared" si="227"/>
        <v>0</v>
      </c>
      <c r="IJ33" s="1">
        <f t="shared" si="227"/>
        <v>0</v>
      </c>
      <c r="IK33" s="1">
        <f t="shared" si="227"/>
        <v>0</v>
      </c>
      <c r="IL33" s="1">
        <f t="shared" si="227"/>
        <v>0</v>
      </c>
      <c r="IM33" s="14">
        <f t="shared" si="227"/>
        <v>50.83447334729356</v>
      </c>
      <c r="IN33" s="14">
        <f t="shared" si="227"/>
        <v>6.2297687732519957</v>
      </c>
      <c r="IO33" s="14">
        <f>100*SUM(ER562:EV619)/SUM($EI562:$FA619)</f>
        <v>4.5077980239142805</v>
      </c>
      <c r="IP33" s="1">
        <f>100*SUM(EW562:EW619)/SUM($EI562:$FA619)</f>
        <v>0</v>
      </c>
      <c r="IQ33" s="1">
        <f>100*SUM(EX562:EX619)/SUM($EI562:$FA619)</f>
        <v>0</v>
      </c>
      <c r="IR33" s="1">
        <f>100*SUM(EZ562:EZ619)/SUM($EI562:$FA619)</f>
        <v>0</v>
      </c>
      <c r="IS33" s="1">
        <f>100*SUM(FA562:FA619)/SUM($EI562:$FA619)</f>
        <v>0</v>
      </c>
      <c r="IT33" s="1">
        <f t="shared" ref="IT33:JB33" si="228">100*SUM(FU562:FU619)/SUM($FU562:$GM619)</f>
        <v>0</v>
      </c>
      <c r="IU33" s="14">
        <f t="shared" si="228"/>
        <v>14.308153549341034</v>
      </c>
      <c r="IV33" s="1">
        <f t="shared" si="228"/>
        <v>0</v>
      </c>
      <c r="IW33" s="1">
        <f t="shared" si="228"/>
        <v>0</v>
      </c>
      <c r="IX33" s="1">
        <f t="shared" si="228"/>
        <v>0</v>
      </c>
      <c r="IY33" s="1">
        <f t="shared" si="228"/>
        <v>0</v>
      </c>
      <c r="IZ33" s="1">
        <f t="shared" si="228"/>
        <v>0</v>
      </c>
      <c r="JA33" s="14">
        <f t="shared" si="228"/>
        <v>13.107624904744867</v>
      </c>
      <c r="JB33" s="14">
        <f t="shared" si="228"/>
        <v>72.58422154591409</v>
      </c>
      <c r="JC33" s="1">
        <f>100*SUM(GD562:GH619)/SUM($FU562:$GM619)</f>
        <v>0</v>
      </c>
      <c r="JD33" s="1">
        <f>100*SUM(GI562:GI619)/SUM($FU562:$GM619)</f>
        <v>0</v>
      </c>
      <c r="JE33" s="1">
        <f>100*SUM(GJ562:GJ619)/SUM($FU562:$GM619)</f>
        <v>0</v>
      </c>
      <c r="JF33" s="1">
        <f>100*SUM(GL562:GL619)/SUM($FU562:$GM619)</f>
        <v>0</v>
      </c>
      <c r="JG33" s="1">
        <f>100*SUM(GM562:GM619)/SUM($FU562:$GM619)</f>
        <v>0</v>
      </c>
      <c r="JH33" s="58" t="s">
        <v>2</v>
      </c>
    </row>
    <row r="34" spans="1:268" ht="16.25" customHeight="1" x14ac:dyDescent="0.2">
      <c r="A34" s="16" t="s">
        <v>952</v>
      </c>
      <c r="B34" s="1" t="s">
        <v>64</v>
      </c>
      <c r="F34" s="1" t="s">
        <v>940</v>
      </c>
      <c r="I34" s="1">
        <f>0.843+2.51</f>
        <v>3.3529999999999998</v>
      </c>
      <c r="J34" s="13">
        <f>(0.87*0.843+0.56*2.51)/I34</f>
        <v>0.6379391589621235</v>
      </c>
      <c r="K34" s="13">
        <f>(0.87*0.843+0.24*2.51)/I34</f>
        <v>0.39839248434237995</v>
      </c>
      <c r="P34" s="13">
        <f>(0.44*0.843+0.3*2.51)/I34</f>
        <v>0.33519832985386216</v>
      </c>
      <c r="Q34" s="13">
        <f>(0.22*0.843+0.25*2.51)/I34</f>
        <v>0.24245750074560093</v>
      </c>
      <c r="R34" s="13">
        <f>(0.19*0.843+0.14*2.51)/I34</f>
        <v>0.15257083209066508</v>
      </c>
      <c r="AD34" s="1">
        <f>0.493+3.639</f>
        <v>4.1319999999999997</v>
      </c>
      <c r="AE34" s="13">
        <f>(0.35*0.493+0.34*3.639)/AD34</f>
        <v>0.34119312681510167</v>
      </c>
      <c r="AF34" s="13">
        <f>(1.11*0.493+0.36*3.639)/AD34</f>
        <v>0.44948451113262339</v>
      </c>
      <c r="AK34" s="13">
        <f>(0.13*0.493+0.21*3.639)/AD34</f>
        <v>0.20045498547918683</v>
      </c>
      <c r="AL34" s="13">
        <f>(0.27*0.493+0.27*3.639)/AD34</f>
        <v>0.27</v>
      </c>
      <c r="AM34" s="13">
        <f>(0.13*0.493+0.11*3.639)/AD34</f>
        <v>0.1123862536302033</v>
      </c>
      <c r="AY34" s="1">
        <v>0.73699999999999999</v>
      </c>
      <c r="AZ34" s="1">
        <v>0.08</v>
      </c>
      <c r="BA34" s="1">
        <v>0.02</v>
      </c>
      <c r="BF34" s="1">
        <v>0.05</v>
      </c>
      <c r="BG34" s="1">
        <v>0.42</v>
      </c>
      <c r="BH34" s="1">
        <v>0.04</v>
      </c>
      <c r="BT34" s="1">
        <v>0.84299999999999997</v>
      </c>
      <c r="BU34" s="1">
        <v>0.87</v>
      </c>
      <c r="BV34" s="1">
        <v>0.87</v>
      </c>
      <c r="CA34" s="1">
        <v>0.44</v>
      </c>
      <c r="CB34" s="1">
        <v>0.22</v>
      </c>
      <c r="CC34" s="1">
        <v>0.19</v>
      </c>
      <c r="CO34" s="1">
        <v>0.49299999999999999</v>
      </c>
      <c r="CP34" s="1">
        <v>0.35</v>
      </c>
      <c r="CQ34" s="1">
        <v>1.1100000000000001</v>
      </c>
      <c r="CV34" s="1">
        <v>0.13</v>
      </c>
      <c r="CW34" s="1">
        <v>0.27</v>
      </c>
      <c r="CX34" s="1">
        <v>0.13</v>
      </c>
      <c r="DJ34" s="1" t="s">
        <v>96</v>
      </c>
      <c r="DK34" s="1" t="s">
        <v>96</v>
      </c>
      <c r="DL34" s="1">
        <f t="shared" si="139"/>
        <v>0.27221357333981999</v>
      </c>
      <c r="DM34" s="1">
        <f t="shared" si="140"/>
        <v>0.12228533203600099</v>
      </c>
      <c r="DN34" s="1" t="s">
        <v>73</v>
      </c>
      <c r="DO34" s="1" t="s">
        <v>2</v>
      </c>
      <c r="DP34" s="38">
        <f t="shared" si="141"/>
        <v>3.60778E-2</v>
      </c>
      <c r="DQ34" s="38">
        <f t="shared" si="142"/>
        <v>3.2078199999999999</v>
      </c>
      <c r="DR34" s="38">
        <f t="shared" si="143"/>
        <v>0</v>
      </c>
      <c r="DS34" s="38">
        <f t="shared" si="144"/>
        <v>0</v>
      </c>
      <c r="DT34" s="38">
        <f t="shared" si="145"/>
        <v>0</v>
      </c>
      <c r="DU34" s="38">
        <f t="shared" si="146"/>
        <v>0</v>
      </c>
      <c r="DV34" s="38">
        <f t="shared" si="147"/>
        <v>1.9890499999999998E-2</v>
      </c>
      <c r="DW34" s="38">
        <f t="shared" si="148"/>
        <v>2.2381399999999999E-2</v>
      </c>
      <c r="DX34" s="38">
        <f t="shared" si="149"/>
        <v>1.00543E-2</v>
      </c>
      <c r="DY34" s="38">
        <f t="shared" si="150"/>
        <v>0</v>
      </c>
      <c r="DZ34" s="38">
        <f t="shared" si="151"/>
        <v>0</v>
      </c>
      <c r="EA34" s="38">
        <f t="shared" si="152"/>
        <v>0</v>
      </c>
      <c r="EB34" s="38">
        <f t="shared" si="153"/>
        <v>0</v>
      </c>
      <c r="EC34" s="38">
        <f t="shared" si="154"/>
        <v>0</v>
      </c>
      <c r="ED34" s="38">
        <f t="shared" si="155"/>
        <v>0</v>
      </c>
      <c r="EE34" s="38">
        <f t="shared" si="156"/>
        <v>0</v>
      </c>
      <c r="EG34" s="38">
        <f t="shared" si="157"/>
        <v>0</v>
      </c>
      <c r="EH34" s="38">
        <f t="shared" si="158"/>
        <v>0</v>
      </c>
      <c r="EI34" s="38">
        <f t="shared" si="159"/>
        <v>235.42986892479999</v>
      </c>
      <c r="EJ34" s="38">
        <f t="shared" si="160"/>
        <v>131.20086945337619</v>
      </c>
      <c r="EK34" s="38">
        <f t="shared" si="161"/>
        <v>0</v>
      </c>
      <c r="EL34" s="38">
        <f t="shared" si="162"/>
        <v>0</v>
      </c>
      <c r="EM34" s="38">
        <f t="shared" si="163"/>
        <v>0</v>
      </c>
      <c r="EN34" s="38">
        <f t="shared" si="164"/>
        <v>0</v>
      </c>
      <c r="EO34" s="38">
        <f t="shared" si="165"/>
        <v>58.189741290099995</v>
      </c>
      <c r="EP34" s="38">
        <f t="shared" si="166"/>
        <v>293.50967959999997</v>
      </c>
      <c r="EQ34" s="38">
        <f t="shared" si="167"/>
        <v>730.13848015319991</v>
      </c>
      <c r="ER34" s="38">
        <f t="shared" si="168"/>
        <v>0</v>
      </c>
      <c r="ES34" s="38">
        <f t="shared" si="169"/>
        <v>0</v>
      </c>
      <c r="ET34" s="38">
        <f t="shared" si="170"/>
        <v>0</v>
      </c>
      <c r="EU34" s="38">
        <f t="shared" si="171"/>
        <v>0</v>
      </c>
      <c r="EV34" s="38">
        <f t="shared" si="172"/>
        <v>0</v>
      </c>
      <c r="EW34" s="38">
        <f t="shared" si="173"/>
        <v>0</v>
      </c>
      <c r="EX34" s="38">
        <f t="shared" si="174"/>
        <v>0</v>
      </c>
      <c r="EZ34" s="38">
        <f t="shared" si="175"/>
        <v>0</v>
      </c>
      <c r="FA34" s="38">
        <f t="shared" si="176"/>
        <v>0</v>
      </c>
      <c r="FB34" s="1">
        <f t="shared" si="177"/>
        <v>9.0595999999999993E-3</v>
      </c>
      <c r="FC34" s="1">
        <f t="shared" si="178"/>
        <v>1.28064</v>
      </c>
      <c r="FD34" s="1">
        <f t="shared" si="179"/>
        <v>0</v>
      </c>
      <c r="FE34" s="1">
        <f t="shared" si="180"/>
        <v>0</v>
      </c>
      <c r="FF34" s="1">
        <f t="shared" si="181"/>
        <v>0</v>
      </c>
      <c r="FG34" s="1">
        <f t="shared" si="182"/>
        <v>0</v>
      </c>
      <c r="FH34" s="1">
        <f t="shared" si="183"/>
        <v>4.3501E-3</v>
      </c>
      <c r="FI34" s="1">
        <f t="shared" si="184"/>
        <v>3.1857000000000001E-3</v>
      </c>
      <c r="FJ34" s="1">
        <f t="shared" si="185"/>
        <v>2.2426E-3</v>
      </c>
      <c r="FK34" s="1">
        <f t="shared" si="186"/>
        <v>0</v>
      </c>
      <c r="FL34" s="1">
        <f t="shared" si="187"/>
        <v>0</v>
      </c>
      <c r="FM34" s="1">
        <f t="shared" si="188"/>
        <v>0</v>
      </c>
      <c r="FN34" s="1">
        <f t="shared" si="189"/>
        <v>0</v>
      </c>
      <c r="FO34" s="1">
        <f t="shared" si="190"/>
        <v>0</v>
      </c>
      <c r="FP34" s="1">
        <f t="shared" si="191"/>
        <v>0</v>
      </c>
      <c r="FQ34" s="1">
        <f t="shared" si="192"/>
        <v>0</v>
      </c>
      <c r="FS34" s="1">
        <f t="shared" si="193"/>
        <v>0</v>
      </c>
      <c r="FT34" s="1">
        <f t="shared" si="194"/>
        <v>0</v>
      </c>
      <c r="FU34" s="38">
        <f t="shared" si="195"/>
        <v>59.119470713599995</v>
      </c>
      <c r="FV34" s="38">
        <f t="shared" si="196"/>
        <v>52.378587781350475</v>
      </c>
      <c r="FW34" s="38">
        <f t="shared" si="197"/>
        <v>0</v>
      </c>
      <c r="FX34" s="38">
        <f t="shared" si="198"/>
        <v>0</v>
      </c>
      <c r="FY34" s="38">
        <f t="shared" si="199"/>
        <v>0</v>
      </c>
      <c r="FZ34" s="38">
        <f t="shared" si="200"/>
        <v>0</v>
      </c>
      <c r="GA34" s="38">
        <f t="shared" si="201"/>
        <v>12.726235820419999</v>
      </c>
      <c r="GB34" s="38">
        <f t="shared" si="202"/>
        <v>41.777269799999999</v>
      </c>
      <c r="GC34" s="38">
        <f t="shared" si="203"/>
        <v>162.85654452239999</v>
      </c>
      <c r="GD34" s="38">
        <f t="shared" si="204"/>
        <v>0</v>
      </c>
      <c r="GE34" s="38">
        <f t="shared" si="205"/>
        <v>0</v>
      </c>
      <c r="GF34" s="38">
        <f t="shared" si="206"/>
        <v>0</v>
      </c>
      <c r="GG34" s="38">
        <f t="shared" si="207"/>
        <v>0</v>
      </c>
      <c r="GH34" s="38">
        <f t="shared" si="208"/>
        <v>0</v>
      </c>
      <c r="GI34" s="38">
        <f t="shared" si="209"/>
        <v>0</v>
      </c>
      <c r="GJ34" s="38">
        <f t="shared" si="210"/>
        <v>0</v>
      </c>
      <c r="GL34" s="38">
        <f t="shared" si="211"/>
        <v>0</v>
      </c>
      <c r="GM34" s="38">
        <f t="shared" si="212"/>
        <v>0</v>
      </c>
      <c r="GN34" s="1" t="s">
        <v>2</v>
      </c>
      <c r="GO34" s="1">
        <f t="shared" si="213"/>
        <v>8.2219999999999995</v>
      </c>
      <c r="GP34" s="13">
        <f t="shared" si="214"/>
        <v>0.27221357333981999</v>
      </c>
      <c r="GQ34" s="41">
        <f t="shared" si="215"/>
        <v>22.381399999999999</v>
      </c>
      <c r="GR34" s="41">
        <f t="shared" si="216"/>
        <v>1448.4686394214759</v>
      </c>
      <c r="GS34" s="14">
        <f t="shared" si="217"/>
        <v>176.16986614223742</v>
      </c>
      <c r="GT34" s="1">
        <f t="shared" si="218"/>
        <v>8.1295999999999999</v>
      </c>
      <c r="GU34" s="1">
        <f t="shared" si="219"/>
        <v>11.156399999999998</v>
      </c>
      <c r="GV34" s="1">
        <f t="shared" si="220"/>
        <v>3.0953999999999997</v>
      </c>
      <c r="GW34" s="37">
        <f t="shared" si="221"/>
        <v>1.3359999999999999</v>
      </c>
      <c r="GX34" s="44">
        <f>(BT34*CB34+CO34*CW34)/GW34</f>
        <v>0.23845059880239525</v>
      </c>
      <c r="GY34" s="41">
        <f>1000*GW34*GX34/100</f>
        <v>3.1856999999999998</v>
      </c>
      <c r="GZ34" s="41">
        <f>SUM(FU34:GM34)</f>
        <v>328.85810863777044</v>
      </c>
      <c r="HA34" s="14">
        <f>GZ34/GW34</f>
        <v>246.15127892048687</v>
      </c>
      <c r="HB34" s="1">
        <f t="shared" si="222"/>
        <v>1.8545999999999998</v>
      </c>
      <c r="HC34" s="1">
        <f t="shared" si="223"/>
        <v>1.3311000000000002</v>
      </c>
      <c r="HD34" s="37" t="s">
        <v>2</v>
      </c>
      <c r="HE34" s="1" t="s">
        <v>118</v>
      </c>
      <c r="HF34" s="1" t="s">
        <v>138</v>
      </c>
      <c r="HI34" s="1" t="s">
        <v>96</v>
      </c>
      <c r="HJ34" s="37" t="s">
        <v>2</v>
      </c>
      <c r="HK34" s="37" t="s">
        <v>113</v>
      </c>
      <c r="HL34" s="37" t="s">
        <v>1358</v>
      </c>
      <c r="HM34" s="37" t="s">
        <v>96</v>
      </c>
      <c r="HN34" s="41">
        <f>SUM(GT620:GT623)</f>
        <v>840.19990000000007</v>
      </c>
      <c r="HO34" s="42">
        <f>SUM(GU620:GU623)</f>
        <v>1576.5029</v>
      </c>
      <c r="HP34" s="42">
        <f>SUM(GV620:GV623)</f>
        <v>2586.2692000000002</v>
      </c>
      <c r="HQ34" s="42">
        <f>SUM(GO620:GO623)</f>
        <v>2300.5299999999997</v>
      </c>
      <c r="HR34" s="44">
        <f t="shared" si="118"/>
        <v>0.21747040899271045</v>
      </c>
      <c r="HS34" s="44">
        <f>MIN(GP620:GP623)</f>
        <v>9.1697478991596637E-2</v>
      </c>
      <c r="HT34" s="44">
        <f>MAX(GP620:GP623)</f>
        <v>0.36999999999999994</v>
      </c>
      <c r="HU34" s="42">
        <f>SUM(GQ620:GQ623)</f>
        <v>5002.9720000000007</v>
      </c>
      <c r="HV34" s="41">
        <f>SUM(GR620:GR623)/SUM(GO620:GO623)</f>
        <v>44.072165721651331</v>
      </c>
      <c r="HW34" s="37">
        <f>COUNT(GQ620:GQ623)</f>
        <v>4</v>
      </c>
      <c r="HX34" s="45">
        <f>SUM(HB620:HB623)</f>
        <v>0</v>
      </c>
      <c r="HY34" s="45">
        <f>SUM(HC620:HC623)</f>
        <v>0</v>
      </c>
      <c r="HZ34" s="37" t="s">
        <v>1318</v>
      </c>
      <c r="IA34" s="37" t="s">
        <v>1318</v>
      </c>
      <c r="IB34" s="37" t="s">
        <v>1318</v>
      </c>
      <c r="IC34" s="37" t="s">
        <v>1318</v>
      </c>
      <c r="ID34" s="37">
        <f>COUNT(GY620:GY623)</f>
        <v>0</v>
      </c>
      <c r="IF34" s="14">
        <f t="shared" ref="IF34:IN34" si="229">100*SUM(EI620:EI623)/SUM($EI620:$FA623)</f>
        <v>2.4617803789065356</v>
      </c>
      <c r="IG34" s="2">
        <f t="shared" si="229"/>
        <v>5.46367150878573E-2</v>
      </c>
      <c r="IH34" s="13">
        <f t="shared" si="229"/>
        <v>0.41810353757871827</v>
      </c>
      <c r="II34" s="38">
        <f t="shared" si="229"/>
        <v>0</v>
      </c>
      <c r="IJ34" s="38">
        <f t="shared" si="229"/>
        <v>0</v>
      </c>
      <c r="IK34" s="14">
        <f t="shared" si="229"/>
        <v>4.2327772561865782</v>
      </c>
      <c r="IL34" s="13">
        <f t="shared" si="229"/>
        <v>0.62241308077257917</v>
      </c>
      <c r="IM34" s="14">
        <f t="shared" si="229"/>
        <v>64.709934191623987</v>
      </c>
      <c r="IN34" s="14">
        <f t="shared" si="229"/>
        <v>27.397115477561123</v>
      </c>
      <c r="IO34" s="13">
        <f>100*SUM(ER620:EV623)/SUM($EI620:$FA623)</f>
        <v>0.10323936228263061</v>
      </c>
      <c r="IP34" s="38">
        <f>100*SUM(EW620:EW623)/SUM($EI620:$FA623)</f>
        <v>0</v>
      </c>
      <c r="IQ34" s="38">
        <f>100*SUM(EX620:EX623)/SUM($EI620:$FA623)</f>
        <v>0</v>
      </c>
      <c r="IR34" s="38">
        <f>100*SUM(EZ620:EZ623)/SUM($EI620:$FA623)</f>
        <v>0</v>
      </c>
      <c r="IS34" s="38">
        <f>100*SUM(FA620:FA623)/SUM($EI620:$FA623)</f>
        <v>0</v>
      </c>
      <c r="JH34" s="58" t="s">
        <v>2</v>
      </c>
    </row>
    <row r="35" spans="1:268" ht="16.25" customHeight="1" x14ac:dyDescent="0.2">
      <c r="A35" s="16" t="s">
        <v>957</v>
      </c>
      <c r="B35" s="1" t="s">
        <v>71</v>
      </c>
      <c r="F35" s="1" t="s">
        <v>940</v>
      </c>
      <c r="I35" s="1">
        <v>1.03</v>
      </c>
      <c r="J35" s="1">
        <v>0.47</v>
      </c>
      <c r="P35" s="1">
        <v>0.06</v>
      </c>
      <c r="Q35" s="1">
        <v>0.47</v>
      </c>
      <c r="R35" s="1">
        <v>0.13</v>
      </c>
      <c r="AD35" s="1">
        <v>1.23</v>
      </c>
      <c r="AE35" s="13">
        <v>0.3</v>
      </c>
      <c r="AK35" s="1">
        <v>7.0000000000000007E-2</v>
      </c>
      <c r="AL35" s="1">
        <v>0.42</v>
      </c>
      <c r="AM35" s="1">
        <v>0.11</v>
      </c>
      <c r="AY35" s="13">
        <v>0.9</v>
      </c>
      <c r="AZ35" s="13">
        <v>0.3</v>
      </c>
      <c r="BF35" s="13">
        <v>0.1</v>
      </c>
      <c r="BG35" s="13">
        <v>0.4</v>
      </c>
      <c r="BH35" s="13">
        <v>0.1</v>
      </c>
      <c r="BT35" s="1">
        <v>0</v>
      </c>
      <c r="CO35" s="1">
        <v>0</v>
      </c>
      <c r="DJ35" s="1" t="s">
        <v>96</v>
      </c>
      <c r="DK35" s="1" t="s">
        <v>96</v>
      </c>
      <c r="DL35" s="1">
        <f t="shared" si="139"/>
        <v>0.43060126582278485</v>
      </c>
      <c r="DM35" s="1">
        <f t="shared" si="140"/>
        <v>0.11367088607594938</v>
      </c>
      <c r="DN35" s="1" t="s">
        <v>943</v>
      </c>
      <c r="DO35" s="1" t="s">
        <v>2</v>
      </c>
      <c r="DP35" s="38">
        <f t="shared" si="141"/>
        <v>1.1231E-2</v>
      </c>
      <c r="DQ35" s="38">
        <f t="shared" si="142"/>
        <v>0</v>
      </c>
      <c r="DR35" s="38">
        <f t="shared" si="143"/>
        <v>0</v>
      </c>
      <c r="DS35" s="38">
        <f t="shared" si="144"/>
        <v>0</v>
      </c>
      <c r="DT35" s="38">
        <f t="shared" si="145"/>
        <v>0</v>
      </c>
      <c r="DU35" s="38">
        <f t="shared" si="146"/>
        <v>0</v>
      </c>
      <c r="DV35" s="38">
        <f t="shared" si="147"/>
        <v>2.379E-3</v>
      </c>
      <c r="DW35" s="38">
        <f t="shared" si="148"/>
        <v>1.3607000000000001E-2</v>
      </c>
      <c r="DX35" s="38">
        <f t="shared" si="149"/>
        <v>3.5920000000000001E-3</v>
      </c>
      <c r="DY35" s="38">
        <f t="shared" si="150"/>
        <v>0</v>
      </c>
      <c r="DZ35" s="38">
        <f t="shared" si="151"/>
        <v>0</v>
      </c>
      <c r="EA35" s="38">
        <f t="shared" si="152"/>
        <v>0</v>
      </c>
      <c r="EB35" s="38">
        <f t="shared" si="153"/>
        <v>0</v>
      </c>
      <c r="EC35" s="38">
        <f t="shared" si="154"/>
        <v>0</v>
      </c>
      <c r="ED35" s="38">
        <f t="shared" si="155"/>
        <v>0</v>
      </c>
      <c r="EE35" s="38">
        <f t="shared" si="156"/>
        <v>0</v>
      </c>
      <c r="EG35" s="38">
        <f t="shared" si="157"/>
        <v>0</v>
      </c>
      <c r="EH35" s="38">
        <f t="shared" si="158"/>
        <v>0</v>
      </c>
      <c r="EI35" s="38">
        <f t="shared" si="159"/>
        <v>73.289193295999993</v>
      </c>
      <c r="EJ35" s="38">
        <f t="shared" si="160"/>
        <v>0</v>
      </c>
      <c r="EK35" s="38">
        <f t="shared" si="161"/>
        <v>0</v>
      </c>
      <c r="EL35" s="38">
        <f t="shared" si="162"/>
        <v>0</v>
      </c>
      <c r="EM35" s="38">
        <f t="shared" si="163"/>
        <v>0</v>
      </c>
      <c r="EN35" s="38">
        <f t="shared" si="164"/>
        <v>0</v>
      </c>
      <c r="EO35" s="38">
        <f t="shared" si="165"/>
        <v>6.9597744918000002</v>
      </c>
      <c r="EP35" s="38">
        <f t="shared" si="166"/>
        <v>178.44219800000002</v>
      </c>
      <c r="EQ35" s="38">
        <f t="shared" si="167"/>
        <v>260.84933020799997</v>
      </c>
      <c r="ER35" s="38">
        <f t="shared" si="168"/>
        <v>0</v>
      </c>
      <c r="ES35" s="38">
        <f t="shared" si="169"/>
        <v>0</v>
      </c>
      <c r="ET35" s="38">
        <f t="shared" si="170"/>
        <v>0</v>
      </c>
      <c r="EU35" s="38">
        <f t="shared" si="171"/>
        <v>0</v>
      </c>
      <c r="EV35" s="38">
        <f t="shared" si="172"/>
        <v>0</v>
      </c>
      <c r="EW35" s="38">
        <f t="shared" si="173"/>
        <v>0</v>
      </c>
      <c r="EX35" s="38">
        <f t="shared" si="174"/>
        <v>0</v>
      </c>
      <c r="EZ35" s="38">
        <f t="shared" si="175"/>
        <v>0</v>
      </c>
      <c r="FA35" s="38">
        <f t="shared" si="176"/>
        <v>0</v>
      </c>
      <c r="FB35" s="1">
        <f t="shared" si="177"/>
        <v>0</v>
      </c>
      <c r="FC35" s="1">
        <f t="shared" si="178"/>
        <v>0</v>
      </c>
      <c r="FD35" s="1">
        <f t="shared" si="179"/>
        <v>0</v>
      </c>
      <c r="FE35" s="1">
        <f t="shared" si="180"/>
        <v>0</v>
      </c>
      <c r="FF35" s="1">
        <f t="shared" si="181"/>
        <v>0</v>
      </c>
      <c r="FG35" s="1">
        <f t="shared" si="182"/>
        <v>0</v>
      </c>
      <c r="FH35" s="1">
        <f t="shared" si="183"/>
        <v>0</v>
      </c>
      <c r="FI35" s="1">
        <f t="shared" si="184"/>
        <v>0</v>
      </c>
      <c r="FJ35" s="1">
        <f t="shared" si="185"/>
        <v>0</v>
      </c>
      <c r="FK35" s="1">
        <f t="shared" si="186"/>
        <v>0</v>
      </c>
      <c r="FL35" s="1">
        <f t="shared" si="187"/>
        <v>0</v>
      </c>
      <c r="FM35" s="1">
        <f t="shared" si="188"/>
        <v>0</v>
      </c>
      <c r="FN35" s="1">
        <f t="shared" si="189"/>
        <v>0</v>
      </c>
      <c r="FO35" s="1">
        <f t="shared" si="190"/>
        <v>0</v>
      </c>
      <c r="FP35" s="1">
        <f t="shared" si="191"/>
        <v>0</v>
      </c>
      <c r="FQ35" s="1">
        <f t="shared" si="192"/>
        <v>0</v>
      </c>
      <c r="FS35" s="1">
        <f t="shared" si="193"/>
        <v>0</v>
      </c>
      <c r="FT35" s="1">
        <f t="shared" si="194"/>
        <v>0</v>
      </c>
      <c r="FU35" s="38">
        <f t="shared" si="195"/>
        <v>0</v>
      </c>
      <c r="FV35" s="38">
        <f t="shared" si="196"/>
        <v>0</v>
      </c>
      <c r="FW35" s="38">
        <f t="shared" si="197"/>
        <v>0</v>
      </c>
      <c r="FX35" s="38">
        <f t="shared" si="198"/>
        <v>0</v>
      </c>
      <c r="FY35" s="38">
        <f t="shared" si="199"/>
        <v>0</v>
      </c>
      <c r="FZ35" s="38">
        <f t="shared" si="200"/>
        <v>0</v>
      </c>
      <c r="GA35" s="38">
        <f t="shared" si="201"/>
        <v>0</v>
      </c>
      <c r="GB35" s="38">
        <f t="shared" si="202"/>
        <v>0</v>
      </c>
      <c r="GC35" s="38">
        <f t="shared" si="203"/>
        <v>0</v>
      </c>
      <c r="GD35" s="38">
        <f t="shared" si="204"/>
        <v>0</v>
      </c>
      <c r="GE35" s="38">
        <f t="shared" si="205"/>
        <v>0</v>
      </c>
      <c r="GF35" s="38">
        <f t="shared" si="206"/>
        <v>0</v>
      </c>
      <c r="GG35" s="38">
        <f t="shared" si="207"/>
        <v>0</v>
      </c>
      <c r="GH35" s="38">
        <f t="shared" si="208"/>
        <v>0</v>
      </c>
      <c r="GI35" s="38">
        <f t="shared" si="209"/>
        <v>0</v>
      </c>
      <c r="GJ35" s="38">
        <f t="shared" si="210"/>
        <v>0</v>
      </c>
      <c r="GL35" s="38">
        <f t="shared" si="211"/>
        <v>0</v>
      </c>
      <c r="GM35" s="38">
        <f t="shared" si="212"/>
        <v>0</v>
      </c>
      <c r="GN35" s="1" t="s">
        <v>2</v>
      </c>
      <c r="GO35" s="1">
        <f t="shared" si="213"/>
        <v>3.1599999999999997</v>
      </c>
      <c r="GP35" s="13">
        <f t="shared" si="214"/>
        <v>0.43060126582278485</v>
      </c>
      <c r="GQ35" s="41">
        <f t="shared" si="215"/>
        <v>13.607000000000001</v>
      </c>
      <c r="GR35" s="41">
        <f t="shared" si="216"/>
        <v>519.54049599580003</v>
      </c>
      <c r="GS35" s="14">
        <f t="shared" si="217"/>
        <v>164.41154936575953</v>
      </c>
      <c r="GT35" s="1">
        <f t="shared" si="218"/>
        <v>4.8409999999999993</v>
      </c>
      <c r="GU35" s="1">
        <f t="shared" si="219"/>
        <v>5.1659999999999995</v>
      </c>
      <c r="GV35" s="1">
        <f t="shared" si="220"/>
        <v>3.6000000000000005</v>
      </c>
      <c r="GW35" s="37">
        <f t="shared" si="221"/>
        <v>0</v>
      </c>
      <c r="GX35" s="37"/>
      <c r="GY35" s="37"/>
      <c r="GZ35" s="37"/>
      <c r="HB35" s="1">
        <f t="shared" si="222"/>
        <v>0</v>
      </c>
      <c r="HC35" s="1">
        <f t="shared" si="223"/>
        <v>0</v>
      </c>
      <c r="HD35" s="37" t="s">
        <v>2</v>
      </c>
      <c r="HE35" s="1" t="s">
        <v>118</v>
      </c>
      <c r="HF35" s="1" t="s">
        <v>138</v>
      </c>
      <c r="HI35" s="1" t="s">
        <v>96</v>
      </c>
      <c r="HJ35" s="37" t="s">
        <v>2</v>
      </c>
      <c r="HK35" s="37" t="s">
        <v>113</v>
      </c>
      <c r="HL35" s="37" t="s">
        <v>1358</v>
      </c>
      <c r="HM35" s="37" t="s">
        <v>163</v>
      </c>
      <c r="HN35" s="45">
        <f>SUM(GT624:GT626)</f>
        <v>0</v>
      </c>
      <c r="HO35" s="45">
        <f>SUM(GU624:GU626)</f>
        <v>0</v>
      </c>
      <c r="HP35" s="41">
        <f>SUM(GV624:GV626)</f>
        <v>41.695967999999993</v>
      </c>
      <c r="HQ35" s="41">
        <f>SUM(GO624:GO626)</f>
        <v>16.617319999999999</v>
      </c>
      <c r="HR35" s="44">
        <f t="shared" si="118"/>
        <v>0.25091872817036676</v>
      </c>
      <c r="HS35" s="44">
        <f>MIN(GP624:GP626)</f>
        <v>0.22999999999999998</v>
      </c>
      <c r="HT35" s="44">
        <f>MAX(GP624:GP626)</f>
        <v>0.26</v>
      </c>
      <c r="HU35" s="41">
        <f>SUM(GQ624:GQ626)</f>
        <v>41.695967999999993</v>
      </c>
      <c r="HV35" s="41">
        <f>SUM(GR624:GR626)/SUM(GO624:GO626)</f>
        <v>66.925305670916771</v>
      </c>
      <c r="HW35" s="37">
        <f>COUNT(GQ624:GQ626)</f>
        <v>3</v>
      </c>
      <c r="HX35" s="45">
        <f>SUM(HB624:HB626)</f>
        <v>0</v>
      </c>
      <c r="HY35" s="45">
        <f>SUM(HC624:HC626)</f>
        <v>0</v>
      </c>
      <c r="HZ35" s="37" t="s">
        <v>1318</v>
      </c>
      <c r="IA35" s="37" t="s">
        <v>1318</v>
      </c>
      <c r="IB35" s="37" t="s">
        <v>1318</v>
      </c>
      <c r="IC35" s="37" t="s">
        <v>1318</v>
      </c>
      <c r="ID35" s="37">
        <f>COUNT(GY624:GY626)</f>
        <v>0</v>
      </c>
      <c r="JH35" s="58" t="s">
        <v>2</v>
      </c>
    </row>
    <row r="36" spans="1:268" ht="16.25" customHeight="1" x14ac:dyDescent="0.2">
      <c r="A36" s="16" t="s">
        <v>958</v>
      </c>
      <c r="B36" s="1" t="s">
        <v>69</v>
      </c>
      <c r="F36" s="1" t="s">
        <v>940</v>
      </c>
      <c r="I36" s="1">
        <v>0</v>
      </c>
      <c r="AD36" s="1">
        <v>0.14000000000000001</v>
      </c>
      <c r="AE36" s="1">
        <v>1.69</v>
      </c>
      <c r="AL36" s="1">
        <v>0.16</v>
      </c>
      <c r="AM36" s="1">
        <v>0.04</v>
      </c>
      <c r="AY36" s="1">
        <v>0.55900000000000005</v>
      </c>
      <c r="AZ36" s="1">
        <v>0.72</v>
      </c>
      <c r="BA36" s="1">
        <v>0.3</v>
      </c>
      <c r="BB36" s="1">
        <v>6</v>
      </c>
      <c r="BG36" s="1">
        <v>0.03</v>
      </c>
      <c r="BH36" s="1">
        <v>0.09</v>
      </c>
      <c r="BT36" s="1">
        <v>0</v>
      </c>
      <c r="CO36" s="1">
        <v>0</v>
      </c>
      <c r="DJ36" s="1" t="s">
        <v>96</v>
      </c>
      <c r="DK36" s="1" t="s">
        <v>96</v>
      </c>
      <c r="DL36" s="1">
        <f t="shared" si="139"/>
        <v>5.603719599427754E-2</v>
      </c>
      <c r="DM36" s="1">
        <f t="shared" si="140"/>
        <v>7.9985693848354786E-2</v>
      </c>
      <c r="DN36" s="1" t="s">
        <v>943</v>
      </c>
      <c r="DO36" s="1" t="s">
        <v>2</v>
      </c>
      <c r="DP36" s="38">
        <f t="shared" si="141"/>
        <v>6.3907999999999994E-3</v>
      </c>
      <c r="DQ36" s="38">
        <f t="shared" si="142"/>
        <v>0.16770000000000002</v>
      </c>
      <c r="DR36" s="38">
        <f t="shared" si="143"/>
        <v>3.3540000000000001</v>
      </c>
      <c r="DS36" s="38">
        <f t="shared" si="144"/>
        <v>0</v>
      </c>
      <c r="DT36" s="38">
        <f t="shared" si="145"/>
        <v>0</v>
      </c>
      <c r="DU36" s="38">
        <f t="shared" si="146"/>
        <v>0</v>
      </c>
      <c r="DV36" s="38">
        <f t="shared" si="147"/>
        <v>0</v>
      </c>
      <c r="DW36" s="38">
        <f t="shared" si="148"/>
        <v>3.9170000000000003E-4</v>
      </c>
      <c r="DX36" s="38">
        <f t="shared" si="149"/>
        <v>5.5909999999999998E-4</v>
      </c>
      <c r="DY36" s="38">
        <f t="shared" si="150"/>
        <v>0</v>
      </c>
      <c r="DZ36" s="38">
        <f t="shared" si="151"/>
        <v>0</v>
      </c>
      <c r="EA36" s="38">
        <f t="shared" si="152"/>
        <v>0</v>
      </c>
      <c r="EB36" s="38">
        <f t="shared" si="153"/>
        <v>0</v>
      </c>
      <c r="EC36" s="38">
        <f t="shared" si="154"/>
        <v>0</v>
      </c>
      <c r="ED36" s="38">
        <f t="shared" si="155"/>
        <v>0</v>
      </c>
      <c r="EE36" s="38">
        <f t="shared" si="156"/>
        <v>0</v>
      </c>
      <c r="EG36" s="38">
        <f t="shared" si="157"/>
        <v>0</v>
      </c>
      <c r="EH36" s="38">
        <f t="shared" si="158"/>
        <v>0</v>
      </c>
      <c r="EI36" s="38">
        <f t="shared" si="159"/>
        <v>41.703906732799993</v>
      </c>
      <c r="EJ36" s="38">
        <f t="shared" si="160"/>
        <v>6.8589839228295819</v>
      </c>
      <c r="EK36" s="38">
        <f t="shared" si="161"/>
        <v>1.6985691318327973</v>
      </c>
      <c r="EL36" s="38">
        <f t="shared" si="162"/>
        <v>0</v>
      </c>
      <c r="EM36" s="38">
        <f t="shared" si="163"/>
        <v>0</v>
      </c>
      <c r="EN36" s="38">
        <f t="shared" si="164"/>
        <v>0</v>
      </c>
      <c r="EO36" s="38">
        <f t="shared" si="165"/>
        <v>0</v>
      </c>
      <c r="EP36" s="38">
        <f t="shared" si="166"/>
        <v>5.1367538000000001</v>
      </c>
      <c r="EQ36" s="38">
        <f t="shared" si="167"/>
        <v>40.601575868399991</v>
      </c>
      <c r="ER36" s="38">
        <f t="shared" si="168"/>
        <v>0</v>
      </c>
      <c r="ES36" s="38">
        <f t="shared" si="169"/>
        <v>0</v>
      </c>
      <c r="ET36" s="38">
        <f t="shared" si="170"/>
        <v>0</v>
      </c>
      <c r="EU36" s="38">
        <f t="shared" si="171"/>
        <v>0</v>
      </c>
      <c r="EV36" s="38">
        <f t="shared" si="172"/>
        <v>0</v>
      </c>
      <c r="EW36" s="38">
        <f t="shared" si="173"/>
        <v>0</v>
      </c>
      <c r="EX36" s="38">
        <f t="shared" si="174"/>
        <v>0</v>
      </c>
      <c r="EZ36" s="38">
        <f t="shared" si="175"/>
        <v>0</v>
      </c>
      <c r="FA36" s="38">
        <f t="shared" si="176"/>
        <v>0</v>
      </c>
      <c r="FB36" s="1">
        <f t="shared" si="177"/>
        <v>0</v>
      </c>
      <c r="FC36" s="1">
        <f t="shared" si="178"/>
        <v>0</v>
      </c>
      <c r="FD36" s="1">
        <f t="shared" si="179"/>
        <v>0</v>
      </c>
      <c r="FE36" s="1">
        <f t="shared" si="180"/>
        <v>0</v>
      </c>
      <c r="FF36" s="1">
        <f t="shared" si="181"/>
        <v>0</v>
      </c>
      <c r="FG36" s="1">
        <f t="shared" si="182"/>
        <v>0</v>
      </c>
      <c r="FH36" s="1">
        <f t="shared" si="183"/>
        <v>0</v>
      </c>
      <c r="FI36" s="1">
        <f t="shared" si="184"/>
        <v>0</v>
      </c>
      <c r="FJ36" s="1">
        <f t="shared" si="185"/>
        <v>0</v>
      </c>
      <c r="FK36" s="1">
        <f t="shared" si="186"/>
        <v>0</v>
      </c>
      <c r="FL36" s="1">
        <f t="shared" si="187"/>
        <v>0</v>
      </c>
      <c r="FM36" s="1">
        <f t="shared" si="188"/>
        <v>0</v>
      </c>
      <c r="FN36" s="1">
        <f t="shared" si="189"/>
        <v>0</v>
      </c>
      <c r="FO36" s="1">
        <f t="shared" si="190"/>
        <v>0</v>
      </c>
      <c r="FP36" s="1">
        <f t="shared" si="191"/>
        <v>0</v>
      </c>
      <c r="FQ36" s="1">
        <f t="shared" si="192"/>
        <v>0</v>
      </c>
      <c r="FS36" s="1">
        <f t="shared" si="193"/>
        <v>0</v>
      </c>
      <c r="FT36" s="1">
        <f t="shared" si="194"/>
        <v>0</v>
      </c>
      <c r="FU36" s="38">
        <f t="shared" si="195"/>
        <v>0</v>
      </c>
      <c r="FV36" s="38">
        <f t="shared" si="196"/>
        <v>0</v>
      </c>
      <c r="FW36" s="38">
        <f t="shared" si="197"/>
        <v>0</v>
      </c>
      <c r="FX36" s="38">
        <f t="shared" si="198"/>
        <v>0</v>
      </c>
      <c r="FY36" s="38">
        <f t="shared" si="199"/>
        <v>0</v>
      </c>
      <c r="FZ36" s="38">
        <f t="shared" si="200"/>
        <v>0</v>
      </c>
      <c r="GA36" s="38">
        <f t="shared" si="201"/>
        <v>0</v>
      </c>
      <c r="GB36" s="38">
        <f t="shared" si="202"/>
        <v>0</v>
      </c>
      <c r="GC36" s="38">
        <f t="shared" si="203"/>
        <v>0</v>
      </c>
      <c r="GD36" s="38">
        <f t="shared" si="204"/>
        <v>0</v>
      </c>
      <c r="GE36" s="38">
        <f t="shared" si="205"/>
        <v>0</v>
      </c>
      <c r="GF36" s="38">
        <f t="shared" si="206"/>
        <v>0</v>
      </c>
      <c r="GG36" s="38">
        <f t="shared" si="207"/>
        <v>0</v>
      </c>
      <c r="GH36" s="38">
        <f t="shared" si="208"/>
        <v>0</v>
      </c>
      <c r="GI36" s="38">
        <f t="shared" si="209"/>
        <v>0</v>
      </c>
      <c r="GJ36" s="38">
        <f t="shared" si="210"/>
        <v>0</v>
      </c>
      <c r="GL36" s="38">
        <f t="shared" si="211"/>
        <v>0</v>
      </c>
      <c r="GM36" s="38">
        <f t="shared" si="212"/>
        <v>0</v>
      </c>
      <c r="GN36" s="1" t="s">
        <v>2</v>
      </c>
      <c r="GO36" s="1">
        <f t="shared" si="213"/>
        <v>0.69900000000000007</v>
      </c>
      <c r="GP36" s="2">
        <f t="shared" si="214"/>
        <v>5.603719599427754E-2</v>
      </c>
      <c r="GQ36" s="41">
        <f t="shared" si="215"/>
        <v>0.3917000000000001</v>
      </c>
      <c r="GR36" s="41">
        <f t="shared" si="216"/>
        <v>95.999789455862356</v>
      </c>
      <c r="GS36" s="14">
        <f t="shared" si="217"/>
        <v>137.33875458635529</v>
      </c>
      <c r="GT36" s="1">
        <f t="shared" si="218"/>
        <v>0</v>
      </c>
      <c r="GU36" s="1">
        <f t="shared" si="219"/>
        <v>0.22400000000000003</v>
      </c>
      <c r="GV36" s="1">
        <f t="shared" si="220"/>
        <v>0.16769999999999999</v>
      </c>
      <c r="GW36" s="37">
        <f t="shared" si="221"/>
        <v>0</v>
      </c>
      <c r="GX36" s="37"/>
      <c r="GY36" s="37"/>
      <c r="GZ36" s="37"/>
      <c r="HB36" s="1">
        <f t="shared" si="222"/>
        <v>0</v>
      </c>
      <c r="HC36" s="1">
        <f t="shared" si="223"/>
        <v>0</v>
      </c>
      <c r="HD36" s="37" t="s">
        <v>2</v>
      </c>
      <c r="HE36" s="1" t="s">
        <v>118</v>
      </c>
      <c r="HF36" s="1" t="s">
        <v>138</v>
      </c>
      <c r="HI36" s="1" t="s">
        <v>96</v>
      </c>
      <c r="HJ36" s="37" t="s">
        <v>2</v>
      </c>
      <c r="HK36" s="37" t="s">
        <v>1358</v>
      </c>
      <c r="HL36" s="37"/>
      <c r="HM36" s="37" t="s">
        <v>96</v>
      </c>
      <c r="HN36" s="41">
        <f>SUM(GT627:GT629)</f>
        <v>18.96</v>
      </c>
      <c r="HO36" s="45">
        <f>SUM(GU627:GU629)</f>
        <v>0</v>
      </c>
      <c r="HP36" s="41">
        <f>SUM(GV627:GV629)</f>
        <v>464.3703999999999</v>
      </c>
      <c r="HQ36" s="41">
        <f>SUM(GO627:GO629)</f>
        <v>164.23399999999998</v>
      </c>
      <c r="HR36" s="44">
        <f t="shared" si="118"/>
        <v>0.29429375159832921</v>
      </c>
      <c r="HS36" s="44">
        <f>MIN(GP627:GP629)</f>
        <v>0.21</v>
      </c>
      <c r="HT36" s="44">
        <f>MAX(GP627:GP629)</f>
        <v>0.45707531239446131</v>
      </c>
      <c r="HU36" s="41">
        <f>SUM(GQ627:GQ629)</f>
        <v>483.33039999999994</v>
      </c>
      <c r="HV36" s="41">
        <f>SUM(GR627:GR629)/SUM(GO627:GO629)</f>
        <v>39.890588866130038</v>
      </c>
      <c r="HW36" s="37">
        <f>COUNT(GQ627:GQ629)</f>
        <v>3</v>
      </c>
      <c r="HX36" s="45">
        <f>SUM(HB627:HB629)</f>
        <v>0</v>
      </c>
      <c r="HY36" s="45">
        <f>SUM(HC627:HC629)</f>
        <v>0</v>
      </c>
      <c r="HZ36" s="37" t="s">
        <v>1318</v>
      </c>
      <c r="IA36" s="37" t="s">
        <v>1318</v>
      </c>
      <c r="IB36" s="37" t="s">
        <v>1318</v>
      </c>
      <c r="IC36" s="37" t="s">
        <v>1318</v>
      </c>
      <c r="ID36" s="37">
        <f>COUNT(GY627:GY629)</f>
        <v>0</v>
      </c>
      <c r="IF36" s="14">
        <f t="shared" ref="IF36:IN36" si="230">100*SUM(EI627:EI629)/SUM($EI627:$FA629)</f>
        <v>3.2511585273345194</v>
      </c>
      <c r="IG36" s="38">
        <f t="shared" si="230"/>
        <v>0</v>
      </c>
      <c r="IH36" s="38">
        <f t="shared" si="230"/>
        <v>0</v>
      </c>
      <c r="II36" s="14">
        <f t="shared" si="230"/>
        <v>0</v>
      </c>
      <c r="IJ36" s="38">
        <f t="shared" si="230"/>
        <v>0</v>
      </c>
      <c r="IK36" s="38">
        <f t="shared" si="230"/>
        <v>0</v>
      </c>
      <c r="IL36" s="14">
        <f t="shared" si="230"/>
        <v>0</v>
      </c>
      <c r="IM36" s="14">
        <f t="shared" si="230"/>
        <v>96.748841472665475</v>
      </c>
      <c r="IN36" s="14">
        <f t="shared" si="230"/>
        <v>0</v>
      </c>
      <c r="IO36" s="38">
        <f>100*SUM(ER627:EV629)/SUM($EI627:$FA629)</f>
        <v>0</v>
      </c>
      <c r="IP36" s="38">
        <f>100*SUM(EW627:EW629)/SUM($EI627:$FA629)</f>
        <v>0</v>
      </c>
      <c r="IQ36" s="38">
        <f>100*SUM(EX627:EX629)/SUM($EI627:$FA629)</f>
        <v>0</v>
      </c>
      <c r="IR36" s="14">
        <f>100*SUM(EZ627:EZ629)/SUM($EI627:$FA629)</f>
        <v>0</v>
      </c>
      <c r="IS36" s="38">
        <f>100*SUM(FA627:FA629)/SUM($EI627:$FA629)</f>
        <v>0</v>
      </c>
      <c r="JH36" s="58" t="s">
        <v>2</v>
      </c>
    </row>
    <row r="37" spans="1:268" ht="16.25" customHeight="1" x14ac:dyDescent="0.2">
      <c r="A37" s="16" t="s">
        <v>959</v>
      </c>
      <c r="B37" s="1" t="s">
        <v>69</v>
      </c>
      <c r="F37" s="1" t="s">
        <v>940</v>
      </c>
      <c r="I37" s="1">
        <v>0</v>
      </c>
      <c r="AD37" s="1">
        <v>0</v>
      </c>
      <c r="AY37" s="1">
        <v>3.4</v>
      </c>
      <c r="AZ37" s="1">
        <v>0.71</v>
      </c>
      <c r="BF37" s="1">
        <v>0.63</v>
      </c>
      <c r="BG37" s="1">
        <v>0.05</v>
      </c>
      <c r="BH37" s="1">
        <v>0.09</v>
      </c>
      <c r="BT37" s="1">
        <v>0</v>
      </c>
      <c r="CO37" s="1">
        <v>0</v>
      </c>
      <c r="DJ37" s="1" t="s">
        <v>96</v>
      </c>
      <c r="DK37" s="1" t="s">
        <v>96</v>
      </c>
      <c r="DL37" s="1">
        <f t="shared" si="139"/>
        <v>0.05</v>
      </c>
      <c r="DM37" s="1">
        <f t="shared" si="140"/>
        <v>0.09</v>
      </c>
      <c r="DN37" s="1" t="s">
        <v>943</v>
      </c>
      <c r="DO37" s="1" t="s">
        <v>2</v>
      </c>
      <c r="DP37" s="38">
        <f t="shared" si="141"/>
        <v>2.4139999999999998E-2</v>
      </c>
      <c r="DQ37" s="38">
        <f t="shared" si="142"/>
        <v>0</v>
      </c>
      <c r="DR37" s="38">
        <f t="shared" si="143"/>
        <v>0</v>
      </c>
      <c r="DS37" s="38">
        <f t="shared" si="144"/>
        <v>0</v>
      </c>
      <c r="DT37" s="38">
        <f t="shared" si="145"/>
        <v>0</v>
      </c>
      <c r="DU37" s="38">
        <f t="shared" si="146"/>
        <v>0</v>
      </c>
      <c r="DV37" s="38">
        <f t="shared" si="147"/>
        <v>2.1419999999999998E-2</v>
      </c>
      <c r="DW37" s="38">
        <f t="shared" si="148"/>
        <v>1.7000000000000001E-3</v>
      </c>
      <c r="DX37" s="38">
        <f t="shared" si="149"/>
        <v>3.0599999999999998E-3</v>
      </c>
      <c r="DY37" s="38">
        <f t="shared" si="150"/>
        <v>0</v>
      </c>
      <c r="DZ37" s="38">
        <f t="shared" si="151"/>
        <v>0</v>
      </c>
      <c r="EA37" s="38">
        <f t="shared" si="152"/>
        <v>0</v>
      </c>
      <c r="EB37" s="38">
        <f t="shared" si="153"/>
        <v>0</v>
      </c>
      <c r="EC37" s="38">
        <f t="shared" si="154"/>
        <v>0</v>
      </c>
      <c r="ED37" s="38">
        <f t="shared" si="155"/>
        <v>0</v>
      </c>
      <c r="EE37" s="38">
        <f t="shared" si="156"/>
        <v>0</v>
      </c>
      <c r="EG37" s="38">
        <f t="shared" si="157"/>
        <v>0</v>
      </c>
      <c r="EH37" s="38">
        <f t="shared" si="158"/>
        <v>0</v>
      </c>
      <c r="EI37" s="38">
        <f t="shared" si="159"/>
        <v>157.52837023999999</v>
      </c>
      <c r="EJ37" s="38">
        <f t="shared" si="160"/>
        <v>0</v>
      </c>
      <c r="EK37" s="38">
        <f t="shared" si="161"/>
        <v>0</v>
      </c>
      <c r="EL37" s="38">
        <f t="shared" si="162"/>
        <v>0</v>
      </c>
      <c r="EM37" s="38">
        <f t="shared" si="163"/>
        <v>0</v>
      </c>
      <c r="EN37" s="38">
        <f t="shared" si="164"/>
        <v>0</v>
      </c>
      <c r="EO37" s="38">
        <f t="shared" si="165"/>
        <v>62.664299963999994</v>
      </c>
      <c r="EP37" s="38">
        <f t="shared" si="166"/>
        <v>22.293800000000001</v>
      </c>
      <c r="EQ37" s="38">
        <f t="shared" si="167"/>
        <v>222.21574343999995</v>
      </c>
      <c r="ER37" s="38">
        <f t="shared" si="168"/>
        <v>0</v>
      </c>
      <c r="ES37" s="38">
        <f t="shared" si="169"/>
        <v>0</v>
      </c>
      <c r="ET37" s="38">
        <f t="shared" si="170"/>
        <v>0</v>
      </c>
      <c r="EU37" s="38">
        <f t="shared" si="171"/>
        <v>0</v>
      </c>
      <c r="EV37" s="38">
        <f t="shared" si="172"/>
        <v>0</v>
      </c>
      <c r="EW37" s="38">
        <f t="shared" si="173"/>
        <v>0</v>
      </c>
      <c r="EX37" s="38">
        <f t="shared" si="174"/>
        <v>0</v>
      </c>
      <c r="EZ37" s="38">
        <f t="shared" si="175"/>
        <v>0</v>
      </c>
      <c r="FA37" s="38">
        <f t="shared" si="176"/>
        <v>0</v>
      </c>
      <c r="FB37" s="1">
        <f t="shared" si="177"/>
        <v>0</v>
      </c>
      <c r="FC37" s="1">
        <f t="shared" si="178"/>
        <v>0</v>
      </c>
      <c r="FD37" s="1">
        <f t="shared" si="179"/>
        <v>0</v>
      </c>
      <c r="FE37" s="1">
        <f t="shared" si="180"/>
        <v>0</v>
      </c>
      <c r="FF37" s="1">
        <f t="shared" si="181"/>
        <v>0</v>
      </c>
      <c r="FG37" s="1">
        <f t="shared" si="182"/>
        <v>0</v>
      </c>
      <c r="FH37" s="1">
        <f t="shared" si="183"/>
        <v>0</v>
      </c>
      <c r="FI37" s="1">
        <f t="shared" si="184"/>
        <v>0</v>
      </c>
      <c r="FJ37" s="1">
        <f t="shared" si="185"/>
        <v>0</v>
      </c>
      <c r="FK37" s="1">
        <f t="shared" si="186"/>
        <v>0</v>
      </c>
      <c r="FL37" s="1">
        <f t="shared" si="187"/>
        <v>0</v>
      </c>
      <c r="FM37" s="1">
        <f t="shared" si="188"/>
        <v>0</v>
      </c>
      <c r="FN37" s="1">
        <f t="shared" si="189"/>
        <v>0</v>
      </c>
      <c r="FO37" s="1">
        <f t="shared" si="190"/>
        <v>0</v>
      </c>
      <c r="FP37" s="1">
        <f t="shared" si="191"/>
        <v>0</v>
      </c>
      <c r="FQ37" s="1">
        <f t="shared" si="192"/>
        <v>0</v>
      </c>
      <c r="FS37" s="1">
        <f t="shared" si="193"/>
        <v>0</v>
      </c>
      <c r="FT37" s="1">
        <f t="shared" si="194"/>
        <v>0</v>
      </c>
      <c r="FU37" s="38">
        <f t="shared" si="195"/>
        <v>0</v>
      </c>
      <c r="FV37" s="38">
        <f t="shared" si="196"/>
        <v>0</v>
      </c>
      <c r="FW37" s="38">
        <f t="shared" si="197"/>
        <v>0</v>
      </c>
      <c r="FX37" s="38">
        <f t="shared" si="198"/>
        <v>0</v>
      </c>
      <c r="FY37" s="38">
        <f t="shared" si="199"/>
        <v>0</v>
      </c>
      <c r="FZ37" s="38">
        <f t="shared" si="200"/>
        <v>0</v>
      </c>
      <c r="GA37" s="38">
        <f t="shared" si="201"/>
        <v>0</v>
      </c>
      <c r="GB37" s="38">
        <f t="shared" si="202"/>
        <v>0</v>
      </c>
      <c r="GC37" s="38">
        <f t="shared" si="203"/>
        <v>0</v>
      </c>
      <c r="GD37" s="38">
        <f t="shared" si="204"/>
        <v>0</v>
      </c>
      <c r="GE37" s="38">
        <f t="shared" si="205"/>
        <v>0</v>
      </c>
      <c r="GF37" s="38">
        <f t="shared" si="206"/>
        <v>0</v>
      </c>
      <c r="GG37" s="38">
        <f t="shared" si="207"/>
        <v>0</v>
      </c>
      <c r="GH37" s="38">
        <f t="shared" si="208"/>
        <v>0</v>
      </c>
      <c r="GI37" s="38">
        <f t="shared" si="209"/>
        <v>0</v>
      </c>
      <c r="GJ37" s="38">
        <f t="shared" si="210"/>
        <v>0</v>
      </c>
      <c r="GL37" s="38">
        <f t="shared" si="211"/>
        <v>0</v>
      </c>
      <c r="GM37" s="38">
        <f t="shared" si="212"/>
        <v>0</v>
      </c>
      <c r="GN37" s="1" t="s">
        <v>2</v>
      </c>
      <c r="GO37" s="1">
        <f t="shared" si="213"/>
        <v>3.4</v>
      </c>
      <c r="GP37" s="1">
        <f t="shared" si="214"/>
        <v>0.05</v>
      </c>
      <c r="GQ37" s="41">
        <f t="shared" si="215"/>
        <v>1.7</v>
      </c>
      <c r="GR37" s="41">
        <f t="shared" si="216"/>
        <v>464.70221364399993</v>
      </c>
      <c r="GS37" s="14">
        <f t="shared" si="217"/>
        <v>136.67712165999998</v>
      </c>
      <c r="GT37" s="1">
        <f t="shared" si="218"/>
        <v>0</v>
      </c>
      <c r="GU37" s="1">
        <f t="shared" si="219"/>
        <v>0</v>
      </c>
      <c r="GV37" s="1">
        <f t="shared" si="220"/>
        <v>1.7</v>
      </c>
      <c r="GW37" s="37">
        <f t="shared" si="221"/>
        <v>0</v>
      </c>
      <c r="GX37" s="37"/>
      <c r="GY37" s="37"/>
      <c r="GZ37" s="37"/>
      <c r="HB37" s="1">
        <f t="shared" si="222"/>
        <v>0</v>
      </c>
      <c r="HC37" s="1">
        <f t="shared" si="223"/>
        <v>0</v>
      </c>
      <c r="HD37" s="37" t="s">
        <v>2</v>
      </c>
      <c r="HE37" s="1" t="s">
        <v>118</v>
      </c>
      <c r="HF37" s="1" t="s">
        <v>138</v>
      </c>
      <c r="HI37" s="1" t="s">
        <v>96</v>
      </c>
      <c r="HJ37" s="37" t="s">
        <v>2</v>
      </c>
      <c r="HK37" s="37" t="s">
        <v>1358</v>
      </c>
      <c r="HL37" s="37"/>
      <c r="HM37" s="37" t="s">
        <v>163</v>
      </c>
      <c r="HN37" s="45">
        <f>SUM(GT630:GT631)</f>
        <v>0</v>
      </c>
      <c r="HO37" s="45">
        <f>SUM(GU630:GU631)</f>
        <v>0</v>
      </c>
      <c r="HP37" s="41">
        <f>SUM(GV630:GV631)</f>
        <v>2.680736</v>
      </c>
      <c r="HQ37" s="44">
        <f>SUM(GO630:GO631)</f>
        <v>1.2791440000000001</v>
      </c>
      <c r="HR37" s="44">
        <f t="shared" si="118"/>
        <v>0.20957265171083161</v>
      </c>
      <c r="HS37" s="44">
        <f>MIN(GP630:GP631)</f>
        <v>0.05</v>
      </c>
      <c r="HT37" s="44">
        <f>MAX(GP630:GP631)</f>
        <v>0.5</v>
      </c>
      <c r="HU37" s="41">
        <f>SUM(GQ630:GQ631)</f>
        <v>2.680736</v>
      </c>
      <c r="HV37" s="41">
        <f>SUM(GR630:GR631)/SUM(GO630:GO631)</f>
        <v>163.66340875557768</v>
      </c>
      <c r="HW37" s="37">
        <f>COUNT(GQ630:GQ631)</f>
        <v>2</v>
      </c>
      <c r="HX37" s="45">
        <f>SUM(HB631)</f>
        <v>0</v>
      </c>
      <c r="HY37" s="45">
        <f>SUM(HC631)</f>
        <v>0</v>
      </c>
      <c r="HZ37" s="37" t="s">
        <v>1318</v>
      </c>
      <c r="IA37" s="37" t="s">
        <v>1318</v>
      </c>
      <c r="IB37" s="37" t="s">
        <v>1318</v>
      </c>
      <c r="IC37" s="37" t="s">
        <v>1318</v>
      </c>
      <c r="ID37" s="37">
        <f>COUNT(GY631)</f>
        <v>0</v>
      </c>
      <c r="JH37" s="58" t="s">
        <v>2</v>
      </c>
    </row>
    <row r="38" spans="1:268" ht="16.25" customHeight="1" x14ac:dyDescent="0.2">
      <c r="A38" s="16" t="s">
        <v>960</v>
      </c>
      <c r="B38" s="1" t="s">
        <v>69</v>
      </c>
      <c r="F38" s="1" t="s">
        <v>940</v>
      </c>
      <c r="I38" s="1">
        <v>0</v>
      </c>
      <c r="AD38" s="1">
        <v>0</v>
      </c>
      <c r="AY38" s="1">
        <v>0.19</v>
      </c>
      <c r="AZ38" s="1">
        <v>0.33</v>
      </c>
      <c r="BG38" s="1">
        <v>1.02</v>
      </c>
      <c r="BH38" s="1">
        <v>2.7E-2</v>
      </c>
      <c r="BT38" s="1">
        <v>0</v>
      </c>
      <c r="CO38" s="1">
        <v>0</v>
      </c>
      <c r="DJ38" s="1" t="s">
        <v>96</v>
      </c>
      <c r="DK38" s="1" t="s">
        <v>96</v>
      </c>
      <c r="DL38" s="1">
        <f t="shared" si="139"/>
        <v>1.02</v>
      </c>
      <c r="DM38" s="1">
        <f t="shared" si="140"/>
        <v>2.7E-2</v>
      </c>
      <c r="DN38" s="1" t="s">
        <v>943</v>
      </c>
      <c r="DO38" s="1" t="s">
        <v>2</v>
      </c>
      <c r="DP38" s="38">
        <f t="shared" si="141"/>
        <v>6.2700000000000006E-4</v>
      </c>
      <c r="DQ38" s="38">
        <f t="shared" si="142"/>
        <v>0</v>
      </c>
      <c r="DR38" s="38">
        <f t="shared" si="143"/>
        <v>0</v>
      </c>
      <c r="DS38" s="38">
        <f t="shared" si="144"/>
        <v>0</v>
      </c>
      <c r="DT38" s="38">
        <f t="shared" si="145"/>
        <v>0</v>
      </c>
      <c r="DU38" s="38">
        <f t="shared" si="146"/>
        <v>0</v>
      </c>
      <c r="DV38" s="38">
        <f t="shared" si="147"/>
        <v>0</v>
      </c>
      <c r="DW38" s="38">
        <f t="shared" si="148"/>
        <v>1.9380000000000001E-3</v>
      </c>
      <c r="DX38" s="38">
        <f t="shared" si="149"/>
        <v>5.13E-5</v>
      </c>
      <c r="DY38" s="38">
        <f t="shared" si="150"/>
        <v>0</v>
      </c>
      <c r="DZ38" s="38">
        <f t="shared" si="151"/>
        <v>0</v>
      </c>
      <c r="EA38" s="38">
        <f t="shared" si="152"/>
        <v>0</v>
      </c>
      <c r="EB38" s="38">
        <f t="shared" si="153"/>
        <v>0</v>
      </c>
      <c r="EC38" s="38">
        <f t="shared" si="154"/>
        <v>0</v>
      </c>
      <c r="ED38" s="38">
        <f t="shared" si="155"/>
        <v>0</v>
      </c>
      <c r="EE38" s="38">
        <f t="shared" si="156"/>
        <v>0</v>
      </c>
      <c r="EG38" s="38">
        <f t="shared" si="157"/>
        <v>0</v>
      </c>
      <c r="EH38" s="38">
        <f t="shared" si="158"/>
        <v>0</v>
      </c>
      <c r="EI38" s="38">
        <f t="shared" si="159"/>
        <v>4.0915612320000001</v>
      </c>
      <c r="EJ38" s="38">
        <f t="shared" si="160"/>
        <v>0</v>
      </c>
      <c r="EK38" s="38">
        <f t="shared" si="161"/>
        <v>0</v>
      </c>
      <c r="EL38" s="38">
        <f t="shared" si="162"/>
        <v>0</v>
      </c>
      <c r="EM38" s="38">
        <f t="shared" si="163"/>
        <v>0</v>
      </c>
      <c r="EN38" s="38">
        <f t="shared" si="164"/>
        <v>0</v>
      </c>
      <c r="EO38" s="38">
        <f t="shared" si="165"/>
        <v>0</v>
      </c>
      <c r="EP38" s="38">
        <f t="shared" si="166"/>
        <v>25.414932</v>
      </c>
      <c r="EQ38" s="38">
        <f t="shared" si="167"/>
        <v>3.7253815811999993</v>
      </c>
      <c r="ER38" s="38">
        <f t="shared" si="168"/>
        <v>0</v>
      </c>
      <c r="ES38" s="38">
        <f t="shared" si="169"/>
        <v>0</v>
      </c>
      <c r="ET38" s="38">
        <f t="shared" si="170"/>
        <v>0</v>
      </c>
      <c r="EU38" s="38">
        <f t="shared" si="171"/>
        <v>0</v>
      </c>
      <c r="EV38" s="38">
        <f t="shared" si="172"/>
        <v>0</v>
      </c>
      <c r="EW38" s="38">
        <f t="shared" si="173"/>
        <v>0</v>
      </c>
      <c r="EX38" s="38">
        <f t="shared" si="174"/>
        <v>0</v>
      </c>
      <c r="EZ38" s="38">
        <f t="shared" si="175"/>
        <v>0</v>
      </c>
      <c r="FA38" s="38">
        <f t="shared" si="176"/>
        <v>0</v>
      </c>
      <c r="FB38" s="1">
        <f t="shared" si="177"/>
        <v>0</v>
      </c>
      <c r="FC38" s="1">
        <f t="shared" si="178"/>
        <v>0</v>
      </c>
      <c r="FD38" s="1">
        <f t="shared" si="179"/>
        <v>0</v>
      </c>
      <c r="FE38" s="1">
        <f t="shared" si="180"/>
        <v>0</v>
      </c>
      <c r="FF38" s="1">
        <f t="shared" si="181"/>
        <v>0</v>
      </c>
      <c r="FG38" s="1">
        <f t="shared" si="182"/>
        <v>0</v>
      </c>
      <c r="FH38" s="1">
        <f t="shared" si="183"/>
        <v>0</v>
      </c>
      <c r="FI38" s="1">
        <f t="shared" si="184"/>
        <v>0</v>
      </c>
      <c r="FJ38" s="1">
        <f t="shared" si="185"/>
        <v>0</v>
      </c>
      <c r="FK38" s="1">
        <f t="shared" si="186"/>
        <v>0</v>
      </c>
      <c r="FL38" s="1">
        <f t="shared" si="187"/>
        <v>0</v>
      </c>
      <c r="FM38" s="1">
        <f t="shared" si="188"/>
        <v>0</v>
      </c>
      <c r="FN38" s="1">
        <f t="shared" si="189"/>
        <v>0</v>
      </c>
      <c r="FO38" s="1">
        <f t="shared" si="190"/>
        <v>0</v>
      </c>
      <c r="FP38" s="1">
        <f t="shared" si="191"/>
        <v>0</v>
      </c>
      <c r="FQ38" s="1">
        <f t="shared" si="192"/>
        <v>0</v>
      </c>
      <c r="FS38" s="1">
        <f t="shared" si="193"/>
        <v>0</v>
      </c>
      <c r="FT38" s="1">
        <f t="shared" si="194"/>
        <v>0</v>
      </c>
      <c r="FU38" s="38">
        <f t="shared" si="195"/>
        <v>0</v>
      </c>
      <c r="FV38" s="38">
        <f t="shared" si="196"/>
        <v>0</v>
      </c>
      <c r="FW38" s="38">
        <f t="shared" si="197"/>
        <v>0</v>
      </c>
      <c r="FX38" s="38">
        <f t="shared" si="198"/>
        <v>0</v>
      </c>
      <c r="FY38" s="38">
        <f t="shared" si="199"/>
        <v>0</v>
      </c>
      <c r="FZ38" s="38">
        <f t="shared" si="200"/>
        <v>0</v>
      </c>
      <c r="GA38" s="38">
        <f t="shared" si="201"/>
        <v>0</v>
      </c>
      <c r="GB38" s="38">
        <f t="shared" si="202"/>
        <v>0</v>
      </c>
      <c r="GC38" s="38">
        <f t="shared" si="203"/>
        <v>0</v>
      </c>
      <c r="GD38" s="38">
        <f t="shared" si="204"/>
        <v>0</v>
      </c>
      <c r="GE38" s="38">
        <f t="shared" si="205"/>
        <v>0</v>
      </c>
      <c r="GF38" s="38">
        <f t="shared" si="206"/>
        <v>0</v>
      </c>
      <c r="GG38" s="38">
        <f t="shared" si="207"/>
        <v>0</v>
      </c>
      <c r="GH38" s="38">
        <f t="shared" si="208"/>
        <v>0</v>
      </c>
      <c r="GI38" s="38">
        <f t="shared" si="209"/>
        <v>0</v>
      </c>
      <c r="GJ38" s="38">
        <f t="shared" si="210"/>
        <v>0</v>
      </c>
      <c r="GL38" s="38">
        <f t="shared" si="211"/>
        <v>0</v>
      </c>
      <c r="GM38" s="38">
        <f t="shared" si="212"/>
        <v>0</v>
      </c>
      <c r="GN38" s="1" t="s">
        <v>2</v>
      </c>
      <c r="GO38" s="1">
        <f t="shared" si="213"/>
        <v>0.19</v>
      </c>
      <c r="GP38" s="1">
        <f t="shared" si="214"/>
        <v>1.02</v>
      </c>
      <c r="GQ38" s="41">
        <f t="shared" si="215"/>
        <v>1.9380000000000002</v>
      </c>
      <c r="GR38" s="41">
        <f t="shared" si="216"/>
        <v>33.231874813200001</v>
      </c>
      <c r="GS38" s="14">
        <f t="shared" si="217"/>
        <v>174.90460428</v>
      </c>
      <c r="GT38" s="1">
        <f t="shared" si="218"/>
        <v>0</v>
      </c>
      <c r="GU38" s="1">
        <f t="shared" si="219"/>
        <v>0</v>
      </c>
      <c r="GV38" s="1">
        <f t="shared" si="220"/>
        <v>1.9380000000000002</v>
      </c>
      <c r="GW38" s="37">
        <f t="shared" si="221"/>
        <v>0</v>
      </c>
      <c r="GX38" s="37"/>
      <c r="GY38" s="37"/>
      <c r="GZ38" s="37"/>
      <c r="HB38" s="1">
        <f t="shared" si="222"/>
        <v>0</v>
      </c>
      <c r="HC38" s="1">
        <f t="shared" si="223"/>
        <v>0</v>
      </c>
      <c r="HD38" s="37" t="s">
        <v>2</v>
      </c>
      <c r="HE38" s="1" t="s">
        <v>118</v>
      </c>
      <c r="HF38" s="1" t="s">
        <v>138</v>
      </c>
      <c r="HI38" s="1" t="s">
        <v>96</v>
      </c>
      <c r="HJ38" s="37" t="s">
        <v>2</v>
      </c>
      <c r="HK38" s="37"/>
      <c r="HL38" s="37"/>
      <c r="HM38" s="37"/>
      <c r="HN38" s="37"/>
      <c r="HO38" s="37"/>
      <c r="HP38" s="37"/>
      <c r="HQ38" s="37"/>
      <c r="HR38" s="37"/>
      <c r="HS38" s="61"/>
      <c r="HT38" s="61"/>
      <c r="HU38" s="37"/>
      <c r="HV38" s="37"/>
      <c r="HW38" s="37"/>
      <c r="JH38" s="58" t="s">
        <v>2</v>
      </c>
    </row>
    <row r="39" spans="1:268" ht="16.25" customHeight="1" x14ac:dyDescent="0.2">
      <c r="A39" s="16" t="s">
        <v>961</v>
      </c>
      <c r="B39" s="1" t="s">
        <v>69</v>
      </c>
      <c r="F39" s="1" t="s">
        <v>940</v>
      </c>
      <c r="I39" s="1">
        <v>0</v>
      </c>
      <c r="AD39" s="1">
        <v>0.1</v>
      </c>
      <c r="AE39" s="1">
        <v>0.35</v>
      </c>
      <c r="AL39" s="1">
        <v>0.7</v>
      </c>
      <c r="AM39" s="1">
        <v>0.05</v>
      </c>
      <c r="AY39" s="1">
        <v>0</v>
      </c>
      <c r="BT39" s="1">
        <v>0</v>
      </c>
      <c r="CO39" s="1">
        <v>0</v>
      </c>
      <c r="DJ39" s="1" t="s">
        <v>96</v>
      </c>
      <c r="DK39" s="1" t="s">
        <v>96</v>
      </c>
      <c r="DL39" s="1">
        <f t="shared" si="139"/>
        <v>0.69999999999999984</v>
      </c>
      <c r="DM39" s="1">
        <f t="shared" si="140"/>
        <v>5.000000000000001E-2</v>
      </c>
      <c r="DN39" s="1" t="s">
        <v>943</v>
      </c>
      <c r="DO39" s="1" t="s">
        <v>2</v>
      </c>
      <c r="DP39" s="38">
        <f t="shared" si="141"/>
        <v>3.4999999999999994E-4</v>
      </c>
      <c r="DQ39" s="38">
        <f t="shared" si="142"/>
        <v>0</v>
      </c>
      <c r="DR39" s="38">
        <f t="shared" si="143"/>
        <v>0</v>
      </c>
      <c r="DS39" s="38">
        <f t="shared" si="144"/>
        <v>0</v>
      </c>
      <c r="DT39" s="38">
        <f t="shared" si="145"/>
        <v>0</v>
      </c>
      <c r="DU39" s="38">
        <f t="shared" si="146"/>
        <v>0</v>
      </c>
      <c r="DV39" s="38">
        <f t="shared" si="147"/>
        <v>0</v>
      </c>
      <c r="DW39" s="38">
        <f t="shared" si="148"/>
        <v>6.9999999999999988E-4</v>
      </c>
      <c r="DX39" s="38">
        <f t="shared" si="149"/>
        <v>5.0000000000000009E-5</v>
      </c>
      <c r="DY39" s="38">
        <f t="shared" si="150"/>
        <v>0</v>
      </c>
      <c r="DZ39" s="38">
        <f t="shared" si="151"/>
        <v>0</v>
      </c>
      <c r="EA39" s="38">
        <f t="shared" si="152"/>
        <v>0</v>
      </c>
      <c r="EB39" s="38">
        <f t="shared" si="153"/>
        <v>0</v>
      </c>
      <c r="EC39" s="38">
        <f t="shared" si="154"/>
        <v>0</v>
      </c>
      <c r="ED39" s="38">
        <f t="shared" si="155"/>
        <v>0</v>
      </c>
      <c r="EE39" s="38">
        <f t="shared" si="156"/>
        <v>0</v>
      </c>
      <c r="EG39" s="38">
        <f t="shared" si="157"/>
        <v>0</v>
      </c>
      <c r="EH39" s="38">
        <f t="shared" si="158"/>
        <v>0</v>
      </c>
      <c r="EI39" s="38">
        <f t="shared" si="159"/>
        <v>2.2839655999999997</v>
      </c>
      <c r="EJ39" s="38">
        <f t="shared" si="160"/>
        <v>0</v>
      </c>
      <c r="EK39" s="38">
        <f t="shared" si="161"/>
        <v>0</v>
      </c>
      <c r="EL39" s="38">
        <f t="shared" si="162"/>
        <v>0</v>
      </c>
      <c r="EM39" s="38">
        <f t="shared" si="163"/>
        <v>0</v>
      </c>
      <c r="EN39" s="38">
        <f t="shared" si="164"/>
        <v>0</v>
      </c>
      <c r="EO39" s="38">
        <f t="shared" si="165"/>
        <v>0</v>
      </c>
      <c r="EP39" s="38">
        <f t="shared" si="166"/>
        <v>9.1797999999999984</v>
      </c>
      <c r="EQ39" s="38">
        <f t="shared" si="167"/>
        <v>3.6309762000000001</v>
      </c>
      <c r="ER39" s="38">
        <f t="shared" si="168"/>
        <v>0</v>
      </c>
      <c r="ES39" s="38">
        <f t="shared" si="169"/>
        <v>0</v>
      </c>
      <c r="ET39" s="38">
        <f t="shared" si="170"/>
        <v>0</v>
      </c>
      <c r="EU39" s="38">
        <f t="shared" si="171"/>
        <v>0</v>
      </c>
      <c r="EV39" s="38">
        <f t="shared" si="172"/>
        <v>0</v>
      </c>
      <c r="EW39" s="38">
        <f t="shared" si="173"/>
        <v>0</v>
      </c>
      <c r="EX39" s="38">
        <f t="shared" si="174"/>
        <v>0</v>
      </c>
      <c r="EZ39" s="38">
        <f t="shared" si="175"/>
        <v>0</v>
      </c>
      <c r="FA39" s="38">
        <f t="shared" si="176"/>
        <v>0</v>
      </c>
      <c r="FB39" s="1">
        <f t="shared" si="177"/>
        <v>0</v>
      </c>
      <c r="FC39" s="1">
        <f t="shared" si="178"/>
        <v>0</v>
      </c>
      <c r="FD39" s="1">
        <f t="shared" si="179"/>
        <v>0</v>
      </c>
      <c r="FE39" s="1">
        <f t="shared" si="180"/>
        <v>0</v>
      </c>
      <c r="FF39" s="1">
        <f t="shared" si="181"/>
        <v>0</v>
      </c>
      <c r="FG39" s="1">
        <f t="shared" si="182"/>
        <v>0</v>
      </c>
      <c r="FH39" s="1">
        <f t="shared" si="183"/>
        <v>0</v>
      </c>
      <c r="FI39" s="1">
        <f t="shared" si="184"/>
        <v>0</v>
      </c>
      <c r="FJ39" s="1">
        <f t="shared" si="185"/>
        <v>0</v>
      </c>
      <c r="FK39" s="1">
        <f t="shared" si="186"/>
        <v>0</v>
      </c>
      <c r="FL39" s="1">
        <f t="shared" si="187"/>
        <v>0</v>
      </c>
      <c r="FM39" s="1">
        <f t="shared" si="188"/>
        <v>0</v>
      </c>
      <c r="FN39" s="1">
        <f t="shared" si="189"/>
        <v>0</v>
      </c>
      <c r="FO39" s="1">
        <f t="shared" si="190"/>
        <v>0</v>
      </c>
      <c r="FP39" s="1">
        <f t="shared" si="191"/>
        <v>0</v>
      </c>
      <c r="FQ39" s="1">
        <f t="shared" si="192"/>
        <v>0</v>
      </c>
      <c r="FS39" s="1">
        <f t="shared" si="193"/>
        <v>0</v>
      </c>
      <c r="FT39" s="1">
        <f t="shared" si="194"/>
        <v>0</v>
      </c>
      <c r="FU39" s="38">
        <f t="shared" si="195"/>
        <v>0</v>
      </c>
      <c r="FV39" s="38">
        <f t="shared" si="196"/>
        <v>0</v>
      </c>
      <c r="FW39" s="38">
        <f t="shared" si="197"/>
        <v>0</v>
      </c>
      <c r="FX39" s="38">
        <f t="shared" si="198"/>
        <v>0</v>
      </c>
      <c r="FY39" s="38">
        <f t="shared" si="199"/>
        <v>0</v>
      </c>
      <c r="FZ39" s="38">
        <f t="shared" si="200"/>
        <v>0</v>
      </c>
      <c r="GA39" s="38">
        <f t="shared" si="201"/>
        <v>0</v>
      </c>
      <c r="GB39" s="38">
        <f t="shared" si="202"/>
        <v>0</v>
      </c>
      <c r="GC39" s="38">
        <f t="shared" si="203"/>
        <v>0</v>
      </c>
      <c r="GD39" s="38">
        <f t="shared" si="204"/>
        <v>0</v>
      </c>
      <c r="GE39" s="38">
        <f t="shared" si="205"/>
        <v>0</v>
      </c>
      <c r="GF39" s="38">
        <f t="shared" si="206"/>
        <v>0</v>
      </c>
      <c r="GG39" s="38">
        <f t="shared" si="207"/>
        <v>0</v>
      </c>
      <c r="GH39" s="38">
        <f t="shared" si="208"/>
        <v>0</v>
      </c>
      <c r="GI39" s="38">
        <f t="shared" si="209"/>
        <v>0</v>
      </c>
      <c r="GJ39" s="38">
        <f t="shared" si="210"/>
        <v>0</v>
      </c>
      <c r="GL39" s="38">
        <f t="shared" si="211"/>
        <v>0</v>
      </c>
      <c r="GM39" s="38">
        <f t="shared" si="212"/>
        <v>0</v>
      </c>
      <c r="GN39" s="1" t="s">
        <v>2</v>
      </c>
      <c r="GO39" s="1">
        <f t="shared" si="213"/>
        <v>0.1</v>
      </c>
      <c r="GP39" s="1">
        <f t="shared" si="214"/>
        <v>0.69999999999999984</v>
      </c>
      <c r="GQ39" s="41">
        <f t="shared" si="215"/>
        <v>0.69999999999999984</v>
      </c>
      <c r="GR39" s="41">
        <f t="shared" si="216"/>
        <v>15.094741799999998</v>
      </c>
      <c r="GS39" s="14">
        <f t="shared" si="217"/>
        <v>150.94741799999997</v>
      </c>
      <c r="GT39" s="1">
        <f t="shared" si="218"/>
        <v>0</v>
      </c>
      <c r="GU39" s="1">
        <f t="shared" si="219"/>
        <v>0.69999999999999984</v>
      </c>
      <c r="GV39" s="1">
        <f t="shared" si="220"/>
        <v>0</v>
      </c>
      <c r="GW39" s="37">
        <f t="shared" si="221"/>
        <v>0</v>
      </c>
      <c r="GX39" s="37"/>
      <c r="GY39" s="37"/>
      <c r="GZ39" s="37"/>
      <c r="HB39" s="1">
        <f t="shared" si="222"/>
        <v>0</v>
      </c>
      <c r="HC39" s="1">
        <f t="shared" si="223"/>
        <v>0</v>
      </c>
      <c r="HD39" s="37" t="s">
        <v>2</v>
      </c>
      <c r="HE39" s="1" t="s">
        <v>118</v>
      </c>
      <c r="HF39" s="1" t="s">
        <v>138</v>
      </c>
      <c r="HI39" s="1" t="s">
        <v>96</v>
      </c>
      <c r="HJ39" s="37" t="s">
        <v>2</v>
      </c>
      <c r="HK39" s="37"/>
      <c r="HL39" s="37" t="s">
        <v>31</v>
      </c>
      <c r="HM39" s="37" t="s">
        <v>96</v>
      </c>
      <c r="HN39" s="42">
        <f t="shared" ref="HN39:HQ40" si="231">HN18+HN20+HN22</f>
        <v>24163.682860800007</v>
      </c>
      <c r="HO39" s="42">
        <f t="shared" si="231"/>
        <v>45136.10292070001</v>
      </c>
      <c r="HP39" s="42">
        <f t="shared" si="231"/>
        <v>53948.306088800004</v>
      </c>
      <c r="HQ39" s="42">
        <f t="shared" si="231"/>
        <v>11263.926039000005</v>
      </c>
      <c r="HR39" s="44">
        <f t="shared" ref="HR39:HR44" si="232">100*(HU39/1000)/HQ39</f>
        <v>1.0941841365396763</v>
      </c>
      <c r="HS39" s="44"/>
      <c r="HT39" s="44"/>
      <c r="HU39" s="42">
        <f>HU18+HU20+HU22</f>
        <v>123248.09187029998</v>
      </c>
      <c r="HV39" s="41">
        <f>(HV18*HQ18+HV20*HQ20+HV22*HQ22)/HQ39</f>
        <v>187.69279491018091</v>
      </c>
      <c r="HW39" s="37">
        <f>HW18+HW20+HW22</f>
        <v>148</v>
      </c>
      <c r="HX39" s="42">
        <f t="shared" ref="HX39:HY39" si="233">HX18+HX20+HX22</f>
        <v>10228.932755099999</v>
      </c>
      <c r="HY39" s="42">
        <f t="shared" si="233"/>
        <v>15742.327011200001</v>
      </c>
      <c r="HZ39" s="42">
        <f t="shared" ref="HZ39" si="234">HZ18+HZ20+HZ22</f>
        <v>2201.0826710000001</v>
      </c>
      <c r="IA39" s="44">
        <f t="shared" ref="IA39:IA43" si="235">100*(IB39/1000)/HZ39</f>
        <v>1.1799311360940701</v>
      </c>
      <c r="IB39" s="42">
        <f t="shared" ref="IB39" si="236">IB18+IB20+IB22</f>
        <v>25971.259766300005</v>
      </c>
      <c r="IC39" s="41">
        <f>(IC18*HZ18+IC20*HZ20+IC22*HZ22)/HZ39</f>
        <v>208.43085021091076</v>
      </c>
      <c r="ID39" s="1">
        <f t="shared" ref="ID39" si="237">ID18+ID20+ID22</f>
        <v>38</v>
      </c>
      <c r="JH39" s="58" t="s">
        <v>2</v>
      </c>
    </row>
    <row r="40" spans="1:268" ht="16.25" customHeight="1" x14ac:dyDescent="0.2">
      <c r="A40" s="16" t="s">
        <v>962</v>
      </c>
      <c r="B40" s="1" t="s">
        <v>69</v>
      </c>
      <c r="F40" s="1" t="s">
        <v>940</v>
      </c>
      <c r="I40" s="1">
        <v>0</v>
      </c>
      <c r="AD40" s="1">
        <v>1.54</v>
      </c>
      <c r="AE40" s="1">
        <v>0.28999999999999998</v>
      </c>
      <c r="AL40" s="1">
        <v>0.71</v>
      </c>
      <c r="AM40" s="1">
        <v>0.03</v>
      </c>
      <c r="AY40" s="1">
        <v>0</v>
      </c>
      <c r="BT40" s="1">
        <v>0</v>
      </c>
      <c r="CO40" s="1">
        <v>0</v>
      </c>
      <c r="DJ40" s="1" t="s">
        <v>96</v>
      </c>
      <c r="DK40" s="1" t="s">
        <v>96</v>
      </c>
      <c r="DL40" s="1">
        <f t="shared" si="139"/>
        <v>0.71</v>
      </c>
      <c r="DM40" s="1">
        <f t="shared" si="140"/>
        <v>0.03</v>
      </c>
      <c r="DN40" s="1" t="s">
        <v>943</v>
      </c>
      <c r="DO40" s="1" t="s">
        <v>2</v>
      </c>
      <c r="DP40" s="38">
        <f t="shared" si="141"/>
        <v>4.4660000000000004E-3</v>
      </c>
      <c r="DQ40" s="38">
        <f t="shared" si="142"/>
        <v>0</v>
      </c>
      <c r="DR40" s="38">
        <f t="shared" si="143"/>
        <v>0</v>
      </c>
      <c r="DS40" s="38">
        <f t="shared" si="144"/>
        <v>0</v>
      </c>
      <c r="DT40" s="38">
        <f t="shared" si="145"/>
        <v>0</v>
      </c>
      <c r="DU40" s="38">
        <f t="shared" si="146"/>
        <v>0</v>
      </c>
      <c r="DV40" s="38">
        <f t="shared" si="147"/>
        <v>0</v>
      </c>
      <c r="DW40" s="38">
        <f t="shared" si="148"/>
        <v>1.0933999999999999E-2</v>
      </c>
      <c r="DX40" s="38">
        <f t="shared" si="149"/>
        <v>4.6199999999999995E-4</v>
      </c>
      <c r="DY40" s="38">
        <f t="shared" si="150"/>
        <v>0</v>
      </c>
      <c r="DZ40" s="38">
        <f t="shared" si="151"/>
        <v>0</v>
      </c>
      <c r="EA40" s="38">
        <f t="shared" si="152"/>
        <v>0</v>
      </c>
      <c r="EB40" s="38">
        <f t="shared" si="153"/>
        <v>0</v>
      </c>
      <c r="EC40" s="38">
        <f t="shared" si="154"/>
        <v>0</v>
      </c>
      <c r="ED40" s="38">
        <f t="shared" si="155"/>
        <v>0</v>
      </c>
      <c r="EE40" s="38">
        <f t="shared" si="156"/>
        <v>0</v>
      </c>
      <c r="EG40" s="38">
        <f t="shared" si="157"/>
        <v>0</v>
      </c>
      <c r="EH40" s="38">
        <f t="shared" si="158"/>
        <v>0</v>
      </c>
      <c r="EI40" s="38">
        <f t="shared" si="159"/>
        <v>29.143401056000002</v>
      </c>
      <c r="EJ40" s="38">
        <f t="shared" si="160"/>
        <v>0</v>
      </c>
      <c r="EK40" s="38">
        <f t="shared" si="161"/>
        <v>0</v>
      </c>
      <c r="EL40" s="38">
        <f t="shared" si="162"/>
        <v>0</v>
      </c>
      <c r="EM40" s="38">
        <f t="shared" si="163"/>
        <v>0</v>
      </c>
      <c r="EN40" s="38">
        <f t="shared" si="164"/>
        <v>0</v>
      </c>
      <c r="EO40" s="38">
        <f t="shared" si="165"/>
        <v>0</v>
      </c>
      <c r="EP40" s="38">
        <f t="shared" si="166"/>
        <v>143.388476</v>
      </c>
      <c r="EQ40" s="38">
        <f t="shared" si="167"/>
        <v>33.550220087999989</v>
      </c>
      <c r="ER40" s="38">
        <f t="shared" si="168"/>
        <v>0</v>
      </c>
      <c r="ES40" s="38">
        <f t="shared" si="169"/>
        <v>0</v>
      </c>
      <c r="ET40" s="38">
        <f t="shared" si="170"/>
        <v>0</v>
      </c>
      <c r="EU40" s="38">
        <f t="shared" si="171"/>
        <v>0</v>
      </c>
      <c r="EV40" s="38">
        <f t="shared" si="172"/>
        <v>0</v>
      </c>
      <c r="EW40" s="38">
        <f t="shared" si="173"/>
        <v>0</v>
      </c>
      <c r="EX40" s="38">
        <f t="shared" si="174"/>
        <v>0</v>
      </c>
      <c r="EZ40" s="38">
        <f t="shared" si="175"/>
        <v>0</v>
      </c>
      <c r="FA40" s="38">
        <f t="shared" si="176"/>
        <v>0</v>
      </c>
      <c r="FB40" s="1">
        <f t="shared" si="177"/>
        <v>0</v>
      </c>
      <c r="FC40" s="1">
        <f t="shared" si="178"/>
        <v>0</v>
      </c>
      <c r="FD40" s="1">
        <f t="shared" si="179"/>
        <v>0</v>
      </c>
      <c r="FE40" s="1">
        <f t="shared" si="180"/>
        <v>0</v>
      </c>
      <c r="FF40" s="1">
        <f t="shared" si="181"/>
        <v>0</v>
      </c>
      <c r="FG40" s="1">
        <f t="shared" si="182"/>
        <v>0</v>
      </c>
      <c r="FH40" s="1">
        <f t="shared" si="183"/>
        <v>0</v>
      </c>
      <c r="FI40" s="1">
        <f t="shared" si="184"/>
        <v>0</v>
      </c>
      <c r="FJ40" s="1">
        <f t="shared" si="185"/>
        <v>0</v>
      </c>
      <c r="FK40" s="1">
        <f t="shared" si="186"/>
        <v>0</v>
      </c>
      <c r="FL40" s="1">
        <f t="shared" si="187"/>
        <v>0</v>
      </c>
      <c r="FM40" s="1">
        <f t="shared" si="188"/>
        <v>0</v>
      </c>
      <c r="FN40" s="1">
        <f t="shared" si="189"/>
        <v>0</v>
      </c>
      <c r="FO40" s="1">
        <f t="shared" si="190"/>
        <v>0</v>
      </c>
      <c r="FP40" s="1">
        <f t="shared" si="191"/>
        <v>0</v>
      </c>
      <c r="FQ40" s="1">
        <f t="shared" si="192"/>
        <v>0</v>
      </c>
      <c r="FS40" s="1">
        <f t="shared" si="193"/>
        <v>0</v>
      </c>
      <c r="FT40" s="1">
        <f t="shared" si="194"/>
        <v>0</v>
      </c>
      <c r="FU40" s="38">
        <f t="shared" si="195"/>
        <v>0</v>
      </c>
      <c r="FV40" s="38">
        <f t="shared" si="196"/>
        <v>0</v>
      </c>
      <c r="FW40" s="38">
        <f t="shared" si="197"/>
        <v>0</v>
      </c>
      <c r="FX40" s="38">
        <f t="shared" si="198"/>
        <v>0</v>
      </c>
      <c r="FY40" s="38">
        <f t="shared" si="199"/>
        <v>0</v>
      </c>
      <c r="FZ40" s="38">
        <f t="shared" si="200"/>
        <v>0</v>
      </c>
      <c r="GA40" s="38">
        <f t="shared" si="201"/>
        <v>0</v>
      </c>
      <c r="GB40" s="38">
        <f t="shared" si="202"/>
        <v>0</v>
      </c>
      <c r="GC40" s="38">
        <f t="shared" si="203"/>
        <v>0</v>
      </c>
      <c r="GD40" s="38">
        <f t="shared" si="204"/>
        <v>0</v>
      </c>
      <c r="GE40" s="38">
        <f t="shared" si="205"/>
        <v>0</v>
      </c>
      <c r="GF40" s="38">
        <f t="shared" si="206"/>
        <v>0</v>
      </c>
      <c r="GG40" s="38">
        <f t="shared" si="207"/>
        <v>0</v>
      </c>
      <c r="GH40" s="38">
        <f t="shared" si="208"/>
        <v>0</v>
      </c>
      <c r="GI40" s="38">
        <f t="shared" si="209"/>
        <v>0</v>
      </c>
      <c r="GJ40" s="38">
        <f t="shared" si="210"/>
        <v>0</v>
      </c>
      <c r="GL40" s="38">
        <f t="shared" si="211"/>
        <v>0</v>
      </c>
      <c r="GM40" s="38">
        <f t="shared" si="212"/>
        <v>0</v>
      </c>
      <c r="GN40" s="1" t="s">
        <v>2</v>
      </c>
      <c r="GO40" s="1">
        <f t="shared" si="213"/>
        <v>1.54</v>
      </c>
      <c r="GP40" s="1">
        <f t="shared" si="214"/>
        <v>0.71</v>
      </c>
      <c r="GQ40" s="41">
        <f t="shared" si="215"/>
        <v>10.933999999999999</v>
      </c>
      <c r="GR40" s="41">
        <f t="shared" si="216"/>
        <v>206.08209714399999</v>
      </c>
      <c r="GS40" s="14">
        <f t="shared" si="217"/>
        <v>133.8195436</v>
      </c>
      <c r="GT40" s="1">
        <f t="shared" si="218"/>
        <v>0</v>
      </c>
      <c r="GU40" s="1">
        <f t="shared" si="219"/>
        <v>10.933999999999999</v>
      </c>
      <c r="GV40" s="1">
        <f t="shared" si="220"/>
        <v>0</v>
      </c>
      <c r="GW40" s="37">
        <f t="shared" si="221"/>
        <v>0</v>
      </c>
      <c r="GX40" s="37"/>
      <c r="GY40" s="37"/>
      <c r="GZ40" s="37"/>
      <c r="HB40" s="1">
        <f t="shared" si="222"/>
        <v>0</v>
      </c>
      <c r="HC40" s="1">
        <f t="shared" si="223"/>
        <v>0</v>
      </c>
      <c r="HD40" s="37" t="s">
        <v>2</v>
      </c>
      <c r="HE40" s="1" t="s">
        <v>118</v>
      </c>
      <c r="HF40" s="1" t="s">
        <v>138</v>
      </c>
      <c r="HI40" s="1" t="s">
        <v>96</v>
      </c>
      <c r="HJ40" s="37" t="s">
        <v>2</v>
      </c>
      <c r="HK40" s="37"/>
      <c r="HL40" s="37" t="s">
        <v>31</v>
      </c>
      <c r="HM40" s="37" t="s">
        <v>163</v>
      </c>
      <c r="HN40" s="37">
        <f t="shared" si="231"/>
        <v>0</v>
      </c>
      <c r="HO40" s="37">
        <f t="shared" si="231"/>
        <v>0</v>
      </c>
      <c r="HP40" s="42">
        <f t="shared" si="231"/>
        <v>66976.675321939983</v>
      </c>
      <c r="HQ40" s="42">
        <f t="shared" si="231"/>
        <v>6142.2269997333333</v>
      </c>
      <c r="HR40" s="44">
        <f t="shared" si="232"/>
        <v>1.0904298282178075</v>
      </c>
      <c r="HS40" s="44"/>
      <c r="HT40" s="44"/>
      <c r="HU40" s="42">
        <f>HU19+HU21+HU23</f>
        <v>66976.675321939983</v>
      </c>
      <c r="HV40" s="41">
        <f>(HV19*HQ19+HV21*HQ21+HV23*HQ23)/HQ40</f>
        <v>190.95689463388661</v>
      </c>
      <c r="HW40" s="73">
        <f>HW19+HW21+HW23</f>
        <v>86</v>
      </c>
      <c r="HX40" s="49"/>
      <c r="HY40" s="49"/>
      <c r="HZ40" s="49"/>
      <c r="IA40" s="49"/>
      <c r="IB40" s="49"/>
      <c r="IC40" s="49"/>
      <c r="ID40" s="49"/>
      <c r="JH40" s="58" t="s">
        <v>2</v>
      </c>
    </row>
    <row r="41" spans="1:268" ht="16.25" customHeight="1" x14ac:dyDescent="0.2">
      <c r="A41" s="16" t="s">
        <v>963</v>
      </c>
      <c r="B41" s="1" t="s">
        <v>69</v>
      </c>
      <c r="F41" s="1" t="s">
        <v>940</v>
      </c>
      <c r="I41" s="1">
        <v>0</v>
      </c>
      <c r="AD41" s="1">
        <v>0</v>
      </c>
      <c r="AY41" s="1">
        <v>0.76</v>
      </c>
      <c r="AZ41" s="1">
        <v>1.76</v>
      </c>
      <c r="BA41" s="1">
        <v>0.1</v>
      </c>
      <c r="BB41" s="1">
        <v>11</v>
      </c>
      <c r="BF41" s="1">
        <v>1.33</v>
      </c>
      <c r="BG41" s="1">
        <v>0.13</v>
      </c>
      <c r="BH41" s="1">
        <v>0.14000000000000001</v>
      </c>
      <c r="BT41" s="1">
        <v>0</v>
      </c>
      <c r="CO41" s="1">
        <v>0</v>
      </c>
      <c r="DJ41" s="1" t="s">
        <v>96</v>
      </c>
      <c r="DK41" s="1" t="s">
        <v>96</v>
      </c>
      <c r="DL41" s="1">
        <f t="shared" si="139"/>
        <v>0.13</v>
      </c>
      <c r="DM41" s="1">
        <f t="shared" si="140"/>
        <v>0.14000000000000001</v>
      </c>
      <c r="DN41" s="1" t="s">
        <v>943</v>
      </c>
      <c r="DO41" s="1" t="s">
        <v>2</v>
      </c>
      <c r="DP41" s="38">
        <f t="shared" si="141"/>
        <v>1.3376000000000001E-2</v>
      </c>
      <c r="DQ41" s="38">
        <f t="shared" si="142"/>
        <v>7.6000000000000012E-2</v>
      </c>
      <c r="DR41" s="38">
        <f t="shared" si="143"/>
        <v>8.36</v>
      </c>
      <c r="DS41" s="38">
        <f t="shared" si="144"/>
        <v>0</v>
      </c>
      <c r="DT41" s="38">
        <f t="shared" si="145"/>
        <v>0</v>
      </c>
      <c r="DU41" s="38">
        <f t="shared" si="146"/>
        <v>0</v>
      </c>
      <c r="DV41" s="38">
        <f t="shared" si="147"/>
        <v>1.0108000000000001E-2</v>
      </c>
      <c r="DW41" s="38">
        <f t="shared" si="148"/>
        <v>9.8799999999999995E-4</v>
      </c>
      <c r="DX41" s="38">
        <f t="shared" si="149"/>
        <v>1.0640000000000001E-3</v>
      </c>
      <c r="DY41" s="38">
        <f t="shared" si="150"/>
        <v>0</v>
      </c>
      <c r="DZ41" s="38">
        <f t="shared" si="151"/>
        <v>0</v>
      </c>
      <c r="EA41" s="38">
        <f t="shared" si="152"/>
        <v>0</v>
      </c>
      <c r="EB41" s="38">
        <f t="shared" si="153"/>
        <v>0</v>
      </c>
      <c r="EC41" s="38">
        <f t="shared" si="154"/>
        <v>0</v>
      </c>
      <c r="ED41" s="38">
        <f t="shared" si="155"/>
        <v>0</v>
      </c>
      <c r="EE41" s="38">
        <f t="shared" si="156"/>
        <v>0</v>
      </c>
      <c r="EG41" s="38">
        <f t="shared" si="157"/>
        <v>0</v>
      </c>
      <c r="EH41" s="38">
        <f t="shared" si="158"/>
        <v>0</v>
      </c>
      <c r="EI41" s="38">
        <f t="shared" si="159"/>
        <v>87.286639616000002</v>
      </c>
      <c r="EJ41" s="38">
        <f t="shared" si="160"/>
        <v>3.1084244372990355</v>
      </c>
      <c r="EK41" s="38">
        <f t="shared" si="161"/>
        <v>4.2337620578778123</v>
      </c>
      <c r="EL41" s="38">
        <f t="shared" si="162"/>
        <v>0</v>
      </c>
      <c r="EM41" s="38">
        <f t="shared" si="163"/>
        <v>0</v>
      </c>
      <c r="EN41" s="38">
        <f t="shared" si="164"/>
        <v>0</v>
      </c>
      <c r="EO41" s="38">
        <f t="shared" si="165"/>
        <v>29.570996453599999</v>
      </c>
      <c r="EP41" s="38">
        <f t="shared" si="166"/>
        <v>12.956631999999999</v>
      </c>
      <c r="EQ41" s="38">
        <f t="shared" si="167"/>
        <v>77.267173535999987</v>
      </c>
      <c r="ER41" s="38">
        <f t="shared" si="168"/>
        <v>0</v>
      </c>
      <c r="ES41" s="38">
        <f t="shared" si="169"/>
        <v>0</v>
      </c>
      <c r="ET41" s="38">
        <f t="shared" si="170"/>
        <v>0</v>
      </c>
      <c r="EU41" s="38">
        <f t="shared" si="171"/>
        <v>0</v>
      </c>
      <c r="EV41" s="38">
        <f t="shared" si="172"/>
        <v>0</v>
      </c>
      <c r="EW41" s="38">
        <f t="shared" si="173"/>
        <v>0</v>
      </c>
      <c r="EX41" s="38">
        <f t="shared" si="174"/>
        <v>0</v>
      </c>
      <c r="EZ41" s="38">
        <f t="shared" si="175"/>
        <v>0</v>
      </c>
      <c r="FA41" s="38">
        <f t="shared" si="176"/>
        <v>0</v>
      </c>
      <c r="FB41" s="1">
        <f t="shared" si="177"/>
        <v>0</v>
      </c>
      <c r="FC41" s="1">
        <f t="shared" si="178"/>
        <v>0</v>
      </c>
      <c r="FD41" s="1">
        <f t="shared" si="179"/>
        <v>0</v>
      </c>
      <c r="FE41" s="1">
        <f t="shared" si="180"/>
        <v>0</v>
      </c>
      <c r="FF41" s="1">
        <f t="shared" si="181"/>
        <v>0</v>
      </c>
      <c r="FG41" s="1">
        <f t="shared" si="182"/>
        <v>0</v>
      </c>
      <c r="FH41" s="1">
        <f t="shared" si="183"/>
        <v>0</v>
      </c>
      <c r="FI41" s="1">
        <f t="shared" si="184"/>
        <v>0</v>
      </c>
      <c r="FJ41" s="1">
        <f t="shared" si="185"/>
        <v>0</v>
      </c>
      <c r="FK41" s="1">
        <f t="shared" si="186"/>
        <v>0</v>
      </c>
      <c r="FL41" s="1">
        <f t="shared" si="187"/>
        <v>0</v>
      </c>
      <c r="FM41" s="1">
        <f t="shared" si="188"/>
        <v>0</v>
      </c>
      <c r="FN41" s="1">
        <f t="shared" si="189"/>
        <v>0</v>
      </c>
      <c r="FO41" s="1">
        <f t="shared" si="190"/>
        <v>0</v>
      </c>
      <c r="FP41" s="1">
        <f t="shared" si="191"/>
        <v>0</v>
      </c>
      <c r="FQ41" s="1">
        <f t="shared" si="192"/>
        <v>0</v>
      </c>
      <c r="FS41" s="1">
        <f t="shared" si="193"/>
        <v>0</v>
      </c>
      <c r="FT41" s="1">
        <f t="shared" si="194"/>
        <v>0</v>
      </c>
      <c r="FU41" s="38">
        <f t="shared" si="195"/>
        <v>0</v>
      </c>
      <c r="FV41" s="38">
        <f t="shared" si="196"/>
        <v>0</v>
      </c>
      <c r="FW41" s="38">
        <f t="shared" si="197"/>
        <v>0</v>
      </c>
      <c r="FX41" s="38">
        <f t="shared" si="198"/>
        <v>0</v>
      </c>
      <c r="FY41" s="38">
        <f t="shared" si="199"/>
        <v>0</v>
      </c>
      <c r="FZ41" s="38">
        <f t="shared" si="200"/>
        <v>0</v>
      </c>
      <c r="GA41" s="38">
        <f t="shared" si="201"/>
        <v>0</v>
      </c>
      <c r="GB41" s="38">
        <f t="shared" si="202"/>
        <v>0</v>
      </c>
      <c r="GC41" s="38">
        <f t="shared" si="203"/>
        <v>0</v>
      </c>
      <c r="GD41" s="38">
        <f t="shared" si="204"/>
        <v>0</v>
      </c>
      <c r="GE41" s="38">
        <f t="shared" si="205"/>
        <v>0</v>
      </c>
      <c r="GF41" s="38">
        <f t="shared" si="206"/>
        <v>0</v>
      </c>
      <c r="GG41" s="38">
        <f t="shared" si="207"/>
        <v>0</v>
      </c>
      <c r="GH41" s="38">
        <f t="shared" si="208"/>
        <v>0</v>
      </c>
      <c r="GI41" s="38">
        <f t="shared" si="209"/>
        <v>0</v>
      </c>
      <c r="GJ41" s="38">
        <f t="shared" si="210"/>
        <v>0</v>
      </c>
      <c r="GL41" s="38">
        <f t="shared" si="211"/>
        <v>0</v>
      </c>
      <c r="GM41" s="38">
        <f t="shared" si="212"/>
        <v>0</v>
      </c>
      <c r="GN41" s="1" t="s">
        <v>2</v>
      </c>
      <c r="GO41" s="1">
        <f t="shared" si="213"/>
        <v>0.76</v>
      </c>
      <c r="GP41" s="1">
        <f t="shared" si="214"/>
        <v>0.13</v>
      </c>
      <c r="GQ41" s="41">
        <f t="shared" si="215"/>
        <v>0.98799999999999999</v>
      </c>
      <c r="GR41" s="41">
        <f t="shared" si="216"/>
        <v>214.42362810077685</v>
      </c>
      <c r="GS41" s="14">
        <f t="shared" si="217"/>
        <v>282.13635276418006</v>
      </c>
      <c r="GT41" s="1">
        <f t="shared" si="218"/>
        <v>0</v>
      </c>
      <c r="GU41" s="1">
        <f t="shared" si="219"/>
        <v>0</v>
      </c>
      <c r="GV41" s="1">
        <f t="shared" si="220"/>
        <v>0.98799999999999999</v>
      </c>
      <c r="GW41" s="37">
        <f t="shared" si="221"/>
        <v>0</v>
      </c>
      <c r="GX41" s="37"/>
      <c r="GY41" s="37"/>
      <c r="GZ41" s="37"/>
      <c r="HB41" s="1">
        <f t="shared" si="222"/>
        <v>0</v>
      </c>
      <c r="HC41" s="1">
        <f t="shared" si="223"/>
        <v>0</v>
      </c>
      <c r="HD41" s="37" t="s">
        <v>2</v>
      </c>
      <c r="HE41" s="1" t="s">
        <v>118</v>
      </c>
      <c r="HF41" s="1" t="s">
        <v>138</v>
      </c>
      <c r="HI41" s="1" t="s">
        <v>96</v>
      </c>
      <c r="HJ41" s="37" t="s">
        <v>2</v>
      </c>
      <c r="HK41" s="37"/>
      <c r="HL41" s="37" t="s">
        <v>113</v>
      </c>
      <c r="HM41" s="37" t="s">
        <v>96</v>
      </c>
      <c r="HN41" s="42">
        <f t="shared" ref="HN41:HQ42" si="238">HN24+HN26+HN28+HN30+HN32+HN34</f>
        <v>15948.425715648975</v>
      </c>
      <c r="HO41" s="42">
        <f t="shared" si="238"/>
        <v>47680.386863517204</v>
      </c>
      <c r="HP41" s="42">
        <f t="shared" si="238"/>
        <v>34754.613118194269</v>
      </c>
      <c r="HQ41" s="42">
        <f t="shared" si="238"/>
        <v>37624.148229969345</v>
      </c>
      <c r="HR41" s="44">
        <f t="shared" si="232"/>
        <v>0.26149010761921659</v>
      </c>
      <c r="HS41" s="44"/>
      <c r="HT41" s="44"/>
      <c r="HU41" s="42">
        <f>HU24+HU26+HU28+HU30+HU32+HU34</f>
        <v>98383.425697360421</v>
      </c>
      <c r="HV41" s="41">
        <f>(HV24*HQ24+HV26*HQ26+HV28*HQ28+HV30*HQ30+HV32*HQ32+HV34*HQ34)/HQ41</f>
        <v>140.91899288301585</v>
      </c>
      <c r="HW41" s="73">
        <f>HW24+HW26+HW28+HW30+HW32+HW34</f>
        <v>248</v>
      </c>
      <c r="HX41" s="42">
        <f t="shared" ref="HX41:HY41" si="239">HX24+HX26+HX28+HX30+HX32+HX34</f>
        <v>7905.6853098730107</v>
      </c>
      <c r="HY41" s="42">
        <f t="shared" si="239"/>
        <v>12235.041913598063</v>
      </c>
      <c r="HZ41" s="42">
        <f>SUM(HZ24,HZ26,HZ28,HZ30,HZ32,HZ34)</f>
        <v>5974.2286342451953</v>
      </c>
      <c r="IA41" s="44">
        <f t="shared" si="235"/>
        <v>0.33712682350356216</v>
      </c>
      <c r="IB41" s="42">
        <f>SUM(IB24,IB26,IB28,IB30,IB32,IB34)</f>
        <v>20140.727223471073</v>
      </c>
      <c r="IC41" s="41">
        <f>(IC24*HZ24+IC26*HZ26+IC28*HZ28+IC30*HZ30+IC32*HZ32)/HZ41</f>
        <v>166.74046803555476</v>
      </c>
      <c r="ID41" s="1">
        <f t="shared" ref="ID41" si="240">ID24+ID26+ID28+ID30+ID32+ID34</f>
        <v>70</v>
      </c>
      <c r="JH41" s="58" t="s">
        <v>2</v>
      </c>
    </row>
    <row r="42" spans="1:268" ht="16.25" customHeight="1" x14ac:dyDescent="0.2">
      <c r="A42" s="16" t="s">
        <v>955</v>
      </c>
      <c r="B42" s="1" t="s">
        <v>69</v>
      </c>
      <c r="F42" s="1" t="s">
        <v>131</v>
      </c>
      <c r="I42" s="1">
        <v>0</v>
      </c>
      <c r="J42" s="13"/>
      <c r="Q42" s="13"/>
      <c r="AD42" s="1">
        <v>0</v>
      </c>
      <c r="AY42" s="1">
        <v>0.2</v>
      </c>
      <c r="AZ42" s="1">
        <v>0.5</v>
      </c>
      <c r="BG42" s="1">
        <v>0.15</v>
      </c>
      <c r="BH42" s="1">
        <v>0.04</v>
      </c>
      <c r="BT42" s="1">
        <v>0</v>
      </c>
      <c r="CO42" s="1">
        <v>0</v>
      </c>
      <c r="CP42" s="13"/>
      <c r="CW42" s="13"/>
      <c r="DJ42" s="1" t="s">
        <v>163</v>
      </c>
      <c r="DK42" s="1" t="s">
        <v>163</v>
      </c>
      <c r="DL42" s="1">
        <f t="shared" si="139"/>
        <v>0.15</v>
      </c>
      <c r="DM42" s="1">
        <f t="shared" si="140"/>
        <v>0.04</v>
      </c>
      <c r="DN42" s="1" t="s">
        <v>919</v>
      </c>
      <c r="DO42" s="1" t="s">
        <v>2</v>
      </c>
      <c r="DP42" s="38">
        <f t="shared" si="141"/>
        <v>1E-3</v>
      </c>
      <c r="DQ42" s="38">
        <f t="shared" si="142"/>
        <v>0</v>
      </c>
      <c r="DR42" s="38">
        <f t="shared" si="143"/>
        <v>0</v>
      </c>
      <c r="DS42" s="38">
        <f t="shared" si="144"/>
        <v>0</v>
      </c>
      <c r="DT42" s="38">
        <f t="shared" si="145"/>
        <v>0</v>
      </c>
      <c r="DU42" s="38">
        <f t="shared" si="146"/>
        <v>0</v>
      </c>
      <c r="DV42" s="38">
        <f t="shared" si="147"/>
        <v>0</v>
      </c>
      <c r="DW42" s="38">
        <f t="shared" si="148"/>
        <v>2.9999999999999997E-4</v>
      </c>
      <c r="DX42" s="38">
        <f t="shared" si="149"/>
        <v>8.0000000000000007E-5</v>
      </c>
      <c r="DY42" s="38">
        <f t="shared" si="150"/>
        <v>0</v>
      </c>
      <c r="DZ42" s="38">
        <f t="shared" si="151"/>
        <v>0</v>
      </c>
      <c r="EA42" s="38">
        <f t="shared" si="152"/>
        <v>0</v>
      </c>
      <c r="EB42" s="38">
        <f t="shared" si="153"/>
        <v>0</v>
      </c>
      <c r="EC42" s="38">
        <f t="shared" si="154"/>
        <v>0</v>
      </c>
      <c r="ED42" s="38">
        <f t="shared" si="155"/>
        <v>0</v>
      </c>
      <c r="EE42" s="38">
        <f t="shared" si="156"/>
        <v>0</v>
      </c>
      <c r="EG42" s="38">
        <f t="shared" si="157"/>
        <v>0</v>
      </c>
      <c r="EH42" s="38">
        <f t="shared" si="158"/>
        <v>0</v>
      </c>
      <c r="EI42" s="38">
        <f t="shared" si="159"/>
        <v>6.5256160000000003</v>
      </c>
      <c r="EJ42" s="38">
        <f t="shared" si="160"/>
        <v>0</v>
      </c>
      <c r="EK42" s="38">
        <f t="shared" si="161"/>
        <v>0</v>
      </c>
      <c r="EL42" s="38">
        <f t="shared" si="162"/>
        <v>0</v>
      </c>
      <c r="EM42" s="38">
        <f t="shared" si="163"/>
        <v>0</v>
      </c>
      <c r="EN42" s="38">
        <f t="shared" si="164"/>
        <v>0</v>
      </c>
      <c r="EO42" s="38">
        <f t="shared" si="165"/>
        <v>0</v>
      </c>
      <c r="EP42" s="38">
        <f t="shared" si="166"/>
        <v>3.9341999999999997</v>
      </c>
      <c r="EQ42" s="38">
        <f t="shared" si="167"/>
        <v>5.8095619199999993</v>
      </c>
      <c r="ER42" s="38">
        <f t="shared" si="168"/>
        <v>0</v>
      </c>
      <c r="ES42" s="38">
        <f t="shared" si="169"/>
        <v>0</v>
      </c>
      <c r="ET42" s="38">
        <f t="shared" si="170"/>
        <v>0</v>
      </c>
      <c r="EU42" s="38">
        <f t="shared" si="171"/>
        <v>0</v>
      </c>
      <c r="EV42" s="38">
        <f t="shared" si="172"/>
        <v>0</v>
      </c>
      <c r="EW42" s="38">
        <f t="shared" si="173"/>
        <v>0</v>
      </c>
      <c r="EX42" s="38">
        <f t="shared" si="174"/>
        <v>0</v>
      </c>
      <c r="EZ42" s="38">
        <f t="shared" si="175"/>
        <v>0</v>
      </c>
      <c r="FA42" s="38">
        <f t="shared" si="176"/>
        <v>0</v>
      </c>
      <c r="FB42" s="1">
        <f t="shared" si="177"/>
        <v>0</v>
      </c>
      <c r="FC42" s="1">
        <f t="shared" si="178"/>
        <v>0</v>
      </c>
      <c r="FD42" s="1">
        <f t="shared" si="179"/>
        <v>0</v>
      </c>
      <c r="FE42" s="1">
        <f t="shared" si="180"/>
        <v>0</v>
      </c>
      <c r="FF42" s="1">
        <f t="shared" si="181"/>
        <v>0</v>
      </c>
      <c r="FG42" s="1">
        <f t="shared" si="182"/>
        <v>0</v>
      </c>
      <c r="FH42" s="1">
        <f t="shared" si="183"/>
        <v>0</v>
      </c>
      <c r="FI42" s="1">
        <f t="shared" si="184"/>
        <v>0</v>
      </c>
      <c r="FJ42" s="1">
        <f t="shared" si="185"/>
        <v>0</v>
      </c>
      <c r="FK42" s="1">
        <f t="shared" si="186"/>
        <v>0</v>
      </c>
      <c r="FL42" s="1">
        <f t="shared" si="187"/>
        <v>0</v>
      </c>
      <c r="FM42" s="1">
        <f t="shared" si="188"/>
        <v>0</v>
      </c>
      <c r="FN42" s="1">
        <f t="shared" si="189"/>
        <v>0</v>
      </c>
      <c r="FO42" s="1">
        <f t="shared" si="190"/>
        <v>0</v>
      </c>
      <c r="FP42" s="1">
        <f t="shared" si="191"/>
        <v>0</v>
      </c>
      <c r="FQ42" s="1">
        <f t="shared" si="192"/>
        <v>0</v>
      </c>
      <c r="FS42" s="1">
        <f t="shared" si="193"/>
        <v>0</v>
      </c>
      <c r="FT42" s="1">
        <f t="shared" si="194"/>
        <v>0</v>
      </c>
      <c r="FU42" s="38">
        <f t="shared" si="195"/>
        <v>0</v>
      </c>
      <c r="FV42" s="38">
        <f t="shared" si="196"/>
        <v>0</v>
      </c>
      <c r="FW42" s="38">
        <f t="shared" si="197"/>
        <v>0</v>
      </c>
      <c r="FX42" s="38">
        <f t="shared" si="198"/>
        <v>0</v>
      </c>
      <c r="FY42" s="38">
        <f t="shared" si="199"/>
        <v>0</v>
      </c>
      <c r="FZ42" s="38">
        <f t="shared" si="200"/>
        <v>0</v>
      </c>
      <c r="GA42" s="38">
        <f t="shared" si="201"/>
        <v>0</v>
      </c>
      <c r="GB42" s="38">
        <f t="shared" si="202"/>
        <v>0</v>
      </c>
      <c r="GC42" s="38">
        <f t="shared" si="203"/>
        <v>0</v>
      </c>
      <c r="GD42" s="38">
        <f t="shared" si="204"/>
        <v>0</v>
      </c>
      <c r="GE42" s="38">
        <f t="shared" si="205"/>
        <v>0</v>
      </c>
      <c r="GF42" s="38">
        <f t="shared" si="206"/>
        <v>0</v>
      </c>
      <c r="GG42" s="38">
        <f t="shared" si="207"/>
        <v>0</v>
      </c>
      <c r="GH42" s="38">
        <f t="shared" si="208"/>
        <v>0</v>
      </c>
      <c r="GI42" s="38">
        <f t="shared" si="209"/>
        <v>0</v>
      </c>
      <c r="GJ42" s="38">
        <f t="shared" si="210"/>
        <v>0</v>
      </c>
      <c r="GL42" s="38">
        <f t="shared" si="211"/>
        <v>0</v>
      </c>
      <c r="GM42" s="38">
        <f t="shared" si="212"/>
        <v>0</v>
      </c>
      <c r="GN42" s="1" t="s">
        <v>2</v>
      </c>
      <c r="GO42" s="1">
        <f t="shared" si="213"/>
        <v>0.2</v>
      </c>
      <c r="GP42" s="1">
        <f t="shared" si="214"/>
        <v>0.15</v>
      </c>
      <c r="GQ42" s="41">
        <f t="shared" si="215"/>
        <v>0.3</v>
      </c>
      <c r="GR42" s="41">
        <f t="shared" si="216"/>
        <v>16.26937792</v>
      </c>
      <c r="GS42" s="14">
        <f t="shared" si="217"/>
        <v>81.346889599999997</v>
      </c>
      <c r="GT42" s="1">
        <f t="shared" si="218"/>
        <v>0</v>
      </c>
      <c r="GU42" s="1">
        <f t="shared" si="219"/>
        <v>0</v>
      </c>
      <c r="GV42" s="1">
        <f t="shared" si="220"/>
        <v>0.3</v>
      </c>
      <c r="GW42" s="37">
        <f t="shared" si="221"/>
        <v>0</v>
      </c>
      <c r="GX42" s="37"/>
      <c r="GY42" s="37"/>
      <c r="GZ42" s="37"/>
      <c r="HB42" s="1">
        <f t="shared" si="222"/>
        <v>0</v>
      </c>
      <c r="HC42" s="1">
        <f t="shared" si="223"/>
        <v>0</v>
      </c>
      <c r="HD42" s="37" t="s">
        <v>2</v>
      </c>
      <c r="HE42" s="1" t="s">
        <v>118</v>
      </c>
      <c r="HF42" s="1" t="s">
        <v>138</v>
      </c>
      <c r="HI42" s="1" t="s">
        <v>163</v>
      </c>
      <c r="HJ42" s="37" t="s">
        <v>2</v>
      </c>
      <c r="HK42" s="37"/>
      <c r="HL42" s="37" t="s">
        <v>113</v>
      </c>
      <c r="HM42" s="37" t="s">
        <v>163</v>
      </c>
      <c r="HN42" s="37">
        <f t="shared" si="238"/>
        <v>0</v>
      </c>
      <c r="HO42" s="73">
        <f t="shared" si="238"/>
        <v>0</v>
      </c>
      <c r="HP42" s="42">
        <f t="shared" si="238"/>
        <v>25718.839695899223</v>
      </c>
      <c r="HQ42" s="42">
        <f t="shared" si="238"/>
        <v>7606.4801174630193</v>
      </c>
      <c r="HR42" s="44">
        <f t="shared" si="232"/>
        <v>0.33811749059665192</v>
      </c>
      <c r="HS42" s="44"/>
      <c r="HT42" s="44"/>
      <c r="HU42" s="42">
        <f>HU25+HU27+HU29+HU31+HU33+HU35</f>
        <v>25718.839695899223</v>
      </c>
      <c r="HV42" s="41">
        <f>(HV25*HQ25+HV27*HQ27+HV29*HQ29+HV31*HQ31+HV33*HQ33+HV35*HQ35)/HQ42</f>
        <v>65.075651648208776</v>
      </c>
      <c r="HW42" s="37">
        <f>HW25+HW27+HW29+HW31+HW33+HW35</f>
        <v>93</v>
      </c>
      <c r="HX42" s="45">
        <f t="shared" ref="HX42:HY42" si="241">HX25+HX27+HX29+HX31+HX33+HX35</f>
        <v>0</v>
      </c>
      <c r="HY42" s="45">
        <f t="shared" si="241"/>
        <v>0.6</v>
      </c>
      <c r="HZ42" s="45">
        <f>SUM(HZ25,HZ27,HZ29,HZ31,HZ33,HZ35)</f>
        <v>5.9999999999999991E-2</v>
      </c>
      <c r="IA42" s="44">
        <f t="shared" si="235"/>
        <v>1.0000000000000002</v>
      </c>
      <c r="IB42" s="45">
        <f>SUM(IB25,IB27,IB29,IB31,IB33,IB35)</f>
        <v>0.6</v>
      </c>
      <c r="IC42" s="41">
        <f>IC33</f>
        <v>1000.4863654019292</v>
      </c>
      <c r="ID42" s="1">
        <f t="shared" ref="ID42" si="242">ID25+ID27+ID29+ID31+ID33+ID35</f>
        <v>1</v>
      </c>
      <c r="JH42" s="58" t="s">
        <v>2</v>
      </c>
    </row>
    <row r="43" spans="1:268" ht="16.25" customHeight="1" x14ac:dyDescent="0.2">
      <c r="A43" s="16" t="s">
        <v>964</v>
      </c>
      <c r="B43" s="1" t="s">
        <v>69</v>
      </c>
      <c r="F43" s="1" t="s">
        <v>131</v>
      </c>
      <c r="I43" s="1">
        <v>0</v>
      </c>
      <c r="J43" s="13"/>
      <c r="Q43" s="13"/>
      <c r="AD43" s="1">
        <v>0</v>
      </c>
      <c r="AY43" s="1">
        <v>1.3240000000000001</v>
      </c>
      <c r="AZ43" s="1">
        <v>2.15</v>
      </c>
      <c r="BF43" s="1">
        <v>1.89</v>
      </c>
      <c r="BG43" s="1">
        <v>0.14000000000000001</v>
      </c>
      <c r="BH43" s="1">
        <v>0.15</v>
      </c>
      <c r="BT43" s="1">
        <v>0</v>
      </c>
      <c r="CO43" s="1">
        <v>0</v>
      </c>
      <c r="CP43" s="13"/>
      <c r="CW43" s="13"/>
      <c r="DJ43" s="1" t="s">
        <v>163</v>
      </c>
      <c r="DK43" s="1" t="s">
        <v>163</v>
      </c>
      <c r="DL43" s="1">
        <f t="shared" si="139"/>
        <v>0.14000000000000001</v>
      </c>
      <c r="DM43" s="1">
        <f t="shared" si="140"/>
        <v>0.15</v>
      </c>
      <c r="DN43" s="1" t="s">
        <v>919</v>
      </c>
      <c r="DO43" s="1" t="s">
        <v>2</v>
      </c>
      <c r="DP43" s="38">
        <f t="shared" si="141"/>
        <v>2.8466000000000002E-2</v>
      </c>
      <c r="DQ43" s="38">
        <f t="shared" si="142"/>
        <v>0</v>
      </c>
      <c r="DR43" s="38">
        <f t="shared" si="143"/>
        <v>0</v>
      </c>
      <c r="DS43" s="38">
        <f t="shared" si="144"/>
        <v>0</v>
      </c>
      <c r="DT43" s="38">
        <f t="shared" si="145"/>
        <v>0</v>
      </c>
      <c r="DU43" s="38">
        <f t="shared" si="146"/>
        <v>0</v>
      </c>
      <c r="DV43" s="38">
        <f t="shared" si="147"/>
        <v>2.50236E-2</v>
      </c>
      <c r="DW43" s="38">
        <f t="shared" si="148"/>
        <v>1.8536000000000002E-3</v>
      </c>
      <c r="DX43" s="38">
        <f t="shared" si="149"/>
        <v>1.9859999999999999E-3</v>
      </c>
      <c r="DY43" s="38">
        <f t="shared" si="150"/>
        <v>0</v>
      </c>
      <c r="DZ43" s="38">
        <f t="shared" si="151"/>
        <v>0</v>
      </c>
      <c r="EA43" s="38">
        <f t="shared" si="152"/>
        <v>0</v>
      </c>
      <c r="EB43" s="38">
        <f t="shared" si="153"/>
        <v>0</v>
      </c>
      <c r="EC43" s="38">
        <f t="shared" si="154"/>
        <v>0</v>
      </c>
      <c r="ED43" s="38">
        <f t="shared" si="155"/>
        <v>0</v>
      </c>
      <c r="EE43" s="38">
        <f t="shared" si="156"/>
        <v>0</v>
      </c>
      <c r="EG43" s="38">
        <f t="shared" si="157"/>
        <v>0</v>
      </c>
      <c r="EH43" s="38">
        <f t="shared" si="158"/>
        <v>0</v>
      </c>
      <c r="EI43" s="38">
        <f t="shared" si="159"/>
        <v>185.758185056</v>
      </c>
      <c r="EJ43" s="38">
        <f t="shared" si="160"/>
        <v>0</v>
      </c>
      <c r="EK43" s="38">
        <f t="shared" si="161"/>
        <v>0</v>
      </c>
      <c r="EL43" s="38">
        <f t="shared" si="162"/>
        <v>0</v>
      </c>
      <c r="EM43" s="38">
        <f t="shared" si="163"/>
        <v>0</v>
      </c>
      <c r="EN43" s="38">
        <f t="shared" si="164"/>
        <v>0</v>
      </c>
      <c r="EO43" s="38">
        <f t="shared" si="165"/>
        <v>73.206646899120003</v>
      </c>
      <c r="EP43" s="38">
        <f t="shared" si="166"/>
        <v>24.308110400000004</v>
      </c>
      <c r="EQ43" s="38">
        <f t="shared" si="167"/>
        <v>144.22237466399997</v>
      </c>
      <c r="ER43" s="38">
        <f t="shared" si="168"/>
        <v>0</v>
      </c>
      <c r="ES43" s="38">
        <f t="shared" si="169"/>
        <v>0</v>
      </c>
      <c r="ET43" s="38">
        <f t="shared" si="170"/>
        <v>0</v>
      </c>
      <c r="EU43" s="38">
        <f t="shared" si="171"/>
        <v>0</v>
      </c>
      <c r="EV43" s="38">
        <f t="shared" si="172"/>
        <v>0</v>
      </c>
      <c r="EW43" s="38">
        <f t="shared" si="173"/>
        <v>0</v>
      </c>
      <c r="EX43" s="38">
        <f t="shared" si="174"/>
        <v>0</v>
      </c>
      <c r="EZ43" s="38">
        <f t="shared" si="175"/>
        <v>0</v>
      </c>
      <c r="FA43" s="38">
        <f t="shared" si="176"/>
        <v>0</v>
      </c>
      <c r="FB43" s="1">
        <f t="shared" si="177"/>
        <v>0</v>
      </c>
      <c r="FC43" s="1">
        <f t="shared" si="178"/>
        <v>0</v>
      </c>
      <c r="FD43" s="1">
        <f t="shared" si="179"/>
        <v>0</v>
      </c>
      <c r="FE43" s="1">
        <f t="shared" si="180"/>
        <v>0</v>
      </c>
      <c r="FF43" s="1">
        <f t="shared" si="181"/>
        <v>0</v>
      </c>
      <c r="FG43" s="1">
        <f t="shared" si="182"/>
        <v>0</v>
      </c>
      <c r="FH43" s="1">
        <f t="shared" si="183"/>
        <v>0</v>
      </c>
      <c r="FI43" s="1">
        <f t="shared" si="184"/>
        <v>0</v>
      </c>
      <c r="FJ43" s="1">
        <f t="shared" si="185"/>
        <v>0</v>
      </c>
      <c r="FK43" s="1">
        <f t="shared" si="186"/>
        <v>0</v>
      </c>
      <c r="FL43" s="1">
        <f t="shared" si="187"/>
        <v>0</v>
      </c>
      <c r="FM43" s="1">
        <f t="shared" si="188"/>
        <v>0</v>
      </c>
      <c r="FN43" s="1">
        <f t="shared" si="189"/>
        <v>0</v>
      </c>
      <c r="FO43" s="1">
        <f t="shared" si="190"/>
        <v>0</v>
      </c>
      <c r="FP43" s="1">
        <f t="shared" si="191"/>
        <v>0</v>
      </c>
      <c r="FQ43" s="1">
        <f t="shared" si="192"/>
        <v>0</v>
      </c>
      <c r="FS43" s="1">
        <f t="shared" si="193"/>
        <v>0</v>
      </c>
      <c r="FT43" s="1">
        <f t="shared" si="194"/>
        <v>0</v>
      </c>
      <c r="FU43" s="38">
        <f t="shared" si="195"/>
        <v>0</v>
      </c>
      <c r="FV43" s="38">
        <f t="shared" si="196"/>
        <v>0</v>
      </c>
      <c r="FW43" s="38">
        <f t="shared" si="197"/>
        <v>0</v>
      </c>
      <c r="FX43" s="38">
        <f t="shared" si="198"/>
        <v>0</v>
      </c>
      <c r="FY43" s="38">
        <f t="shared" si="199"/>
        <v>0</v>
      </c>
      <c r="FZ43" s="38">
        <f t="shared" si="200"/>
        <v>0</v>
      </c>
      <c r="GA43" s="38">
        <f t="shared" si="201"/>
        <v>0</v>
      </c>
      <c r="GB43" s="38">
        <f t="shared" si="202"/>
        <v>0</v>
      </c>
      <c r="GC43" s="38">
        <f t="shared" si="203"/>
        <v>0</v>
      </c>
      <c r="GD43" s="38">
        <f t="shared" si="204"/>
        <v>0</v>
      </c>
      <c r="GE43" s="38">
        <f t="shared" si="205"/>
        <v>0</v>
      </c>
      <c r="GF43" s="38">
        <f t="shared" si="206"/>
        <v>0</v>
      </c>
      <c r="GG43" s="38">
        <f t="shared" si="207"/>
        <v>0</v>
      </c>
      <c r="GH43" s="38">
        <f t="shared" si="208"/>
        <v>0</v>
      </c>
      <c r="GI43" s="38">
        <f t="shared" si="209"/>
        <v>0</v>
      </c>
      <c r="GJ43" s="38">
        <f t="shared" si="210"/>
        <v>0</v>
      </c>
      <c r="GL43" s="38">
        <f t="shared" si="211"/>
        <v>0</v>
      </c>
      <c r="GM43" s="38">
        <f t="shared" si="212"/>
        <v>0</v>
      </c>
      <c r="GN43" s="1" t="s">
        <v>2</v>
      </c>
      <c r="GO43" s="1">
        <f t="shared" si="213"/>
        <v>1.3240000000000001</v>
      </c>
      <c r="GP43" s="1">
        <f t="shared" si="214"/>
        <v>0.14000000000000001</v>
      </c>
      <c r="GQ43" s="41">
        <f t="shared" si="215"/>
        <v>1.8536000000000001</v>
      </c>
      <c r="GR43" s="41">
        <f t="shared" si="216"/>
        <v>427.49531701911997</v>
      </c>
      <c r="GS43" s="14">
        <f t="shared" si="217"/>
        <v>322.88165937999997</v>
      </c>
      <c r="GT43" s="1">
        <f t="shared" si="218"/>
        <v>0</v>
      </c>
      <c r="GU43" s="1">
        <f t="shared" si="219"/>
        <v>0</v>
      </c>
      <c r="GV43" s="1">
        <f t="shared" si="220"/>
        <v>1.8536000000000001</v>
      </c>
      <c r="GW43" s="37">
        <f t="shared" si="221"/>
        <v>0</v>
      </c>
      <c r="GX43" s="37"/>
      <c r="GY43" s="37"/>
      <c r="GZ43" s="37"/>
      <c r="HB43" s="1">
        <f t="shared" si="222"/>
        <v>0</v>
      </c>
      <c r="HC43" s="1">
        <f t="shared" si="223"/>
        <v>0</v>
      </c>
      <c r="HD43" s="37" t="s">
        <v>2</v>
      </c>
      <c r="HE43" s="1" t="s">
        <v>118</v>
      </c>
      <c r="HF43" s="1" t="s">
        <v>138</v>
      </c>
      <c r="HI43" s="1" t="s">
        <v>163</v>
      </c>
      <c r="HJ43" s="37" t="s">
        <v>2</v>
      </c>
      <c r="HK43" s="37"/>
      <c r="HL43" s="37" t="s">
        <v>118</v>
      </c>
      <c r="HM43" s="37" t="s">
        <v>96</v>
      </c>
      <c r="HN43" s="41">
        <f>HN5+HN6+HN8+HN10+HN12+HN13+HN14+HN16</f>
        <v>325.5154</v>
      </c>
      <c r="HO43" s="42">
        <f>HO5+HO6+HO8+HO10+HO12+HO13+HO14+HO16</f>
        <v>4563.485509600001</v>
      </c>
      <c r="HP43" s="42">
        <f>HP5+HP6+HP8+HP10+HP12+HP13+HP14+HP16</f>
        <v>21269.091973230003</v>
      </c>
      <c r="HQ43" s="42">
        <f>HQ5+HQ6+HQ8+HQ10+HQ12+HQ13+HQ14+HQ16</f>
        <v>16552.564834999997</v>
      </c>
      <c r="HR43" s="44">
        <f t="shared" si="232"/>
        <v>0.15803045113298303</v>
      </c>
      <c r="HS43" s="44"/>
      <c r="HT43" s="44"/>
      <c r="HU43" s="42">
        <f>HU5+HU6+HU8+HU10+HU12+HU13+HU14+HU16</f>
        <v>26158.092882830006</v>
      </c>
      <c r="HV43" s="41">
        <f>(HV5*HQ5+HV6*HQ6+HV8*HQ8+HV10*HQ10+HV12*HQ12+HV13*HQ13+HV14*HQ14+HV16*HQ16)/HQ43</f>
        <v>80.125246034772175</v>
      </c>
      <c r="HW43" s="37">
        <f>HW5+HW6+HW8+HW10+HW12+HW13+HW14+HW16</f>
        <v>33</v>
      </c>
      <c r="HX43" s="41">
        <f>HX5+HX6+HX8+HX10+HX12+HX13+HX14+HX16</f>
        <v>77.644600000000011</v>
      </c>
      <c r="HY43" s="41">
        <f>HY5+HY6+HY8+HY10+HY12+HY13+HY14+HY16</f>
        <v>934.04110000000003</v>
      </c>
      <c r="HZ43" s="41">
        <f>SUM(HZ5,HZ6,HZ8,HZ10,HZ12,HZ13,HZ14,HZ16)</f>
        <v>125.73599999999999</v>
      </c>
      <c r="IA43" s="44">
        <f t="shared" si="235"/>
        <v>0.80461101037093608</v>
      </c>
      <c r="IB43" s="42">
        <f>SUM(IB5,IB6,IB8,IB10,IB12,IB13,IB14,IB16)</f>
        <v>1011.6857000000001</v>
      </c>
      <c r="IC43" s="41">
        <f>(IC10*HZ10+IC14*HZ14+IC16*HZ16)/HZ43</f>
        <v>130.77174451594459</v>
      </c>
      <c r="ID43" s="1">
        <f>ID5+ID6+ID8+ID10+ID12+ID13+ID14+ID16</f>
        <v>3</v>
      </c>
      <c r="JH43" s="58" t="s">
        <v>2</v>
      </c>
    </row>
    <row r="44" spans="1:268" ht="16.25" customHeight="1" x14ac:dyDescent="0.2">
      <c r="A44" s="16" t="s">
        <v>969</v>
      </c>
      <c r="B44" s="1" t="s">
        <v>69</v>
      </c>
      <c r="F44" s="1" t="s">
        <v>131</v>
      </c>
      <c r="I44" s="1">
        <v>0</v>
      </c>
      <c r="AD44" s="1">
        <v>0</v>
      </c>
      <c r="AY44" s="1">
        <v>0.7</v>
      </c>
      <c r="AZ44" s="1">
        <v>0.72</v>
      </c>
      <c r="BA44" s="1">
        <v>0.3</v>
      </c>
      <c r="BB44" s="1">
        <v>6</v>
      </c>
      <c r="BF44" s="1">
        <v>0.09</v>
      </c>
      <c r="BG44" s="1">
        <v>0.03</v>
      </c>
      <c r="BH44" s="1">
        <v>0.09</v>
      </c>
      <c r="BT44" s="1">
        <v>0</v>
      </c>
      <c r="CO44" s="1">
        <v>0</v>
      </c>
      <c r="DJ44" s="1" t="s">
        <v>163</v>
      </c>
      <c r="DK44" s="1" t="s">
        <v>163</v>
      </c>
      <c r="DL44" s="1">
        <f t="shared" si="139"/>
        <v>0.03</v>
      </c>
      <c r="DM44" s="1">
        <f t="shared" si="140"/>
        <v>9.0000000000000011E-2</v>
      </c>
      <c r="DN44" s="1" t="s">
        <v>919</v>
      </c>
      <c r="DO44" s="1" t="s">
        <v>2</v>
      </c>
      <c r="DP44" s="38">
        <f t="shared" si="141"/>
        <v>5.0400000000000002E-3</v>
      </c>
      <c r="DQ44" s="38">
        <f t="shared" si="142"/>
        <v>0.21</v>
      </c>
      <c r="DR44" s="38">
        <f t="shared" si="143"/>
        <v>4.1999999999999993</v>
      </c>
      <c r="DS44" s="38">
        <f t="shared" si="144"/>
        <v>0</v>
      </c>
      <c r="DT44" s="38">
        <f t="shared" si="145"/>
        <v>0</v>
      </c>
      <c r="DU44" s="38">
        <f t="shared" si="146"/>
        <v>0</v>
      </c>
      <c r="DV44" s="38">
        <f t="shared" si="147"/>
        <v>6.3000000000000003E-4</v>
      </c>
      <c r="DW44" s="38">
        <f t="shared" si="148"/>
        <v>2.0999999999999998E-4</v>
      </c>
      <c r="DX44" s="38">
        <f t="shared" si="149"/>
        <v>6.3000000000000003E-4</v>
      </c>
      <c r="DY44" s="38">
        <f t="shared" si="150"/>
        <v>0</v>
      </c>
      <c r="DZ44" s="38">
        <f t="shared" si="151"/>
        <v>0</v>
      </c>
      <c r="EA44" s="38">
        <f t="shared" si="152"/>
        <v>0</v>
      </c>
      <c r="EB44" s="38">
        <f t="shared" si="153"/>
        <v>0</v>
      </c>
      <c r="EC44" s="38">
        <f t="shared" si="154"/>
        <v>0</v>
      </c>
      <c r="ED44" s="38">
        <f t="shared" si="155"/>
        <v>0</v>
      </c>
      <c r="EE44" s="38">
        <f t="shared" si="156"/>
        <v>0</v>
      </c>
      <c r="EG44" s="38">
        <f t="shared" si="157"/>
        <v>0</v>
      </c>
      <c r="EH44" s="38">
        <f t="shared" si="158"/>
        <v>0</v>
      </c>
      <c r="EI44" s="38">
        <f t="shared" si="159"/>
        <v>32.889104639999999</v>
      </c>
      <c r="EJ44" s="38">
        <f t="shared" si="160"/>
        <v>8.5890675241157535</v>
      </c>
      <c r="EK44" s="38">
        <f t="shared" si="161"/>
        <v>2.1270096463022501</v>
      </c>
      <c r="EL44" s="38">
        <f t="shared" si="162"/>
        <v>0</v>
      </c>
      <c r="EM44" s="38">
        <f t="shared" si="163"/>
        <v>0</v>
      </c>
      <c r="EN44" s="38">
        <f t="shared" si="164"/>
        <v>0</v>
      </c>
      <c r="EO44" s="38">
        <f t="shared" si="165"/>
        <v>1.8430676459999999</v>
      </c>
      <c r="EP44" s="38">
        <f t="shared" si="166"/>
        <v>2.7539399999999996</v>
      </c>
      <c r="EQ44" s="38">
        <f t="shared" si="167"/>
        <v>45.750300119999999</v>
      </c>
      <c r="ER44" s="38">
        <f t="shared" si="168"/>
        <v>0</v>
      </c>
      <c r="ES44" s="38">
        <f t="shared" si="169"/>
        <v>0</v>
      </c>
      <c r="ET44" s="38">
        <f t="shared" si="170"/>
        <v>0</v>
      </c>
      <c r="EU44" s="38">
        <f t="shared" si="171"/>
        <v>0</v>
      </c>
      <c r="EV44" s="38">
        <f t="shared" si="172"/>
        <v>0</v>
      </c>
      <c r="EW44" s="38">
        <f t="shared" si="173"/>
        <v>0</v>
      </c>
      <c r="EX44" s="38">
        <f t="shared" si="174"/>
        <v>0</v>
      </c>
      <c r="EZ44" s="38">
        <f t="shared" si="175"/>
        <v>0</v>
      </c>
      <c r="FA44" s="38">
        <f t="shared" si="176"/>
        <v>0</v>
      </c>
      <c r="FB44" s="1">
        <f t="shared" si="177"/>
        <v>0</v>
      </c>
      <c r="FC44" s="1">
        <f t="shared" si="178"/>
        <v>0</v>
      </c>
      <c r="FD44" s="1">
        <f t="shared" si="179"/>
        <v>0</v>
      </c>
      <c r="FE44" s="1">
        <f t="shared" si="180"/>
        <v>0</v>
      </c>
      <c r="FF44" s="1">
        <f t="shared" si="181"/>
        <v>0</v>
      </c>
      <c r="FG44" s="1">
        <f t="shared" si="182"/>
        <v>0</v>
      </c>
      <c r="FH44" s="1">
        <f t="shared" si="183"/>
        <v>0</v>
      </c>
      <c r="FI44" s="1">
        <f t="shared" si="184"/>
        <v>0</v>
      </c>
      <c r="FJ44" s="1">
        <f t="shared" si="185"/>
        <v>0</v>
      </c>
      <c r="FK44" s="1">
        <f t="shared" si="186"/>
        <v>0</v>
      </c>
      <c r="FL44" s="1">
        <f t="shared" si="187"/>
        <v>0</v>
      </c>
      <c r="FM44" s="1">
        <f t="shared" si="188"/>
        <v>0</v>
      </c>
      <c r="FN44" s="1">
        <f t="shared" si="189"/>
        <v>0</v>
      </c>
      <c r="FO44" s="1">
        <f t="shared" si="190"/>
        <v>0</v>
      </c>
      <c r="FP44" s="1">
        <f t="shared" si="191"/>
        <v>0</v>
      </c>
      <c r="FQ44" s="1">
        <f t="shared" si="192"/>
        <v>0</v>
      </c>
      <c r="FS44" s="1">
        <f t="shared" si="193"/>
        <v>0</v>
      </c>
      <c r="FT44" s="1">
        <f t="shared" si="194"/>
        <v>0</v>
      </c>
      <c r="FU44" s="38">
        <f t="shared" si="195"/>
        <v>0</v>
      </c>
      <c r="FV44" s="38">
        <f t="shared" si="196"/>
        <v>0</v>
      </c>
      <c r="FW44" s="38">
        <f t="shared" si="197"/>
        <v>0</v>
      </c>
      <c r="FX44" s="38">
        <f t="shared" si="198"/>
        <v>0</v>
      </c>
      <c r="FY44" s="38">
        <f t="shared" si="199"/>
        <v>0</v>
      </c>
      <c r="FZ44" s="38">
        <f t="shared" si="200"/>
        <v>0</v>
      </c>
      <c r="GA44" s="38">
        <f t="shared" si="201"/>
        <v>0</v>
      </c>
      <c r="GB44" s="38">
        <f t="shared" si="202"/>
        <v>0</v>
      </c>
      <c r="GC44" s="38">
        <f t="shared" si="203"/>
        <v>0</v>
      </c>
      <c r="GD44" s="38">
        <f t="shared" si="204"/>
        <v>0</v>
      </c>
      <c r="GE44" s="38">
        <f t="shared" si="205"/>
        <v>0</v>
      </c>
      <c r="GF44" s="38">
        <f t="shared" si="206"/>
        <v>0</v>
      </c>
      <c r="GG44" s="38">
        <f t="shared" si="207"/>
        <v>0</v>
      </c>
      <c r="GH44" s="38">
        <f t="shared" si="208"/>
        <v>0</v>
      </c>
      <c r="GI44" s="38">
        <f t="shared" si="209"/>
        <v>0</v>
      </c>
      <c r="GJ44" s="38">
        <f t="shared" si="210"/>
        <v>0</v>
      </c>
      <c r="GL44" s="38">
        <f t="shared" si="211"/>
        <v>0</v>
      </c>
      <c r="GM44" s="38">
        <f t="shared" si="212"/>
        <v>0</v>
      </c>
      <c r="GN44" s="1" t="s">
        <v>2</v>
      </c>
      <c r="GO44" s="1">
        <f t="shared" si="213"/>
        <v>0.7</v>
      </c>
      <c r="GP44" s="1">
        <f t="shared" si="214"/>
        <v>0.03</v>
      </c>
      <c r="GQ44" s="41">
        <f t="shared" si="215"/>
        <v>0.21</v>
      </c>
      <c r="GR44" s="41">
        <f t="shared" si="216"/>
        <v>93.952489576418003</v>
      </c>
      <c r="GS44" s="14">
        <f t="shared" si="217"/>
        <v>134.21784225202572</v>
      </c>
      <c r="GT44" s="1">
        <f t="shared" si="218"/>
        <v>0</v>
      </c>
      <c r="GU44" s="1">
        <f t="shared" si="219"/>
        <v>0</v>
      </c>
      <c r="GV44" s="1">
        <f t="shared" si="220"/>
        <v>0.20999999999999996</v>
      </c>
      <c r="GW44" s="37">
        <f t="shared" si="221"/>
        <v>0</v>
      </c>
      <c r="GX44" s="37"/>
      <c r="GY44" s="37"/>
      <c r="GZ44" s="37"/>
      <c r="HB44" s="1">
        <f t="shared" si="222"/>
        <v>0</v>
      </c>
      <c r="HC44" s="1">
        <f t="shared" si="223"/>
        <v>0</v>
      </c>
      <c r="HD44" s="37" t="s">
        <v>2</v>
      </c>
      <c r="HE44" s="1" t="s">
        <v>118</v>
      </c>
      <c r="HF44" s="1" t="s">
        <v>138</v>
      </c>
      <c r="HI44" s="1" t="s">
        <v>163</v>
      </c>
      <c r="HJ44" s="37" t="s">
        <v>2</v>
      </c>
      <c r="HK44" s="37"/>
      <c r="HL44" s="37" t="s">
        <v>118</v>
      </c>
      <c r="HM44" s="37" t="s">
        <v>163</v>
      </c>
      <c r="HN44" s="41">
        <f>+HN7+HN9+HN11+HN15+HN17</f>
        <v>150.10000000000002</v>
      </c>
      <c r="HO44" s="41">
        <f>+HO7+HO9+HO11+HO15+HO17</f>
        <v>165.24039999999997</v>
      </c>
      <c r="HP44" s="42">
        <f>+HP7+HP9+HP11+HP15+HP17</f>
        <v>8932.7840400000005</v>
      </c>
      <c r="HQ44" s="41">
        <f>+HQ7+HQ9+HQ11+HQ15+HQ17</f>
        <v>722.44440000000009</v>
      </c>
      <c r="HR44" s="44">
        <f t="shared" si="232"/>
        <v>1.2801157348579351</v>
      </c>
      <c r="HS44" s="44"/>
      <c r="HT44" s="44"/>
      <c r="HU44" s="42">
        <f>+HU7+HU9+HU11+HU15+HU17</f>
        <v>9248.1244399999996</v>
      </c>
      <c r="HV44" s="41">
        <f>(HV7*HQ7+HV9*HQ9+HV11*HQ11+HV15*HQ15+HV17*HQ17)/HQ44</f>
        <v>826.67196321563995</v>
      </c>
      <c r="HW44" s="37">
        <f>+HW7+HW9+HW11+HW15+HW17</f>
        <v>14</v>
      </c>
      <c r="HX44" s="49"/>
      <c r="HY44" s="49"/>
      <c r="HZ44" s="49"/>
      <c r="IA44" s="49"/>
      <c r="IB44" s="49"/>
      <c r="IC44" s="49"/>
      <c r="ID44" s="49"/>
      <c r="JH44" s="58" t="s">
        <v>2</v>
      </c>
    </row>
    <row r="45" spans="1:268" ht="16.25" customHeight="1" x14ac:dyDescent="0.2">
      <c r="A45" s="16" t="s">
        <v>984</v>
      </c>
      <c r="B45" s="1" t="s">
        <v>69</v>
      </c>
      <c r="F45" s="1" t="s">
        <v>131</v>
      </c>
      <c r="I45" s="1">
        <v>0</v>
      </c>
      <c r="AD45" s="1">
        <v>0</v>
      </c>
      <c r="AY45" s="1">
        <v>1.8</v>
      </c>
      <c r="AZ45" s="1">
        <v>0.35</v>
      </c>
      <c r="BG45" s="1">
        <v>0.02</v>
      </c>
      <c r="BH45" s="1">
        <v>0.01</v>
      </c>
      <c r="BO45" s="1">
        <v>12</v>
      </c>
      <c r="BT45" s="1">
        <v>0</v>
      </c>
      <c r="CO45" s="1">
        <v>0</v>
      </c>
      <c r="DJ45" s="1" t="s">
        <v>163</v>
      </c>
      <c r="DK45" s="1" t="s">
        <v>163</v>
      </c>
      <c r="DL45" s="1">
        <f t="shared" si="139"/>
        <v>0.02</v>
      </c>
      <c r="DM45" s="1">
        <f t="shared" si="140"/>
        <v>0.01</v>
      </c>
      <c r="DN45" s="1" t="s">
        <v>919</v>
      </c>
      <c r="DO45" s="1" t="s">
        <v>2</v>
      </c>
      <c r="DP45" s="38">
        <f t="shared" si="141"/>
        <v>6.3E-3</v>
      </c>
      <c r="DQ45" s="38">
        <f t="shared" si="142"/>
        <v>0</v>
      </c>
      <c r="DR45" s="38">
        <f t="shared" si="143"/>
        <v>0</v>
      </c>
      <c r="DS45" s="38">
        <f t="shared" si="144"/>
        <v>0</v>
      </c>
      <c r="DT45" s="38">
        <f t="shared" si="145"/>
        <v>0</v>
      </c>
      <c r="DU45" s="38">
        <f t="shared" si="146"/>
        <v>0</v>
      </c>
      <c r="DV45" s="38">
        <f t="shared" si="147"/>
        <v>0</v>
      </c>
      <c r="DW45" s="38">
        <f t="shared" si="148"/>
        <v>3.6000000000000002E-4</v>
      </c>
      <c r="DX45" s="38">
        <f t="shared" si="149"/>
        <v>1.8000000000000001E-4</v>
      </c>
      <c r="DY45" s="38">
        <f t="shared" si="150"/>
        <v>0</v>
      </c>
      <c r="DZ45" s="38">
        <f t="shared" si="151"/>
        <v>0</v>
      </c>
      <c r="EA45" s="38">
        <f t="shared" si="152"/>
        <v>0</v>
      </c>
      <c r="EB45" s="38">
        <f t="shared" si="153"/>
        <v>0</v>
      </c>
      <c r="EC45" s="38">
        <f t="shared" si="154"/>
        <v>0</v>
      </c>
      <c r="ED45" s="38">
        <f t="shared" si="155"/>
        <v>0</v>
      </c>
      <c r="EE45" s="38">
        <f t="shared" si="156"/>
        <v>0.21600000000000003</v>
      </c>
      <c r="EG45" s="38">
        <f t="shared" si="157"/>
        <v>0</v>
      </c>
      <c r="EH45" s="38">
        <f t="shared" si="158"/>
        <v>0</v>
      </c>
      <c r="EI45" s="38">
        <f t="shared" si="159"/>
        <v>41.111380799999999</v>
      </c>
      <c r="EJ45" s="38">
        <f t="shared" si="160"/>
        <v>0</v>
      </c>
      <c r="EK45" s="38">
        <f t="shared" si="161"/>
        <v>0</v>
      </c>
      <c r="EL45" s="38">
        <f t="shared" si="162"/>
        <v>0</v>
      </c>
      <c r="EM45" s="38">
        <f t="shared" si="163"/>
        <v>0</v>
      </c>
      <c r="EN45" s="38">
        <f t="shared" si="164"/>
        <v>0</v>
      </c>
      <c r="EO45" s="38">
        <f t="shared" si="165"/>
        <v>0</v>
      </c>
      <c r="EP45" s="38">
        <f t="shared" si="166"/>
        <v>4.7210400000000003</v>
      </c>
      <c r="EQ45" s="38">
        <f t="shared" si="167"/>
        <v>13.071514319999999</v>
      </c>
      <c r="ER45" s="38">
        <f t="shared" si="168"/>
        <v>0</v>
      </c>
      <c r="ES45" s="38">
        <f t="shared" si="169"/>
        <v>0</v>
      </c>
      <c r="ET45" s="38">
        <f t="shared" si="170"/>
        <v>0</v>
      </c>
      <c r="EU45" s="38">
        <f t="shared" si="171"/>
        <v>0</v>
      </c>
      <c r="EV45" s="38">
        <f t="shared" si="172"/>
        <v>0</v>
      </c>
      <c r="EW45" s="38">
        <f t="shared" si="173"/>
        <v>0</v>
      </c>
      <c r="EX45" s="38">
        <f t="shared" si="174"/>
        <v>20.088000000000001</v>
      </c>
      <c r="EZ45" s="38">
        <f t="shared" si="175"/>
        <v>0</v>
      </c>
      <c r="FA45" s="38">
        <f t="shared" si="176"/>
        <v>0</v>
      </c>
      <c r="FB45" s="1">
        <f t="shared" si="177"/>
        <v>0</v>
      </c>
      <c r="FC45" s="1">
        <f t="shared" si="178"/>
        <v>0</v>
      </c>
      <c r="FD45" s="1">
        <f t="shared" si="179"/>
        <v>0</v>
      </c>
      <c r="FE45" s="1">
        <f t="shared" si="180"/>
        <v>0</v>
      </c>
      <c r="FF45" s="1">
        <f t="shared" si="181"/>
        <v>0</v>
      </c>
      <c r="FG45" s="1">
        <f t="shared" si="182"/>
        <v>0</v>
      </c>
      <c r="FH45" s="1">
        <f t="shared" si="183"/>
        <v>0</v>
      </c>
      <c r="FI45" s="1">
        <f t="shared" si="184"/>
        <v>0</v>
      </c>
      <c r="FJ45" s="1">
        <f t="shared" si="185"/>
        <v>0</v>
      </c>
      <c r="FK45" s="1">
        <f t="shared" si="186"/>
        <v>0</v>
      </c>
      <c r="FL45" s="1">
        <f t="shared" si="187"/>
        <v>0</v>
      </c>
      <c r="FM45" s="1">
        <f t="shared" si="188"/>
        <v>0</v>
      </c>
      <c r="FN45" s="1">
        <f t="shared" si="189"/>
        <v>0</v>
      </c>
      <c r="FO45" s="1">
        <f t="shared" si="190"/>
        <v>0</v>
      </c>
      <c r="FP45" s="1">
        <f t="shared" si="191"/>
        <v>0</v>
      </c>
      <c r="FQ45" s="1">
        <f t="shared" si="192"/>
        <v>0</v>
      </c>
      <c r="FS45" s="1">
        <f t="shared" si="193"/>
        <v>0</v>
      </c>
      <c r="FT45" s="1">
        <f t="shared" si="194"/>
        <v>0</v>
      </c>
      <c r="FU45" s="38">
        <f t="shared" si="195"/>
        <v>0</v>
      </c>
      <c r="FV45" s="38">
        <f t="shared" si="196"/>
        <v>0</v>
      </c>
      <c r="FW45" s="38">
        <f t="shared" si="197"/>
        <v>0</v>
      </c>
      <c r="FX45" s="38">
        <f t="shared" si="198"/>
        <v>0</v>
      </c>
      <c r="FY45" s="38">
        <f t="shared" si="199"/>
        <v>0</v>
      </c>
      <c r="FZ45" s="38">
        <f t="shared" si="200"/>
        <v>0</v>
      </c>
      <c r="GA45" s="38">
        <f t="shared" si="201"/>
        <v>0</v>
      </c>
      <c r="GB45" s="38">
        <f t="shared" si="202"/>
        <v>0</v>
      </c>
      <c r="GC45" s="38">
        <f t="shared" si="203"/>
        <v>0</v>
      </c>
      <c r="GD45" s="38">
        <f t="shared" si="204"/>
        <v>0</v>
      </c>
      <c r="GE45" s="38">
        <f t="shared" si="205"/>
        <v>0</v>
      </c>
      <c r="GF45" s="38">
        <f t="shared" si="206"/>
        <v>0</v>
      </c>
      <c r="GG45" s="38">
        <f t="shared" si="207"/>
        <v>0</v>
      </c>
      <c r="GH45" s="38">
        <f t="shared" si="208"/>
        <v>0</v>
      </c>
      <c r="GI45" s="38">
        <f t="shared" si="209"/>
        <v>0</v>
      </c>
      <c r="GJ45" s="38">
        <f t="shared" si="210"/>
        <v>0</v>
      </c>
      <c r="GL45" s="38">
        <f t="shared" si="211"/>
        <v>0</v>
      </c>
      <c r="GM45" s="38">
        <f t="shared" si="212"/>
        <v>0</v>
      </c>
      <c r="GN45" s="1" t="s">
        <v>2</v>
      </c>
      <c r="GO45" s="1">
        <f t="shared" si="213"/>
        <v>1.8</v>
      </c>
      <c r="GP45" s="1">
        <f t="shared" si="214"/>
        <v>0.02</v>
      </c>
      <c r="GQ45" s="41">
        <f t="shared" si="215"/>
        <v>0.36</v>
      </c>
      <c r="GR45" s="41">
        <f t="shared" si="216"/>
        <v>78.991935119999994</v>
      </c>
      <c r="GS45" s="14">
        <f t="shared" si="217"/>
        <v>43.884408399999998</v>
      </c>
      <c r="GT45" s="1">
        <f t="shared" si="218"/>
        <v>0</v>
      </c>
      <c r="GU45" s="1">
        <f t="shared" si="219"/>
        <v>0</v>
      </c>
      <c r="GV45" s="1">
        <f t="shared" si="220"/>
        <v>0.3600000000000001</v>
      </c>
      <c r="GW45" s="37">
        <f t="shared" si="221"/>
        <v>0</v>
      </c>
      <c r="GX45" s="37"/>
      <c r="GY45" s="37"/>
      <c r="GZ45" s="37"/>
      <c r="HB45" s="1">
        <f t="shared" si="222"/>
        <v>0</v>
      </c>
      <c r="HC45" s="1">
        <f t="shared" si="223"/>
        <v>0</v>
      </c>
      <c r="HD45" s="37" t="s">
        <v>2</v>
      </c>
      <c r="HE45" s="1" t="s">
        <v>118</v>
      </c>
      <c r="HF45" s="1" t="s">
        <v>138</v>
      </c>
      <c r="HI45" s="1" t="s">
        <v>163</v>
      </c>
      <c r="HJ45" s="37" t="s">
        <v>2</v>
      </c>
      <c r="HK45" s="37"/>
      <c r="HL45" s="37" t="s">
        <v>1358</v>
      </c>
      <c r="HM45" s="37" t="s">
        <v>96</v>
      </c>
      <c r="HN45" s="41">
        <f>HN36</f>
        <v>18.96</v>
      </c>
      <c r="HO45" s="45">
        <f t="shared" ref="HO45:HP45" si="243">HO36</f>
        <v>0</v>
      </c>
      <c r="HP45" s="41">
        <f t="shared" si="243"/>
        <v>464.3703999999999</v>
      </c>
      <c r="HQ45" s="41">
        <f t="shared" ref="HQ45:HW45" si="244">HQ36</f>
        <v>164.23399999999998</v>
      </c>
      <c r="HR45" s="44">
        <v>0.25202609037803808</v>
      </c>
      <c r="HS45" s="44"/>
      <c r="HT45" s="44"/>
      <c r="HU45" s="41">
        <f t="shared" si="244"/>
        <v>483.33039999999994</v>
      </c>
      <c r="HV45" s="41">
        <f t="shared" si="244"/>
        <v>39.890588866130038</v>
      </c>
      <c r="HW45" s="37">
        <f t="shared" si="244"/>
        <v>3</v>
      </c>
      <c r="HX45" s="49"/>
      <c r="HY45" s="49"/>
      <c r="HZ45" s="49"/>
      <c r="IA45" s="49"/>
      <c r="IB45" s="49"/>
      <c r="IC45" s="49"/>
      <c r="ID45" s="49"/>
      <c r="JH45" s="58" t="s">
        <v>2</v>
      </c>
    </row>
    <row r="46" spans="1:268" ht="16.25" customHeight="1" x14ac:dyDescent="0.2">
      <c r="A46" s="16" t="s">
        <v>827</v>
      </c>
      <c r="B46" s="1" t="s">
        <v>69</v>
      </c>
      <c r="F46" s="1" t="s">
        <v>131</v>
      </c>
      <c r="I46" s="1">
        <v>0</v>
      </c>
      <c r="AD46" s="1">
        <v>0</v>
      </c>
      <c r="AY46" s="1">
        <v>1</v>
      </c>
      <c r="AZ46" s="1">
        <v>6.4</v>
      </c>
      <c r="BA46" s="1">
        <v>1.4</v>
      </c>
      <c r="BB46" s="1">
        <v>5.0999999999999996</v>
      </c>
      <c r="BG46" s="1">
        <v>0.3</v>
      </c>
      <c r="BH46" s="1">
        <v>0.2</v>
      </c>
      <c r="BI46" s="1">
        <v>1</v>
      </c>
      <c r="BT46" s="1">
        <v>0</v>
      </c>
      <c r="CO46" s="1">
        <v>0</v>
      </c>
      <c r="DJ46" s="1" t="s">
        <v>163</v>
      </c>
      <c r="DK46" s="1" t="s">
        <v>163</v>
      </c>
      <c r="DL46" s="1">
        <f t="shared" si="139"/>
        <v>0.3</v>
      </c>
      <c r="DM46" s="1">
        <f t="shared" si="140"/>
        <v>0.2</v>
      </c>
      <c r="DN46" s="1" t="s">
        <v>828</v>
      </c>
      <c r="DO46" s="1" t="s">
        <v>2</v>
      </c>
      <c r="DP46" s="38">
        <f t="shared" si="141"/>
        <v>6.4000000000000001E-2</v>
      </c>
      <c r="DQ46" s="38">
        <f t="shared" si="142"/>
        <v>1.4</v>
      </c>
      <c r="DR46" s="38">
        <f t="shared" si="143"/>
        <v>5.0999999999999996</v>
      </c>
      <c r="DS46" s="38">
        <f t="shared" si="144"/>
        <v>0</v>
      </c>
      <c r="DT46" s="38">
        <f t="shared" si="145"/>
        <v>0</v>
      </c>
      <c r="DU46" s="38">
        <f t="shared" si="146"/>
        <v>0</v>
      </c>
      <c r="DV46" s="38">
        <f t="shared" si="147"/>
        <v>0</v>
      </c>
      <c r="DW46" s="38">
        <f t="shared" si="148"/>
        <v>3.0000000000000001E-3</v>
      </c>
      <c r="DX46" s="38">
        <f t="shared" si="149"/>
        <v>2E-3</v>
      </c>
      <c r="DY46" s="38">
        <f t="shared" si="150"/>
        <v>1</v>
      </c>
      <c r="DZ46" s="38">
        <f t="shared" si="151"/>
        <v>0</v>
      </c>
      <c r="EA46" s="38">
        <f t="shared" si="152"/>
        <v>0</v>
      </c>
      <c r="EB46" s="38">
        <f t="shared" si="153"/>
        <v>0</v>
      </c>
      <c r="EC46" s="38">
        <f t="shared" si="154"/>
        <v>0</v>
      </c>
      <c r="ED46" s="38">
        <f t="shared" si="155"/>
        <v>0</v>
      </c>
      <c r="EE46" s="38">
        <f t="shared" si="156"/>
        <v>0</v>
      </c>
      <c r="EG46" s="38">
        <f t="shared" si="157"/>
        <v>0</v>
      </c>
      <c r="EH46" s="38">
        <f t="shared" si="158"/>
        <v>0</v>
      </c>
      <c r="EI46" s="38">
        <f t="shared" si="159"/>
        <v>417.63942400000002</v>
      </c>
      <c r="EJ46" s="38">
        <f t="shared" si="160"/>
        <v>57.260450160771697</v>
      </c>
      <c r="EK46" s="38">
        <f t="shared" si="161"/>
        <v>2.5827974276527326</v>
      </c>
      <c r="EL46" s="38">
        <f t="shared" si="162"/>
        <v>0</v>
      </c>
      <c r="EM46" s="38">
        <f t="shared" si="163"/>
        <v>0</v>
      </c>
      <c r="EN46" s="38">
        <f t="shared" si="164"/>
        <v>0</v>
      </c>
      <c r="EO46" s="38">
        <f t="shared" si="165"/>
        <v>0</v>
      </c>
      <c r="EP46" s="38">
        <f t="shared" si="166"/>
        <v>39.341999999999999</v>
      </c>
      <c r="EQ46" s="38">
        <f t="shared" si="167"/>
        <v>145.239048</v>
      </c>
      <c r="ER46" s="38">
        <f t="shared" si="168"/>
        <v>28.38135048231511</v>
      </c>
      <c r="ES46" s="38">
        <f t="shared" si="169"/>
        <v>0</v>
      </c>
      <c r="ET46" s="38">
        <f t="shared" si="170"/>
        <v>0</v>
      </c>
      <c r="EU46" s="38">
        <f t="shared" si="171"/>
        <v>0</v>
      </c>
      <c r="EV46" s="38">
        <f t="shared" si="172"/>
        <v>0</v>
      </c>
      <c r="EW46" s="38">
        <f t="shared" si="173"/>
        <v>0</v>
      </c>
      <c r="EX46" s="38">
        <f t="shared" si="174"/>
        <v>0</v>
      </c>
      <c r="EZ46" s="38">
        <f t="shared" si="175"/>
        <v>0</v>
      </c>
      <c r="FA46" s="38">
        <f t="shared" si="176"/>
        <v>0</v>
      </c>
      <c r="FB46" s="1">
        <f t="shared" si="177"/>
        <v>0</v>
      </c>
      <c r="FC46" s="1">
        <f t="shared" si="178"/>
        <v>0</v>
      </c>
      <c r="FD46" s="1">
        <f t="shared" si="179"/>
        <v>0</v>
      </c>
      <c r="FE46" s="1">
        <f t="shared" si="180"/>
        <v>0</v>
      </c>
      <c r="FF46" s="1">
        <f t="shared" si="181"/>
        <v>0</v>
      </c>
      <c r="FG46" s="1">
        <f t="shared" si="182"/>
        <v>0</v>
      </c>
      <c r="FH46" s="1">
        <f t="shared" si="183"/>
        <v>0</v>
      </c>
      <c r="FI46" s="1">
        <f t="shared" si="184"/>
        <v>0</v>
      </c>
      <c r="FJ46" s="1">
        <f t="shared" si="185"/>
        <v>0</v>
      </c>
      <c r="FK46" s="1">
        <f t="shared" si="186"/>
        <v>0</v>
      </c>
      <c r="FL46" s="1">
        <f t="shared" si="187"/>
        <v>0</v>
      </c>
      <c r="FM46" s="1">
        <f t="shared" si="188"/>
        <v>0</v>
      </c>
      <c r="FN46" s="1">
        <f t="shared" si="189"/>
        <v>0</v>
      </c>
      <c r="FO46" s="1">
        <f t="shared" si="190"/>
        <v>0</v>
      </c>
      <c r="FP46" s="1">
        <f t="shared" si="191"/>
        <v>0</v>
      </c>
      <c r="FQ46" s="1">
        <f t="shared" si="192"/>
        <v>0</v>
      </c>
      <c r="FS46" s="1">
        <f t="shared" si="193"/>
        <v>0</v>
      </c>
      <c r="FT46" s="1">
        <f t="shared" si="194"/>
        <v>0</v>
      </c>
      <c r="FU46" s="38">
        <f t="shared" si="195"/>
        <v>0</v>
      </c>
      <c r="FV46" s="38">
        <f t="shared" si="196"/>
        <v>0</v>
      </c>
      <c r="FW46" s="38">
        <f t="shared" si="197"/>
        <v>0</v>
      </c>
      <c r="FX46" s="38">
        <f t="shared" si="198"/>
        <v>0</v>
      </c>
      <c r="FY46" s="38">
        <f t="shared" si="199"/>
        <v>0</v>
      </c>
      <c r="FZ46" s="38">
        <f t="shared" si="200"/>
        <v>0</v>
      </c>
      <c r="GA46" s="38">
        <f t="shared" si="201"/>
        <v>0</v>
      </c>
      <c r="GB46" s="38">
        <f t="shared" si="202"/>
        <v>0</v>
      </c>
      <c r="GC46" s="38">
        <f t="shared" si="203"/>
        <v>0</v>
      </c>
      <c r="GD46" s="38">
        <f t="shared" si="204"/>
        <v>0</v>
      </c>
      <c r="GE46" s="38">
        <f t="shared" si="205"/>
        <v>0</v>
      </c>
      <c r="GF46" s="38">
        <f t="shared" si="206"/>
        <v>0</v>
      </c>
      <c r="GG46" s="38">
        <f t="shared" si="207"/>
        <v>0</v>
      </c>
      <c r="GH46" s="38">
        <f t="shared" si="208"/>
        <v>0</v>
      </c>
      <c r="GI46" s="38">
        <f t="shared" si="209"/>
        <v>0</v>
      </c>
      <c r="GJ46" s="38">
        <f t="shared" si="210"/>
        <v>0</v>
      </c>
      <c r="GL46" s="38">
        <f t="shared" si="211"/>
        <v>0</v>
      </c>
      <c r="GM46" s="38">
        <f t="shared" si="212"/>
        <v>0</v>
      </c>
      <c r="GN46" s="1" t="s">
        <v>2</v>
      </c>
      <c r="GO46" s="1">
        <f t="shared" si="213"/>
        <v>1</v>
      </c>
      <c r="GP46" s="1">
        <f t="shared" si="214"/>
        <v>0.3</v>
      </c>
      <c r="GQ46" s="41">
        <f t="shared" si="215"/>
        <v>3</v>
      </c>
      <c r="GR46" s="41">
        <f t="shared" si="216"/>
        <v>690.44507007073969</v>
      </c>
      <c r="GS46" s="14">
        <f t="shared" si="217"/>
        <v>690.44507007073969</v>
      </c>
      <c r="GT46" s="1">
        <f t="shared" si="218"/>
        <v>0</v>
      </c>
      <c r="GU46" s="1">
        <f t="shared" si="219"/>
        <v>0</v>
      </c>
      <c r="GV46" s="1">
        <f t="shared" si="220"/>
        <v>3</v>
      </c>
      <c r="GW46" s="37">
        <f t="shared" si="221"/>
        <v>0</v>
      </c>
      <c r="GX46" s="37"/>
      <c r="GY46" s="37"/>
      <c r="GZ46" s="37"/>
      <c r="HB46" s="1">
        <f t="shared" si="222"/>
        <v>0</v>
      </c>
      <c r="HC46" s="1">
        <f t="shared" si="223"/>
        <v>0</v>
      </c>
      <c r="HD46" s="37" t="s">
        <v>2</v>
      </c>
      <c r="HE46" s="1" t="s">
        <v>118</v>
      </c>
      <c r="HF46" s="1" t="s">
        <v>138</v>
      </c>
      <c r="HI46" s="1" t="s">
        <v>163</v>
      </c>
      <c r="HJ46" s="37" t="s">
        <v>2</v>
      </c>
      <c r="HK46" s="37"/>
      <c r="HL46" s="37" t="s">
        <v>1358</v>
      </c>
      <c r="HM46" s="37" t="s">
        <v>163</v>
      </c>
      <c r="HN46" s="45">
        <f t="shared" ref="HN46:HQ46" si="245">HN37</f>
        <v>0</v>
      </c>
      <c r="HO46" s="45">
        <f t="shared" si="245"/>
        <v>0</v>
      </c>
      <c r="HP46" s="41">
        <f t="shared" si="245"/>
        <v>2.680736</v>
      </c>
      <c r="HQ46" s="44">
        <f t="shared" si="245"/>
        <v>1.2791440000000001</v>
      </c>
      <c r="HR46" s="44">
        <v>0.20957265171083161</v>
      </c>
      <c r="HS46" s="44"/>
      <c r="HT46" s="44"/>
      <c r="HU46" s="41">
        <f t="shared" ref="HU46" si="246">HU37</f>
        <v>2.680736</v>
      </c>
      <c r="HV46" s="41">
        <v>163.66340875557768</v>
      </c>
      <c r="HW46" s="37">
        <v>2</v>
      </c>
      <c r="HX46" s="49"/>
      <c r="HY46" s="49"/>
      <c r="HZ46" s="49"/>
      <c r="IA46" s="49"/>
      <c r="IB46" s="49"/>
      <c r="IC46" s="49"/>
      <c r="ID46" s="49"/>
      <c r="JH46" s="58" t="s">
        <v>2</v>
      </c>
    </row>
    <row r="47" spans="1:268" ht="16.25" customHeight="1" x14ac:dyDescent="0.2">
      <c r="A47" s="16" t="s">
        <v>954</v>
      </c>
      <c r="B47" s="1" t="s">
        <v>69</v>
      </c>
      <c r="F47" s="1" t="s">
        <v>131</v>
      </c>
      <c r="I47" s="1">
        <v>0</v>
      </c>
      <c r="AD47" s="1">
        <v>0</v>
      </c>
      <c r="AY47" s="1">
        <v>0.114</v>
      </c>
      <c r="BA47" s="1">
        <v>0.5</v>
      </c>
      <c r="BG47" s="1">
        <v>0.45</v>
      </c>
      <c r="BT47" s="1">
        <v>0</v>
      </c>
      <c r="CO47" s="1">
        <v>0</v>
      </c>
      <c r="DJ47" s="1" t="s">
        <v>163</v>
      </c>
      <c r="DL47" s="1">
        <f t="shared" si="139"/>
        <v>0.45</v>
      </c>
      <c r="DM47" s="1">
        <f t="shared" si="140"/>
        <v>0</v>
      </c>
      <c r="DN47" s="1" t="s">
        <v>919</v>
      </c>
      <c r="DO47" s="1" t="s">
        <v>2</v>
      </c>
      <c r="DP47" s="38">
        <f t="shared" si="141"/>
        <v>0</v>
      </c>
      <c r="DQ47" s="38">
        <f t="shared" si="142"/>
        <v>5.7000000000000002E-2</v>
      </c>
      <c r="DR47" s="38">
        <f t="shared" si="143"/>
        <v>0</v>
      </c>
      <c r="DS47" s="38">
        <f t="shared" si="144"/>
        <v>0</v>
      </c>
      <c r="DT47" s="38">
        <f t="shared" si="145"/>
        <v>0</v>
      </c>
      <c r="DU47" s="38">
        <f t="shared" si="146"/>
        <v>0</v>
      </c>
      <c r="DV47" s="38">
        <f t="shared" si="147"/>
        <v>0</v>
      </c>
      <c r="DW47" s="38">
        <f t="shared" si="148"/>
        <v>5.13E-4</v>
      </c>
      <c r="DX47" s="38">
        <f t="shared" si="149"/>
        <v>0</v>
      </c>
      <c r="DY47" s="38">
        <f t="shared" si="150"/>
        <v>0</v>
      </c>
      <c r="DZ47" s="38">
        <f t="shared" si="151"/>
        <v>0</v>
      </c>
      <c r="EA47" s="38">
        <f t="shared" si="152"/>
        <v>0</v>
      </c>
      <c r="EB47" s="38">
        <f t="shared" si="153"/>
        <v>0</v>
      </c>
      <c r="EC47" s="38">
        <f t="shared" si="154"/>
        <v>0</v>
      </c>
      <c r="ED47" s="38">
        <f t="shared" si="155"/>
        <v>0</v>
      </c>
      <c r="EE47" s="38">
        <f t="shared" si="156"/>
        <v>0</v>
      </c>
      <c r="EG47" s="38">
        <f t="shared" si="157"/>
        <v>0</v>
      </c>
      <c r="EH47" s="38">
        <f t="shared" si="158"/>
        <v>0</v>
      </c>
      <c r="EI47" s="38">
        <f t="shared" si="159"/>
        <v>0</v>
      </c>
      <c r="EJ47" s="38">
        <f t="shared" si="160"/>
        <v>2.3313183279742766</v>
      </c>
      <c r="EK47" s="38">
        <f t="shared" si="161"/>
        <v>0</v>
      </c>
      <c r="EL47" s="38">
        <f t="shared" si="162"/>
        <v>0</v>
      </c>
      <c r="EM47" s="38">
        <f t="shared" si="163"/>
        <v>0</v>
      </c>
      <c r="EN47" s="38">
        <f t="shared" si="164"/>
        <v>0</v>
      </c>
      <c r="EO47" s="38">
        <f t="shared" si="165"/>
        <v>0</v>
      </c>
      <c r="EP47" s="38">
        <f t="shared" si="166"/>
        <v>6.7274820000000002</v>
      </c>
      <c r="EQ47" s="38">
        <f t="shared" si="167"/>
        <v>0</v>
      </c>
      <c r="ER47" s="38">
        <f t="shared" si="168"/>
        <v>0</v>
      </c>
      <c r="ES47" s="38">
        <f t="shared" si="169"/>
        <v>0</v>
      </c>
      <c r="ET47" s="38">
        <f t="shared" si="170"/>
        <v>0</v>
      </c>
      <c r="EU47" s="38">
        <f t="shared" si="171"/>
        <v>0</v>
      </c>
      <c r="EV47" s="38">
        <f t="shared" si="172"/>
        <v>0</v>
      </c>
      <c r="EW47" s="38">
        <f t="shared" si="173"/>
        <v>0</v>
      </c>
      <c r="EX47" s="38">
        <f t="shared" si="174"/>
        <v>0</v>
      </c>
      <c r="EZ47" s="38">
        <f t="shared" si="175"/>
        <v>0</v>
      </c>
      <c r="FA47" s="38">
        <f t="shared" si="176"/>
        <v>0</v>
      </c>
      <c r="FB47" s="1">
        <f t="shared" si="177"/>
        <v>0</v>
      </c>
      <c r="FC47" s="1">
        <f t="shared" si="178"/>
        <v>0</v>
      </c>
      <c r="FD47" s="1">
        <f t="shared" si="179"/>
        <v>0</v>
      </c>
      <c r="FE47" s="1">
        <f t="shared" si="180"/>
        <v>0</v>
      </c>
      <c r="FF47" s="1">
        <f t="shared" si="181"/>
        <v>0</v>
      </c>
      <c r="FG47" s="1">
        <f t="shared" si="182"/>
        <v>0</v>
      </c>
      <c r="FH47" s="1">
        <f t="shared" si="183"/>
        <v>0</v>
      </c>
      <c r="FI47" s="1">
        <f t="shared" si="184"/>
        <v>0</v>
      </c>
      <c r="FJ47" s="1">
        <f t="shared" si="185"/>
        <v>0</v>
      </c>
      <c r="FK47" s="1">
        <f t="shared" si="186"/>
        <v>0</v>
      </c>
      <c r="FL47" s="1">
        <f t="shared" si="187"/>
        <v>0</v>
      </c>
      <c r="FM47" s="1">
        <f t="shared" si="188"/>
        <v>0</v>
      </c>
      <c r="FN47" s="1">
        <f t="shared" si="189"/>
        <v>0</v>
      </c>
      <c r="FO47" s="1">
        <f t="shared" si="190"/>
        <v>0</v>
      </c>
      <c r="FP47" s="1">
        <f t="shared" si="191"/>
        <v>0</v>
      </c>
      <c r="FQ47" s="1">
        <f t="shared" si="192"/>
        <v>0</v>
      </c>
      <c r="FS47" s="1">
        <f t="shared" si="193"/>
        <v>0</v>
      </c>
      <c r="FT47" s="1">
        <f t="shared" si="194"/>
        <v>0</v>
      </c>
      <c r="FU47" s="38">
        <f t="shared" si="195"/>
        <v>0</v>
      </c>
      <c r="FV47" s="38">
        <f t="shared" si="196"/>
        <v>0</v>
      </c>
      <c r="FW47" s="38">
        <f t="shared" si="197"/>
        <v>0</v>
      </c>
      <c r="FX47" s="38">
        <f t="shared" si="198"/>
        <v>0</v>
      </c>
      <c r="FY47" s="38">
        <f t="shared" si="199"/>
        <v>0</v>
      </c>
      <c r="FZ47" s="38">
        <f t="shared" si="200"/>
        <v>0</v>
      </c>
      <c r="GA47" s="38">
        <f t="shared" si="201"/>
        <v>0</v>
      </c>
      <c r="GB47" s="38">
        <f t="shared" si="202"/>
        <v>0</v>
      </c>
      <c r="GC47" s="38">
        <f t="shared" si="203"/>
        <v>0</v>
      </c>
      <c r="GD47" s="38">
        <f t="shared" si="204"/>
        <v>0</v>
      </c>
      <c r="GE47" s="38">
        <f t="shared" si="205"/>
        <v>0</v>
      </c>
      <c r="GF47" s="38">
        <f t="shared" si="206"/>
        <v>0</v>
      </c>
      <c r="GG47" s="38">
        <f t="shared" si="207"/>
        <v>0</v>
      </c>
      <c r="GH47" s="38">
        <f t="shared" si="208"/>
        <v>0</v>
      </c>
      <c r="GI47" s="38">
        <f t="shared" si="209"/>
        <v>0</v>
      </c>
      <c r="GJ47" s="38">
        <f t="shared" si="210"/>
        <v>0</v>
      </c>
      <c r="GL47" s="38">
        <f t="shared" si="211"/>
        <v>0</v>
      </c>
      <c r="GM47" s="38">
        <f t="shared" si="212"/>
        <v>0</v>
      </c>
      <c r="GN47" s="1" t="s">
        <v>2</v>
      </c>
      <c r="GO47" s="1">
        <f t="shared" si="213"/>
        <v>0.114</v>
      </c>
      <c r="GP47" s="1">
        <f t="shared" si="214"/>
        <v>0.45</v>
      </c>
      <c r="GQ47" s="41">
        <f t="shared" si="215"/>
        <v>0.51300000000000001</v>
      </c>
      <c r="GR47" s="41">
        <f t="shared" si="216"/>
        <v>9.0588003279742768</v>
      </c>
      <c r="GS47" s="14">
        <f t="shared" si="217"/>
        <v>79.463160771704182</v>
      </c>
      <c r="GT47" s="1">
        <f t="shared" si="218"/>
        <v>0</v>
      </c>
      <c r="GU47" s="1">
        <f t="shared" si="219"/>
        <v>0</v>
      </c>
      <c r="GV47" s="1">
        <f t="shared" si="220"/>
        <v>0.51300000000000001</v>
      </c>
      <c r="GW47" s="37">
        <f t="shared" si="221"/>
        <v>0</v>
      </c>
      <c r="GX47" s="37"/>
      <c r="GY47" s="37"/>
      <c r="GZ47" s="37"/>
      <c r="HB47" s="1">
        <f t="shared" si="222"/>
        <v>0</v>
      </c>
      <c r="HC47" s="1">
        <f t="shared" si="223"/>
        <v>0</v>
      </c>
      <c r="HD47" s="37" t="s">
        <v>2</v>
      </c>
      <c r="HE47" s="1" t="s">
        <v>118</v>
      </c>
      <c r="HF47" s="1" t="s">
        <v>106</v>
      </c>
      <c r="HI47" s="1" t="s">
        <v>163</v>
      </c>
      <c r="HJ47" s="37" t="s">
        <v>2</v>
      </c>
      <c r="HK47" s="37"/>
      <c r="HL47" s="37"/>
      <c r="HM47" s="37"/>
      <c r="HN47" s="37"/>
      <c r="HO47" s="37"/>
      <c r="HP47" s="37"/>
      <c r="HQ47" s="37"/>
      <c r="HR47" s="37"/>
      <c r="HS47" s="61"/>
      <c r="HT47" s="61"/>
      <c r="HU47" s="37"/>
      <c r="HV47" s="37"/>
      <c r="HW47" s="37"/>
      <c r="JH47" s="58" t="s">
        <v>2</v>
      </c>
    </row>
    <row r="48" spans="1:268" ht="16.25" customHeight="1" x14ac:dyDescent="0.2">
      <c r="A48" s="32" t="s">
        <v>841</v>
      </c>
      <c r="B48" s="1" t="s">
        <v>69</v>
      </c>
      <c r="F48" s="1" t="s">
        <v>842</v>
      </c>
      <c r="I48" s="1">
        <v>11.2</v>
      </c>
      <c r="J48" s="1">
        <v>0.18</v>
      </c>
      <c r="Q48" s="1">
        <v>0.71</v>
      </c>
      <c r="R48" s="1">
        <v>1.0999999999999999E-2</v>
      </c>
      <c r="S48" s="1">
        <v>0.23</v>
      </c>
      <c r="T48" s="1">
        <v>0.26</v>
      </c>
      <c r="AD48" s="14">
        <v>107</v>
      </c>
      <c r="AE48" s="13">
        <v>0.2</v>
      </c>
      <c r="AL48" s="1">
        <v>0.74</v>
      </c>
      <c r="AM48" s="1">
        <v>1.4999999999999999E-2</v>
      </c>
      <c r="AN48" s="1">
        <v>0.15</v>
      </c>
      <c r="AO48" s="1">
        <v>0.15</v>
      </c>
      <c r="AY48" s="14">
        <v>37</v>
      </c>
      <c r="AZ48" s="1">
        <v>0.22</v>
      </c>
      <c r="BG48" s="1">
        <v>0.79</v>
      </c>
      <c r="BH48" s="1">
        <v>1.7000000000000001E-2</v>
      </c>
      <c r="BI48" s="1">
        <v>0.17</v>
      </c>
      <c r="BJ48" s="1">
        <v>0.18</v>
      </c>
      <c r="BT48" s="1">
        <v>0</v>
      </c>
      <c r="CO48" s="14">
        <f>44.5+31.7+12.8</f>
        <v>89</v>
      </c>
      <c r="CP48" s="13">
        <f>(0.19*44.5+0.19*31.7+0.18*12.8)/CO48</f>
        <v>0.18856179775280899</v>
      </c>
      <c r="CW48" s="13">
        <f>(0.75*44.5+0.79*31.7+0.63*12.8)/CO48</f>
        <v>0.74698876404494385</v>
      </c>
      <c r="CX48" s="1">
        <v>1.4999999999999999E-2</v>
      </c>
      <c r="CY48" s="1">
        <v>0.15</v>
      </c>
      <c r="CZ48" s="1">
        <v>0.15</v>
      </c>
      <c r="DJ48" s="1" t="s">
        <v>96</v>
      </c>
      <c r="DK48" s="1" t="s">
        <v>96</v>
      </c>
      <c r="DL48" s="1">
        <f t="shared" si="139"/>
        <v>0.7497551546391753</v>
      </c>
      <c r="DM48" s="1">
        <f t="shared" si="140"/>
        <v>1.5188144329896907E-2</v>
      </c>
      <c r="DN48" s="1" t="s">
        <v>67</v>
      </c>
      <c r="DO48" s="1" t="s">
        <v>2</v>
      </c>
      <c r="DP48" s="38">
        <f t="shared" si="141"/>
        <v>0.31556000000000006</v>
      </c>
      <c r="DQ48" s="38">
        <f t="shared" si="142"/>
        <v>0</v>
      </c>
      <c r="DR48" s="38">
        <f t="shared" si="143"/>
        <v>0</v>
      </c>
      <c r="DS48" s="38">
        <f t="shared" si="144"/>
        <v>0</v>
      </c>
      <c r="DT48" s="38">
        <f t="shared" si="145"/>
        <v>0</v>
      </c>
      <c r="DU48" s="38">
        <f t="shared" si="146"/>
        <v>0</v>
      </c>
      <c r="DV48" s="38">
        <f t="shared" si="147"/>
        <v>0</v>
      </c>
      <c r="DW48" s="38">
        <f t="shared" si="148"/>
        <v>1.1636199999999999</v>
      </c>
      <c r="DX48" s="38">
        <f t="shared" si="149"/>
        <v>2.3571999999999996E-2</v>
      </c>
      <c r="DY48" s="38">
        <f t="shared" si="150"/>
        <v>24.916</v>
      </c>
      <c r="DZ48" s="38">
        <f t="shared" si="151"/>
        <v>25.622</v>
      </c>
      <c r="EA48" s="38">
        <f t="shared" si="152"/>
        <v>0</v>
      </c>
      <c r="EB48" s="38">
        <f t="shared" si="153"/>
        <v>0</v>
      </c>
      <c r="EC48" s="38">
        <f t="shared" si="154"/>
        <v>0</v>
      </c>
      <c r="ED48" s="38">
        <f t="shared" si="155"/>
        <v>0</v>
      </c>
      <c r="EE48" s="38">
        <f t="shared" si="156"/>
        <v>0</v>
      </c>
      <c r="EG48" s="38">
        <f t="shared" si="157"/>
        <v>0</v>
      </c>
      <c r="EH48" s="38">
        <f t="shared" si="158"/>
        <v>0</v>
      </c>
      <c r="EI48" s="38">
        <f t="shared" si="159"/>
        <v>2059.2233849600002</v>
      </c>
      <c r="EJ48" s="38">
        <f t="shared" si="160"/>
        <v>0</v>
      </c>
      <c r="EK48" s="38">
        <f t="shared" si="161"/>
        <v>0</v>
      </c>
      <c r="EL48" s="38">
        <f t="shared" si="162"/>
        <v>0</v>
      </c>
      <c r="EM48" s="38">
        <f t="shared" si="163"/>
        <v>0</v>
      </c>
      <c r="EN48" s="38">
        <f t="shared" si="164"/>
        <v>0</v>
      </c>
      <c r="EO48" s="38">
        <f t="shared" si="165"/>
        <v>0</v>
      </c>
      <c r="EP48" s="38">
        <f t="shared" si="166"/>
        <v>15259.712679999999</v>
      </c>
      <c r="EQ48" s="38">
        <f t="shared" si="167"/>
        <v>1711.7874197279993</v>
      </c>
      <c r="ER48" s="38">
        <f t="shared" si="168"/>
        <v>707.14972861736317</v>
      </c>
      <c r="ES48" s="38">
        <f t="shared" si="169"/>
        <v>853.87168681672028</v>
      </c>
      <c r="ET48" s="38">
        <f t="shared" si="170"/>
        <v>0</v>
      </c>
      <c r="EU48" s="38">
        <f t="shared" si="171"/>
        <v>0</v>
      </c>
      <c r="EV48" s="38">
        <f t="shared" si="172"/>
        <v>0</v>
      </c>
      <c r="EW48" s="38">
        <f t="shared" si="173"/>
        <v>0</v>
      </c>
      <c r="EX48" s="38">
        <f t="shared" si="174"/>
        <v>0</v>
      </c>
      <c r="EZ48" s="38">
        <f t="shared" si="175"/>
        <v>0</v>
      </c>
      <c r="FA48" s="38">
        <f t="shared" si="176"/>
        <v>0</v>
      </c>
      <c r="FB48" s="1">
        <f t="shared" si="177"/>
        <v>0.16782</v>
      </c>
      <c r="FC48" s="1">
        <f t="shared" si="178"/>
        <v>0</v>
      </c>
      <c r="FD48" s="1">
        <f t="shared" si="179"/>
        <v>0</v>
      </c>
      <c r="FE48" s="1">
        <f t="shared" si="180"/>
        <v>0</v>
      </c>
      <c r="FF48" s="1">
        <f t="shared" si="181"/>
        <v>0</v>
      </c>
      <c r="FG48" s="1">
        <f t="shared" si="182"/>
        <v>0</v>
      </c>
      <c r="FH48" s="1">
        <f t="shared" si="183"/>
        <v>0</v>
      </c>
      <c r="FI48" s="1">
        <f t="shared" si="184"/>
        <v>0.66481999999999997</v>
      </c>
      <c r="FJ48" s="1">
        <f t="shared" si="185"/>
        <v>1.3349999999999999E-2</v>
      </c>
      <c r="FK48" s="1">
        <f t="shared" si="186"/>
        <v>13.35</v>
      </c>
      <c r="FL48" s="1">
        <f t="shared" si="187"/>
        <v>13.35</v>
      </c>
      <c r="FM48" s="1">
        <f t="shared" si="188"/>
        <v>0</v>
      </c>
      <c r="FN48" s="1">
        <f t="shared" si="189"/>
        <v>0</v>
      </c>
      <c r="FO48" s="1">
        <f t="shared" si="190"/>
        <v>0</v>
      </c>
      <c r="FP48" s="1">
        <f t="shared" si="191"/>
        <v>0</v>
      </c>
      <c r="FQ48" s="1">
        <f t="shared" si="192"/>
        <v>0</v>
      </c>
      <c r="FS48" s="1">
        <f t="shared" si="193"/>
        <v>0</v>
      </c>
      <c r="FT48" s="1">
        <f t="shared" si="194"/>
        <v>0</v>
      </c>
      <c r="FU48" s="38">
        <f t="shared" si="195"/>
        <v>1095.12887712</v>
      </c>
      <c r="FV48" s="38">
        <f t="shared" si="196"/>
        <v>0</v>
      </c>
      <c r="FW48" s="38">
        <f t="shared" si="197"/>
        <v>0</v>
      </c>
      <c r="FX48" s="38">
        <f t="shared" si="198"/>
        <v>0</v>
      </c>
      <c r="FY48" s="38">
        <f t="shared" si="199"/>
        <v>0</v>
      </c>
      <c r="FZ48" s="38">
        <f t="shared" si="200"/>
        <v>0</v>
      </c>
      <c r="GA48" s="38">
        <f t="shared" si="201"/>
        <v>0</v>
      </c>
      <c r="GB48" s="38">
        <f t="shared" si="202"/>
        <v>8718.4494799999993</v>
      </c>
      <c r="GC48" s="38">
        <f t="shared" si="203"/>
        <v>969.47064539999985</v>
      </c>
      <c r="GD48" s="38">
        <f t="shared" si="204"/>
        <v>378.89102893890669</v>
      </c>
      <c r="GE48" s="38">
        <f t="shared" si="205"/>
        <v>444.89840836012866</v>
      </c>
      <c r="GF48" s="38">
        <f t="shared" si="206"/>
        <v>0</v>
      </c>
      <c r="GG48" s="38">
        <f t="shared" si="207"/>
        <v>0</v>
      </c>
      <c r="GH48" s="38">
        <f t="shared" si="208"/>
        <v>0</v>
      </c>
      <c r="GI48" s="38">
        <f t="shared" si="209"/>
        <v>0</v>
      </c>
      <c r="GJ48" s="38">
        <f t="shared" si="210"/>
        <v>0</v>
      </c>
      <c r="GL48" s="38">
        <f t="shared" si="211"/>
        <v>0</v>
      </c>
      <c r="GM48" s="38">
        <f t="shared" si="212"/>
        <v>0</v>
      </c>
      <c r="GN48" s="1" t="s">
        <v>2</v>
      </c>
      <c r="GO48" s="1">
        <f t="shared" si="213"/>
        <v>155.19999999999999</v>
      </c>
      <c r="GP48" s="13">
        <f t="shared" si="214"/>
        <v>0.7497551546391753</v>
      </c>
      <c r="GQ48" s="43">
        <f t="shared" si="215"/>
        <v>1163.6199999999999</v>
      </c>
      <c r="GR48" s="41">
        <f t="shared" si="216"/>
        <v>20591.744900122081</v>
      </c>
      <c r="GS48" s="14">
        <f t="shared" si="217"/>
        <v>132.67876868635364</v>
      </c>
      <c r="GT48" s="1">
        <f t="shared" si="218"/>
        <v>79.52</v>
      </c>
      <c r="GU48" s="1">
        <f t="shared" si="219"/>
        <v>791.79999999999984</v>
      </c>
      <c r="GV48" s="1">
        <f t="shared" si="220"/>
        <v>292.3</v>
      </c>
      <c r="GW48" s="37">
        <f t="shared" si="221"/>
        <v>89</v>
      </c>
      <c r="GX48" s="44">
        <f>(BT48*CB48+CO48*CW48)/GW48</f>
        <v>0.74698876404494385</v>
      </c>
      <c r="GY48" s="41">
        <f>1000*GW48*GX48/100</f>
        <v>664.82</v>
      </c>
      <c r="GZ48" s="41">
        <f>SUM(FU48:GM48)</f>
        <v>11606.838439819034</v>
      </c>
      <c r="HA48" s="14">
        <f>GZ48/GW48</f>
        <v>130.41391505414646</v>
      </c>
      <c r="HB48" s="1">
        <f t="shared" si="222"/>
        <v>0</v>
      </c>
      <c r="HC48" s="1">
        <f t="shared" si="223"/>
        <v>664.82</v>
      </c>
      <c r="HD48" s="37" t="s">
        <v>2</v>
      </c>
      <c r="HE48" s="1" t="s">
        <v>118</v>
      </c>
      <c r="HF48" s="1" t="s">
        <v>170</v>
      </c>
      <c r="HI48" s="1" t="s">
        <v>96</v>
      </c>
      <c r="HJ48" s="37" t="s">
        <v>2</v>
      </c>
      <c r="HK48" s="37"/>
      <c r="HL48" s="96" t="s">
        <v>1368</v>
      </c>
      <c r="HM48" s="37" t="s">
        <v>96</v>
      </c>
      <c r="HN48" s="42">
        <f>HN39+HN41+HN43+HN45</f>
        <v>40456.583976448979</v>
      </c>
      <c r="HO48" s="42">
        <f t="shared" ref="HO48:HQ48" si="247">HO39+HO41+HO43+HO45</f>
        <v>97379.975293817202</v>
      </c>
      <c r="HP48" s="42">
        <f t="shared" si="247"/>
        <v>110436.38158022428</v>
      </c>
      <c r="HQ48" s="42">
        <f t="shared" si="247"/>
        <v>65604.873103969352</v>
      </c>
      <c r="HR48" s="44">
        <f t="shared" ref="HR48:HR50" si="248">100*(HU48/1000)/HQ48</f>
        <v>0.37843673663849969</v>
      </c>
      <c r="HS48" s="44"/>
      <c r="HT48" s="44"/>
      <c r="HU48" s="42">
        <f>HU39+HU41+HU43+HU45</f>
        <v>248272.94085049041</v>
      </c>
      <c r="HV48" s="41">
        <f>(HV39*HQ39+HV41*HQ41+HV43*HQ43+HV45*HQ45)/HQ48</f>
        <v>133.35815075181426</v>
      </c>
      <c r="HW48" s="37">
        <f>HW39+HW41+HW43+HW45</f>
        <v>432</v>
      </c>
      <c r="JH48" s="58" t="s">
        <v>2</v>
      </c>
    </row>
    <row r="49" spans="1:268" ht="16.25" customHeight="1" x14ac:dyDescent="0.2">
      <c r="A49" s="16" t="s">
        <v>358</v>
      </c>
      <c r="B49" s="1" t="s">
        <v>71</v>
      </c>
      <c r="E49" s="1" t="s">
        <v>65</v>
      </c>
      <c r="F49" s="1" t="s">
        <v>359</v>
      </c>
      <c r="H49" s="1" t="s">
        <v>70</v>
      </c>
      <c r="I49" s="1">
        <v>3.8</v>
      </c>
      <c r="Q49" s="1">
        <v>1.1000000000000001</v>
      </c>
      <c r="AD49" s="1">
        <v>4.9000000000000004</v>
      </c>
      <c r="AL49" s="1">
        <v>0.9</v>
      </c>
      <c r="AY49" s="1">
        <v>20.7</v>
      </c>
      <c r="BG49" s="1">
        <v>0.8</v>
      </c>
      <c r="BT49" s="1">
        <v>0</v>
      </c>
      <c r="CO49" s="1">
        <v>0</v>
      </c>
      <c r="DJ49" s="1" t="s">
        <v>96</v>
      </c>
      <c r="DL49" s="1">
        <f t="shared" si="139"/>
        <v>0.85544217687074831</v>
      </c>
      <c r="DM49" s="1">
        <f t="shared" si="140"/>
        <v>0</v>
      </c>
      <c r="DN49" s="1" t="s">
        <v>360</v>
      </c>
      <c r="DO49" s="1" t="s">
        <v>2</v>
      </c>
      <c r="DP49" s="38">
        <f t="shared" si="141"/>
        <v>0</v>
      </c>
      <c r="DQ49" s="38">
        <f t="shared" si="142"/>
        <v>0</v>
      </c>
      <c r="DR49" s="38">
        <f t="shared" si="143"/>
        <v>0</v>
      </c>
      <c r="DS49" s="38">
        <f t="shared" si="144"/>
        <v>0</v>
      </c>
      <c r="DT49" s="38">
        <f t="shared" si="145"/>
        <v>0</v>
      </c>
      <c r="DU49" s="38">
        <f t="shared" si="146"/>
        <v>0</v>
      </c>
      <c r="DV49" s="38">
        <f t="shared" si="147"/>
        <v>0</v>
      </c>
      <c r="DW49" s="38">
        <f t="shared" si="148"/>
        <v>0.2515</v>
      </c>
      <c r="DX49" s="38">
        <f t="shared" si="149"/>
        <v>0</v>
      </c>
      <c r="DY49" s="38">
        <f t="shared" si="150"/>
        <v>0</v>
      </c>
      <c r="DZ49" s="38">
        <f t="shared" si="151"/>
        <v>0</v>
      </c>
      <c r="EA49" s="38">
        <f t="shared" si="152"/>
        <v>0</v>
      </c>
      <c r="EB49" s="38">
        <f t="shared" si="153"/>
        <v>0</v>
      </c>
      <c r="EC49" s="38">
        <f t="shared" si="154"/>
        <v>0</v>
      </c>
      <c r="ED49" s="38">
        <f t="shared" si="155"/>
        <v>0</v>
      </c>
      <c r="EE49" s="38">
        <f t="shared" si="156"/>
        <v>0</v>
      </c>
      <c r="EG49" s="38">
        <f t="shared" si="157"/>
        <v>0</v>
      </c>
      <c r="EH49" s="38">
        <f t="shared" si="158"/>
        <v>0</v>
      </c>
      <c r="EI49" s="38">
        <f t="shared" si="159"/>
        <v>0</v>
      </c>
      <c r="EJ49" s="38">
        <f t="shared" si="160"/>
        <v>0</v>
      </c>
      <c r="EK49" s="38">
        <f t="shared" si="161"/>
        <v>0</v>
      </c>
      <c r="EL49" s="38">
        <f t="shared" si="162"/>
        <v>0</v>
      </c>
      <c r="EM49" s="38">
        <f t="shared" si="163"/>
        <v>0</v>
      </c>
      <c r="EN49" s="38">
        <f t="shared" si="164"/>
        <v>0</v>
      </c>
      <c r="EO49" s="38">
        <f t="shared" si="165"/>
        <v>0</v>
      </c>
      <c r="EP49" s="38">
        <f t="shared" si="166"/>
        <v>3298.1709999999998</v>
      </c>
      <c r="EQ49" s="38">
        <f t="shared" si="167"/>
        <v>0</v>
      </c>
      <c r="ER49" s="38">
        <f t="shared" si="168"/>
        <v>0</v>
      </c>
      <c r="ES49" s="38">
        <f t="shared" si="169"/>
        <v>0</v>
      </c>
      <c r="ET49" s="38">
        <f t="shared" si="170"/>
        <v>0</v>
      </c>
      <c r="EU49" s="38">
        <f t="shared" si="171"/>
        <v>0</v>
      </c>
      <c r="EV49" s="38">
        <f t="shared" si="172"/>
        <v>0</v>
      </c>
      <c r="EW49" s="38">
        <f t="shared" si="173"/>
        <v>0</v>
      </c>
      <c r="EX49" s="38">
        <f t="shared" si="174"/>
        <v>0</v>
      </c>
      <c r="EZ49" s="38">
        <f t="shared" si="175"/>
        <v>0</v>
      </c>
      <c r="FA49" s="38">
        <f t="shared" si="176"/>
        <v>0</v>
      </c>
      <c r="FB49" s="1">
        <f t="shared" si="177"/>
        <v>0</v>
      </c>
      <c r="FC49" s="1">
        <f t="shared" si="178"/>
        <v>0</v>
      </c>
      <c r="FD49" s="1">
        <f t="shared" si="179"/>
        <v>0</v>
      </c>
      <c r="FE49" s="1">
        <f t="shared" si="180"/>
        <v>0</v>
      </c>
      <c r="FF49" s="1">
        <f t="shared" si="181"/>
        <v>0</v>
      </c>
      <c r="FG49" s="1">
        <f t="shared" si="182"/>
        <v>0</v>
      </c>
      <c r="FH49" s="1">
        <f t="shared" si="183"/>
        <v>0</v>
      </c>
      <c r="FI49" s="1">
        <f t="shared" si="184"/>
        <v>0</v>
      </c>
      <c r="FJ49" s="1">
        <f t="shared" si="185"/>
        <v>0</v>
      </c>
      <c r="FK49" s="1">
        <f t="shared" si="186"/>
        <v>0</v>
      </c>
      <c r="FL49" s="1">
        <f t="shared" si="187"/>
        <v>0</v>
      </c>
      <c r="FM49" s="1">
        <f t="shared" si="188"/>
        <v>0</v>
      </c>
      <c r="FN49" s="1">
        <f t="shared" si="189"/>
        <v>0</v>
      </c>
      <c r="FO49" s="1">
        <f t="shared" si="190"/>
        <v>0</v>
      </c>
      <c r="FP49" s="1">
        <f t="shared" si="191"/>
        <v>0</v>
      </c>
      <c r="FQ49" s="1">
        <f t="shared" si="192"/>
        <v>0</v>
      </c>
      <c r="FS49" s="1">
        <f t="shared" si="193"/>
        <v>0</v>
      </c>
      <c r="FT49" s="1">
        <f t="shared" si="194"/>
        <v>0</v>
      </c>
      <c r="FU49" s="38">
        <f t="shared" si="195"/>
        <v>0</v>
      </c>
      <c r="FV49" s="38">
        <f t="shared" si="196"/>
        <v>0</v>
      </c>
      <c r="FW49" s="38">
        <f t="shared" si="197"/>
        <v>0</v>
      </c>
      <c r="FX49" s="38">
        <f t="shared" si="198"/>
        <v>0</v>
      </c>
      <c r="FY49" s="38">
        <f t="shared" si="199"/>
        <v>0</v>
      </c>
      <c r="FZ49" s="38">
        <f t="shared" si="200"/>
        <v>0</v>
      </c>
      <c r="GA49" s="38">
        <f t="shared" si="201"/>
        <v>0</v>
      </c>
      <c r="GB49" s="38">
        <f t="shared" si="202"/>
        <v>0</v>
      </c>
      <c r="GC49" s="38">
        <f t="shared" si="203"/>
        <v>0</v>
      </c>
      <c r="GD49" s="38">
        <f t="shared" si="204"/>
        <v>0</v>
      </c>
      <c r="GE49" s="38">
        <f t="shared" si="205"/>
        <v>0</v>
      </c>
      <c r="GF49" s="38">
        <f t="shared" si="206"/>
        <v>0</v>
      </c>
      <c r="GG49" s="38">
        <f t="shared" si="207"/>
        <v>0</v>
      </c>
      <c r="GH49" s="38">
        <f t="shared" si="208"/>
        <v>0</v>
      </c>
      <c r="GI49" s="38">
        <f t="shared" si="209"/>
        <v>0</v>
      </c>
      <c r="GJ49" s="38">
        <f t="shared" si="210"/>
        <v>0</v>
      </c>
      <c r="GL49" s="38">
        <f t="shared" si="211"/>
        <v>0</v>
      </c>
      <c r="GM49" s="38">
        <f t="shared" si="212"/>
        <v>0</v>
      </c>
      <c r="GN49" s="1" t="s">
        <v>2</v>
      </c>
      <c r="GO49" s="1">
        <f t="shared" si="213"/>
        <v>29.4</v>
      </c>
      <c r="GP49" s="13">
        <f t="shared" si="214"/>
        <v>0.85544217687074831</v>
      </c>
      <c r="GQ49" s="41">
        <f t="shared" si="215"/>
        <v>251.5</v>
      </c>
      <c r="GR49" s="41">
        <f t="shared" si="216"/>
        <v>3298.1709999999998</v>
      </c>
      <c r="GS49" s="14">
        <f t="shared" si="217"/>
        <v>112.18268707482993</v>
      </c>
      <c r="GT49" s="1">
        <f t="shared" si="218"/>
        <v>41.8</v>
      </c>
      <c r="GU49" s="1">
        <f t="shared" si="219"/>
        <v>44.1</v>
      </c>
      <c r="GV49" s="1">
        <f t="shared" si="220"/>
        <v>165.6</v>
      </c>
      <c r="GW49" s="37">
        <f t="shared" si="221"/>
        <v>0</v>
      </c>
      <c r="GX49" s="37"/>
      <c r="GY49" s="37"/>
      <c r="GZ49" s="37"/>
      <c r="HB49" s="1">
        <f t="shared" si="222"/>
        <v>0</v>
      </c>
      <c r="HC49" s="1">
        <f t="shared" si="223"/>
        <v>0</v>
      </c>
      <c r="HD49" s="37" t="s">
        <v>2</v>
      </c>
      <c r="HE49" s="1" t="s">
        <v>118</v>
      </c>
      <c r="HF49" s="1" t="s">
        <v>168</v>
      </c>
      <c r="HI49" s="1" t="s">
        <v>96</v>
      </c>
      <c r="HJ49" s="37" t="s">
        <v>2</v>
      </c>
      <c r="HK49" s="37"/>
      <c r="HL49" s="96"/>
      <c r="HM49" s="37" t="s">
        <v>163</v>
      </c>
      <c r="HN49" s="41">
        <f>HN40+HN42+HN44+HN46</f>
        <v>150.10000000000002</v>
      </c>
      <c r="HO49" s="41">
        <f t="shared" ref="HO49:HQ49" si="249">HO40+HO42+HO44+HO46</f>
        <v>165.24039999999997</v>
      </c>
      <c r="HP49" s="42">
        <f t="shared" si="249"/>
        <v>101630.9797938392</v>
      </c>
      <c r="HQ49" s="42">
        <f t="shared" si="249"/>
        <v>14472.430661196353</v>
      </c>
      <c r="HR49" s="44">
        <f t="shared" si="248"/>
        <v>0.7044174028567215</v>
      </c>
      <c r="HS49" s="44"/>
      <c r="HT49" s="44"/>
      <c r="HU49" s="42">
        <f>HU40+HU42+HU44+HU46</f>
        <v>101946.3201938392</v>
      </c>
      <c r="HV49" s="41">
        <f>(HV40*HQ40+HV42*HQ42+HV44*HQ44+HV46*HQ46)/HQ49</f>
        <v>156.52734339932599</v>
      </c>
      <c r="HW49" s="37">
        <f>HW40+HW42+HW44+HW46</f>
        <v>195</v>
      </c>
      <c r="JH49" s="58" t="s">
        <v>2</v>
      </c>
    </row>
    <row r="50" spans="1:268" ht="16.25" customHeight="1" x14ac:dyDescent="0.2">
      <c r="A50" s="16" t="s">
        <v>369</v>
      </c>
      <c r="B50" s="1" t="s">
        <v>69</v>
      </c>
      <c r="E50" s="1" t="s">
        <v>72</v>
      </c>
      <c r="F50" s="1" t="s">
        <v>370</v>
      </c>
      <c r="H50" s="1" t="s">
        <v>70</v>
      </c>
      <c r="I50" s="1">
        <v>12.5</v>
      </c>
      <c r="J50" s="1">
        <v>0.11</v>
      </c>
      <c r="Q50" s="1">
        <v>0.38</v>
      </c>
      <c r="R50" s="1">
        <v>2.5000000000000001E-2</v>
      </c>
      <c r="AD50" s="1">
        <v>6.1</v>
      </c>
      <c r="AE50" s="1">
        <v>0.08</v>
      </c>
      <c r="AL50" s="1">
        <v>0.59</v>
      </c>
      <c r="AM50" s="1">
        <v>2.1999999999999999E-2</v>
      </c>
      <c r="AY50" s="1">
        <v>6.1</v>
      </c>
      <c r="AZ50" s="1">
        <v>0.06</v>
      </c>
      <c r="BG50" s="1">
        <v>0.27</v>
      </c>
      <c r="BH50" s="1">
        <v>1.6E-2</v>
      </c>
      <c r="BT50" s="1">
        <v>0</v>
      </c>
      <c r="CO50" s="1">
        <v>0</v>
      </c>
      <c r="DJ50" s="1" t="s">
        <v>96</v>
      </c>
      <c r="DK50" s="1" t="s">
        <v>96</v>
      </c>
      <c r="DL50" s="1">
        <f t="shared" si="139"/>
        <v>0.40469635627530359</v>
      </c>
      <c r="DM50" s="1">
        <f t="shared" si="140"/>
        <v>2.203643724696356E-2</v>
      </c>
      <c r="DN50" s="1" t="s">
        <v>67</v>
      </c>
      <c r="DO50" s="1" t="s">
        <v>2</v>
      </c>
      <c r="DP50" s="38">
        <f t="shared" si="141"/>
        <v>2.2290000000000001E-2</v>
      </c>
      <c r="DQ50" s="38">
        <f t="shared" si="142"/>
        <v>0</v>
      </c>
      <c r="DR50" s="38">
        <f t="shared" si="143"/>
        <v>0</v>
      </c>
      <c r="DS50" s="38">
        <f t="shared" si="144"/>
        <v>0</v>
      </c>
      <c r="DT50" s="38">
        <f t="shared" si="145"/>
        <v>0</v>
      </c>
      <c r="DU50" s="38">
        <f t="shared" si="146"/>
        <v>0</v>
      </c>
      <c r="DV50" s="38">
        <f t="shared" si="147"/>
        <v>0</v>
      </c>
      <c r="DW50" s="38">
        <f t="shared" si="148"/>
        <v>9.9960000000000007E-2</v>
      </c>
      <c r="DX50" s="38">
        <f t="shared" si="149"/>
        <v>5.4429999999999999E-3</v>
      </c>
      <c r="DY50" s="38">
        <f t="shared" si="150"/>
        <v>0</v>
      </c>
      <c r="DZ50" s="38">
        <f t="shared" si="151"/>
        <v>0</v>
      </c>
      <c r="EA50" s="38">
        <f t="shared" si="152"/>
        <v>0</v>
      </c>
      <c r="EB50" s="38">
        <f t="shared" si="153"/>
        <v>0</v>
      </c>
      <c r="EC50" s="38">
        <f t="shared" si="154"/>
        <v>0</v>
      </c>
      <c r="ED50" s="38">
        <f t="shared" si="155"/>
        <v>0</v>
      </c>
      <c r="EE50" s="38">
        <f t="shared" si="156"/>
        <v>0</v>
      </c>
      <c r="EG50" s="38">
        <f t="shared" si="157"/>
        <v>0</v>
      </c>
      <c r="EH50" s="38">
        <f t="shared" si="158"/>
        <v>0</v>
      </c>
      <c r="EI50" s="38">
        <f t="shared" si="159"/>
        <v>145.45598064000001</v>
      </c>
      <c r="EJ50" s="38">
        <f t="shared" si="160"/>
        <v>0</v>
      </c>
      <c r="EK50" s="38">
        <f t="shared" si="161"/>
        <v>0</v>
      </c>
      <c r="EL50" s="38">
        <f t="shared" si="162"/>
        <v>0</v>
      </c>
      <c r="EM50" s="38">
        <f t="shared" si="163"/>
        <v>0</v>
      </c>
      <c r="EN50" s="38">
        <f t="shared" si="164"/>
        <v>0</v>
      </c>
      <c r="EO50" s="38">
        <f t="shared" si="165"/>
        <v>0</v>
      </c>
      <c r="EP50" s="38">
        <f t="shared" si="166"/>
        <v>1310.87544</v>
      </c>
      <c r="EQ50" s="38">
        <f t="shared" si="167"/>
        <v>395.26806913199994</v>
      </c>
      <c r="ER50" s="38">
        <f t="shared" si="168"/>
        <v>0</v>
      </c>
      <c r="ES50" s="38">
        <f t="shared" si="169"/>
        <v>0</v>
      </c>
      <c r="ET50" s="38">
        <f t="shared" si="170"/>
        <v>0</v>
      </c>
      <c r="EU50" s="38">
        <f t="shared" si="171"/>
        <v>0</v>
      </c>
      <c r="EV50" s="38">
        <f t="shared" si="172"/>
        <v>0</v>
      </c>
      <c r="EW50" s="38">
        <f t="shared" si="173"/>
        <v>0</v>
      </c>
      <c r="EX50" s="38">
        <f t="shared" si="174"/>
        <v>0</v>
      </c>
      <c r="EZ50" s="38">
        <f t="shared" si="175"/>
        <v>0</v>
      </c>
      <c r="FA50" s="38">
        <f t="shared" si="176"/>
        <v>0</v>
      </c>
      <c r="FB50" s="1">
        <f t="shared" si="177"/>
        <v>0</v>
      </c>
      <c r="FC50" s="1">
        <f t="shared" si="178"/>
        <v>0</v>
      </c>
      <c r="FD50" s="1">
        <f t="shared" si="179"/>
        <v>0</v>
      </c>
      <c r="FE50" s="1">
        <f t="shared" si="180"/>
        <v>0</v>
      </c>
      <c r="FF50" s="1">
        <f t="shared" si="181"/>
        <v>0</v>
      </c>
      <c r="FG50" s="1">
        <f t="shared" si="182"/>
        <v>0</v>
      </c>
      <c r="FH50" s="1">
        <f t="shared" si="183"/>
        <v>0</v>
      </c>
      <c r="FI50" s="1">
        <f t="shared" si="184"/>
        <v>0</v>
      </c>
      <c r="FJ50" s="1">
        <f t="shared" si="185"/>
        <v>0</v>
      </c>
      <c r="FK50" s="1">
        <f t="shared" si="186"/>
        <v>0</v>
      </c>
      <c r="FL50" s="1">
        <f t="shared" si="187"/>
        <v>0</v>
      </c>
      <c r="FM50" s="1">
        <f t="shared" si="188"/>
        <v>0</v>
      </c>
      <c r="FN50" s="1">
        <f t="shared" si="189"/>
        <v>0</v>
      </c>
      <c r="FO50" s="1">
        <f t="shared" si="190"/>
        <v>0</v>
      </c>
      <c r="FP50" s="1">
        <f t="shared" si="191"/>
        <v>0</v>
      </c>
      <c r="FQ50" s="1">
        <f t="shared" si="192"/>
        <v>0</v>
      </c>
      <c r="FS50" s="1">
        <f t="shared" si="193"/>
        <v>0</v>
      </c>
      <c r="FT50" s="1">
        <f t="shared" si="194"/>
        <v>0</v>
      </c>
      <c r="FU50" s="38">
        <f t="shared" si="195"/>
        <v>0</v>
      </c>
      <c r="FV50" s="38">
        <f t="shared" si="196"/>
        <v>0</v>
      </c>
      <c r="FW50" s="38">
        <f t="shared" si="197"/>
        <v>0</v>
      </c>
      <c r="FX50" s="38">
        <f t="shared" si="198"/>
        <v>0</v>
      </c>
      <c r="FY50" s="38">
        <f t="shared" si="199"/>
        <v>0</v>
      </c>
      <c r="FZ50" s="38">
        <f t="shared" si="200"/>
        <v>0</v>
      </c>
      <c r="GA50" s="38">
        <f t="shared" si="201"/>
        <v>0</v>
      </c>
      <c r="GB50" s="38">
        <f t="shared" si="202"/>
        <v>0</v>
      </c>
      <c r="GC50" s="38">
        <f t="shared" si="203"/>
        <v>0</v>
      </c>
      <c r="GD50" s="38">
        <f t="shared" si="204"/>
        <v>0</v>
      </c>
      <c r="GE50" s="38">
        <f t="shared" si="205"/>
        <v>0</v>
      </c>
      <c r="GF50" s="38">
        <f t="shared" si="206"/>
        <v>0</v>
      </c>
      <c r="GG50" s="38">
        <f t="shared" si="207"/>
        <v>0</v>
      </c>
      <c r="GH50" s="38">
        <f t="shared" si="208"/>
        <v>0</v>
      </c>
      <c r="GI50" s="38">
        <f t="shared" si="209"/>
        <v>0</v>
      </c>
      <c r="GJ50" s="38">
        <f t="shared" si="210"/>
        <v>0</v>
      </c>
      <c r="GL50" s="38">
        <f t="shared" si="211"/>
        <v>0</v>
      </c>
      <c r="GM50" s="38">
        <f t="shared" si="212"/>
        <v>0</v>
      </c>
      <c r="GN50" s="1" t="s">
        <v>2</v>
      </c>
      <c r="GO50" s="1">
        <f t="shared" si="213"/>
        <v>24.700000000000003</v>
      </c>
      <c r="GP50" s="13">
        <f t="shared" si="214"/>
        <v>0.40469635627530359</v>
      </c>
      <c r="GQ50" s="41">
        <f t="shared" si="215"/>
        <v>99.96</v>
      </c>
      <c r="GR50" s="41">
        <f t="shared" si="216"/>
        <v>1851.599489772</v>
      </c>
      <c r="GS50" s="14">
        <f t="shared" si="217"/>
        <v>74.963542096032384</v>
      </c>
      <c r="GT50" s="1">
        <f t="shared" si="218"/>
        <v>47.5</v>
      </c>
      <c r="GU50" s="1">
        <f t="shared" si="219"/>
        <v>35.989999999999995</v>
      </c>
      <c r="GV50" s="1">
        <f t="shared" si="220"/>
        <v>16.47</v>
      </c>
      <c r="GW50" s="37">
        <f t="shared" si="221"/>
        <v>0</v>
      </c>
      <c r="GX50" s="37"/>
      <c r="GY50" s="37"/>
      <c r="GZ50" s="37"/>
      <c r="HB50" s="1">
        <f t="shared" si="222"/>
        <v>0</v>
      </c>
      <c r="HC50" s="1">
        <f t="shared" si="223"/>
        <v>0</v>
      </c>
      <c r="HD50" s="37" t="s">
        <v>2</v>
      </c>
      <c r="HE50" s="1" t="s">
        <v>118</v>
      </c>
      <c r="HI50" s="1" t="s">
        <v>96</v>
      </c>
      <c r="HJ50" s="37" t="s">
        <v>2</v>
      </c>
      <c r="HK50" s="37"/>
      <c r="HL50" s="96"/>
      <c r="HM50" s="37" t="s">
        <v>1369</v>
      </c>
      <c r="HN50" s="42">
        <f>HN48+HN49</f>
        <v>40606.683976448978</v>
      </c>
      <c r="HO50" s="42">
        <f>HO48+HO49</f>
        <v>97545.215693817197</v>
      </c>
      <c r="HP50" s="42">
        <f>HP48+HP49</f>
        <v>212067.36137406348</v>
      </c>
      <c r="HQ50" s="42">
        <f>HQ48+HQ49</f>
        <v>80077.303765165707</v>
      </c>
      <c r="HR50" s="44">
        <f t="shared" si="248"/>
        <v>0.43735146486872339</v>
      </c>
      <c r="HS50" s="44"/>
      <c r="HT50" s="44"/>
      <c r="HU50" s="42">
        <f>HU48+HU49</f>
        <v>350219.26104432961</v>
      </c>
      <c r="HV50" s="41">
        <f>(HV48*HQ48+HV49*HQ49)/HQ50</f>
        <v>137.54553616941467</v>
      </c>
      <c r="HW50" s="37">
        <f>HW48+HW49</f>
        <v>627</v>
      </c>
      <c r="HX50" s="42">
        <f>SUM(HX39:HX43)</f>
        <v>18212.262664973008</v>
      </c>
      <c r="HY50" s="42">
        <f>SUM(HY39:HY43)</f>
        <v>28912.010024798063</v>
      </c>
      <c r="HZ50" s="42">
        <f>SUM(HZ39:HZ43)</f>
        <v>8301.1073052451957</v>
      </c>
      <c r="IA50" s="44">
        <f t="shared" ref="IA50" si="250">100*(IB50/1000)/HZ50</f>
        <v>0.56768658634246072</v>
      </c>
      <c r="IB50" s="42">
        <f>SUM(IB39:IB43)</f>
        <v>47124.272689771075</v>
      </c>
      <c r="ID50" s="1">
        <f>SUM(ID39:ID43)</f>
        <v>112</v>
      </c>
      <c r="JH50" s="58" t="s">
        <v>2</v>
      </c>
    </row>
    <row r="51" spans="1:268" ht="16.25" customHeight="1" x14ac:dyDescent="0.2">
      <c r="A51" s="16" t="s">
        <v>393</v>
      </c>
      <c r="B51" s="1" t="s">
        <v>69</v>
      </c>
      <c r="E51" s="1" t="s">
        <v>65</v>
      </c>
      <c r="F51" s="1" t="s">
        <v>394</v>
      </c>
      <c r="H51" s="1" t="s">
        <v>70</v>
      </c>
      <c r="I51" s="1">
        <v>0</v>
      </c>
      <c r="AD51" s="1">
        <v>0</v>
      </c>
      <c r="AY51" s="1">
        <v>1.0249999999999999</v>
      </c>
      <c r="BG51" s="1">
        <v>0.8</v>
      </c>
      <c r="BT51" s="1">
        <v>0</v>
      </c>
      <c r="CO51" s="1">
        <v>0</v>
      </c>
      <c r="DJ51" s="1" t="s">
        <v>96</v>
      </c>
      <c r="DL51" s="1">
        <f t="shared" si="139"/>
        <v>0.8</v>
      </c>
      <c r="DM51" s="1">
        <f t="shared" si="140"/>
        <v>0</v>
      </c>
      <c r="DN51" s="1" t="s">
        <v>148</v>
      </c>
      <c r="DO51" s="1" t="s">
        <v>2</v>
      </c>
      <c r="DP51" s="38">
        <f t="shared" si="141"/>
        <v>0</v>
      </c>
      <c r="DQ51" s="38">
        <f t="shared" si="142"/>
        <v>0</v>
      </c>
      <c r="DR51" s="38">
        <f t="shared" si="143"/>
        <v>0</v>
      </c>
      <c r="DS51" s="38">
        <f t="shared" si="144"/>
        <v>0</v>
      </c>
      <c r="DT51" s="38">
        <f t="shared" si="145"/>
        <v>0</v>
      </c>
      <c r="DU51" s="38">
        <f t="shared" si="146"/>
        <v>0</v>
      </c>
      <c r="DV51" s="38">
        <f t="shared" si="147"/>
        <v>0</v>
      </c>
      <c r="DW51" s="38">
        <f t="shared" si="148"/>
        <v>8.199999999999999E-3</v>
      </c>
      <c r="DX51" s="38">
        <f t="shared" si="149"/>
        <v>0</v>
      </c>
      <c r="DY51" s="38">
        <f t="shared" si="150"/>
        <v>0</v>
      </c>
      <c r="DZ51" s="38">
        <f t="shared" si="151"/>
        <v>0</v>
      </c>
      <c r="EA51" s="38">
        <f t="shared" si="152"/>
        <v>0</v>
      </c>
      <c r="EB51" s="38">
        <f t="shared" si="153"/>
        <v>0</v>
      </c>
      <c r="EC51" s="38">
        <f t="shared" si="154"/>
        <v>0</v>
      </c>
      <c r="ED51" s="38">
        <f t="shared" si="155"/>
        <v>0</v>
      </c>
      <c r="EE51" s="38">
        <f t="shared" si="156"/>
        <v>0</v>
      </c>
      <c r="EG51" s="38">
        <f t="shared" si="157"/>
        <v>0</v>
      </c>
      <c r="EH51" s="38">
        <f t="shared" si="158"/>
        <v>0</v>
      </c>
      <c r="EI51" s="38">
        <f t="shared" si="159"/>
        <v>0</v>
      </c>
      <c r="EJ51" s="38">
        <f t="shared" si="160"/>
        <v>0</v>
      </c>
      <c r="EK51" s="38">
        <f t="shared" si="161"/>
        <v>0</v>
      </c>
      <c r="EL51" s="38">
        <f t="shared" si="162"/>
        <v>0</v>
      </c>
      <c r="EM51" s="38">
        <f t="shared" si="163"/>
        <v>0</v>
      </c>
      <c r="EN51" s="38">
        <f t="shared" si="164"/>
        <v>0</v>
      </c>
      <c r="EO51" s="38">
        <f t="shared" si="165"/>
        <v>0</v>
      </c>
      <c r="EP51" s="38">
        <f t="shared" si="166"/>
        <v>107.53479999999999</v>
      </c>
      <c r="EQ51" s="38">
        <f t="shared" si="167"/>
        <v>0</v>
      </c>
      <c r="ER51" s="38">
        <f t="shared" si="168"/>
        <v>0</v>
      </c>
      <c r="ES51" s="38">
        <f t="shared" si="169"/>
        <v>0</v>
      </c>
      <c r="ET51" s="38">
        <f t="shared" si="170"/>
        <v>0</v>
      </c>
      <c r="EU51" s="38">
        <f t="shared" si="171"/>
        <v>0</v>
      </c>
      <c r="EV51" s="38">
        <f t="shared" si="172"/>
        <v>0</v>
      </c>
      <c r="EW51" s="38">
        <f t="shared" si="173"/>
        <v>0</v>
      </c>
      <c r="EX51" s="38">
        <f t="shared" si="174"/>
        <v>0</v>
      </c>
      <c r="EZ51" s="38">
        <f t="shared" si="175"/>
        <v>0</v>
      </c>
      <c r="FA51" s="38">
        <f t="shared" si="176"/>
        <v>0</v>
      </c>
      <c r="FB51" s="1">
        <f t="shared" si="177"/>
        <v>0</v>
      </c>
      <c r="FC51" s="1">
        <f t="shared" si="178"/>
        <v>0</v>
      </c>
      <c r="FD51" s="1">
        <f t="shared" si="179"/>
        <v>0</v>
      </c>
      <c r="FE51" s="1">
        <f t="shared" si="180"/>
        <v>0</v>
      </c>
      <c r="FF51" s="1">
        <f t="shared" si="181"/>
        <v>0</v>
      </c>
      <c r="FG51" s="1">
        <f t="shared" si="182"/>
        <v>0</v>
      </c>
      <c r="FH51" s="1">
        <f t="shared" si="183"/>
        <v>0</v>
      </c>
      <c r="FI51" s="1">
        <f t="shared" si="184"/>
        <v>0</v>
      </c>
      <c r="FJ51" s="1">
        <f t="shared" si="185"/>
        <v>0</v>
      </c>
      <c r="FK51" s="1">
        <f t="shared" si="186"/>
        <v>0</v>
      </c>
      <c r="FL51" s="1">
        <f t="shared" si="187"/>
        <v>0</v>
      </c>
      <c r="FM51" s="1">
        <f t="shared" si="188"/>
        <v>0</v>
      </c>
      <c r="FN51" s="1">
        <f t="shared" si="189"/>
        <v>0</v>
      </c>
      <c r="FO51" s="1">
        <f t="shared" si="190"/>
        <v>0</v>
      </c>
      <c r="FP51" s="1">
        <f t="shared" si="191"/>
        <v>0</v>
      </c>
      <c r="FQ51" s="1">
        <f t="shared" si="192"/>
        <v>0</v>
      </c>
      <c r="FS51" s="1">
        <f t="shared" si="193"/>
        <v>0</v>
      </c>
      <c r="FT51" s="1">
        <f t="shared" si="194"/>
        <v>0</v>
      </c>
      <c r="FU51" s="38">
        <f t="shared" si="195"/>
        <v>0</v>
      </c>
      <c r="FV51" s="38">
        <f t="shared" si="196"/>
        <v>0</v>
      </c>
      <c r="FW51" s="38">
        <f t="shared" si="197"/>
        <v>0</v>
      </c>
      <c r="FX51" s="38">
        <f t="shared" si="198"/>
        <v>0</v>
      </c>
      <c r="FY51" s="38">
        <f t="shared" si="199"/>
        <v>0</v>
      </c>
      <c r="FZ51" s="38">
        <f t="shared" si="200"/>
        <v>0</v>
      </c>
      <c r="GA51" s="38">
        <f t="shared" si="201"/>
        <v>0</v>
      </c>
      <c r="GB51" s="38">
        <f t="shared" si="202"/>
        <v>0</v>
      </c>
      <c r="GC51" s="38">
        <f t="shared" si="203"/>
        <v>0</v>
      </c>
      <c r="GD51" s="38">
        <f t="shared" si="204"/>
        <v>0</v>
      </c>
      <c r="GE51" s="38">
        <f t="shared" si="205"/>
        <v>0</v>
      </c>
      <c r="GF51" s="38">
        <f t="shared" si="206"/>
        <v>0</v>
      </c>
      <c r="GG51" s="38">
        <f t="shared" si="207"/>
        <v>0</v>
      </c>
      <c r="GH51" s="38">
        <f t="shared" si="208"/>
        <v>0</v>
      </c>
      <c r="GI51" s="38">
        <f t="shared" si="209"/>
        <v>0</v>
      </c>
      <c r="GJ51" s="38">
        <f t="shared" si="210"/>
        <v>0</v>
      </c>
      <c r="GL51" s="38">
        <f t="shared" si="211"/>
        <v>0</v>
      </c>
      <c r="GM51" s="38">
        <f t="shared" si="212"/>
        <v>0</v>
      </c>
      <c r="GN51" s="1" t="s">
        <v>2</v>
      </c>
      <c r="GO51" s="1">
        <f t="shared" si="213"/>
        <v>1.0249999999999999</v>
      </c>
      <c r="GP51" s="1">
        <f t="shared" si="214"/>
        <v>0.8</v>
      </c>
      <c r="GQ51" s="41">
        <f t="shared" si="215"/>
        <v>8.1999999999999993</v>
      </c>
      <c r="GR51" s="41">
        <f t="shared" si="216"/>
        <v>107.53479999999999</v>
      </c>
      <c r="GS51" s="14">
        <f t="shared" si="217"/>
        <v>104.91200000000001</v>
      </c>
      <c r="GT51" s="1">
        <f t="shared" si="218"/>
        <v>0</v>
      </c>
      <c r="GU51" s="1">
        <f t="shared" si="219"/>
        <v>0</v>
      </c>
      <c r="GV51" s="1">
        <f t="shared" si="220"/>
        <v>8.1999999999999993</v>
      </c>
      <c r="GW51" s="37">
        <f t="shared" si="221"/>
        <v>0</v>
      </c>
      <c r="GX51" s="37"/>
      <c r="GY51" s="37"/>
      <c r="GZ51" s="37"/>
      <c r="HB51" s="1">
        <f t="shared" si="222"/>
        <v>0</v>
      </c>
      <c r="HC51" s="1">
        <f t="shared" si="223"/>
        <v>0</v>
      </c>
      <c r="HD51" s="37" t="s">
        <v>2</v>
      </c>
      <c r="HE51" s="1" t="s">
        <v>118</v>
      </c>
      <c r="HI51" s="1" t="s">
        <v>96</v>
      </c>
      <c r="HJ51" s="37" t="s">
        <v>2</v>
      </c>
      <c r="HX51" s="53">
        <f>HX50/2250</f>
        <v>8.0943389622102266</v>
      </c>
      <c r="HY51" s="1">
        <f>HY50/2250</f>
        <v>12.849782233243584</v>
      </c>
      <c r="JH51" s="58" t="s">
        <v>2</v>
      </c>
    </row>
    <row r="52" spans="1:268" ht="16.25" customHeight="1" x14ac:dyDescent="0.2">
      <c r="A52" s="21" t="s">
        <v>313</v>
      </c>
      <c r="B52" s="1" t="s">
        <v>69</v>
      </c>
      <c r="E52" s="1" t="s">
        <v>72</v>
      </c>
      <c r="F52" s="1" t="s">
        <v>314</v>
      </c>
      <c r="H52" s="1" t="s">
        <v>204</v>
      </c>
      <c r="I52" s="1">
        <v>4.2</v>
      </c>
      <c r="Q52" s="13">
        <v>1</v>
      </c>
      <c r="R52" s="1">
        <v>0.08</v>
      </c>
      <c r="AD52" s="1">
        <v>6.3</v>
      </c>
      <c r="AL52" s="1">
        <v>0.98</v>
      </c>
      <c r="AM52" s="1">
        <v>0.09</v>
      </c>
      <c r="AY52" s="1">
        <v>0</v>
      </c>
      <c r="BT52" s="1">
        <v>0</v>
      </c>
      <c r="CO52" s="1">
        <v>0</v>
      </c>
      <c r="DJ52" s="1" t="s">
        <v>96</v>
      </c>
      <c r="DK52" s="1" t="s">
        <v>96</v>
      </c>
      <c r="DL52" s="1">
        <f t="shared" si="139"/>
        <v>0.98799999999999988</v>
      </c>
      <c r="DM52" s="1">
        <f t="shared" si="140"/>
        <v>8.6000000000000007E-2</v>
      </c>
      <c r="DN52" s="1" t="s">
        <v>67</v>
      </c>
      <c r="DO52" s="1" t="s">
        <v>2</v>
      </c>
      <c r="DP52" s="38">
        <f t="shared" si="141"/>
        <v>0</v>
      </c>
      <c r="DQ52" s="38">
        <f t="shared" si="142"/>
        <v>0</v>
      </c>
      <c r="DR52" s="38">
        <f t="shared" si="143"/>
        <v>0</v>
      </c>
      <c r="DS52" s="38">
        <f t="shared" si="144"/>
        <v>0</v>
      </c>
      <c r="DT52" s="38">
        <f t="shared" si="145"/>
        <v>0</v>
      </c>
      <c r="DU52" s="38">
        <f t="shared" si="146"/>
        <v>0</v>
      </c>
      <c r="DV52" s="38">
        <f t="shared" si="147"/>
        <v>0</v>
      </c>
      <c r="DW52" s="38">
        <f t="shared" si="148"/>
        <v>0.10373999999999999</v>
      </c>
      <c r="DX52" s="38">
        <f t="shared" si="149"/>
        <v>9.0299999999999998E-3</v>
      </c>
      <c r="DY52" s="38">
        <f t="shared" si="150"/>
        <v>0</v>
      </c>
      <c r="DZ52" s="38">
        <f t="shared" si="151"/>
        <v>0</v>
      </c>
      <c r="EA52" s="38">
        <f t="shared" si="152"/>
        <v>0</v>
      </c>
      <c r="EB52" s="38">
        <f t="shared" si="153"/>
        <v>0</v>
      </c>
      <c r="EC52" s="38">
        <f t="shared" si="154"/>
        <v>0</v>
      </c>
      <c r="ED52" s="38">
        <f t="shared" si="155"/>
        <v>0</v>
      </c>
      <c r="EE52" s="38">
        <f t="shared" si="156"/>
        <v>0</v>
      </c>
      <c r="EG52" s="38">
        <f t="shared" si="157"/>
        <v>0</v>
      </c>
      <c r="EH52" s="38">
        <f t="shared" si="158"/>
        <v>0</v>
      </c>
      <c r="EI52" s="38">
        <f t="shared" si="159"/>
        <v>0</v>
      </c>
      <c r="EJ52" s="38">
        <f t="shared" si="160"/>
        <v>0</v>
      </c>
      <c r="EK52" s="38">
        <f t="shared" si="161"/>
        <v>0</v>
      </c>
      <c r="EL52" s="38">
        <f t="shared" si="162"/>
        <v>0</v>
      </c>
      <c r="EM52" s="38">
        <f t="shared" si="163"/>
        <v>0</v>
      </c>
      <c r="EN52" s="38">
        <f t="shared" si="164"/>
        <v>0</v>
      </c>
      <c r="EO52" s="38">
        <f t="shared" si="165"/>
        <v>0</v>
      </c>
      <c r="EP52" s="38">
        <f t="shared" si="166"/>
        <v>1360.4463599999999</v>
      </c>
      <c r="EQ52" s="38">
        <f t="shared" si="167"/>
        <v>655.75430171999994</v>
      </c>
      <c r="ER52" s="38">
        <f t="shared" si="168"/>
        <v>0</v>
      </c>
      <c r="ES52" s="38">
        <f t="shared" si="169"/>
        <v>0</v>
      </c>
      <c r="ET52" s="38">
        <f t="shared" si="170"/>
        <v>0</v>
      </c>
      <c r="EU52" s="38">
        <f t="shared" si="171"/>
        <v>0</v>
      </c>
      <c r="EV52" s="38">
        <f t="shared" si="172"/>
        <v>0</v>
      </c>
      <c r="EW52" s="38">
        <f t="shared" si="173"/>
        <v>0</v>
      </c>
      <c r="EX52" s="38">
        <f t="shared" si="174"/>
        <v>0</v>
      </c>
      <c r="EZ52" s="38">
        <f t="shared" si="175"/>
        <v>0</v>
      </c>
      <c r="FA52" s="38">
        <f t="shared" si="176"/>
        <v>0</v>
      </c>
      <c r="FB52" s="1">
        <f t="shared" si="177"/>
        <v>0</v>
      </c>
      <c r="FC52" s="1">
        <f t="shared" si="178"/>
        <v>0</v>
      </c>
      <c r="FD52" s="1">
        <f t="shared" si="179"/>
        <v>0</v>
      </c>
      <c r="FE52" s="1">
        <f t="shared" si="180"/>
        <v>0</v>
      </c>
      <c r="FF52" s="1">
        <f t="shared" si="181"/>
        <v>0</v>
      </c>
      <c r="FG52" s="1">
        <f t="shared" si="182"/>
        <v>0</v>
      </c>
      <c r="FH52" s="1">
        <f t="shared" si="183"/>
        <v>0</v>
      </c>
      <c r="FI52" s="1">
        <f t="shared" si="184"/>
        <v>0</v>
      </c>
      <c r="FJ52" s="1">
        <f t="shared" si="185"/>
        <v>0</v>
      </c>
      <c r="FK52" s="1">
        <f t="shared" si="186"/>
        <v>0</v>
      </c>
      <c r="FL52" s="1">
        <f t="shared" si="187"/>
        <v>0</v>
      </c>
      <c r="FM52" s="1">
        <f t="shared" si="188"/>
        <v>0</v>
      </c>
      <c r="FN52" s="1">
        <f t="shared" si="189"/>
        <v>0</v>
      </c>
      <c r="FO52" s="1">
        <f t="shared" si="190"/>
        <v>0</v>
      </c>
      <c r="FP52" s="1">
        <f t="shared" si="191"/>
        <v>0</v>
      </c>
      <c r="FQ52" s="1">
        <f t="shared" si="192"/>
        <v>0</v>
      </c>
      <c r="FS52" s="1">
        <f t="shared" si="193"/>
        <v>0</v>
      </c>
      <c r="FT52" s="1">
        <f t="shared" si="194"/>
        <v>0</v>
      </c>
      <c r="FU52" s="38">
        <f t="shared" si="195"/>
        <v>0</v>
      </c>
      <c r="FV52" s="38">
        <f t="shared" si="196"/>
        <v>0</v>
      </c>
      <c r="FW52" s="38">
        <f t="shared" si="197"/>
        <v>0</v>
      </c>
      <c r="FX52" s="38">
        <f t="shared" si="198"/>
        <v>0</v>
      </c>
      <c r="FY52" s="38">
        <f t="shared" si="199"/>
        <v>0</v>
      </c>
      <c r="FZ52" s="38">
        <f t="shared" si="200"/>
        <v>0</v>
      </c>
      <c r="GA52" s="38">
        <f t="shared" si="201"/>
        <v>0</v>
      </c>
      <c r="GB52" s="38">
        <f t="shared" si="202"/>
        <v>0</v>
      </c>
      <c r="GC52" s="38">
        <f t="shared" si="203"/>
        <v>0</v>
      </c>
      <c r="GD52" s="38">
        <f t="shared" si="204"/>
        <v>0</v>
      </c>
      <c r="GE52" s="38">
        <f t="shared" si="205"/>
        <v>0</v>
      </c>
      <c r="GF52" s="38">
        <f t="shared" si="206"/>
        <v>0</v>
      </c>
      <c r="GG52" s="38">
        <f t="shared" si="207"/>
        <v>0</v>
      </c>
      <c r="GH52" s="38">
        <f t="shared" si="208"/>
        <v>0</v>
      </c>
      <c r="GI52" s="38">
        <f t="shared" si="209"/>
        <v>0</v>
      </c>
      <c r="GJ52" s="38">
        <f t="shared" si="210"/>
        <v>0</v>
      </c>
      <c r="GL52" s="38">
        <f t="shared" si="211"/>
        <v>0</v>
      </c>
      <c r="GM52" s="38">
        <f t="shared" si="212"/>
        <v>0</v>
      </c>
      <c r="GN52" s="1" t="s">
        <v>2</v>
      </c>
      <c r="GO52" s="1">
        <f t="shared" si="213"/>
        <v>10.5</v>
      </c>
      <c r="GP52" s="13">
        <f t="shared" si="214"/>
        <v>0.98799999999999988</v>
      </c>
      <c r="GQ52" s="41">
        <f t="shared" si="215"/>
        <v>103.73999999999998</v>
      </c>
      <c r="GR52" s="41">
        <f t="shared" si="216"/>
        <v>2016.20066172</v>
      </c>
      <c r="GS52" s="14">
        <f t="shared" si="217"/>
        <v>192.01911064000001</v>
      </c>
      <c r="GT52" s="1">
        <f t="shared" si="218"/>
        <v>42</v>
      </c>
      <c r="GU52" s="1">
        <f t="shared" si="219"/>
        <v>61.739999999999988</v>
      </c>
      <c r="GV52" s="1">
        <f t="shared" si="220"/>
        <v>0</v>
      </c>
      <c r="GW52" s="37">
        <f t="shared" si="221"/>
        <v>0</v>
      </c>
      <c r="GX52" s="37"/>
      <c r="GY52" s="37"/>
      <c r="GZ52" s="37"/>
      <c r="HB52" s="1">
        <f t="shared" si="222"/>
        <v>0</v>
      </c>
      <c r="HC52" s="1">
        <f t="shared" si="223"/>
        <v>0</v>
      </c>
      <c r="HD52" s="37" t="s">
        <v>2</v>
      </c>
      <c r="HE52" s="1" t="s">
        <v>31</v>
      </c>
      <c r="HF52" s="1" t="s">
        <v>230</v>
      </c>
      <c r="HG52" s="1" t="s">
        <v>1359</v>
      </c>
      <c r="HI52" s="1" t="s">
        <v>96</v>
      </c>
      <c r="HJ52" s="37" t="s">
        <v>2</v>
      </c>
      <c r="HL52" s="55" t="s">
        <v>31</v>
      </c>
      <c r="HU52" s="13">
        <f>100*(HU39+HU40)/HU$50</f>
        <v>54.315906733685303</v>
      </c>
      <c r="IB52" s="13">
        <f>100*(IB39+IB40)/IB$50</f>
        <v>55.112277142767233</v>
      </c>
      <c r="JH52" s="58" t="s">
        <v>2</v>
      </c>
    </row>
    <row r="53" spans="1:268" ht="16.25" customHeight="1" x14ac:dyDescent="0.2">
      <c r="A53" s="21" t="s">
        <v>229</v>
      </c>
      <c r="B53" s="1" t="s">
        <v>64</v>
      </c>
      <c r="E53" s="1" t="s">
        <v>72</v>
      </c>
      <c r="F53" s="1" t="s">
        <v>81</v>
      </c>
      <c r="H53" s="1" t="s">
        <v>204</v>
      </c>
      <c r="I53" s="1">
        <v>138.4</v>
      </c>
      <c r="Q53" s="1">
        <v>1.01</v>
      </c>
      <c r="R53" s="1">
        <v>7.4999999999999997E-2</v>
      </c>
      <c r="AD53" s="1">
        <v>75.5</v>
      </c>
      <c r="AL53" s="1">
        <v>0.99</v>
      </c>
      <c r="AM53" s="1">
        <v>8.4000000000000005E-2</v>
      </c>
      <c r="AY53" s="1">
        <v>17</v>
      </c>
      <c r="BG53" s="1">
        <v>0.9</v>
      </c>
      <c r="BH53" s="1">
        <v>7.0000000000000007E-2</v>
      </c>
      <c r="BT53" s="1">
        <v>83.1</v>
      </c>
      <c r="CB53" s="1">
        <v>1.05</v>
      </c>
      <c r="CC53" s="1">
        <v>8.2000000000000003E-2</v>
      </c>
      <c r="CO53" s="1">
        <v>18.5</v>
      </c>
      <c r="CW53" s="1">
        <v>1.05</v>
      </c>
      <c r="CX53" s="1">
        <v>7.8E-2</v>
      </c>
      <c r="DJ53" s="1" t="s">
        <v>96</v>
      </c>
      <c r="DK53" s="1" t="s">
        <v>96</v>
      </c>
      <c r="DL53" s="1">
        <f t="shared" si="139"/>
        <v>0.99536162841056752</v>
      </c>
      <c r="DM53" s="1">
        <f t="shared" si="140"/>
        <v>7.7574707665656134E-2</v>
      </c>
      <c r="DN53" s="1" t="s">
        <v>67</v>
      </c>
      <c r="DO53" s="1" t="s">
        <v>2</v>
      </c>
      <c r="DP53" s="38">
        <f t="shared" si="141"/>
        <v>0</v>
      </c>
      <c r="DQ53" s="38">
        <f t="shared" si="142"/>
        <v>0</v>
      </c>
      <c r="DR53" s="38">
        <f t="shared" si="143"/>
        <v>0</v>
      </c>
      <c r="DS53" s="38">
        <f t="shared" si="144"/>
        <v>0</v>
      </c>
      <c r="DT53" s="38">
        <f t="shared" si="145"/>
        <v>0</v>
      </c>
      <c r="DU53" s="38">
        <f t="shared" si="146"/>
        <v>0</v>
      </c>
      <c r="DV53" s="38">
        <f t="shared" si="147"/>
        <v>0</v>
      </c>
      <c r="DW53" s="38">
        <f t="shared" si="148"/>
        <v>2.2982900000000002</v>
      </c>
      <c r="DX53" s="38">
        <f t="shared" si="149"/>
        <v>0.17912000000000003</v>
      </c>
      <c r="DY53" s="38">
        <f t="shared" si="150"/>
        <v>0</v>
      </c>
      <c r="DZ53" s="38">
        <f t="shared" si="151"/>
        <v>0</v>
      </c>
      <c r="EA53" s="38">
        <f t="shared" si="152"/>
        <v>0</v>
      </c>
      <c r="EB53" s="38">
        <f t="shared" si="153"/>
        <v>0</v>
      </c>
      <c r="EC53" s="38">
        <f t="shared" si="154"/>
        <v>0</v>
      </c>
      <c r="ED53" s="38">
        <f t="shared" si="155"/>
        <v>0</v>
      </c>
      <c r="EE53" s="38">
        <f t="shared" si="156"/>
        <v>0</v>
      </c>
      <c r="EG53" s="38">
        <f t="shared" si="157"/>
        <v>0</v>
      </c>
      <c r="EH53" s="38">
        <f t="shared" si="158"/>
        <v>0</v>
      </c>
      <c r="EI53" s="38">
        <f t="shared" si="159"/>
        <v>0</v>
      </c>
      <c r="EJ53" s="38">
        <f t="shared" si="160"/>
        <v>0</v>
      </c>
      <c r="EK53" s="38">
        <f t="shared" si="161"/>
        <v>0</v>
      </c>
      <c r="EL53" s="38">
        <f t="shared" si="162"/>
        <v>0</v>
      </c>
      <c r="EM53" s="38">
        <f t="shared" si="163"/>
        <v>0</v>
      </c>
      <c r="EN53" s="38">
        <f t="shared" si="164"/>
        <v>0</v>
      </c>
      <c r="EO53" s="38">
        <f t="shared" si="165"/>
        <v>0</v>
      </c>
      <c r="EP53" s="38">
        <f t="shared" si="166"/>
        <v>30139.775060000004</v>
      </c>
      <c r="EQ53" s="38">
        <f t="shared" si="167"/>
        <v>13007.60913888</v>
      </c>
      <c r="ER53" s="38">
        <f t="shared" si="168"/>
        <v>0</v>
      </c>
      <c r="ES53" s="38">
        <f t="shared" si="169"/>
        <v>0</v>
      </c>
      <c r="ET53" s="38">
        <f t="shared" si="170"/>
        <v>0</v>
      </c>
      <c r="EU53" s="38">
        <f t="shared" si="171"/>
        <v>0</v>
      </c>
      <c r="EV53" s="38">
        <f t="shared" si="172"/>
        <v>0</v>
      </c>
      <c r="EW53" s="38">
        <f t="shared" si="173"/>
        <v>0</v>
      </c>
      <c r="EX53" s="38">
        <f t="shared" si="174"/>
        <v>0</v>
      </c>
      <c r="EZ53" s="38">
        <f t="shared" si="175"/>
        <v>0</v>
      </c>
      <c r="FA53" s="38">
        <f t="shared" si="176"/>
        <v>0</v>
      </c>
      <c r="FB53" s="1">
        <f t="shared" si="177"/>
        <v>0</v>
      </c>
      <c r="FC53" s="1">
        <f t="shared" si="178"/>
        <v>0</v>
      </c>
      <c r="FD53" s="1">
        <f t="shared" si="179"/>
        <v>0</v>
      </c>
      <c r="FE53" s="1">
        <f t="shared" si="180"/>
        <v>0</v>
      </c>
      <c r="FF53" s="1">
        <f t="shared" si="181"/>
        <v>0</v>
      </c>
      <c r="FG53" s="1">
        <f t="shared" si="182"/>
        <v>0</v>
      </c>
      <c r="FH53" s="1">
        <f t="shared" si="183"/>
        <v>0</v>
      </c>
      <c r="FI53" s="1">
        <f t="shared" si="184"/>
        <v>1.0668</v>
      </c>
      <c r="FJ53" s="1">
        <f t="shared" si="185"/>
        <v>8.2571999999999993E-2</v>
      </c>
      <c r="FK53" s="1">
        <f t="shared" si="186"/>
        <v>0</v>
      </c>
      <c r="FL53" s="1">
        <f t="shared" si="187"/>
        <v>0</v>
      </c>
      <c r="FM53" s="1">
        <f t="shared" si="188"/>
        <v>0</v>
      </c>
      <c r="FN53" s="1">
        <f t="shared" si="189"/>
        <v>0</v>
      </c>
      <c r="FO53" s="1">
        <f t="shared" si="190"/>
        <v>0</v>
      </c>
      <c r="FP53" s="1">
        <f t="shared" si="191"/>
        <v>0</v>
      </c>
      <c r="FQ53" s="1">
        <f t="shared" si="192"/>
        <v>0</v>
      </c>
      <c r="FS53" s="1">
        <f t="shared" si="193"/>
        <v>0</v>
      </c>
      <c r="FT53" s="1">
        <f t="shared" si="194"/>
        <v>0</v>
      </c>
      <c r="FU53" s="38">
        <f t="shared" si="195"/>
        <v>0</v>
      </c>
      <c r="FV53" s="38">
        <f t="shared" si="196"/>
        <v>0</v>
      </c>
      <c r="FW53" s="38">
        <f t="shared" si="197"/>
        <v>0</v>
      </c>
      <c r="FX53" s="38">
        <f t="shared" si="198"/>
        <v>0</v>
      </c>
      <c r="FY53" s="38">
        <f t="shared" si="199"/>
        <v>0</v>
      </c>
      <c r="FZ53" s="38">
        <f t="shared" si="200"/>
        <v>0</v>
      </c>
      <c r="GA53" s="38">
        <f t="shared" si="201"/>
        <v>0</v>
      </c>
      <c r="GB53" s="38">
        <f t="shared" si="202"/>
        <v>13990.0152</v>
      </c>
      <c r="GC53" s="38">
        <f t="shared" si="203"/>
        <v>5996.3393357279983</v>
      </c>
      <c r="GD53" s="38">
        <f t="shared" si="204"/>
        <v>0</v>
      </c>
      <c r="GE53" s="38">
        <f t="shared" si="205"/>
        <v>0</v>
      </c>
      <c r="GF53" s="38">
        <f t="shared" si="206"/>
        <v>0</v>
      </c>
      <c r="GG53" s="38">
        <f t="shared" si="207"/>
        <v>0</v>
      </c>
      <c r="GH53" s="38">
        <f t="shared" si="208"/>
        <v>0</v>
      </c>
      <c r="GI53" s="38">
        <f t="shared" si="209"/>
        <v>0</v>
      </c>
      <c r="GJ53" s="38">
        <f t="shared" si="210"/>
        <v>0</v>
      </c>
      <c r="GL53" s="38">
        <f t="shared" si="211"/>
        <v>0</v>
      </c>
      <c r="GM53" s="38">
        <f t="shared" si="212"/>
        <v>0</v>
      </c>
      <c r="GN53" s="1" t="s">
        <v>2</v>
      </c>
      <c r="GO53" s="1">
        <f t="shared" si="213"/>
        <v>230.9</v>
      </c>
      <c r="GP53" s="13">
        <f t="shared" si="214"/>
        <v>0.99536162841056752</v>
      </c>
      <c r="GQ53" s="43">
        <f t="shared" si="215"/>
        <v>2298.2900000000004</v>
      </c>
      <c r="GR53" s="41">
        <f t="shared" si="216"/>
        <v>43147.384198880005</v>
      </c>
      <c r="GS53" s="14">
        <f t="shared" si="217"/>
        <v>186.86610740095281</v>
      </c>
      <c r="GT53" s="1">
        <f t="shared" si="218"/>
        <v>1397.8400000000004</v>
      </c>
      <c r="GU53" s="1">
        <f t="shared" si="219"/>
        <v>747.45</v>
      </c>
      <c r="GV53" s="1">
        <f t="shared" si="220"/>
        <v>153</v>
      </c>
      <c r="GW53" s="37">
        <f t="shared" si="221"/>
        <v>101.6</v>
      </c>
      <c r="GX53" s="44">
        <f>(BT53*CB53+CO53*CW53)/GW53</f>
        <v>1.05</v>
      </c>
      <c r="GY53" s="43">
        <f>1000*GW53*GX53/100</f>
        <v>1066.8</v>
      </c>
      <c r="GZ53" s="43">
        <f>SUM(FU53:GM53)</f>
        <v>19986.354535727998</v>
      </c>
      <c r="HA53" s="14">
        <f>GZ53/GW53</f>
        <v>196.71608795007873</v>
      </c>
      <c r="HB53" s="1">
        <f t="shared" si="222"/>
        <v>872.55</v>
      </c>
      <c r="HC53" s="1">
        <f t="shared" si="223"/>
        <v>194.25</v>
      </c>
      <c r="HD53" s="37" t="s">
        <v>2</v>
      </c>
      <c r="HE53" s="1" t="s">
        <v>31</v>
      </c>
      <c r="HF53" s="1" t="s">
        <v>230</v>
      </c>
      <c r="HG53" s="1" t="s">
        <v>230</v>
      </c>
      <c r="HI53" s="1" t="s">
        <v>96</v>
      </c>
      <c r="HJ53" s="37" t="s">
        <v>2</v>
      </c>
      <c r="HL53" s="55" t="s">
        <v>113</v>
      </c>
      <c r="HU53" s="13">
        <f>100*(HU41+HU42)/HU$50</f>
        <v>35.43559112745406</v>
      </c>
      <c r="IB53" s="13">
        <f>100*(IB41+IB42)/IB$50</f>
        <v>42.740876567083873</v>
      </c>
      <c r="JH53" s="58" t="s">
        <v>2</v>
      </c>
    </row>
    <row r="54" spans="1:268" ht="16.25" customHeight="1" x14ac:dyDescent="0.2">
      <c r="A54" s="21" t="s">
        <v>241</v>
      </c>
      <c r="B54" s="1" t="s">
        <v>69</v>
      </c>
      <c r="E54" s="1" t="s">
        <v>72</v>
      </c>
      <c r="F54" s="1" t="s">
        <v>172</v>
      </c>
      <c r="H54" s="1" t="s">
        <v>204</v>
      </c>
      <c r="I54" s="1">
        <v>0</v>
      </c>
      <c r="AD54" s="1">
        <v>0</v>
      </c>
      <c r="AY54" s="1">
        <v>14.2</v>
      </c>
      <c r="BG54" s="1">
        <v>0.84</v>
      </c>
      <c r="BH54" s="1">
        <v>0.05</v>
      </c>
      <c r="BT54" s="1">
        <v>0</v>
      </c>
      <c r="CO54" s="1">
        <v>0</v>
      </c>
      <c r="DJ54" s="1" t="s">
        <v>96</v>
      </c>
      <c r="DK54" s="1" t="s">
        <v>96</v>
      </c>
      <c r="DL54" s="1">
        <f t="shared" si="139"/>
        <v>0.84</v>
      </c>
      <c r="DM54" s="1">
        <f t="shared" si="140"/>
        <v>0.05</v>
      </c>
      <c r="DN54" s="1" t="s">
        <v>67</v>
      </c>
      <c r="DO54" s="1" t="s">
        <v>2</v>
      </c>
      <c r="DP54" s="38">
        <f t="shared" si="141"/>
        <v>0</v>
      </c>
      <c r="DQ54" s="38">
        <f t="shared" si="142"/>
        <v>0</v>
      </c>
      <c r="DR54" s="38">
        <f t="shared" si="143"/>
        <v>0</v>
      </c>
      <c r="DS54" s="38">
        <f t="shared" si="144"/>
        <v>0</v>
      </c>
      <c r="DT54" s="38">
        <f t="shared" si="145"/>
        <v>0</v>
      </c>
      <c r="DU54" s="38">
        <f t="shared" si="146"/>
        <v>0</v>
      </c>
      <c r="DV54" s="38">
        <f t="shared" si="147"/>
        <v>0</v>
      </c>
      <c r="DW54" s="38">
        <f t="shared" si="148"/>
        <v>0.11928</v>
      </c>
      <c r="DX54" s="38">
        <f t="shared" si="149"/>
        <v>7.0999999999999995E-3</v>
      </c>
      <c r="DY54" s="38">
        <f t="shared" si="150"/>
        <v>0</v>
      </c>
      <c r="DZ54" s="38">
        <f t="shared" si="151"/>
        <v>0</v>
      </c>
      <c r="EA54" s="38">
        <f t="shared" si="152"/>
        <v>0</v>
      </c>
      <c r="EB54" s="38">
        <f t="shared" si="153"/>
        <v>0</v>
      </c>
      <c r="EC54" s="38">
        <f t="shared" si="154"/>
        <v>0</v>
      </c>
      <c r="ED54" s="38">
        <f t="shared" si="155"/>
        <v>0</v>
      </c>
      <c r="EE54" s="38">
        <f t="shared" si="156"/>
        <v>0</v>
      </c>
      <c r="EG54" s="38">
        <f t="shared" si="157"/>
        <v>0</v>
      </c>
      <c r="EH54" s="38">
        <f t="shared" si="158"/>
        <v>0</v>
      </c>
      <c r="EI54" s="38">
        <f t="shared" si="159"/>
        <v>0</v>
      </c>
      <c r="EJ54" s="38">
        <f t="shared" si="160"/>
        <v>0</v>
      </c>
      <c r="EK54" s="38">
        <f t="shared" si="161"/>
        <v>0</v>
      </c>
      <c r="EL54" s="38">
        <f t="shared" si="162"/>
        <v>0</v>
      </c>
      <c r="EM54" s="38">
        <f t="shared" si="163"/>
        <v>0</v>
      </c>
      <c r="EN54" s="38">
        <f t="shared" si="164"/>
        <v>0</v>
      </c>
      <c r="EO54" s="38">
        <f t="shared" si="165"/>
        <v>0</v>
      </c>
      <c r="EP54" s="38">
        <f t="shared" si="166"/>
        <v>1564.23792</v>
      </c>
      <c r="EQ54" s="38">
        <f t="shared" si="167"/>
        <v>515.59862039999985</v>
      </c>
      <c r="ER54" s="38">
        <f t="shared" si="168"/>
        <v>0</v>
      </c>
      <c r="ES54" s="38">
        <f t="shared" si="169"/>
        <v>0</v>
      </c>
      <c r="ET54" s="38">
        <f t="shared" si="170"/>
        <v>0</v>
      </c>
      <c r="EU54" s="38">
        <f t="shared" si="171"/>
        <v>0</v>
      </c>
      <c r="EV54" s="38">
        <f t="shared" si="172"/>
        <v>0</v>
      </c>
      <c r="EW54" s="38">
        <f t="shared" si="173"/>
        <v>0</v>
      </c>
      <c r="EX54" s="38">
        <f t="shared" si="174"/>
        <v>0</v>
      </c>
      <c r="EZ54" s="38">
        <f t="shared" si="175"/>
        <v>0</v>
      </c>
      <c r="FA54" s="38">
        <f t="shared" si="176"/>
        <v>0</v>
      </c>
      <c r="FB54" s="1">
        <f t="shared" si="177"/>
        <v>0</v>
      </c>
      <c r="FC54" s="1">
        <f t="shared" si="178"/>
        <v>0</v>
      </c>
      <c r="FD54" s="1">
        <f t="shared" si="179"/>
        <v>0</v>
      </c>
      <c r="FE54" s="1">
        <f t="shared" si="180"/>
        <v>0</v>
      </c>
      <c r="FF54" s="1">
        <f t="shared" si="181"/>
        <v>0</v>
      </c>
      <c r="FG54" s="1">
        <f t="shared" si="182"/>
        <v>0</v>
      </c>
      <c r="FH54" s="1">
        <f t="shared" si="183"/>
        <v>0</v>
      </c>
      <c r="FI54" s="1">
        <f t="shared" si="184"/>
        <v>0</v>
      </c>
      <c r="FJ54" s="1">
        <f t="shared" si="185"/>
        <v>0</v>
      </c>
      <c r="FK54" s="1">
        <f t="shared" si="186"/>
        <v>0</v>
      </c>
      <c r="FL54" s="1">
        <f t="shared" si="187"/>
        <v>0</v>
      </c>
      <c r="FM54" s="1">
        <f t="shared" si="188"/>
        <v>0</v>
      </c>
      <c r="FN54" s="1">
        <f t="shared" si="189"/>
        <v>0</v>
      </c>
      <c r="FO54" s="1">
        <f t="shared" si="190"/>
        <v>0</v>
      </c>
      <c r="FP54" s="1">
        <f t="shared" si="191"/>
        <v>0</v>
      </c>
      <c r="FQ54" s="1">
        <f t="shared" si="192"/>
        <v>0</v>
      </c>
      <c r="FS54" s="1">
        <f t="shared" si="193"/>
        <v>0</v>
      </c>
      <c r="FT54" s="1">
        <f t="shared" si="194"/>
        <v>0</v>
      </c>
      <c r="FU54" s="38">
        <f t="shared" si="195"/>
        <v>0</v>
      </c>
      <c r="FV54" s="38">
        <f t="shared" si="196"/>
        <v>0</v>
      </c>
      <c r="FW54" s="38">
        <f t="shared" si="197"/>
        <v>0</v>
      </c>
      <c r="FX54" s="38">
        <f t="shared" si="198"/>
        <v>0</v>
      </c>
      <c r="FY54" s="38">
        <f t="shared" si="199"/>
        <v>0</v>
      </c>
      <c r="FZ54" s="38">
        <f t="shared" si="200"/>
        <v>0</v>
      </c>
      <c r="GA54" s="38">
        <f t="shared" si="201"/>
        <v>0</v>
      </c>
      <c r="GB54" s="38">
        <f t="shared" si="202"/>
        <v>0</v>
      </c>
      <c r="GC54" s="38">
        <f t="shared" si="203"/>
        <v>0</v>
      </c>
      <c r="GD54" s="38">
        <f t="shared" si="204"/>
        <v>0</v>
      </c>
      <c r="GE54" s="38">
        <f t="shared" si="205"/>
        <v>0</v>
      </c>
      <c r="GF54" s="38">
        <f t="shared" si="206"/>
        <v>0</v>
      </c>
      <c r="GG54" s="38">
        <f t="shared" si="207"/>
        <v>0</v>
      </c>
      <c r="GH54" s="38">
        <f t="shared" si="208"/>
        <v>0</v>
      </c>
      <c r="GI54" s="38">
        <f t="shared" si="209"/>
        <v>0</v>
      </c>
      <c r="GJ54" s="38">
        <f t="shared" si="210"/>
        <v>0</v>
      </c>
      <c r="GL54" s="38">
        <f t="shared" si="211"/>
        <v>0</v>
      </c>
      <c r="GM54" s="38">
        <f t="shared" si="212"/>
        <v>0</v>
      </c>
      <c r="GN54" s="1" t="s">
        <v>2</v>
      </c>
      <c r="GO54" s="1">
        <f t="shared" si="213"/>
        <v>14.2</v>
      </c>
      <c r="GP54" s="1">
        <f t="shared" si="214"/>
        <v>0.84</v>
      </c>
      <c r="GQ54" s="41">
        <f t="shared" si="215"/>
        <v>119.28</v>
      </c>
      <c r="GR54" s="41">
        <f t="shared" si="216"/>
        <v>2079.8365403999996</v>
      </c>
      <c r="GS54" s="14">
        <f t="shared" si="217"/>
        <v>146.46736199999998</v>
      </c>
      <c r="GT54" s="1">
        <f t="shared" si="218"/>
        <v>0</v>
      </c>
      <c r="GU54" s="1">
        <f t="shared" si="219"/>
        <v>0</v>
      </c>
      <c r="GV54" s="1">
        <f t="shared" si="220"/>
        <v>119.27999999999999</v>
      </c>
      <c r="GW54" s="37">
        <f t="shared" si="221"/>
        <v>0</v>
      </c>
      <c r="GX54" s="37"/>
      <c r="GY54" s="37"/>
      <c r="GZ54" s="37"/>
      <c r="HB54" s="1">
        <f t="shared" si="222"/>
        <v>0</v>
      </c>
      <c r="HC54" s="1">
        <f t="shared" si="223"/>
        <v>0</v>
      </c>
      <c r="HD54" s="37" t="s">
        <v>2</v>
      </c>
      <c r="HE54" s="1" t="s">
        <v>31</v>
      </c>
      <c r="HF54" s="1" t="s">
        <v>230</v>
      </c>
      <c r="HG54" s="1" t="s">
        <v>230</v>
      </c>
      <c r="HI54" s="1" t="s">
        <v>96</v>
      </c>
      <c r="HJ54" s="37" t="s">
        <v>2</v>
      </c>
      <c r="HL54" s="55" t="s">
        <v>118</v>
      </c>
      <c r="HU54" s="13">
        <f>100*(HU43+HU44)/HU$50</f>
        <v>10.109728750283784</v>
      </c>
      <c r="IB54" s="13">
        <f>100*(IB43+IB44)/IB$50</f>
        <v>2.1468462901488969</v>
      </c>
      <c r="JH54" s="58" t="s">
        <v>2</v>
      </c>
    </row>
    <row r="55" spans="1:268" ht="16.25" customHeight="1" x14ac:dyDescent="0.2">
      <c r="A55" s="21" t="s">
        <v>242</v>
      </c>
      <c r="B55" s="1" t="s">
        <v>69</v>
      </c>
      <c r="E55" s="1" t="s">
        <v>72</v>
      </c>
      <c r="F55" s="1" t="s">
        <v>172</v>
      </c>
      <c r="H55" s="1" t="s">
        <v>204</v>
      </c>
      <c r="I55" s="1">
        <v>0</v>
      </c>
      <c r="AD55" s="1">
        <v>15.9</v>
      </c>
      <c r="AL55" s="1">
        <v>1.06</v>
      </c>
      <c r="AM55" s="1">
        <v>0.06</v>
      </c>
      <c r="AY55" s="14">
        <v>24</v>
      </c>
      <c r="BG55" s="1">
        <v>0.79</v>
      </c>
      <c r="BH55" s="1">
        <v>0.05</v>
      </c>
      <c r="BT55" s="1">
        <v>0</v>
      </c>
      <c r="CO55" s="1">
        <v>0</v>
      </c>
      <c r="DJ55" s="1" t="s">
        <v>96</v>
      </c>
      <c r="DK55" s="1" t="s">
        <v>96</v>
      </c>
      <c r="DL55" s="1">
        <f t="shared" si="139"/>
        <v>0.89759398496240628</v>
      </c>
      <c r="DM55" s="1">
        <f t="shared" si="140"/>
        <v>5.3984962406015038E-2</v>
      </c>
      <c r="DN55" s="1" t="s">
        <v>67</v>
      </c>
      <c r="DO55" s="1" t="s">
        <v>2</v>
      </c>
      <c r="DP55" s="38">
        <f t="shared" si="141"/>
        <v>0</v>
      </c>
      <c r="DQ55" s="38">
        <f t="shared" si="142"/>
        <v>0</v>
      </c>
      <c r="DR55" s="38">
        <f t="shared" si="143"/>
        <v>0</v>
      </c>
      <c r="DS55" s="38">
        <f t="shared" si="144"/>
        <v>0</v>
      </c>
      <c r="DT55" s="38">
        <f t="shared" si="145"/>
        <v>0</v>
      </c>
      <c r="DU55" s="38">
        <f t="shared" si="146"/>
        <v>0</v>
      </c>
      <c r="DV55" s="38">
        <f t="shared" si="147"/>
        <v>0</v>
      </c>
      <c r="DW55" s="38">
        <f t="shared" si="148"/>
        <v>0.35814000000000007</v>
      </c>
      <c r="DX55" s="38">
        <f t="shared" si="149"/>
        <v>2.154E-2</v>
      </c>
      <c r="DY55" s="38">
        <f t="shared" si="150"/>
        <v>0</v>
      </c>
      <c r="DZ55" s="38">
        <f t="shared" si="151"/>
        <v>0</v>
      </c>
      <c r="EA55" s="38">
        <f t="shared" si="152"/>
        <v>0</v>
      </c>
      <c r="EB55" s="38">
        <f t="shared" si="153"/>
        <v>0</v>
      </c>
      <c r="EC55" s="38">
        <f t="shared" si="154"/>
        <v>0</v>
      </c>
      <c r="ED55" s="38">
        <f t="shared" si="155"/>
        <v>0</v>
      </c>
      <c r="EE55" s="38">
        <f t="shared" si="156"/>
        <v>0</v>
      </c>
      <c r="EG55" s="38">
        <f t="shared" si="157"/>
        <v>0</v>
      </c>
      <c r="EH55" s="38">
        <f t="shared" si="158"/>
        <v>0</v>
      </c>
      <c r="EI55" s="38">
        <f t="shared" si="159"/>
        <v>0</v>
      </c>
      <c r="EJ55" s="38">
        <f t="shared" si="160"/>
        <v>0</v>
      </c>
      <c r="EK55" s="38">
        <f t="shared" si="161"/>
        <v>0</v>
      </c>
      <c r="EL55" s="38">
        <f t="shared" si="162"/>
        <v>0</v>
      </c>
      <c r="EM55" s="38">
        <f t="shared" si="163"/>
        <v>0</v>
      </c>
      <c r="EN55" s="38">
        <f t="shared" si="164"/>
        <v>0</v>
      </c>
      <c r="EO55" s="38">
        <f t="shared" si="165"/>
        <v>0</v>
      </c>
      <c r="EP55" s="38">
        <f t="shared" si="166"/>
        <v>4696.6479600000011</v>
      </c>
      <c r="EQ55" s="38">
        <f t="shared" si="167"/>
        <v>1564.2245469599998</v>
      </c>
      <c r="ER55" s="38">
        <f t="shared" si="168"/>
        <v>0</v>
      </c>
      <c r="ES55" s="38">
        <f t="shared" si="169"/>
        <v>0</v>
      </c>
      <c r="ET55" s="38">
        <f t="shared" si="170"/>
        <v>0</v>
      </c>
      <c r="EU55" s="38">
        <f t="shared" si="171"/>
        <v>0</v>
      </c>
      <c r="EV55" s="38">
        <f t="shared" si="172"/>
        <v>0</v>
      </c>
      <c r="EW55" s="38">
        <f t="shared" si="173"/>
        <v>0</v>
      </c>
      <c r="EX55" s="38">
        <f t="shared" si="174"/>
        <v>0</v>
      </c>
      <c r="EZ55" s="38">
        <f t="shared" si="175"/>
        <v>0</v>
      </c>
      <c r="FA55" s="38">
        <f t="shared" si="176"/>
        <v>0</v>
      </c>
      <c r="FB55" s="1">
        <f t="shared" si="177"/>
        <v>0</v>
      </c>
      <c r="FC55" s="1">
        <f t="shared" si="178"/>
        <v>0</v>
      </c>
      <c r="FD55" s="1">
        <f t="shared" si="179"/>
        <v>0</v>
      </c>
      <c r="FE55" s="1">
        <f t="shared" si="180"/>
        <v>0</v>
      </c>
      <c r="FF55" s="1">
        <f t="shared" si="181"/>
        <v>0</v>
      </c>
      <c r="FG55" s="1">
        <f t="shared" si="182"/>
        <v>0</v>
      </c>
      <c r="FH55" s="1">
        <f t="shared" si="183"/>
        <v>0</v>
      </c>
      <c r="FI55" s="1">
        <f t="shared" si="184"/>
        <v>0</v>
      </c>
      <c r="FJ55" s="1">
        <f t="shared" si="185"/>
        <v>0</v>
      </c>
      <c r="FK55" s="1">
        <f t="shared" si="186"/>
        <v>0</v>
      </c>
      <c r="FL55" s="1">
        <f t="shared" si="187"/>
        <v>0</v>
      </c>
      <c r="FM55" s="1">
        <f t="shared" si="188"/>
        <v>0</v>
      </c>
      <c r="FN55" s="1">
        <f t="shared" si="189"/>
        <v>0</v>
      </c>
      <c r="FO55" s="1">
        <f t="shared" si="190"/>
        <v>0</v>
      </c>
      <c r="FP55" s="1">
        <f t="shared" si="191"/>
        <v>0</v>
      </c>
      <c r="FQ55" s="1">
        <f t="shared" si="192"/>
        <v>0</v>
      </c>
      <c r="FS55" s="1">
        <f t="shared" si="193"/>
        <v>0</v>
      </c>
      <c r="FT55" s="1">
        <f t="shared" si="194"/>
        <v>0</v>
      </c>
      <c r="FU55" s="38">
        <f t="shared" si="195"/>
        <v>0</v>
      </c>
      <c r="FV55" s="38">
        <f t="shared" si="196"/>
        <v>0</v>
      </c>
      <c r="FW55" s="38">
        <f t="shared" si="197"/>
        <v>0</v>
      </c>
      <c r="FX55" s="38">
        <f t="shared" si="198"/>
        <v>0</v>
      </c>
      <c r="FY55" s="38">
        <f t="shared" si="199"/>
        <v>0</v>
      </c>
      <c r="FZ55" s="38">
        <f t="shared" si="200"/>
        <v>0</v>
      </c>
      <c r="GA55" s="38">
        <f t="shared" si="201"/>
        <v>0</v>
      </c>
      <c r="GB55" s="38">
        <f t="shared" si="202"/>
        <v>0</v>
      </c>
      <c r="GC55" s="38">
        <f t="shared" si="203"/>
        <v>0</v>
      </c>
      <c r="GD55" s="38">
        <f t="shared" si="204"/>
        <v>0</v>
      </c>
      <c r="GE55" s="38">
        <f t="shared" si="205"/>
        <v>0</v>
      </c>
      <c r="GF55" s="38">
        <f t="shared" si="206"/>
        <v>0</v>
      </c>
      <c r="GG55" s="38">
        <f t="shared" si="207"/>
        <v>0</v>
      </c>
      <c r="GH55" s="38">
        <f t="shared" si="208"/>
        <v>0</v>
      </c>
      <c r="GI55" s="38">
        <f t="shared" si="209"/>
        <v>0</v>
      </c>
      <c r="GJ55" s="38">
        <f t="shared" si="210"/>
        <v>0</v>
      </c>
      <c r="GL55" s="38">
        <f t="shared" si="211"/>
        <v>0</v>
      </c>
      <c r="GM55" s="38">
        <f t="shared" si="212"/>
        <v>0</v>
      </c>
      <c r="GN55" s="1" t="s">
        <v>2</v>
      </c>
      <c r="GO55" s="1">
        <f t="shared" si="213"/>
        <v>39.9</v>
      </c>
      <c r="GP55" s="13">
        <f t="shared" si="214"/>
        <v>0.89759398496240628</v>
      </c>
      <c r="GQ55" s="41">
        <f t="shared" si="215"/>
        <v>358.1400000000001</v>
      </c>
      <c r="GR55" s="41">
        <f t="shared" si="216"/>
        <v>6260.8725069600005</v>
      </c>
      <c r="GS55" s="14">
        <f t="shared" si="217"/>
        <v>156.91409791879701</v>
      </c>
      <c r="GT55" s="1">
        <f t="shared" si="218"/>
        <v>0</v>
      </c>
      <c r="GU55" s="1">
        <f t="shared" si="219"/>
        <v>168.54000000000005</v>
      </c>
      <c r="GV55" s="1">
        <f t="shared" si="220"/>
        <v>189.6</v>
      </c>
      <c r="GW55" s="37">
        <f t="shared" si="221"/>
        <v>0</v>
      </c>
      <c r="GX55" s="37"/>
      <c r="GY55" s="37"/>
      <c r="GZ55" s="37"/>
      <c r="HB55" s="1">
        <f t="shared" si="222"/>
        <v>0</v>
      </c>
      <c r="HC55" s="1">
        <f t="shared" si="223"/>
        <v>0</v>
      </c>
      <c r="HD55" s="37" t="s">
        <v>2</v>
      </c>
      <c r="HE55" s="1" t="s">
        <v>31</v>
      </c>
      <c r="HF55" s="1" t="s">
        <v>230</v>
      </c>
      <c r="HG55" s="1" t="s">
        <v>230</v>
      </c>
      <c r="HI55" s="1" t="s">
        <v>96</v>
      </c>
      <c r="HJ55" s="37" t="s">
        <v>2</v>
      </c>
      <c r="HL55" s="55" t="s">
        <v>1358</v>
      </c>
      <c r="HU55" s="13">
        <f>100*(HU45+HU46)/HU$50</f>
        <v>0.13877338857684424</v>
      </c>
      <c r="IB55" s="13">
        <f>100*(IB45+IB46)/IB$50</f>
        <v>0</v>
      </c>
      <c r="JH55" s="58" t="s">
        <v>2</v>
      </c>
    </row>
    <row r="56" spans="1:268" ht="16.25" customHeight="1" x14ac:dyDescent="0.2">
      <c r="A56" s="21" t="s">
        <v>265</v>
      </c>
      <c r="B56" s="1" t="s">
        <v>69</v>
      </c>
      <c r="E56" s="1" t="s">
        <v>72</v>
      </c>
      <c r="F56" s="1" t="s">
        <v>266</v>
      </c>
      <c r="H56" s="1" t="s">
        <v>92</v>
      </c>
      <c r="I56" s="1">
        <v>1.6</v>
      </c>
      <c r="Q56" s="13">
        <v>1.2</v>
      </c>
      <c r="R56" s="1">
        <v>7.8E-2</v>
      </c>
      <c r="AD56" s="1">
        <v>1.5</v>
      </c>
      <c r="AL56" s="1">
        <v>1.01</v>
      </c>
      <c r="AM56" s="1">
        <v>7.2999999999999995E-2</v>
      </c>
      <c r="AY56" s="1">
        <v>1.4</v>
      </c>
      <c r="BG56" s="1">
        <v>0.95</v>
      </c>
      <c r="BH56" s="1">
        <v>7.3999999999999996E-2</v>
      </c>
      <c r="BT56" s="1">
        <v>0</v>
      </c>
      <c r="CO56" s="1">
        <v>4.7</v>
      </c>
      <c r="CW56" s="1">
        <v>0.91</v>
      </c>
      <c r="CX56" s="1">
        <v>0.06</v>
      </c>
      <c r="DJ56" s="1" t="s">
        <v>96</v>
      </c>
      <c r="DK56" s="1" t="s">
        <v>96</v>
      </c>
      <c r="DL56" s="1">
        <f t="shared" si="139"/>
        <v>1.0588888888888888</v>
      </c>
      <c r="DM56" s="1">
        <f t="shared" si="140"/>
        <v>7.5088888888888886E-2</v>
      </c>
      <c r="DN56" s="1" t="s">
        <v>67</v>
      </c>
      <c r="DO56" s="1" t="s">
        <v>2</v>
      </c>
      <c r="DP56" s="38">
        <f t="shared" si="141"/>
        <v>0</v>
      </c>
      <c r="DQ56" s="38">
        <f t="shared" si="142"/>
        <v>0</v>
      </c>
      <c r="DR56" s="38">
        <f t="shared" si="143"/>
        <v>0</v>
      </c>
      <c r="DS56" s="38">
        <f t="shared" si="144"/>
        <v>0</v>
      </c>
      <c r="DT56" s="38">
        <f t="shared" si="145"/>
        <v>0</v>
      </c>
      <c r="DU56" s="38">
        <f t="shared" si="146"/>
        <v>0</v>
      </c>
      <c r="DV56" s="38">
        <f t="shared" si="147"/>
        <v>0</v>
      </c>
      <c r="DW56" s="38">
        <f t="shared" si="148"/>
        <v>4.7649999999999998E-2</v>
      </c>
      <c r="DX56" s="38">
        <f t="shared" si="149"/>
        <v>3.3789999999999996E-3</v>
      </c>
      <c r="DY56" s="38">
        <f t="shared" si="150"/>
        <v>0</v>
      </c>
      <c r="DZ56" s="38">
        <f t="shared" si="151"/>
        <v>0</v>
      </c>
      <c r="EA56" s="38">
        <f t="shared" si="152"/>
        <v>0</v>
      </c>
      <c r="EB56" s="38">
        <f t="shared" si="153"/>
        <v>0</v>
      </c>
      <c r="EC56" s="38">
        <f t="shared" si="154"/>
        <v>0</v>
      </c>
      <c r="ED56" s="38">
        <f t="shared" si="155"/>
        <v>0</v>
      </c>
      <c r="EE56" s="38">
        <f t="shared" si="156"/>
        <v>0</v>
      </c>
      <c r="EG56" s="38">
        <f t="shared" si="157"/>
        <v>0</v>
      </c>
      <c r="EH56" s="38">
        <f t="shared" si="158"/>
        <v>0</v>
      </c>
      <c r="EI56" s="38">
        <f t="shared" si="159"/>
        <v>0</v>
      </c>
      <c r="EJ56" s="38">
        <f t="shared" si="160"/>
        <v>0</v>
      </c>
      <c r="EK56" s="38">
        <f t="shared" si="161"/>
        <v>0</v>
      </c>
      <c r="EL56" s="38">
        <f t="shared" si="162"/>
        <v>0</v>
      </c>
      <c r="EM56" s="38">
        <f t="shared" si="163"/>
        <v>0</v>
      </c>
      <c r="EN56" s="38">
        <f t="shared" si="164"/>
        <v>0</v>
      </c>
      <c r="EO56" s="38">
        <f t="shared" si="165"/>
        <v>0</v>
      </c>
      <c r="EP56" s="38">
        <f t="shared" si="166"/>
        <v>624.88209999999992</v>
      </c>
      <c r="EQ56" s="38">
        <f t="shared" si="167"/>
        <v>245.38137159599995</v>
      </c>
      <c r="ER56" s="38">
        <f t="shared" si="168"/>
        <v>0</v>
      </c>
      <c r="ES56" s="38">
        <f t="shared" si="169"/>
        <v>0</v>
      </c>
      <c r="ET56" s="38">
        <f t="shared" si="170"/>
        <v>0</v>
      </c>
      <c r="EU56" s="38">
        <f t="shared" si="171"/>
        <v>0</v>
      </c>
      <c r="EV56" s="38">
        <f t="shared" si="172"/>
        <v>0</v>
      </c>
      <c r="EW56" s="38">
        <f t="shared" si="173"/>
        <v>0</v>
      </c>
      <c r="EX56" s="38">
        <f t="shared" si="174"/>
        <v>0</v>
      </c>
      <c r="EZ56" s="38">
        <f t="shared" si="175"/>
        <v>0</v>
      </c>
      <c r="FA56" s="38">
        <f t="shared" si="176"/>
        <v>0</v>
      </c>
      <c r="FB56" s="1">
        <f t="shared" si="177"/>
        <v>0</v>
      </c>
      <c r="FC56" s="1">
        <f t="shared" si="178"/>
        <v>0</v>
      </c>
      <c r="FD56" s="1">
        <f t="shared" si="179"/>
        <v>0</v>
      </c>
      <c r="FE56" s="1">
        <f t="shared" si="180"/>
        <v>0</v>
      </c>
      <c r="FF56" s="1">
        <f t="shared" si="181"/>
        <v>0</v>
      </c>
      <c r="FG56" s="1">
        <f t="shared" si="182"/>
        <v>0</v>
      </c>
      <c r="FH56" s="1">
        <f t="shared" si="183"/>
        <v>0</v>
      </c>
      <c r="FI56" s="1">
        <f t="shared" si="184"/>
        <v>4.2770000000000002E-2</v>
      </c>
      <c r="FJ56" s="1">
        <f t="shared" si="185"/>
        <v>2.8199999999999996E-3</v>
      </c>
      <c r="FK56" s="1">
        <f t="shared" si="186"/>
        <v>0</v>
      </c>
      <c r="FL56" s="1">
        <f t="shared" si="187"/>
        <v>0</v>
      </c>
      <c r="FM56" s="1">
        <f t="shared" si="188"/>
        <v>0</v>
      </c>
      <c r="FN56" s="1">
        <f t="shared" si="189"/>
        <v>0</v>
      </c>
      <c r="FO56" s="1">
        <f t="shared" si="190"/>
        <v>0</v>
      </c>
      <c r="FP56" s="1">
        <f t="shared" si="191"/>
        <v>0</v>
      </c>
      <c r="FQ56" s="1">
        <f t="shared" si="192"/>
        <v>0</v>
      </c>
      <c r="FS56" s="1">
        <f t="shared" si="193"/>
        <v>0</v>
      </c>
      <c r="FT56" s="1">
        <f t="shared" si="194"/>
        <v>0</v>
      </c>
      <c r="FU56" s="38">
        <f t="shared" si="195"/>
        <v>0</v>
      </c>
      <c r="FV56" s="38">
        <f t="shared" si="196"/>
        <v>0</v>
      </c>
      <c r="FW56" s="38">
        <f t="shared" si="197"/>
        <v>0</v>
      </c>
      <c r="FX56" s="38">
        <f t="shared" si="198"/>
        <v>0</v>
      </c>
      <c r="FY56" s="38">
        <f t="shared" si="199"/>
        <v>0</v>
      </c>
      <c r="FZ56" s="38">
        <f t="shared" si="200"/>
        <v>0</v>
      </c>
      <c r="GA56" s="38">
        <f t="shared" si="201"/>
        <v>0</v>
      </c>
      <c r="GB56" s="38">
        <f t="shared" si="202"/>
        <v>560.88578000000007</v>
      </c>
      <c r="GC56" s="38">
        <f t="shared" si="203"/>
        <v>204.78705767999995</v>
      </c>
      <c r="GD56" s="38">
        <f t="shared" si="204"/>
        <v>0</v>
      </c>
      <c r="GE56" s="38">
        <f t="shared" si="205"/>
        <v>0</v>
      </c>
      <c r="GF56" s="38">
        <f t="shared" si="206"/>
        <v>0</v>
      </c>
      <c r="GG56" s="38">
        <f t="shared" si="207"/>
        <v>0</v>
      </c>
      <c r="GH56" s="38">
        <f t="shared" si="208"/>
        <v>0</v>
      </c>
      <c r="GI56" s="38">
        <f t="shared" si="209"/>
        <v>0</v>
      </c>
      <c r="GJ56" s="38">
        <f t="shared" si="210"/>
        <v>0</v>
      </c>
      <c r="GL56" s="38">
        <f t="shared" si="211"/>
        <v>0</v>
      </c>
      <c r="GM56" s="38">
        <f t="shared" si="212"/>
        <v>0</v>
      </c>
      <c r="GN56" s="1" t="s">
        <v>2</v>
      </c>
      <c r="GO56" s="1">
        <f t="shared" si="213"/>
        <v>4.5</v>
      </c>
      <c r="GP56" s="13">
        <f t="shared" si="214"/>
        <v>1.0588888888888888</v>
      </c>
      <c r="GQ56" s="41">
        <f t="shared" si="215"/>
        <v>47.649999999999991</v>
      </c>
      <c r="GR56" s="41">
        <f t="shared" si="216"/>
        <v>870.26347159599982</v>
      </c>
      <c r="GS56" s="14">
        <f t="shared" si="217"/>
        <v>193.39188257688886</v>
      </c>
      <c r="GT56" s="1">
        <f t="shared" si="218"/>
        <v>19.2</v>
      </c>
      <c r="GU56" s="1">
        <f t="shared" si="219"/>
        <v>15.150000000000002</v>
      </c>
      <c r="GV56" s="1">
        <f t="shared" si="220"/>
        <v>13.299999999999997</v>
      </c>
      <c r="GW56" s="37">
        <f t="shared" si="221"/>
        <v>4.7</v>
      </c>
      <c r="GX56" s="44">
        <f>(BT56*CB56+CO56*CW56)/GW56</f>
        <v>0.91</v>
      </c>
      <c r="GY56" s="41">
        <f>1000*GW56*GX56/100</f>
        <v>42.77</v>
      </c>
      <c r="GZ56" s="43">
        <f>SUM(FU56:GM56)</f>
        <v>765.67283768000004</v>
      </c>
      <c r="HA56" s="14">
        <f>GZ56/GW56</f>
        <v>162.90911439999999</v>
      </c>
      <c r="HB56" s="1">
        <f t="shared" si="222"/>
        <v>0</v>
      </c>
      <c r="HC56" s="1">
        <f t="shared" si="223"/>
        <v>42.77</v>
      </c>
      <c r="HD56" s="37" t="s">
        <v>2</v>
      </c>
      <c r="HE56" s="1" t="s">
        <v>31</v>
      </c>
      <c r="HF56" s="1" t="s">
        <v>230</v>
      </c>
      <c r="HG56" s="1" t="s">
        <v>230</v>
      </c>
      <c r="HI56" s="1" t="s">
        <v>96</v>
      </c>
      <c r="HJ56" s="37" t="s">
        <v>2</v>
      </c>
      <c r="JH56" s="58" t="s">
        <v>2</v>
      </c>
    </row>
    <row r="57" spans="1:268" ht="16.25" customHeight="1" x14ac:dyDescent="0.2">
      <c r="A57" s="21" t="s">
        <v>267</v>
      </c>
      <c r="B57" s="1" t="s">
        <v>69</v>
      </c>
      <c r="E57" s="1" t="s">
        <v>72</v>
      </c>
      <c r="F57" s="1" t="s">
        <v>266</v>
      </c>
      <c r="H57" s="1" t="s">
        <v>92</v>
      </c>
      <c r="I57" s="1">
        <v>8.8000000000000007</v>
      </c>
      <c r="Q57" s="1">
        <v>1.1000000000000001</v>
      </c>
      <c r="R57" s="1">
        <v>6.3E-2</v>
      </c>
      <c r="AD57" s="1">
        <v>12.7</v>
      </c>
      <c r="AL57" s="1">
        <v>1.0900000000000001</v>
      </c>
      <c r="AM57" s="1">
        <v>7.9000000000000001E-2</v>
      </c>
      <c r="AY57" s="1">
        <v>4.5</v>
      </c>
      <c r="BG57" s="1">
        <v>0.98</v>
      </c>
      <c r="BH57" s="1">
        <v>5.0999999999999997E-2</v>
      </c>
      <c r="BT57" s="1">
        <v>0</v>
      </c>
      <c r="CO57" s="1">
        <v>27.9</v>
      </c>
      <c r="CW57" s="1">
        <v>0.96</v>
      </c>
      <c r="CX57" s="1">
        <v>0.06</v>
      </c>
      <c r="DJ57" s="1" t="s">
        <v>96</v>
      </c>
      <c r="DK57" s="1" t="s">
        <v>96</v>
      </c>
      <c r="DL57" s="1">
        <f t="shared" si="139"/>
        <v>1.0743461538461541</v>
      </c>
      <c r="DM57" s="1">
        <f t="shared" si="140"/>
        <v>6.873846153846154E-2</v>
      </c>
      <c r="DN57" s="1" t="s">
        <v>67</v>
      </c>
      <c r="DO57" s="1" t="s">
        <v>2</v>
      </c>
      <c r="DP57" s="38">
        <f t="shared" si="141"/>
        <v>0</v>
      </c>
      <c r="DQ57" s="38">
        <f t="shared" si="142"/>
        <v>0</v>
      </c>
      <c r="DR57" s="38">
        <f t="shared" si="143"/>
        <v>0</v>
      </c>
      <c r="DS57" s="38">
        <f t="shared" si="144"/>
        <v>0</v>
      </c>
      <c r="DT57" s="38">
        <f t="shared" si="145"/>
        <v>0</v>
      </c>
      <c r="DU57" s="38">
        <f t="shared" si="146"/>
        <v>0</v>
      </c>
      <c r="DV57" s="38">
        <f t="shared" si="147"/>
        <v>0</v>
      </c>
      <c r="DW57" s="38">
        <f t="shared" si="148"/>
        <v>0.27933000000000002</v>
      </c>
      <c r="DX57" s="38">
        <f t="shared" si="149"/>
        <v>1.7871999999999999E-2</v>
      </c>
      <c r="DY57" s="38">
        <f t="shared" si="150"/>
        <v>0</v>
      </c>
      <c r="DZ57" s="38">
        <f t="shared" si="151"/>
        <v>0</v>
      </c>
      <c r="EA57" s="38">
        <f t="shared" si="152"/>
        <v>0</v>
      </c>
      <c r="EB57" s="38">
        <f t="shared" si="153"/>
        <v>0</v>
      </c>
      <c r="EC57" s="38">
        <f t="shared" si="154"/>
        <v>0</v>
      </c>
      <c r="ED57" s="38">
        <f t="shared" si="155"/>
        <v>0</v>
      </c>
      <c r="EE57" s="38">
        <f t="shared" si="156"/>
        <v>0</v>
      </c>
      <c r="EG57" s="38">
        <f t="shared" si="157"/>
        <v>0</v>
      </c>
      <c r="EH57" s="38">
        <f t="shared" si="158"/>
        <v>0</v>
      </c>
      <c r="EI57" s="38">
        <f t="shared" si="159"/>
        <v>0</v>
      </c>
      <c r="EJ57" s="38">
        <f t="shared" si="160"/>
        <v>0</v>
      </c>
      <c r="EK57" s="38">
        <f t="shared" si="161"/>
        <v>0</v>
      </c>
      <c r="EL57" s="38">
        <f t="shared" si="162"/>
        <v>0</v>
      </c>
      <c r="EM57" s="38">
        <f t="shared" si="163"/>
        <v>0</v>
      </c>
      <c r="EN57" s="38">
        <f t="shared" si="164"/>
        <v>0</v>
      </c>
      <c r="EO57" s="38">
        <f t="shared" si="165"/>
        <v>0</v>
      </c>
      <c r="EP57" s="38">
        <f t="shared" si="166"/>
        <v>3663.1336200000005</v>
      </c>
      <c r="EQ57" s="38">
        <f t="shared" si="167"/>
        <v>1297.8561329279999</v>
      </c>
      <c r="ER57" s="38">
        <f t="shared" si="168"/>
        <v>0</v>
      </c>
      <c r="ES57" s="38">
        <f t="shared" si="169"/>
        <v>0</v>
      </c>
      <c r="ET57" s="38">
        <f t="shared" si="170"/>
        <v>0</v>
      </c>
      <c r="EU57" s="38">
        <f t="shared" si="171"/>
        <v>0</v>
      </c>
      <c r="EV57" s="38">
        <f t="shared" si="172"/>
        <v>0</v>
      </c>
      <c r="EW57" s="38">
        <f t="shared" si="173"/>
        <v>0</v>
      </c>
      <c r="EX57" s="38">
        <f t="shared" si="174"/>
        <v>0</v>
      </c>
      <c r="EZ57" s="38">
        <f t="shared" si="175"/>
        <v>0</v>
      </c>
      <c r="FA57" s="38">
        <f t="shared" si="176"/>
        <v>0</v>
      </c>
      <c r="FB57" s="1">
        <f t="shared" si="177"/>
        <v>0</v>
      </c>
      <c r="FC57" s="1">
        <f t="shared" si="178"/>
        <v>0</v>
      </c>
      <c r="FD57" s="1">
        <f t="shared" si="179"/>
        <v>0</v>
      </c>
      <c r="FE57" s="1">
        <f t="shared" si="180"/>
        <v>0</v>
      </c>
      <c r="FF57" s="1">
        <f t="shared" si="181"/>
        <v>0</v>
      </c>
      <c r="FG57" s="1">
        <f t="shared" si="182"/>
        <v>0</v>
      </c>
      <c r="FH57" s="1">
        <f t="shared" si="183"/>
        <v>0</v>
      </c>
      <c r="FI57" s="1">
        <f t="shared" si="184"/>
        <v>0.26783999999999997</v>
      </c>
      <c r="FJ57" s="1">
        <f t="shared" si="185"/>
        <v>1.6739999999999998E-2</v>
      </c>
      <c r="FK57" s="1">
        <f t="shared" si="186"/>
        <v>0</v>
      </c>
      <c r="FL57" s="1">
        <f t="shared" si="187"/>
        <v>0</v>
      </c>
      <c r="FM57" s="1">
        <f t="shared" si="188"/>
        <v>0</v>
      </c>
      <c r="FN57" s="1">
        <f t="shared" si="189"/>
        <v>0</v>
      </c>
      <c r="FO57" s="1">
        <f t="shared" si="190"/>
        <v>0</v>
      </c>
      <c r="FP57" s="1">
        <f t="shared" si="191"/>
        <v>0</v>
      </c>
      <c r="FQ57" s="1">
        <f t="shared" si="192"/>
        <v>0</v>
      </c>
      <c r="FS57" s="1">
        <f t="shared" si="193"/>
        <v>0</v>
      </c>
      <c r="FT57" s="1">
        <f t="shared" si="194"/>
        <v>0</v>
      </c>
      <c r="FU57" s="38">
        <f t="shared" si="195"/>
        <v>0</v>
      </c>
      <c r="FV57" s="38">
        <f t="shared" si="196"/>
        <v>0</v>
      </c>
      <c r="FW57" s="38">
        <f t="shared" si="197"/>
        <v>0</v>
      </c>
      <c r="FX57" s="38">
        <f t="shared" si="198"/>
        <v>0</v>
      </c>
      <c r="FY57" s="38">
        <f t="shared" si="199"/>
        <v>0</v>
      </c>
      <c r="FZ57" s="38">
        <f t="shared" si="200"/>
        <v>0</v>
      </c>
      <c r="GA57" s="38">
        <f t="shared" si="201"/>
        <v>0</v>
      </c>
      <c r="GB57" s="38">
        <f t="shared" si="202"/>
        <v>3512.4537599999994</v>
      </c>
      <c r="GC57" s="38">
        <f t="shared" si="203"/>
        <v>1215.6508317599996</v>
      </c>
      <c r="GD57" s="38">
        <f t="shared" si="204"/>
        <v>0</v>
      </c>
      <c r="GE57" s="38">
        <f t="shared" si="205"/>
        <v>0</v>
      </c>
      <c r="GF57" s="38">
        <f t="shared" si="206"/>
        <v>0</v>
      </c>
      <c r="GG57" s="38">
        <f t="shared" si="207"/>
        <v>0</v>
      </c>
      <c r="GH57" s="38">
        <f t="shared" si="208"/>
        <v>0</v>
      </c>
      <c r="GI57" s="38">
        <f t="shared" si="209"/>
        <v>0</v>
      </c>
      <c r="GJ57" s="38">
        <f t="shared" si="210"/>
        <v>0</v>
      </c>
      <c r="GL57" s="38">
        <f t="shared" si="211"/>
        <v>0</v>
      </c>
      <c r="GM57" s="38">
        <f t="shared" si="212"/>
        <v>0</v>
      </c>
      <c r="GN57" s="1" t="s">
        <v>2</v>
      </c>
      <c r="GO57" s="1">
        <f t="shared" si="213"/>
        <v>26</v>
      </c>
      <c r="GP57" s="13">
        <f t="shared" si="214"/>
        <v>1.0743461538461541</v>
      </c>
      <c r="GQ57" s="41">
        <f t="shared" si="215"/>
        <v>279.3300000000001</v>
      </c>
      <c r="GR57" s="41">
        <f t="shared" si="216"/>
        <v>4960.9897529280006</v>
      </c>
      <c r="GS57" s="14">
        <f t="shared" si="217"/>
        <v>190.80729818953847</v>
      </c>
      <c r="GT57" s="1">
        <f t="shared" si="218"/>
        <v>96.800000000000011</v>
      </c>
      <c r="GU57" s="1">
        <f t="shared" si="219"/>
        <v>138.43</v>
      </c>
      <c r="GV57" s="1">
        <f t="shared" si="220"/>
        <v>44.1</v>
      </c>
      <c r="GW57" s="37">
        <f t="shared" si="221"/>
        <v>27.9</v>
      </c>
      <c r="GX57" s="44">
        <f>(BT57*CB57+CO57*CW57)/GW57</f>
        <v>0.96</v>
      </c>
      <c r="GY57" s="41">
        <f>1000*GW57*GX57/100</f>
        <v>267.83999999999997</v>
      </c>
      <c r="GZ57" s="43">
        <f>SUM(FU57:GM57)</f>
        <v>4728.1045917599986</v>
      </c>
      <c r="HA57" s="14">
        <f>GZ57/GW57</f>
        <v>169.46611439999995</v>
      </c>
      <c r="HB57" s="1">
        <f t="shared" si="222"/>
        <v>0</v>
      </c>
      <c r="HC57" s="1">
        <f t="shared" si="223"/>
        <v>267.83999999999997</v>
      </c>
      <c r="HD57" s="37" t="s">
        <v>2</v>
      </c>
      <c r="HE57" s="1" t="s">
        <v>31</v>
      </c>
      <c r="HF57" s="1" t="s">
        <v>230</v>
      </c>
      <c r="HG57" s="1" t="s">
        <v>230</v>
      </c>
      <c r="HI57" s="1" t="s">
        <v>96</v>
      </c>
      <c r="HJ57" s="37" t="s">
        <v>2</v>
      </c>
      <c r="HL57" s="55"/>
      <c r="JH57" s="58" t="s">
        <v>2</v>
      </c>
    </row>
    <row r="58" spans="1:268" ht="16.25" customHeight="1" x14ac:dyDescent="0.2">
      <c r="A58" s="21" t="s">
        <v>268</v>
      </c>
      <c r="B58" s="1" t="s">
        <v>69</v>
      </c>
      <c r="E58" s="1" t="s">
        <v>72</v>
      </c>
      <c r="F58" s="1" t="s">
        <v>266</v>
      </c>
      <c r="H58" s="1" t="s">
        <v>92</v>
      </c>
      <c r="I58" s="1">
        <v>0</v>
      </c>
      <c r="AD58" s="1">
        <v>23.7</v>
      </c>
      <c r="AL58" s="1">
        <v>1.04</v>
      </c>
      <c r="AM58" s="1">
        <v>6.4000000000000001E-2</v>
      </c>
      <c r="AY58" s="1">
        <v>12.8</v>
      </c>
      <c r="BG58" s="1">
        <v>0.95</v>
      </c>
      <c r="BH58" s="1">
        <v>5.6000000000000001E-2</v>
      </c>
      <c r="BT58" s="1">
        <v>0</v>
      </c>
      <c r="CO58" s="1">
        <v>32.200000000000003</v>
      </c>
      <c r="CW58" s="1">
        <v>0.87</v>
      </c>
      <c r="CX58" s="1">
        <v>0.05</v>
      </c>
      <c r="DJ58" s="1" t="s">
        <v>96</v>
      </c>
      <c r="DK58" s="1" t="s">
        <v>96</v>
      </c>
      <c r="DL58" s="1">
        <f t="shared" si="139"/>
        <v>1.0084383561643835</v>
      </c>
      <c r="DM58" s="1">
        <f t="shared" si="140"/>
        <v>6.1194520547945205E-2</v>
      </c>
      <c r="DN58" s="1" t="s">
        <v>67</v>
      </c>
      <c r="DO58" s="1" t="s">
        <v>2</v>
      </c>
      <c r="DP58" s="38">
        <f t="shared" si="141"/>
        <v>0</v>
      </c>
      <c r="DQ58" s="38">
        <f t="shared" si="142"/>
        <v>0</v>
      </c>
      <c r="DR58" s="38">
        <f t="shared" si="143"/>
        <v>0</v>
      </c>
      <c r="DS58" s="38">
        <f t="shared" si="144"/>
        <v>0</v>
      </c>
      <c r="DT58" s="38">
        <f t="shared" si="145"/>
        <v>0</v>
      </c>
      <c r="DU58" s="38">
        <f t="shared" si="146"/>
        <v>0</v>
      </c>
      <c r="DV58" s="38">
        <f t="shared" si="147"/>
        <v>0</v>
      </c>
      <c r="DW58" s="38">
        <f t="shared" si="148"/>
        <v>0.36808000000000002</v>
      </c>
      <c r="DX58" s="38">
        <f t="shared" si="149"/>
        <v>2.2336000000000002E-2</v>
      </c>
      <c r="DY58" s="38">
        <f t="shared" si="150"/>
        <v>0</v>
      </c>
      <c r="DZ58" s="38">
        <f t="shared" si="151"/>
        <v>0</v>
      </c>
      <c r="EA58" s="38">
        <f t="shared" si="152"/>
        <v>0</v>
      </c>
      <c r="EB58" s="38">
        <f t="shared" si="153"/>
        <v>0</v>
      </c>
      <c r="EC58" s="38">
        <f t="shared" si="154"/>
        <v>0</v>
      </c>
      <c r="ED58" s="38">
        <f t="shared" si="155"/>
        <v>0</v>
      </c>
      <c r="EE58" s="38">
        <f t="shared" si="156"/>
        <v>0</v>
      </c>
      <c r="EG58" s="38">
        <f t="shared" si="157"/>
        <v>0</v>
      </c>
      <c r="EH58" s="38">
        <f t="shared" si="158"/>
        <v>0</v>
      </c>
      <c r="EI58" s="38">
        <f t="shared" si="159"/>
        <v>0</v>
      </c>
      <c r="EJ58" s="38">
        <f t="shared" si="160"/>
        <v>0</v>
      </c>
      <c r="EK58" s="38">
        <f t="shared" si="161"/>
        <v>0</v>
      </c>
      <c r="EL58" s="38">
        <f t="shared" si="162"/>
        <v>0</v>
      </c>
      <c r="EM58" s="38">
        <f t="shared" si="163"/>
        <v>0</v>
      </c>
      <c r="EN58" s="38">
        <f t="shared" si="164"/>
        <v>0</v>
      </c>
      <c r="EO58" s="38">
        <f t="shared" si="165"/>
        <v>0</v>
      </c>
      <c r="EP58" s="38">
        <f t="shared" si="166"/>
        <v>4827.0011199999999</v>
      </c>
      <c r="EQ58" s="38">
        <f t="shared" si="167"/>
        <v>1622.0296880639999</v>
      </c>
      <c r="ER58" s="38">
        <f t="shared" si="168"/>
        <v>0</v>
      </c>
      <c r="ES58" s="38">
        <f t="shared" si="169"/>
        <v>0</v>
      </c>
      <c r="ET58" s="38">
        <f t="shared" si="170"/>
        <v>0</v>
      </c>
      <c r="EU58" s="38">
        <f t="shared" si="171"/>
        <v>0</v>
      </c>
      <c r="EV58" s="38">
        <f t="shared" si="172"/>
        <v>0</v>
      </c>
      <c r="EW58" s="38">
        <f t="shared" si="173"/>
        <v>0</v>
      </c>
      <c r="EX58" s="38">
        <f t="shared" si="174"/>
        <v>0</v>
      </c>
      <c r="EZ58" s="38">
        <f t="shared" si="175"/>
        <v>0</v>
      </c>
      <c r="FA58" s="38">
        <f t="shared" si="176"/>
        <v>0</v>
      </c>
      <c r="FB58" s="1">
        <f t="shared" si="177"/>
        <v>0</v>
      </c>
      <c r="FC58" s="1">
        <f t="shared" si="178"/>
        <v>0</v>
      </c>
      <c r="FD58" s="1">
        <f t="shared" si="179"/>
        <v>0</v>
      </c>
      <c r="FE58" s="1">
        <f t="shared" si="180"/>
        <v>0</v>
      </c>
      <c r="FF58" s="1">
        <f t="shared" si="181"/>
        <v>0</v>
      </c>
      <c r="FG58" s="1">
        <f t="shared" si="182"/>
        <v>0</v>
      </c>
      <c r="FH58" s="1">
        <f t="shared" si="183"/>
        <v>0</v>
      </c>
      <c r="FI58" s="1">
        <f t="shared" si="184"/>
        <v>0.28014000000000006</v>
      </c>
      <c r="FJ58" s="1">
        <f t="shared" si="185"/>
        <v>1.6100000000000003E-2</v>
      </c>
      <c r="FK58" s="1">
        <f t="shared" si="186"/>
        <v>0</v>
      </c>
      <c r="FL58" s="1">
        <f t="shared" si="187"/>
        <v>0</v>
      </c>
      <c r="FM58" s="1">
        <f t="shared" si="188"/>
        <v>0</v>
      </c>
      <c r="FN58" s="1">
        <f t="shared" si="189"/>
        <v>0</v>
      </c>
      <c r="FO58" s="1">
        <f t="shared" si="190"/>
        <v>0</v>
      </c>
      <c r="FP58" s="1">
        <f t="shared" si="191"/>
        <v>0</v>
      </c>
      <c r="FQ58" s="1">
        <f t="shared" si="192"/>
        <v>0</v>
      </c>
      <c r="FS58" s="1">
        <f t="shared" si="193"/>
        <v>0</v>
      </c>
      <c r="FT58" s="1">
        <f t="shared" si="194"/>
        <v>0</v>
      </c>
      <c r="FU58" s="38">
        <f t="shared" si="195"/>
        <v>0</v>
      </c>
      <c r="FV58" s="38">
        <f t="shared" si="196"/>
        <v>0</v>
      </c>
      <c r="FW58" s="38">
        <f t="shared" si="197"/>
        <v>0</v>
      </c>
      <c r="FX58" s="38">
        <f t="shared" si="198"/>
        <v>0</v>
      </c>
      <c r="FY58" s="38">
        <f t="shared" si="199"/>
        <v>0</v>
      </c>
      <c r="FZ58" s="38">
        <f t="shared" si="200"/>
        <v>0</v>
      </c>
      <c r="GA58" s="38">
        <f t="shared" si="201"/>
        <v>0</v>
      </c>
      <c r="GB58" s="38">
        <f t="shared" si="202"/>
        <v>3673.7559600000009</v>
      </c>
      <c r="GC58" s="38">
        <f t="shared" si="203"/>
        <v>1169.1743364000001</v>
      </c>
      <c r="GD58" s="38">
        <f t="shared" si="204"/>
        <v>0</v>
      </c>
      <c r="GE58" s="38">
        <f t="shared" si="205"/>
        <v>0</v>
      </c>
      <c r="GF58" s="38">
        <f t="shared" si="206"/>
        <v>0</v>
      </c>
      <c r="GG58" s="38">
        <f t="shared" si="207"/>
        <v>0</v>
      </c>
      <c r="GH58" s="38">
        <f t="shared" si="208"/>
        <v>0</v>
      </c>
      <c r="GI58" s="38">
        <f t="shared" si="209"/>
        <v>0</v>
      </c>
      <c r="GJ58" s="38">
        <f t="shared" si="210"/>
        <v>0</v>
      </c>
      <c r="GL58" s="38">
        <f t="shared" si="211"/>
        <v>0</v>
      </c>
      <c r="GM58" s="38">
        <f t="shared" si="212"/>
        <v>0</v>
      </c>
      <c r="GN58" s="1" t="s">
        <v>2</v>
      </c>
      <c r="GO58" s="1">
        <f t="shared" si="213"/>
        <v>36.5</v>
      </c>
      <c r="GP58" s="13">
        <f t="shared" si="214"/>
        <v>1.0084383561643835</v>
      </c>
      <c r="GQ58" s="41">
        <f t="shared" si="215"/>
        <v>368.08</v>
      </c>
      <c r="GR58" s="41">
        <f t="shared" si="216"/>
        <v>6449.0308080639998</v>
      </c>
      <c r="GS58" s="14">
        <f t="shared" si="217"/>
        <v>176.68577556339724</v>
      </c>
      <c r="GT58" s="1">
        <f t="shared" si="218"/>
        <v>0</v>
      </c>
      <c r="GU58" s="1">
        <f t="shared" si="219"/>
        <v>246.48</v>
      </c>
      <c r="GV58" s="1">
        <f t="shared" si="220"/>
        <v>121.6</v>
      </c>
      <c r="GW58" s="37">
        <f t="shared" si="221"/>
        <v>32.200000000000003</v>
      </c>
      <c r="GX58" s="44">
        <f>(BT58*CB58+CO58*CW58)/GW58</f>
        <v>0.87</v>
      </c>
      <c r="GY58" s="41">
        <f>1000*GW58*GX58/100</f>
        <v>280.14000000000004</v>
      </c>
      <c r="GZ58" s="43">
        <f>SUM(FU58:GM58)</f>
        <v>4842.9302964000008</v>
      </c>
      <c r="HA58" s="14">
        <f>GZ58/GW58</f>
        <v>150.40156200000001</v>
      </c>
      <c r="HB58" s="1">
        <f t="shared" si="222"/>
        <v>0</v>
      </c>
      <c r="HC58" s="1">
        <f t="shared" si="223"/>
        <v>280.14000000000004</v>
      </c>
      <c r="HD58" s="37" t="s">
        <v>2</v>
      </c>
      <c r="HE58" s="1" t="s">
        <v>31</v>
      </c>
      <c r="HF58" s="1" t="s">
        <v>230</v>
      </c>
      <c r="HG58" s="1" t="s">
        <v>230</v>
      </c>
      <c r="HI58" s="1" t="s">
        <v>96</v>
      </c>
      <c r="HJ58" s="37" t="s">
        <v>2</v>
      </c>
      <c r="JH58" s="58" t="s">
        <v>2</v>
      </c>
    </row>
    <row r="59" spans="1:268" ht="16.25" customHeight="1" x14ac:dyDescent="0.2">
      <c r="A59" s="21" t="s">
        <v>269</v>
      </c>
      <c r="B59" s="1" t="s">
        <v>69</v>
      </c>
      <c r="E59" s="1" t="s">
        <v>72</v>
      </c>
      <c r="F59" s="1" t="s">
        <v>266</v>
      </c>
      <c r="H59" s="1" t="s">
        <v>92</v>
      </c>
      <c r="I59" s="1">
        <v>0</v>
      </c>
      <c r="AD59" s="1">
        <v>10.1</v>
      </c>
      <c r="AL59" s="1">
        <v>1.03</v>
      </c>
      <c r="AM59" s="1">
        <v>6.6000000000000003E-2</v>
      </c>
      <c r="AY59" s="1">
        <v>0.7</v>
      </c>
      <c r="BG59" s="1">
        <v>0.99</v>
      </c>
      <c r="BH59" s="2">
        <v>7.0000000000000007E-2</v>
      </c>
      <c r="BT59" s="1">
        <v>0</v>
      </c>
      <c r="CO59" s="1">
        <v>0</v>
      </c>
      <c r="DJ59" s="1" t="s">
        <v>96</v>
      </c>
      <c r="DK59" s="1" t="s">
        <v>96</v>
      </c>
      <c r="DL59" s="1">
        <f t="shared" si="139"/>
        <v>1.0274074074074075</v>
      </c>
      <c r="DM59" s="1">
        <f t="shared" si="140"/>
        <v>6.6259259259259268E-2</v>
      </c>
      <c r="DN59" s="1" t="s">
        <v>67</v>
      </c>
      <c r="DO59" s="1" t="s">
        <v>2</v>
      </c>
      <c r="DP59" s="38">
        <f t="shared" si="141"/>
        <v>0</v>
      </c>
      <c r="DQ59" s="38">
        <f t="shared" si="142"/>
        <v>0</v>
      </c>
      <c r="DR59" s="38">
        <f t="shared" si="143"/>
        <v>0</v>
      </c>
      <c r="DS59" s="38">
        <f t="shared" si="144"/>
        <v>0</v>
      </c>
      <c r="DT59" s="38">
        <f t="shared" si="145"/>
        <v>0</v>
      </c>
      <c r="DU59" s="38">
        <f t="shared" si="146"/>
        <v>0</v>
      </c>
      <c r="DV59" s="38">
        <f t="shared" si="147"/>
        <v>0</v>
      </c>
      <c r="DW59" s="38">
        <f t="shared" si="148"/>
        <v>0.11096</v>
      </c>
      <c r="DX59" s="38">
        <f t="shared" si="149"/>
        <v>7.156E-3</v>
      </c>
      <c r="DY59" s="38">
        <f t="shared" si="150"/>
        <v>0</v>
      </c>
      <c r="DZ59" s="38">
        <f t="shared" si="151"/>
        <v>0</v>
      </c>
      <c r="EA59" s="38">
        <f t="shared" si="152"/>
        <v>0</v>
      </c>
      <c r="EB59" s="38">
        <f t="shared" si="153"/>
        <v>0</v>
      </c>
      <c r="EC59" s="38">
        <f t="shared" si="154"/>
        <v>0</v>
      </c>
      <c r="ED59" s="38">
        <f t="shared" si="155"/>
        <v>0</v>
      </c>
      <c r="EE59" s="38">
        <f t="shared" si="156"/>
        <v>0</v>
      </c>
      <c r="EG59" s="38">
        <f t="shared" si="157"/>
        <v>0</v>
      </c>
      <c r="EH59" s="38">
        <f t="shared" si="158"/>
        <v>0</v>
      </c>
      <c r="EI59" s="38">
        <f t="shared" si="159"/>
        <v>0</v>
      </c>
      <c r="EJ59" s="38">
        <f t="shared" si="160"/>
        <v>0</v>
      </c>
      <c r="EK59" s="38">
        <f t="shared" si="161"/>
        <v>0</v>
      </c>
      <c r="EL59" s="38">
        <f t="shared" si="162"/>
        <v>0</v>
      </c>
      <c r="EM59" s="38">
        <f t="shared" si="163"/>
        <v>0</v>
      </c>
      <c r="EN59" s="38">
        <f t="shared" si="164"/>
        <v>0</v>
      </c>
      <c r="EO59" s="38">
        <f t="shared" si="165"/>
        <v>0</v>
      </c>
      <c r="EP59" s="38">
        <f t="shared" si="166"/>
        <v>1455.1294399999999</v>
      </c>
      <c r="EQ59" s="38">
        <f t="shared" si="167"/>
        <v>519.66531374399995</v>
      </c>
      <c r="ER59" s="38">
        <f t="shared" si="168"/>
        <v>0</v>
      </c>
      <c r="ES59" s="38">
        <f t="shared" si="169"/>
        <v>0</v>
      </c>
      <c r="ET59" s="38">
        <f t="shared" si="170"/>
        <v>0</v>
      </c>
      <c r="EU59" s="38">
        <f t="shared" si="171"/>
        <v>0</v>
      </c>
      <c r="EV59" s="38">
        <f t="shared" si="172"/>
        <v>0</v>
      </c>
      <c r="EW59" s="38">
        <f t="shared" si="173"/>
        <v>0</v>
      </c>
      <c r="EX59" s="38">
        <f t="shared" si="174"/>
        <v>0</v>
      </c>
      <c r="EZ59" s="38">
        <f t="shared" si="175"/>
        <v>0</v>
      </c>
      <c r="FA59" s="38">
        <f t="shared" si="176"/>
        <v>0</v>
      </c>
      <c r="FB59" s="1">
        <f t="shared" si="177"/>
        <v>0</v>
      </c>
      <c r="FC59" s="1">
        <f t="shared" si="178"/>
        <v>0</v>
      </c>
      <c r="FD59" s="1">
        <f t="shared" si="179"/>
        <v>0</v>
      </c>
      <c r="FE59" s="1">
        <f t="shared" si="180"/>
        <v>0</v>
      </c>
      <c r="FF59" s="1">
        <f t="shared" si="181"/>
        <v>0</v>
      </c>
      <c r="FG59" s="1">
        <f t="shared" si="182"/>
        <v>0</v>
      </c>
      <c r="FH59" s="1">
        <f t="shared" si="183"/>
        <v>0</v>
      </c>
      <c r="FI59" s="1">
        <f t="shared" si="184"/>
        <v>0</v>
      </c>
      <c r="FJ59" s="1">
        <f t="shared" si="185"/>
        <v>0</v>
      </c>
      <c r="FK59" s="1">
        <f t="shared" si="186"/>
        <v>0</v>
      </c>
      <c r="FL59" s="1">
        <f t="shared" si="187"/>
        <v>0</v>
      </c>
      <c r="FM59" s="1">
        <f t="shared" si="188"/>
        <v>0</v>
      </c>
      <c r="FN59" s="1">
        <f t="shared" si="189"/>
        <v>0</v>
      </c>
      <c r="FO59" s="1">
        <f t="shared" si="190"/>
        <v>0</v>
      </c>
      <c r="FP59" s="1">
        <f t="shared" si="191"/>
        <v>0</v>
      </c>
      <c r="FQ59" s="1">
        <f t="shared" si="192"/>
        <v>0</v>
      </c>
      <c r="FS59" s="1">
        <f t="shared" si="193"/>
        <v>0</v>
      </c>
      <c r="FT59" s="1">
        <f t="shared" si="194"/>
        <v>0</v>
      </c>
      <c r="FU59" s="38">
        <f t="shared" si="195"/>
        <v>0</v>
      </c>
      <c r="FV59" s="38">
        <f t="shared" si="196"/>
        <v>0</v>
      </c>
      <c r="FW59" s="38">
        <f t="shared" si="197"/>
        <v>0</v>
      </c>
      <c r="FX59" s="38">
        <f t="shared" si="198"/>
        <v>0</v>
      </c>
      <c r="FY59" s="38">
        <f t="shared" si="199"/>
        <v>0</v>
      </c>
      <c r="FZ59" s="38">
        <f t="shared" si="200"/>
        <v>0</v>
      </c>
      <c r="GA59" s="38">
        <f t="shared" si="201"/>
        <v>0</v>
      </c>
      <c r="GB59" s="38">
        <f t="shared" si="202"/>
        <v>0</v>
      </c>
      <c r="GC59" s="38">
        <f t="shared" si="203"/>
        <v>0</v>
      </c>
      <c r="GD59" s="38">
        <f t="shared" si="204"/>
        <v>0</v>
      </c>
      <c r="GE59" s="38">
        <f t="shared" si="205"/>
        <v>0</v>
      </c>
      <c r="GF59" s="38">
        <f t="shared" si="206"/>
        <v>0</v>
      </c>
      <c r="GG59" s="38">
        <f t="shared" si="207"/>
        <v>0</v>
      </c>
      <c r="GH59" s="38">
        <f t="shared" si="208"/>
        <v>0</v>
      </c>
      <c r="GI59" s="38">
        <f t="shared" si="209"/>
        <v>0</v>
      </c>
      <c r="GJ59" s="38">
        <f t="shared" si="210"/>
        <v>0</v>
      </c>
      <c r="GL59" s="38">
        <f t="shared" si="211"/>
        <v>0</v>
      </c>
      <c r="GM59" s="38">
        <f t="shared" si="212"/>
        <v>0</v>
      </c>
      <c r="GN59" s="1" t="s">
        <v>2</v>
      </c>
      <c r="GO59" s="1">
        <f t="shared" si="213"/>
        <v>10.799999999999999</v>
      </c>
      <c r="GP59" s="13">
        <f t="shared" si="214"/>
        <v>1.0274074074074075</v>
      </c>
      <c r="GQ59" s="41">
        <f t="shared" si="215"/>
        <v>110.96</v>
      </c>
      <c r="GR59" s="41">
        <f t="shared" si="216"/>
        <v>1974.794753744</v>
      </c>
      <c r="GS59" s="14">
        <f t="shared" si="217"/>
        <v>182.85136608740743</v>
      </c>
      <c r="GT59" s="1">
        <f t="shared" si="218"/>
        <v>0</v>
      </c>
      <c r="GU59" s="1">
        <f t="shared" si="219"/>
        <v>104.03</v>
      </c>
      <c r="GV59" s="1">
        <f t="shared" si="220"/>
        <v>6.93</v>
      </c>
      <c r="GW59" s="37">
        <f t="shared" si="221"/>
        <v>0</v>
      </c>
      <c r="GX59" s="37"/>
      <c r="GY59" s="37"/>
      <c r="GZ59" s="37"/>
      <c r="HB59" s="1">
        <f t="shared" si="222"/>
        <v>0</v>
      </c>
      <c r="HC59" s="1">
        <f t="shared" si="223"/>
        <v>0</v>
      </c>
      <c r="HD59" s="37" t="s">
        <v>2</v>
      </c>
      <c r="HE59" s="1" t="s">
        <v>31</v>
      </c>
      <c r="HF59" s="1" t="s">
        <v>230</v>
      </c>
      <c r="HG59" s="1" t="s">
        <v>230</v>
      </c>
      <c r="HI59" s="1" t="s">
        <v>96</v>
      </c>
      <c r="HJ59" s="37" t="s">
        <v>2</v>
      </c>
      <c r="JH59" s="58" t="s">
        <v>2</v>
      </c>
    </row>
    <row r="60" spans="1:268" ht="16.25" customHeight="1" x14ac:dyDescent="0.2">
      <c r="A60" s="21" t="s">
        <v>270</v>
      </c>
      <c r="B60" s="1" t="s">
        <v>69</v>
      </c>
      <c r="E60" s="1" t="s">
        <v>72</v>
      </c>
      <c r="F60" s="1" t="s">
        <v>266</v>
      </c>
      <c r="H60" s="1" t="s">
        <v>92</v>
      </c>
      <c r="I60" s="1">
        <v>3.4</v>
      </c>
      <c r="Q60" s="1">
        <v>0.98</v>
      </c>
      <c r="R60" s="1">
        <v>6.2E-2</v>
      </c>
      <c r="AD60" s="1">
        <v>0.1</v>
      </c>
      <c r="AL60" s="1">
        <v>0.88</v>
      </c>
      <c r="AM60" s="1">
        <v>5.0999999999999997E-2</v>
      </c>
      <c r="AY60" s="1">
        <v>0.1</v>
      </c>
      <c r="BG60" s="1">
        <v>0.86</v>
      </c>
      <c r="BH60" s="1">
        <v>8.3000000000000004E-2</v>
      </c>
      <c r="BT60" s="1">
        <v>0</v>
      </c>
      <c r="CO60" s="1">
        <v>0</v>
      </c>
      <c r="DJ60" s="1" t="s">
        <v>96</v>
      </c>
      <c r="DK60" s="1" t="s">
        <v>96</v>
      </c>
      <c r="DL60" s="1">
        <f t="shared" si="139"/>
        <v>0.9738888888888888</v>
      </c>
      <c r="DM60" s="1">
        <f t="shared" si="140"/>
        <v>6.2277777777777772E-2</v>
      </c>
      <c r="DN60" s="1" t="s">
        <v>67</v>
      </c>
      <c r="DO60" s="1" t="s">
        <v>2</v>
      </c>
      <c r="DP60" s="38">
        <f t="shared" si="141"/>
        <v>0</v>
      </c>
      <c r="DQ60" s="38">
        <f t="shared" si="142"/>
        <v>0</v>
      </c>
      <c r="DR60" s="38">
        <f t="shared" si="143"/>
        <v>0</v>
      </c>
      <c r="DS60" s="38">
        <f t="shared" si="144"/>
        <v>0</v>
      </c>
      <c r="DT60" s="38">
        <f t="shared" si="145"/>
        <v>0</v>
      </c>
      <c r="DU60" s="38">
        <f t="shared" si="146"/>
        <v>0</v>
      </c>
      <c r="DV60" s="38">
        <f t="shared" si="147"/>
        <v>0</v>
      </c>
      <c r="DW60" s="38">
        <f t="shared" si="148"/>
        <v>3.5060000000000001E-2</v>
      </c>
      <c r="DX60" s="38">
        <f t="shared" si="149"/>
        <v>2.2419999999999996E-3</v>
      </c>
      <c r="DY60" s="38">
        <f t="shared" si="150"/>
        <v>0</v>
      </c>
      <c r="DZ60" s="38">
        <f t="shared" si="151"/>
        <v>0</v>
      </c>
      <c r="EA60" s="38">
        <f t="shared" si="152"/>
        <v>0</v>
      </c>
      <c r="EB60" s="38">
        <f t="shared" si="153"/>
        <v>0</v>
      </c>
      <c r="EC60" s="38">
        <f t="shared" si="154"/>
        <v>0</v>
      </c>
      <c r="ED60" s="38">
        <f t="shared" si="155"/>
        <v>0</v>
      </c>
      <c r="EE60" s="38">
        <f t="shared" si="156"/>
        <v>0</v>
      </c>
      <c r="EG60" s="38">
        <f t="shared" si="157"/>
        <v>0</v>
      </c>
      <c r="EH60" s="38">
        <f t="shared" si="158"/>
        <v>0</v>
      </c>
      <c r="EI60" s="38">
        <f t="shared" si="159"/>
        <v>0</v>
      </c>
      <c r="EJ60" s="38">
        <f t="shared" si="160"/>
        <v>0</v>
      </c>
      <c r="EK60" s="38">
        <f t="shared" si="161"/>
        <v>0</v>
      </c>
      <c r="EL60" s="38">
        <f t="shared" si="162"/>
        <v>0</v>
      </c>
      <c r="EM60" s="38">
        <f t="shared" si="163"/>
        <v>0</v>
      </c>
      <c r="EN60" s="38">
        <f t="shared" si="164"/>
        <v>0</v>
      </c>
      <c r="EO60" s="38">
        <f t="shared" si="165"/>
        <v>0</v>
      </c>
      <c r="EP60" s="38">
        <f t="shared" si="166"/>
        <v>459.77683999999999</v>
      </c>
      <c r="EQ60" s="38">
        <f t="shared" si="167"/>
        <v>162.81297280799996</v>
      </c>
      <c r="ER60" s="38">
        <f t="shared" si="168"/>
        <v>0</v>
      </c>
      <c r="ES60" s="38">
        <f t="shared" si="169"/>
        <v>0</v>
      </c>
      <c r="ET60" s="38">
        <f t="shared" si="170"/>
        <v>0</v>
      </c>
      <c r="EU60" s="38">
        <f t="shared" si="171"/>
        <v>0</v>
      </c>
      <c r="EV60" s="38">
        <f t="shared" si="172"/>
        <v>0</v>
      </c>
      <c r="EW60" s="38">
        <f t="shared" si="173"/>
        <v>0</v>
      </c>
      <c r="EX60" s="38">
        <f t="shared" si="174"/>
        <v>0</v>
      </c>
      <c r="EZ60" s="38">
        <f t="shared" si="175"/>
        <v>0</v>
      </c>
      <c r="FA60" s="38">
        <f t="shared" si="176"/>
        <v>0</v>
      </c>
      <c r="FB60" s="1">
        <f t="shared" si="177"/>
        <v>0</v>
      </c>
      <c r="FC60" s="1">
        <f t="shared" si="178"/>
        <v>0</v>
      </c>
      <c r="FD60" s="1">
        <f t="shared" si="179"/>
        <v>0</v>
      </c>
      <c r="FE60" s="1">
        <f t="shared" si="180"/>
        <v>0</v>
      </c>
      <c r="FF60" s="1">
        <f t="shared" si="181"/>
        <v>0</v>
      </c>
      <c r="FG60" s="1">
        <f t="shared" si="182"/>
        <v>0</v>
      </c>
      <c r="FH60" s="1">
        <f t="shared" si="183"/>
        <v>0</v>
      </c>
      <c r="FI60" s="1">
        <f t="shared" si="184"/>
        <v>0</v>
      </c>
      <c r="FJ60" s="1">
        <f t="shared" si="185"/>
        <v>0</v>
      </c>
      <c r="FK60" s="1">
        <f t="shared" si="186"/>
        <v>0</v>
      </c>
      <c r="FL60" s="1">
        <f t="shared" si="187"/>
        <v>0</v>
      </c>
      <c r="FM60" s="1">
        <f t="shared" si="188"/>
        <v>0</v>
      </c>
      <c r="FN60" s="1">
        <f t="shared" si="189"/>
        <v>0</v>
      </c>
      <c r="FO60" s="1">
        <f t="shared" si="190"/>
        <v>0</v>
      </c>
      <c r="FP60" s="1">
        <f t="shared" si="191"/>
        <v>0</v>
      </c>
      <c r="FQ60" s="1">
        <f t="shared" si="192"/>
        <v>0</v>
      </c>
      <c r="FS60" s="1">
        <f t="shared" si="193"/>
        <v>0</v>
      </c>
      <c r="FT60" s="1">
        <f t="shared" si="194"/>
        <v>0</v>
      </c>
      <c r="FU60" s="38">
        <f t="shared" si="195"/>
        <v>0</v>
      </c>
      <c r="FV60" s="38">
        <f t="shared" si="196"/>
        <v>0</v>
      </c>
      <c r="FW60" s="38">
        <f t="shared" si="197"/>
        <v>0</v>
      </c>
      <c r="FX60" s="38">
        <f t="shared" si="198"/>
        <v>0</v>
      </c>
      <c r="FY60" s="38">
        <f t="shared" si="199"/>
        <v>0</v>
      </c>
      <c r="FZ60" s="38">
        <f t="shared" si="200"/>
        <v>0</v>
      </c>
      <c r="GA60" s="38">
        <f t="shared" si="201"/>
        <v>0</v>
      </c>
      <c r="GB60" s="38">
        <f t="shared" si="202"/>
        <v>0</v>
      </c>
      <c r="GC60" s="38">
        <f t="shared" si="203"/>
        <v>0</v>
      </c>
      <c r="GD60" s="38">
        <f t="shared" si="204"/>
        <v>0</v>
      </c>
      <c r="GE60" s="38">
        <f t="shared" si="205"/>
        <v>0</v>
      </c>
      <c r="GF60" s="38">
        <f t="shared" si="206"/>
        <v>0</v>
      </c>
      <c r="GG60" s="38">
        <f t="shared" si="207"/>
        <v>0</v>
      </c>
      <c r="GH60" s="38">
        <f t="shared" si="208"/>
        <v>0</v>
      </c>
      <c r="GI60" s="38">
        <f t="shared" si="209"/>
        <v>0</v>
      </c>
      <c r="GJ60" s="38">
        <f t="shared" si="210"/>
        <v>0</v>
      </c>
      <c r="GL60" s="38">
        <f t="shared" si="211"/>
        <v>0</v>
      </c>
      <c r="GM60" s="38">
        <f t="shared" si="212"/>
        <v>0</v>
      </c>
      <c r="GN60" s="1" t="s">
        <v>2</v>
      </c>
      <c r="GO60" s="1">
        <f t="shared" si="213"/>
        <v>3.6</v>
      </c>
      <c r="GP60" s="13">
        <f t="shared" si="214"/>
        <v>0.9738888888888888</v>
      </c>
      <c r="GQ60" s="41">
        <f t="shared" si="215"/>
        <v>35.059999999999995</v>
      </c>
      <c r="GR60" s="41">
        <f t="shared" si="216"/>
        <v>622.58981280799992</v>
      </c>
      <c r="GS60" s="14">
        <f t="shared" si="217"/>
        <v>172.94161466888886</v>
      </c>
      <c r="GT60" s="1">
        <f t="shared" si="218"/>
        <v>33.32</v>
      </c>
      <c r="GU60" s="1">
        <f t="shared" si="219"/>
        <v>0.88000000000000012</v>
      </c>
      <c r="GV60" s="1">
        <f t="shared" si="220"/>
        <v>0.86</v>
      </c>
      <c r="GW60" s="37">
        <f t="shared" si="221"/>
        <v>0</v>
      </c>
      <c r="GX60" s="37"/>
      <c r="GY60" s="37"/>
      <c r="GZ60" s="37"/>
      <c r="HB60" s="1">
        <f t="shared" si="222"/>
        <v>0</v>
      </c>
      <c r="HC60" s="1">
        <f t="shared" si="223"/>
        <v>0</v>
      </c>
      <c r="HD60" s="37" t="s">
        <v>2</v>
      </c>
      <c r="HE60" s="1" t="s">
        <v>31</v>
      </c>
      <c r="HF60" s="1" t="s">
        <v>230</v>
      </c>
      <c r="HG60" s="1" t="s">
        <v>230</v>
      </c>
      <c r="HI60" s="1" t="s">
        <v>96</v>
      </c>
      <c r="HJ60" s="37" t="s">
        <v>2</v>
      </c>
      <c r="JH60" s="58" t="s">
        <v>2</v>
      </c>
    </row>
    <row r="61" spans="1:268" ht="16.25" customHeight="1" x14ac:dyDescent="0.2">
      <c r="A61" s="21" t="s">
        <v>271</v>
      </c>
      <c r="B61" s="1" t="s">
        <v>69</v>
      </c>
      <c r="E61" s="1" t="s">
        <v>72</v>
      </c>
      <c r="F61" s="1" t="s">
        <v>266</v>
      </c>
      <c r="H61" s="1" t="s">
        <v>92</v>
      </c>
      <c r="I61" s="1">
        <v>1.5</v>
      </c>
      <c r="Q61" s="1">
        <v>1.01</v>
      </c>
      <c r="R61" s="1">
        <v>6.2E-2</v>
      </c>
      <c r="AD61" s="1">
        <v>0.3</v>
      </c>
      <c r="AL61" s="1">
        <v>0.91</v>
      </c>
      <c r="AM61" s="1">
        <v>2.5000000000000001E-2</v>
      </c>
      <c r="AY61" s="1">
        <v>0</v>
      </c>
      <c r="BT61" s="1">
        <v>0</v>
      </c>
      <c r="CO61" s="1">
        <v>0</v>
      </c>
      <c r="DJ61" s="1" t="s">
        <v>96</v>
      </c>
      <c r="DK61" s="1" t="s">
        <v>96</v>
      </c>
      <c r="DL61" s="1">
        <f t="shared" si="139"/>
        <v>0.9933333333333334</v>
      </c>
      <c r="DM61" s="1">
        <f t="shared" si="140"/>
        <v>5.5833333333333332E-2</v>
      </c>
      <c r="DN61" s="1" t="s">
        <v>67</v>
      </c>
      <c r="DO61" s="1" t="s">
        <v>2</v>
      </c>
      <c r="DP61" s="38">
        <f t="shared" si="141"/>
        <v>0</v>
      </c>
      <c r="DQ61" s="38">
        <f t="shared" si="142"/>
        <v>0</v>
      </c>
      <c r="DR61" s="38">
        <f t="shared" si="143"/>
        <v>0</v>
      </c>
      <c r="DS61" s="38">
        <f t="shared" si="144"/>
        <v>0</v>
      </c>
      <c r="DT61" s="38">
        <f t="shared" si="145"/>
        <v>0</v>
      </c>
      <c r="DU61" s="38">
        <f t="shared" si="146"/>
        <v>0</v>
      </c>
      <c r="DV61" s="38">
        <f t="shared" si="147"/>
        <v>0</v>
      </c>
      <c r="DW61" s="38">
        <f t="shared" si="148"/>
        <v>1.7880000000000004E-2</v>
      </c>
      <c r="DX61" s="38">
        <f t="shared" si="149"/>
        <v>1.005E-3</v>
      </c>
      <c r="DY61" s="38">
        <f t="shared" si="150"/>
        <v>0</v>
      </c>
      <c r="DZ61" s="38">
        <f t="shared" si="151"/>
        <v>0</v>
      </c>
      <c r="EA61" s="38">
        <f t="shared" si="152"/>
        <v>0</v>
      </c>
      <c r="EB61" s="38">
        <f t="shared" si="153"/>
        <v>0</v>
      </c>
      <c r="EC61" s="38">
        <f t="shared" si="154"/>
        <v>0</v>
      </c>
      <c r="ED61" s="38">
        <f t="shared" si="155"/>
        <v>0</v>
      </c>
      <c r="EE61" s="38">
        <f t="shared" si="156"/>
        <v>0</v>
      </c>
      <c r="EG61" s="38">
        <f t="shared" si="157"/>
        <v>0</v>
      </c>
      <c r="EH61" s="38">
        <f t="shared" si="158"/>
        <v>0</v>
      </c>
      <c r="EI61" s="38">
        <f t="shared" si="159"/>
        <v>0</v>
      </c>
      <c r="EJ61" s="38">
        <f t="shared" si="160"/>
        <v>0</v>
      </c>
      <c r="EK61" s="38">
        <f t="shared" si="161"/>
        <v>0</v>
      </c>
      <c r="EL61" s="38">
        <f t="shared" si="162"/>
        <v>0</v>
      </c>
      <c r="EM61" s="38">
        <f t="shared" si="163"/>
        <v>0</v>
      </c>
      <c r="EN61" s="38">
        <f t="shared" si="164"/>
        <v>0</v>
      </c>
      <c r="EO61" s="38">
        <f t="shared" si="165"/>
        <v>0</v>
      </c>
      <c r="EP61" s="38">
        <f t="shared" si="166"/>
        <v>234.47832000000005</v>
      </c>
      <c r="EQ61" s="38">
        <f t="shared" si="167"/>
        <v>72.982621619999989</v>
      </c>
      <c r="ER61" s="38">
        <f t="shared" si="168"/>
        <v>0</v>
      </c>
      <c r="ES61" s="38">
        <f t="shared" si="169"/>
        <v>0</v>
      </c>
      <c r="ET61" s="38">
        <f t="shared" si="170"/>
        <v>0</v>
      </c>
      <c r="EU61" s="38">
        <f t="shared" si="171"/>
        <v>0</v>
      </c>
      <c r="EV61" s="38">
        <f t="shared" si="172"/>
        <v>0</v>
      </c>
      <c r="EW61" s="38">
        <f t="shared" si="173"/>
        <v>0</v>
      </c>
      <c r="EX61" s="38">
        <f t="shared" si="174"/>
        <v>0</v>
      </c>
      <c r="EZ61" s="38">
        <f t="shared" si="175"/>
        <v>0</v>
      </c>
      <c r="FA61" s="38">
        <f t="shared" si="176"/>
        <v>0</v>
      </c>
      <c r="FB61" s="1">
        <f t="shared" si="177"/>
        <v>0</v>
      </c>
      <c r="FC61" s="1">
        <f t="shared" si="178"/>
        <v>0</v>
      </c>
      <c r="FD61" s="1">
        <f t="shared" si="179"/>
        <v>0</v>
      </c>
      <c r="FE61" s="1">
        <f t="shared" si="180"/>
        <v>0</v>
      </c>
      <c r="FF61" s="1">
        <f t="shared" si="181"/>
        <v>0</v>
      </c>
      <c r="FG61" s="1">
        <f t="shared" si="182"/>
        <v>0</v>
      </c>
      <c r="FH61" s="1">
        <f t="shared" si="183"/>
        <v>0</v>
      </c>
      <c r="FI61" s="1">
        <f t="shared" si="184"/>
        <v>0</v>
      </c>
      <c r="FJ61" s="1">
        <f t="shared" si="185"/>
        <v>0</v>
      </c>
      <c r="FK61" s="1">
        <f t="shared" si="186"/>
        <v>0</v>
      </c>
      <c r="FL61" s="1">
        <f t="shared" si="187"/>
        <v>0</v>
      </c>
      <c r="FM61" s="1">
        <f t="shared" si="188"/>
        <v>0</v>
      </c>
      <c r="FN61" s="1">
        <f t="shared" si="189"/>
        <v>0</v>
      </c>
      <c r="FO61" s="1">
        <f t="shared" si="190"/>
        <v>0</v>
      </c>
      <c r="FP61" s="1">
        <f t="shared" si="191"/>
        <v>0</v>
      </c>
      <c r="FQ61" s="1">
        <f t="shared" si="192"/>
        <v>0</v>
      </c>
      <c r="FS61" s="1">
        <f t="shared" si="193"/>
        <v>0</v>
      </c>
      <c r="FT61" s="1">
        <f t="shared" si="194"/>
        <v>0</v>
      </c>
      <c r="FU61" s="38">
        <f t="shared" si="195"/>
        <v>0</v>
      </c>
      <c r="FV61" s="38">
        <f t="shared" si="196"/>
        <v>0</v>
      </c>
      <c r="FW61" s="38">
        <f t="shared" si="197"/>
        <v>0</v>
      </c>
      <c r="FX61" s="38">
        <f t="shared" si="198"/>
        <v>0</v>
      </c>
      <c r="FY61" s="38">
        <f t="shared" si="199"/>
        <v>0</v>
      </c>
      <c r="FZ61" s="38">
        <f t="shared" si="200"/>
        <v>0</v>
      </c>
      <c r="GA61" s="38">
        <f t="shared" si="201"/>
        <v>0</v>
      </c>
      <c r="GB61" s="38">
        <f t="shared" si="202"/>
        <v>0</v>
      </c>
      <c r="GC61" s="38">
        <f t="shared" si="203"/>
        <v>0</v>
      </c>
      <c r="GD61" s="38">
        <f t="shared" si="204"/>
        <v>0</v>
      </c>
      <c r="GE61" s="38">
        <f t="shared" si="205"/>
        <v>0</v>
      </c>
      <c r="GF61" s="38">
        <f t="shared" si="206"/>
        <v>0</v>
      </c>
      <c r="GG61" s="38">
        <f t="shared" si="207"/>
        <v>0</v>
      </c>
      <c r="GH61" s="38">
        <f t="shared" si="208"/>
        <v>0</v>
      </c>
      <c r="GI61" s="38">
        <f t="shared" si="209"/>
        <v>0</v>
      </c>
      <c r="GJ61" s="38">
        <f t="shared" si="210"/>
        <v>0</v>
      </c>
      <c r="GL61" s="38">
        <f t="shared" si="211"/>
        <v>0</v>
      </c>
      <c r="GM61" s="38">
        <f t="shared" si="212"/>
        <v>0</v>
      </c>
      <c r="GN61" s="1" t="s">
        <v>2</v>
      </c>
      <c r="GO61" s="1">
        <f t="shared" si="213"/>
        <v>1.8</v>
      </c>
      <c r="GP61" s="13">
        <f t="shared" si="214"/>
        <v>0.9933333333333334</v>
      </c>
      <c r="GQ61" s="41">
        <f t="shared" si="215"/>
        <v>17.880000000000003</v>
      </c>
      <c r="GR61" s="41">
        <f t="shared" si="216"/>
        <v>307.46094162000003</v>
      </c>
      <c r="GS61" s="14">
        <f t="shared" si="217"/>
        <v>170.81163423333334</v>
      </c>
      <c r="GT61" s="1">
        <f t="shared" si="218"/>
        <v>15.150000000000002</v>
      </c>
      <c r="GU61" s="1">
        <f t="shared" si="219"/>
        <v>2.73</v>
      </c>
      <c r="GV61" s="1">
        <f t="shared" si="220"/>
        <v>0</v>
      </c>
      <c r="GW61" s="37">
        <f t="shared" si="221"/>
        <v>0</v>
      </c>
      <c r="GX61" s="37"/>
      <c r="GY61" s="37"/>
      <c r="GZ61" s="37"/>
      <c r="HB61" s="1">
        <f t="shared" si="222"/>
        <v>0</v>
      </c>
      <c r="HC61" s="1">
        <f t="shared" si="223"/>
        <v>0</v>
      </c>
      <c r="HD61" s="37" t="s">
        <v>2</v>
      </c>
      <c r="HE61" s="1" t="s">
        <v>31</v>
      </c>
      <c r="HF61" s="1" t="s">
        <v>230</v>
      </c>
      <c r="HG61" s="1" t="s">
        <v>230</v>
      </c>
      <c r="HI61" s="1" t="s">
        <v>96</v>
      </c>
      <c r="HJ61" s="37" t="s">
        <v>2</v>
      </c>
      <c r="JH61" s="58" t="s">
        <v>2</v>
      </c>
    </row>
    <row r="62" spans="1:268" ht="16.25" customHeight="1" x14ac:dyDescent="0.2">
      <c r="A62" s="21" t="s">
        <v>272</v>
      </c>
      <c r="B62" s="1" t="s">
        <v>69</v>
      </c>
      <c r="E62" s="1" t="s">
        <v>72</v>
      </c>
      <c r="F62" s="1" t="s">
        <v>266</v>
      </c>
      <c r="H62" s="1" t="s">
        <v>92</v>
      </c>
      <c r="I62" s="1">
        <v>0</v>
      </c>
      <c r="AD62" s="1">
        <v>1.9</v>
      </c>
      <c r="AL62" s="1">
        <v>0.98</v>
      </c>
      <c r="AM62" s="2">
        <v>7.0000000000000007E-2</v>
      </c>
      <c r="AY62" s="1">
        <v>0</v>
      </c>
      <c r="BT62" s="1">
        <v>0</v>
      </c>
      <c r="CO62" s="1">
        <v>0</v>
      </c>
      <c r="DJ62" s="1" t="s">
        <v>96</v>
      </c>
      <c r="DK62" s="1" t="s">
        <v>96</v>
      </c>
      <c r="DL62" s="1">
        <f t="shared" si="139"/>
        <v>0.98</v>
      </c>
      <c r="DM62" s="1">
        <f t="shared" si="140"/>
        <v>7.0000000000000007E-2</v>
      </c>
      <c r="DN62" s="1" t="s">
        <v>67</v>
      </c>
      <c r="DO62" s="1" t="s">
        <v>2</v>
      </c>
      <c r="DP62" s="38">
        <f t="shared" si="141"/>
        <v>0</v>
      </c>
      <c r="DQ62" s="38">
        <f t="shared" si="142"/>
        <v>0</v>
      </c>
      <c r="DR62" s="38">
        <f t="shared" si="143"/>
        <v>0</v>
      </c>
      <c r="DS62" s="38">
        <f t="shared" si="144"/>
        <v>0</v>
      </c>
      <c r="DT62" s="38">
        <f t="shared" si="145"/>
        <v>0</v>
      </c>
      <c r="DU62" s="38">
        <f t="shared" si="146"/>
        <v>0</v>
      </c>
      <c r="DV62" s="38">
        <f t="shared" si="147"/>
        <v>0</v>
      </c>
      <c r="DW62" s="38">
        <f t="shared" si="148"/>
        <v>1.8619999999999998E-2</v>
      </c>
      <c r="DX62" s="38">
        <f t="shared" si="149"/>
        <v>1.33E-3</v>
      </c>
      <c r="DY62" s="38">
        <f t="shared" si="150"/>
        <v>0</v>
      </c>
      <c r="DZ62" s="38">
        <f t="shared" si="151"/>
        <v>0</v>
      </c>
      <c r="EA62" s="38">
        <f t="shared" si="152"/>
        <v>0</v>
      </c>
      <c r="EB62" s="38">
        <f t="shared" si="153"/>
        <v>0</v>
      </c>
      <c r="EC62" s="38">
        <f t="shared" si="154"/>
        <v>0</v>
      </c>
      <c r="ED62" s="38">
        <f t="shared" si="155"/>
        <v>0</v>
      </c>
      <c r="EE62" s="38">
        <f t="shared" si="156"/>
        <v>0</v>
      </c>
      <c r="EG62" s="38">
        <f t="shared" si="157"/>
        <v>0</v>
      </c>
      <c r="EH62" s="38">
        <f t="shared" si="158"/>
        <v>0</v>
      </c>
      <c r="EI62" s="38">
        <f t="shared" si="159"/>
        <v>0</v>
      </c>
      <c r="EJ62" s="38">
        <f t="shared" si="160"/>
        <v>0</v>
      </c>
      <c r="EK62" s="38">
        <f t="shared" si="161"/>
        <v>0</v>
      </c>
      <c r="EL62" s="38">
        <f t="shared" si="162"/>
        <v>0</v>
      </c>
      <c r="EM62" s="38">
        <f t="shared" si="163"/>
        <v>0</v>
      </c>
      <c r="EN62" s="38">
        <f t="shared" si="164"/>
        <v>0</v>
      </c>
      <c r="EO62" s="38">
        <f t="shared" si="165"/>
        <v>0</v>
      </c>
      <c r="EP62" s="38">
        <f t="shared" si="166"/>
        <v>244.18267999999998</v>
      </c>
      <c r="EQ62" s="38">
        <f t="shared" si="167"/>
        <v>96.583966919999995</v>
      </c>
      <c r="ER62" s="38">
        <f t="shared" si="168"/>
        <v>0</v>
      </c>
      <c r="ES62" s="38">
        <f t="shared" si="169"/>
        <v>0</v>
      </c>
      <c r="ET62" s="38">
        <f t="shared" si="170"/>
        <v>0</v>
      </c>
      <c r="EU62" s="38">
        <f t="shared" si="171"/>
        <v>0</v>
      </c>
      <c r="EV62" s="38">
        <f t="shared" si="172"/>
        <v>0</v>
      </c>
      <c r="EW62" s="38">
        <f t="shared" si="173"/>
        <v>0</v>
      </c>
      <c r="EX62" s="38">
        <f t="shared" si="174"/>
        <v>0</v>
      </c>
      <c r="EZ62" s="38">
        <f t="shared" si="175"/>
        <v>0</v>
      </c>
      <c r="FA62" s="38">
        <f t="shared" si="176"/>
        <v>0</v>
      </c>
      <c r="FB62" s="1">
        <f t="shared" si="177"/>
        <v>0</v>
      </c>
      <c r="FC62" s="1">
        <f t="shared" si="178"/>
        <v>0</v>
      </c>
      <c r="FD62" s="1">
        <f t="shared" si="179"/>
        <v>0</v>
      </c>
      <c r="FE62" s="1">
        <f t="shared" si="180"/>
        <v>0</v>
      </c>
      <c r="FF62" s="1">
        <f t="shared" si="181"/>
        <v>0</v>
      </c>
      <c r="FG62" s="1">
        <f t="shared" si="182"/>
        <v>0</v>
      </c>
      <c r="FH62" s="1">
        <f t="shared" si="183"/>
        <v>0</v>
      </c>
      <c r="FI62" s="1">
        <f t="shared" si="184"/>
        <v>0</v>
      </c>
      <c r="FJ62" s="1">
        <f t="shared" si="185"/>
        <v>0</v>
      </c>
      <c r="FK62" s="1">
        <f t="shared" si="186"/>
        <v>0</v>
      </c>
      <c r="FL62" s="1">
        <f t="shared" si="187"/>
        <v>0</v>
      </c>
      <c r="FM62" s="1">
        <f t="shared" si="188"/>
        <v>0</v>
      </c>
      <c r="FN62" s="1">
        <f t="shared" si="189"/>
        <v>0</v>
      </c>
      <c r="FO62" s="1">
        <f t="shared" si="190"/>
        <v>0</v>
      </c>
      <c r="FP62" s="1">
        <f t="shared" si="191"/>
        <v>0</v>
      </c>
      <c r="FQ62" s="1">
        <f t="shared" si="192"/>
        <v>0</v>
      </c>
      <c r="FS62" s="1">
        <f t="shared" si="193"/>
        <v>0</v>
      </c>
      <c r="FT62" s="1">
        <f t="shared" si="194"/>
        <v>0</v>
      </c>
      <c r="FU62" s="38">
        <f t="shared" si="195"/>
        <v>0</v>
      </c>
      <c r="FV62" s="38">
        <f t="shared" si="196"/>
        <v>0</v>
      </c>
      <c r="FW62" s="38">
        <f t="shared" si="197"/>
        <v>0</v>
      </c>
      <c r="FX62" s="38">
        <f t="shared" si="198"/>
        <v>0</v>
      </c>
      <c r="FY62" s="38">
        <f t="shared" si="199"/>
        <v>0</v>
      </c>
      <c r="FZ62" s="38">
        <f t="shared" si="200"/>
        <v>0</v>
      </c>
      <c r="GA62" s="38">
        <f t="shared" si="201"/>
        <v>0</v>
      </c>
      <c r="GB62" s="38">
        <f t="shared" si="202"/>
        <v>0</v>
      </c>
      <c r="GC62" s="38">
        <f t="shared" si="203"/>
        <v>0</v>
      </c>
      <c r="GD62" s="38">
        <f t="shared" si="204"/>
        <v>0</v>
      </c>
      <c r="GE62" s="38">
        <f t="shared" si="205"/>
        <v>0</v>
      </c>
      <c r="GF62" s="38">
        <f t="shared" si="206"/>
        <v>0</v>
      </c>
      <c r="GG62" s="38">
        <f t="shared" si="207"/>
        <v>0</v>
      </c>
      <c r="GH62" s="38">
        <f t="shared" si="208"/>
        <v>0</v>
      </c>
      <c r="GI62" s="38">
        <f t="shared" si="209"/>
        <v>0</v>
      </c>
      <c r="GJ62" s="38">
        <f t="shared" si="210"/>
        <v>0</v>
      </c>
      <c r="GL62" s="38">
        <f t="shared" si="211"/>
        <v>0</v>
      </c>
      <c r="GM62" s="38">
        <f t="shared" si="212"/>
        <v>0</v>
      </c>
      <c r="GN62" s="1" t="s">
        <v>2</v>
      </c>
      <c r="GO62" s="1">
        <f t="shared" si="213"/>
        <v>1.9</v>
      </c>
      <c r="GP62" s="1">
        <f t="shared" si="214"/>
        <v>0.98</v>
      </c>
      <c r="GQ62" s="41">
        <f t="shared" si="215"/>
        <v>18.62</v>
      </c>
      <c r="GR62" s="41">
        <f t="shared" si="216"/>
        <v>340.76664691999997</v>
      </c>
      <c r="GS62" s="14">
        <f t="shared" si="217"/>
        <v>179.35086680000001</v>
      </c>
      <c r="GT62" s="1">
        <f t="shared" si="218"/>
        <v>0</v>
      </c>
      <c r="GU62" s="1">
        <f t="shared" si="219"/>
        <v>18.619999999999997</v>
      </c>
      <c r="GV62" s="1">
        <f t="shared" si="220"/>
        <v>0</v>
      </c>
      <c r="GW62" s="37">
        <f t="shared" si="221"/>
        <v>0</v>
      </c>
      <c r="GX62" s="37"/>
      <c r="GY62" s="37"/>
      <c r="GZ62" s="37"/>
      <c r="HB62" s="1">
        <f t="shared" si="222"/>
        <v>0</v>
      </c>
      <c r="HC62" s="1">
        <f t="shared" si="223"/>
        <v>0</v>
      </c>
      <c r="HD62" s="37" t="s">
        <v>2</v>
      </c>
      <c r="HE62" s="1" t="s">
        <v>31</v>
      </c>
      <c r="HF62" s="1" t="s">
        <v>230</v>
      </c>
      <c r="HG62" s="1" t="s">
        <v>230</v>
      </c>
      <c r="HI62" s="1" t="s">
        <v>96</v>
      </c>
      <c r="HJ62" s="37" t="s">
        <v>2</v>
      </c>
      <c r="JH62" s="58" t="s">
        <v>2</v>
      </c>
    </row>
    <row r="63" spans="1:268" ht="16.25" customHeight="1" x14ac:dyDescent="0.2">
      <c r="A63" s="21" t="s">
        <v>273</v>
      </c>
      <c r="B63" s="1" t="s">
        <v>69</v>
      </c>
      <c r="E63" s="1" t="s">
        <v>72</v>
      </c>
      <c r="F63" s="1" t="s">
        <v>274</v>
      </c>
      <c r="H63" s="1" t="s">
        <v>204</v>
      </c>
      <c r="I63" s="1">
        <v>0</v>
      </c>
      <c r="AD63" s="1">
        <v>0</v>
      </c>
      <c r="AY63" s="1">
        <v>5.7</v>
      </c>
      <c r="BG63" s="14">
        <v>1</v>
      </c>
      <c r="BH63" s="1">
        <v>0.08</v>
      </c>
      <c r="BT63" s="1">
        <v>0</v>
      </c>
      <c r="CO63" s="1">
        <v>0</v>
      </c>
      <c r="DJ63" s="1" t="s">
        <v>96</v>
      </c>
      <c r="DK63" s="1" t="s">
        <v>96</v>
      </c>
      <c r="DL63" s="1">
        <f t="shared" si="139"/>
        <v>1</v>
      </c>
      <c r="DM63" s="1">
        <f t="shared" si="140"/>
        <v>0.08</v>
      </c>
      <c r="DN63" s="1" t="s">
        <v>275</v>
      </c>
      <c r="DO63" s="1" t="s">
        <v>2</v>
      </c>
      <c r="DP63" s="38">
        <f t="shared" si="141"/>
        <v>0</v>
      </c>
      <c r="DQ63" s="38">
        <f t="shared" si="142"/>
        <v>0</v>
      </c>
      <c r="DR63" s="38">
        <f t="shared" si="143"/>
        <v>0</v>
      </c>
      <c r="DS63" s="38">
        <f t="shared" si="144"/>
        <v>0</v>
      </c>
      <c r="DT63" s="38">
        <f t="shared" si="145"/>
        <v>0</v>
      </c>
      <c r="DU63" s="38">
        <f t="shared" si="146"/>
        <v>0</v>
      </c>
      <c r="DV63" s="38">
        <f t="shared" si="147"/>
        <v>0</v>
      </c>
      <c r="DW63" s="38">
        <f t="shared" si="148"/>
        <v>5.7000000000000002E-2</v>
      </c>
      <c r="DX63" s="38">
        <f t="shared" si="149"/>
        <v>4.5599999999999998E-3</v>
      </c>
      <c r="DY63" s="38">
        <f t="shared" si="150"/>
        <v>0</v>
      </c>
      <c r="DZ63" s="38">
        <f t="shared" si="151"/>
        <v>0</v>
      </c>
      <c r="EA63" s="38">
        <f t="shared" si="152"/>
        <v>0</v>
      </c>
      <c r="EB63" s="38">
        <f t="shared" si="153"/>
        <v>0</v>
      </c>
      <c r="EC63" s="38">
        <f t="shared" si="154"/>
        <v>0</v>
      </c>
      <c r="ED63" s="38">
        <f t="shared" si="155"/>
        <v>0</v>
      </c>
      <c r="EE63" s="38">
        <f t="shared" si="156"/>
        <v>0</v>
      </c>
      <c r="EG63" s="38">
        <f t="shared" si="157"/>
        <v>0</v>
      </c>
      <c r="EH63" s="38">
        <f t="shared" si="158"/>
        <v>0</v>
      </c>
      <c r="EI63" s="38">
        <f t="shared" si="159"/>
        <v>0</v>
      </c>
      <c r="EJ63" s="38">
        <f t="shared" si="160"/>
        <v>0</v>
      </c>
      <c r="EK63" s="38">
        <f t="shared" si="161"/>
        <v>0</v>
      </c>
      <c r="EL63" s="38">
        <f t="shared" si="162"/>
        <v>0</v>
      </c>
      <c r="EM63" s="38">
        <f t="shared" si="163"/>
        <v>0</v>
      </c>
      <c r="EN63" s="38">
        <f t="shared" si="164"/>
        <v>0</v>
      </c>
      <c r="EO63" s="38">
        <f t="shared" si="165"/>
        <v>0</v>
      </c>
      <c r="EP63" s="38">
        <f t="shared" si="166"/>
        <v>747.49800000000005</v>
      </c>
      <c r="EQ63" s="38">
        <f t="shared" si="167"/>
        <v>331.14502943999992</v>
      </c>
      <c r="ER63" s="38">
        <f t="shared" si="168"/>
        <v>0</v>
      </c>
      <c r="ES63" s="38">
        <f t="shared" si="169"/>
        <v>0</v>
      </c>
      <c r="ET63" s="38">
        <f t="shared" si="170"/>
        <v>0</v>
      </c>
      <c r="EU63" s="38">
        <f t="shared" si="171"/>
        <v>0</v>
      </c>
      <c r="EV63" s="38">
        <f t="shared" si="172"/>
        <v>0</v>
      </c>
      <c r="EW63" s="38">
        <f t="shared" si="173"/>
        <v>0</v>
      </c>
      <c r="EX63" s="38">
        <f t="shared" si="174"/>
        <v>0</v>
      </c>
      <c r="EZ63" s="38">
        <f t="shared" si="175"/>
        <v>0</v>
      </c>
      <c r="FA63" s="38">
        <f t="shared" si="176"/>
        <v>0</v>
      </c>
      <c r="FB63" s="1">
        <f t="shared" si="177"/>
        <v>0</v>
      </c>
      <c r="FC63" s="1">
        <f t="shared" si="178"/>
        <v>0</v>
      </c>
      <c r="FD63" s="1">
        <f t="shared" si="179"/>
        <v>0</v>
      </c>
      <c r="FE63" s="1">
        <f t="shared" si="180"/>
        <v>0</v>
      </c>
      <c r="FF63" s="1">
        <f t="shared" si="181"/>
        <v>0</v>
      </c>
      <c r="FG63" s="1">
        <f t="shared" si="182"/>
        <v>0</v>
      </c>
      <c r="FH63" s="1">
        <f t="shared" si="183"/>
        <v>0</v>
      </c>
      <c r="FI63" s="1">
        <f t="shared" si="184"/>
        <v>0</v>
      </c>
      <c r="FJ63" s="1">
        <f t="shared" si="185"/>
        <v>0</v>
      </c>
      <c r="FK63" s="1">
        <f t="shared" si="186"/>
        <v>0</v>
      </c>
      <c r="FL63" s="1">
        <f t="shared" si="187"/>
        <v>0</v>
      </c>
      <c r="FM63" s="1">
        <f t="shared" si="188"/>
        <v>0</v>
      </c>
      <c r="FN63" s="1">
        <f t="shared" si="189"/>
        <v>0</v>
      </c>
      <c r="FO63" s="1">
        <f t="shared" si="190"/>
        <v>0</v>
      </c>
      <c r="FP63" s="1">
        <f t="shared" si="191"/>
        <v>0</v>
      </c>
      <c r="FQ63" s="1">
        <f t="shared" si="192"/>
        <v>0</v>
      </c>
      <c r="FS63" s="1">
        <f t="shared" si="193"/>
        <v>0</v>
      </c>
      <c r="FT63" s="1">
        <f t="shared" si="194"/>
        <v>0</v>
      </c>
      <c r="FU63" s="38">
        <f t="shared" si="195"/>
        <v>0</v>
      </c>
      <c r="FV63" s="38">
        <f t="shared" si="196"/>
        <v>0</v>
      </c>
      <c r="FW63" s="38">
        <f t="shared" si="197"/>
        <v>0</v>
      </c>
      <c r="FX63" s="38">
        <f t="shared" si="198"/>
        <v>0</v>
      </c>
      <c r="FY63" s="38">
        <f t="shared" si="199"/>
        <v>0</v>
      </c>
      <c r="FZ63" s="38">
        <f t="shared" si="200"/>
        <v>0</v>
      </c>
      <c r="GA63" s="38">
        <f t="shared" si="201"/>
        <v>0</v>
      </c>
      <c r="GB63" s="38">
        <f t="shared" si="202"/>
        <v>0</v>
      </c>
      <c r="GC63" s="38">
        <f t="shared" si="203"/>
        <v>0</v>
      </c>
      <c r="GD63" s="38">
        <f t="shared" si="204"/>
        <v>0</v>
      </c>
      <c r="GE63" s="38">
        <f t="shared" si="205"/>
        <v>0</v>
      </c>
      <c r="GF63" s="38">
        <f t="shared" si="206"/>
        <v>0</v>
      </c>
      <c r="GG63" s="38">
        <f t="shared" si="207"/>
        <v>0</v>
      </c>
      <c r="GH63" s="38">
        <f t="shared" si="208"/>
        <v>0</v>
      </c>
      <c r="GI63" s="38">
        <f t="shared" si="209"/>
        <v>0</v>
      </c>
      <c r="GJ63" s="38">
        <f t="shared" si="210"/>
        <v>0</v>
      </c>
      <c r="GL63" s="38">
        <f t="shared" si="211"/>
        <v>0</v>
      </c>
      <c r="GM63" s="38">
        <f t="shared" si="212"/>
        <v>0</v>
      </c>
      <c r="GN63" s="1" t="s">
        <v>2</v>
      </c>
      <c r="GO63" s="1">
        <f t="shared" si="213"/>
        <v>5.7</v>
      </c>
      <c r="GP63" s="1">
        <f t="shared" si="214"/>
        <v>1</v>
      </c>
      <c r="GQ63" s="41">
        <f t="shared" si="215"/>
        <v>57</v>
      </c>
      <c r="GR63" s="41">
        <f t="shared" si="216"/>
        <v>1078.64302944</v>
      </c>
      <c r="GS63" s="14">
        <f t="shared" si="217"/>
        <v>189.23561919999997</v>
      </c>
      <c r="GT63" s="1">
        <f t="shared" si="218"/>
        <v>0</v>
      </c>
      <c r="GU63" s="1">
        <f t="shared" si="219"/>
        <v>0</v>
      </c>
      <c r="GV63" s="1">
        <f t="shared" si="220"/>
        <v>57</v>
      </c>
      <c r="GW63" s="37">
        <f t="shared" si="221"/>
        <v>0</v>
      </c>
      <c r="GX63" s="37"/>
      <c r="GY63" s="37"/>
      <c r="GZ63" s="37"/>
      <c r="HB63" s="1">
        <f t="shared" si="222"/>
        <v>0</v>
      </c>
      <c r="HC63" s="1">
        <f t="shared" si="223"/>
        <v>0</v>
      </c>
      <c r="HD63" s="37" t="s">
        <v>2</v>
      </c>
      <c r="HE63" s="1" t="s">
        <v>31</v>
      </c>
      <c r="HF63" s="1" t="s">
        <v>230</v>
      </c>
      <c r="HG63" s="1" t="s">
        <v>230</v>
      </c>
      <c r="HI63" s="1" t="s">
        <v>96</v>
      </c>
      <c r="HJ63" s="37" t="s">
        <v>2</v>
      </c>
      <c r="JH63" s="58" t="s">
        <v>2</v>
      </c>
    </row>
    <row r="64" spans="1:268" ht="16.25" customHeight="1" x14ac:dyDescent="0.2">
      <c r="A64" s="21" t="s">
        <v>276</v>
      </c>
      <c r="B64" s="1" t="s">
        <v>69</v>
      </c>
      <c r="E64" s="1" t="s">
        <v>72</v>
      </c>
      <c r="F64" s="1" t="s">
        <v>131</v>
      </c>
      <c r="H64" s="1" t="s">
        <v>204</v>
      </c>
      <c r="I64" s="1">
        <v>0</v>
      </c>
      <c r="AD64" s="1">
        <v>0</v>
      </c>
      <c r="AY64" s="1">
        <v>0.3</v>
      </c>
      <c r="BG64" s="1">
        <v>1.4</v>
      </c>
      <c r="BH64" s="1">
        <v>0.15</v>
      </c>
      <c r="BT64" s="1">
        <v>0</v>
      </c>
      <c r="CO64" s="1">
        <v>0</v>
      </c>
      <c r="DJ64" s="1" t="s">
        <v>96</v>
      </c>
      <c r="DK64" s="1" t="s">
        <v>96</v>
      </c>
      <c r="DL64" s="1">
        <f t="shared" si="139"/>
        <v>1.4</v>
      </c>
      <c r="DM64" s="1">
        <f t="shared" si="140"/>
        <v>0.15</v>
      </c>
      <c r="DN64" s="1" t="s">
        <v>148</v>
      </c>
      <c r="DO64" s="1" t="s">
        <v>2</v>
      </c>
      <c r="DP64" s="38">
        <f t="shared" ref="DP64:DP94" si="251">(J64*$I64+AE64*$AD64+AZ64*$AY64)/100</f>
        <v>0</v>
      </c>
      <c r="DQ64" s="38">
        <f t="shared" ref="DQ64:DQ94" si="252">K64*$I64+AF64*$AD64+BA64*$AY64</f>
        <v>0</v>
      </c>
      <c r="DR64" s="38">
        <f t="shared" ref="DR64:DR94" si="253">L64*$I64+AG64*$AD64+BB64*$AY64</f>
        <v>0</v>
      </c>
      <c r="DS64" s="38">
        <f t="shared" ref="DS64:DS94" si="254">(M64*$I64+AH64*$AD64+BC64*$AY64)/100</f>
        <v>0</v>
      </c>
      <c r="DT64" s="38">
        <f t="shared" ref="DT64:DT94" si="255">(N64*$I64+AI64*$AD64+BD64*$AY64)/100</f>
        <v>0</v>
      </c>
      <c r="DU64" s="38">
        <f t="shared" ref="DU64:DU94" si="256">(O64*$I64+AJ64*$AD64+BE64*$AY64)/100</f>
        <v>0</v>
      </c>
      <c r="DV64" s="38">
        <f t="shared" ref="DV64:DV94" si="257">(P64*$I64+AK64*$AD64+BF64*$AY64)/100</f>
        <v>0</v>
      </c>
      <c r="DW64" s="38">
        <f t="shared" ref="DW64:DW94" si="258">(Q64*$I64+AL64*$AD64+BG64*$AY64)/100</f>
        <v>4.1999999999999997E-3</v>
      </c>
      <c r="DX64" s="38">
        <f t="shared" ref="DX64:DX94" si="259">(R64*$I64+AM64*$AD64+BH64*$AY64)/100</f>
        <v>4.4999999999999999E-4</v>
      </c>
      <c r="DY64" s="38">
        <f t="shared" ref="DY64:DY94" si="260">S64*$I64+AN64*$AD64+BI64*$AY64</f>
        <v>0</v>
      </c>
      <c r="DZ64" s="38">
        <f t="shared" ref="DZ64:DZ94" si="261">T64*$I64+AO64*$AD64+BJ64*$AY64</f>
        <v>0</v>
      </c>
      <c r="EA64" s="38">
        <f t="shared" ref="EA64:EA94" si="262">U64*$I64+AP64*$AD64+BK64*$AY64</f>
        <v>0</v>
      </c>
      <c r="EB64" s="38">
        <f t="shared" ref="EB64:EB94" si="263">V64*$I64+AQ64*$AD64+BL64*$AY64</f>
        <v>0</v>
      </c>
      <c r="EC64" s="38">
        <f t="shared" ref="EC64:EC94" si="264">W64*$I64+AR64*$AD64+BM64*$AY64</f>
        <v>0</v>
      </c>
      <c r="ED64" s="38">
        <f t="shared" ref="ED64:ED94" si="265">(X64*$I64+AS64*$AD64+BN64*$AY64)/100</f>
        <v>0</v>
      </c>
      <c r="EE64" s="38">
        <f t="shared" ref="EE64:EE94" si="266">(Y64*$I64+AT64*$AD64+BO64*$AY64)/100</f>
        <v>0</v>
      </c>
      <c r="EG64" s="38">
        <f t="shared" ref="EG64:EG94" si="267">AA64*$I64+AV64*$AD64+BQ64*$AY64</f>
        <v>0</v>
      </c>
      <c r="EH64" s="38">
        <f t="shared" ref="EH64:EH94" si="268">(AB64*$I64+AW64*$AD64+BR64*$AY64)/100</f>
        <v>0</v>
      </c>
      <c r="EI64" s="38">
        <f t="shared" si="159"/>
        <v>0</v>
      </c>
      <c r="EJ64" s="38">
        <f t="shared" si="160"/>
        <v>0</v>
      </c>
      <c r="EK64" s="38">
        <f t="shared" si="161"/>
        <v>0</v>
      </c>
      <c r="EL64" s="38">
        <f t="shared" si="162"/>
        <v>0</v>
      </c>
      <c r="EM64" s="38">
        <f t="shared" si="163"/>
        <v>0</v>
      </c>
      <c r="EN64" s="38">
        <f t="shared" si="164"/>
        <v>0</v>
      </c>
      <c r="EO64" s="38">
        <f t="shared" si="165"/>
        <v>0</v>
      </c>
      <c r="EP64" s="38">
        <f t="shared" si="166"/>
        <v>55.078799999999994</v>
      </c>
      <c r="EQ64" s="38">
        <f t="shared" si="167"/>
        <v>32.678785799999993</v>
      </c>
      <c r="ER64" s="38">
        <f t="shared" si="168"/>
        <v>0</v>
      </c>
      <c r="ES64" s="38">
        <f t="shared" si="169"/>
        <v>0</v>
      </c>
      <c r="ET64" s="38">
        <f t="shared" si="170"/>
        <v>0</v>
      </c>
      <c r="EU64" s="38">
        <f t="shared" si="171"/>
        <v>0</v>
      </c>
      <c r="EV64" s="38">
        <f t="shared" si="172"/>
        <v>0</v>
      </c>
      <c r="EW64" s="38">
        <f t="shared" si="173"/>
        <v>0</v>
      </c>
      <c r="EX64" s="38">
        <f t="shared" si="174"/>
        <v>0</v>
      </c>
      <c r="EZ64" s="38">
        <f t="shared" si="175"/>
        <v>0</v>
      </c>
      <c r="FA64" s="38">
        <f t="shared" si="176"/>
        <v>0</v>
      </c>
      <c r="FB64" s="1">
        <f t="shared" ref="FB64:FB94" si="269">(BU64*$BT64+CP64*$CO64)/100</f>
        <v>0</v>
      </c>
      <c r="FC64" s="1">
        <f t="shared" ref="FC64:FC94" si="270">BV64*$BT64+CQ64*$CO64</f>
        <v>0</v>
      </c>
      <c r="FD64" s="1">
        <f t="shared" ref="FD64:FD94" si="271">BW64*$BT64+CR64*$CO64</f>
        <v>0</v>
      </c>
      <c r="FE64" s="1">
        <f t="shared" ref="FE64:FE94" si="272">(BX64*$BT64+CS64*$CO64)/100</f>
        <v>0</v>
      </c>
      <c r="FF64" s="1">
        <f t="shared" ref="FF64:FF94" si="273">(BY64*$BT64+CT64*$CO64)/100</f>
        <v>0</v>
      </c>
      <c r="FG64" s="1">
        <f t="shared" ref="FG64:FG94" si="274">(BZ64*$BT64+CU64*$CO64)/100</f>
        <v>0</v>
      </c>
      <c r="FH64" s="1">
        <f t="shared" ref="FH64:FH94" si="275">(CA64*$BT64+CV64*$CO64)/100</f>
        <v>0</v>
      </c>
      <c r="FI64" s="1">
        <f t="shared" ref="FI64:FI94" si="276">(CB64*$BT64+CW64*$CO64)/100</f>
        <v>0</v>
      </c>
      <c r="FJ64" s="1">
        <f t="shared" ref="FJ64:FJ94" si="277">(CC64*$BT64+CX64*$CO64)/100</f>
        <v>0</v>
      </c>
      <c r="FK64" s="1">
        <f t="shared" ref="FK64:FK94" si="278">CD64*$BT64+CY64*$CO64</f>
        <v>0</v>
      </c>
      <c r="FL64" s="1">
        <f t="shared" ref="FL64:FL94" si="279">CE64*$BT64+CZ64*$CO64</f>
        <v>0</v>
      </c>
      <c r="FM64" s="1">
        <f t="shared" ref="FM64:FM94" si="280">CF64*$BT64+DA64*$CO64</f>
        <v>0</v>
      </c>
      <c r="FN64" s="1">
        <f t="shared" ref="FN64:FN94" si="281">CG64*$BT64+DB64*$CO64</f>
        <v>0</v>
      </c>
      <c r="FO64" s="1">
        <f t="shared" ref="FO64:FO94" si="282">CH64*$BT64+DC64*$CO64</f>
        <v>0</v>
      </c>
      <c r="FP64" s="1">
        <f t="shared" ref="FP64:FP94" si="283">(CI64*$BT64+DD64*$CO64)/100</f>
        <v>0</v>
      </c>
      <c r="FQ64" s="1">
        <f t="shared" ref="FQ64:FQ94" si="284">(CJ64*$BT64+DE64*$CO64)/100</f>
        <v>0</v>
      </c>
      <c r="FS64" s="1">
        <f t="shared" ref="FS64:FS94" si="285">CL64*$BT64+DG64*$CO64</f>
        <v>0</v>
      </c>
      <c r="FT64" s="1">
        <f t="shared" ref="FT64:FT94" si="286">(CM64*$BT64+DH64*$CO64)/100</f>
        <v>0</v>
      </c>
      <c r="FU64" s="38">
        <f t="shared" si="195"/>
        <v>0</v>
      </c>
      <c r="FV64" s="38">
        <f t="shared" si="196"/>
        <v>0</v>
      </c>
      <c r="FW64" s="38">
        <f t="shared" si="197"/>
        <v>0</v>
      </c>
      <c r="FX64" s="38">
        <f t="shared" si="198"/>
        <v>0</v>
      </c>
      <c r="FY64" s="38">
        <f t="shared" si="199"/>
        <v>0</v>
      </c>
      <c r="FZ64" s="38">
        <f t="shared" si="200"/>
        <v>0</v>
      </c>
      <c r="GA64" s="38">
        <f t="shared" si="201"/>
        <v>0</v>
      </c>
      <c r="GB64" s="38">
        <f t="shared" si="202"/>
        <v>0</v>
      </c>
      <c r="GC64" s="38">
        <f t="shared" si="203"/>
        <v>0</v>
      </c>
      <c r="GD64" s="38">
        <f t="shared" si="204"/>
        <v>0</v>
      </c>
      <c r="GE64" s="38">
        <f t="shared" si="205"/>
        <v>0</v>
      </c>
      <c r="GF64" s="38">
        <f t="shared" si="206"/>
        <v>0</v>
      </c>
      <c r="GG64" s="38">
        <f t="shared" si="207"/>
        <v>0</v>
      </c>
      <c r="GH64" s="38">
        <f t="shared" si="208"/>
        <v>0</v>
      </c>
      <c r="GI64" s="38">
        <f t="shared" si="209"/>
        <v>0</v>
      </c>
      <c r="GJ64" s="38">
        <f t="shared" si="210"/>
        <v>0</v>
      </c>
      <c r="GL64" s="38">
        <f t="shared" si="211"/>
        <v>0</v>
      </c>
      <c r="GM64" s="38">
        <f t="shared" si="212"/>
        <v>0</v>
      </c>
      <c r="GN64" s="1" t="s">
        <v>2</v>
      </c>
      <c r="GO64" s="1">
        <f t="shared" si="213"/>
        <v>0.3</v>
      </c>
      <c r="GP64" s="1">
        <f t="shared" si="214"/>
        <v>1.4</v>
      </c>
      <c r="GQ64" s="41">
        <f t="shared" si="215"/>
        <v>4.2</v>
      </c>
      <c r="GR64" s="41">
        <f t="shared" si="216"/>
        <v>87.757585799999987</v>
      </c>
      <c r="GS64" s="14">
        <f t="shared" si="217"/>
        <v>292.52528599999999</v>
      </c>
      <c r="GT64" s="1">
        <f t="shared" ref="GT64:GT94" si="287">1000*(Q64*$I64)/100</f>
        <v>0</v>
      </c>
      <c r="GU64" s="1">
        <f t="shared" ref="GU64:GU94" si="288">1000*(AL64*$AD64)/100</f>
        <v>0</v>
      </c>
      <c r="GV64" s="1">
        <f t="shared" ref="GV64:GV94" si="289">1000*(BG64*$AY64)/100</f>
        <v>4.2</v>
      </c>
      <c r="GW64" s="37">
        <f t="shared" si="221"/>
        <v>0</v>
      </c>
      <c r="GX64" s="37"/>
      <c r="GY64" s="37"/>
      <c r="GZ64" s="37"/>
      <c r="HB64" s="1">
        <f t="shared" ref="HB64:HB94" si="290">1000*(CB64*$BT64)/100</f>
        <v>0</v>
      </c>
      <c r="HC64" s="1">
        <f t="shared" ref="HC64:HC94" si="291">1000*(CW64*$CO64)/100</f>
        <v>0</v>
      </c>
      <c r="HD64" s="37" t="s">
        <v>2</v>
      </c>
      <c r="HE64" s="1" t="s">
        <v>31</v>
      </c>
      <c r="HF64" s="1" t="s">
        <v>230</v>
      </c>
      <c r="HG64" s="1" t="s">
        <v>230</v>
      </c>
      <c r="HI64" s="1" t="s">
        <v>96</v>
      </c>
      <c r="HJ64" s="37" t="s">
        <v>2</v>
      </c>
      <c r="JH64" s="58" t="s">
        <v>2</v>
      </c>
    </row>
    <row r="65" spans="1:268" ht="16.25" customHeight="1" x14ac:dyDescent="0.2">
      <c r="A65" s="21" t="s">
        <v>456</v>
      </c>
      <c r="B65" s="1" t="s">
        <v>69</v>
      </c>
      <c r="E65" s="1" t="s">
        <v>72</v>
      </c>
      <c r="F65" s="1" t="s">
        <v>274</v>
      </c>
      <c r="H65" s="1" t="s">
        <v>211</v>
      </c>
      <c r="I65" s="1">
        <v>0</v>
      </c>
      <c r="AD65" s="1">
        <v>0</v>
      </c>
      <c r="AY65" s="1">
        <v>1.3</v>
      </c>
      <c r="BG65" s="1">
        <v>0.9</v>
      </c>
      <c r="BH65" s="1">
        <v>7.0000000000000007E-2</v>
      </c>
      <c r="BT65" s="1">
        <v>0</v>
      </c>
      <c r="CO65" s="1">
        <v>0</v>
      </c>
      <c r="DJ65" s="1" t="s">
        <v>96</v>
      </c>
      <c r="DK65" s="1" t="s">
        <v>96</v>
      </c>
      <c r="DL65" s="1">
        <f t="shared" si="139"/>
        <v>0.90000000000000013</v>
      </c>
      <c r="DM65" s="1">
        <f t="shared" si="140"/>
        <v>7.0000000000000007E-2</v>
      </c>
      <c r="DN65" s="1" t="s">
        <v>148</v>
      </c>
      <c r="DO65" s="1" t="s">
        <v>2</v>
      </c>
      <c r="DP65" s="38">
        <f t="shared" si="251"/>
        <v>0</v>
      </c>
      <c r="DQ65" s="38">
        <f t="shared" si="252"/>
        <v>0</v>
      </c>
      <c r="DR65" s="38">
        <f t="shared" si="253"/>
        <v>0</v>
      </c>
      <c r="DS65" s="38">
        <f t="shared" si="254"/>
        <v>0</v>
      </c>
      <c r="DT65" s="38">
        <f t="shared" si="255"/>
        <v>0</v>
      </c>
      <c r="DU65" s="38">
        <f t="shared" si="256"/>
        <v>0</v>
      </c>
      <c r="DV65" s="38">
        <f t="shared" si="257"/>
        <v>0</v>
      </c>
      <c r="DW65" s="38">
        <f t="shared" si="258"/>
        <v>1.1700000000000002E-2</v>
      </c>
      <c r="DX65" s="38">
        <f t="shared" si="259"/>
        <v>9.1000000000000011E-4</v>
      </c>
      <c r="DY65" s="38">
        <f t="shared" si="260"/>
        <v>0</v>
      </c>
      <c r="DZ65" s="38">
        <f t="shared" si="261"/>
        <v>0</v>
      </c>
      <c r="EA65" s="38">
        <f t="shared" si="262"/>
        <v>0</v>
      </c>
      <c r="EB65" s="38">
        <f t="shared" si="263"/>
        <v>0</v>
      </c>
      <c r="EC65" s="38">
        <f t="shared" si="264"/>
        <v>0</v>
      </c>
      <c r="ED65" s="38">
        <f t="shared" si="265"/>
        <v>0</v>
      </c>
      <c r="EE65" s="38">
        <f t="shared" si="266"/>
        <v>0</v>
      </c>
      <c r="EG65" s="38">
        <f t="shared" si="267"/>
        <v>0</v>
      </c>
      <c r="EH65" s="38">
        <f t="shared" si="268"/>
        <v>0</v>
      </c>
      <c r="EI65" s="38">
        <f t="shared" si="159"/>
        <v>0</v>
      </c>
      <c r="EJ65" s="38">
        <f t="shared" si="160"/>
        <v>0</v>
      </c>
      <c r="EK65" s="38">
        <f t="shared" si="161"/>
        <v>0</v>
      </c>
      <c r="EL65" s="38">
        <f t="shared" si="162"/>
        <v>0</v>
      </c>
      <c r="EM65" s="38">
        <f t="shared" si="163"/>
        <v>0</v>
      </c>
      <c r="EN65" s="38">
        <f t="shared" si="164"/>
        <v>0</v>
      </c>
      <c r="EO65" s="38">
        <f t="shared" si="165"/>
        <v>0</v>
      </c>
      <c r="EP65" s="38">
        <f t="shared" si="166"/>
        <v>153.43380000000002</v>
      </c>
      <c r="EQ65" s="38">
        <f t="shared" si="167"/>
        <v>66.083766839999996</v>
      </c>
      <c r="ER65" s="38">
        <f t="shared" si="168"/>
        <v>0</v>
      </c>
      <c r="ES65" s="38">
        <f t="shared" si="169"/>
        <v>0</v>
      </c>
      <c r="ET65" s="38">
        <f t="shared" si="170"/>
        <v>0</v>
      </c>
      <c r="EU65" s="38">
        <f t="shared" si="171"/>
        <v>0</v>
      </c>
      <c r="EV65" s="38">
        <f t="shared" si="172"/>
        <v>0</v>
      </c>
      <c r="EW65" s="38">
        <f t="shared" si="173"/>
        <v>0</v>
      </c>
      <c r="EX65" s="38">
        <f t="shared" si="174"/>
        <v>0</v>
      </c>
      <c r="EZ65" s="38">
        <f t="shared" si="175"/>
        <v>0</v>
      </c>
      <c r="FA65" s="38">
        <f t="shared" si="176"/>
        <v>0</v>
      </c>
      <c r="FB65" s="1">
        <f t="shared" si="269"/>
        <v>0</v>
      </c>
      <c r="FC65" s="1">
        <f t="shared" si="270"/>
        <v>0</v>
      </c>
      <c r="FD65" s="1">
        <f t="shared" si="271"/>
        <v>0</v>
      </c>
      <c r="FE65" s="1">
        <f t="shared" si="272"/>
        <v>0</v>
      </c>
      <c r="FF65" s="1">
        <f t="shared" si="273"/>
        <v>0</v>
      </c>
      <c r="FG65" s="1">
        <f t="shared" si="274"/>
        <v>0</v>
      </c>
      <c r="FH65" s="1">
        <f t="shared" si="275"/>
        <v>0</v>
      </c>
      <c r="FI65" s="1">
        <f t="shared" si="276"/>
        <v>0</v>
      </c>
      <c r="FJ65" s="1">
        <f t="shared" si="277"/>
        <v>0</v>
      </c>
      <c r="FK65" s="1">
        <f t="shared" si="278"/>
        <v>0</v>
      </c>
      <c r="FL65" s="1">
        <f t="shared" si="279"/>
        <v>0</v>
      </c>
      <c r="FM65" s="1">
        <f t="shared" si="280"/>
        <v>0</v>
      </c>
      <c r="FN65" s="1">
        <f t="shared" si="281"/>
        <v>0</v>
      </c>
      <c r="FO65" s="1">
        <f t="shared" si="282"/>
        <v>0</v>
      </c>
      <c r="FP65" s="1">
        <f t="shared" si="283"/>
        <v>0</v>
      </c>
      <c r="FQ65" s="1">
        <f t="shared" si="284"/>
        <v>0</v>
      </c>
      <c r="FS65" s="1">
        <f t="shared" si="285"/>
        <v>0</v>
      </c>
      <c r="FT65" s="1">
        <f t="shared" si="286"/>
        <v>0</v>
      </c>
      <c r="FU65" s="38">
        <f t="shared" si="195"/>
        <v>0</v>
      </c>
      <c r="FV65" s="38">
        <f t="shared" si="196"/>
        <v>0</v>
      </c>
      <c r="FW65" s="38">
        <f t="shared" si="197"/>
        <v>0</v>
      </c>
      <c r="FX65" s="38">
        <f t="shared" si="198"/>
        <v>0</v>
      </c>
      <c r="FY65" s="38">
        <f t="shared" si="199"/>
        <v>0</v>
      </c>
      <c r="FZ65" s="38">
        <f t="shared" si="200"/>
        <v>0</v>
      </c>
      <c r="GA65" s="38">
        <f t="shared" si="201"/>
        <v>0</v>
      </c>
      <c r="GB65" s="38">
        <f t="shared" si="202"/>
        <v>0</v>
      </c>
      <c r="GC65" s="38">
        <f t="shared" si="203"/>
        <v>0</v>
      </c>
      <c r="GD65" s="38">
        <f t="shared" si="204"/>
        <v>0</v>
      </c>
      <c r="GE65" s="38">
        <f t="shared" si="205"/>
        <v>0</v>
      </c>
      <c r="GF65" s="38">
        <f t="shared" si="206"/>
        <v>0</v>
      </c>
      <c r="GG65" s="38">
        <f t="shared" si="207"/>
        <v>0</v>
      </c>
      <c r="GH65" s="38">
        <f t="shared" si="208"/>
        <v>0</v>
      </c>
      <c r="GI65" s="38">
        <f t="shared" si="209"/>
        <v>0</v>
      </c>
      <c r="GJ65" s="38">
        <f t="shared" si="210"/>
        <v>0</v>
      </c>
      <c r="GL65" s="38">
        <f t="shared" si="211"/>
        <v>0</v>
      </c>
      <c r="GM65" s="38">
        <f t="shared" si="212"/>
        <v>0</v>
      </c>
      <c r="GN65" s="1" t="s">
        <v>2</v>
      </c>
      <c r="GO65" s="1">
        <f t="shared" si="213"/>
        <v>1.3</v>
      </c>
      <c r="GP65" s="1">
        <f t="shared" si="214"/>
        <v>0.90000000000000013</v>
      </c>
      <c r="GQ65" s="41">
        <f t="shared" si="215"/>
        <v>11.700000000000003</v>
      </c>
      <c r="GR65" s="41">
        <f t="shared" si="216"/>
        <v>219.51756684000003</v>
      </c>
      <c r="GS65" s="14">
        <f t="shared" si="217"/>
        <v>168.85966680000001</v>
      </c>
      <c r="GT65" s="1">
        <f t="shared" si="287"/>
        <v>0</v>
      </c>
      <c r="GU65" s="1">
        <f t="shared" si="288"/>
        <v>0</v>
      </c>
      <c r="GV65" s="1">
        <f t="shared" si="289"/>
        <v>11.700000000000003</v>
      </c>
      <c r="GW65" s="37">
        <f t="shared" si="221"/>
        <v>0</v>
      </c>
      <c r="GX65" s="37"/>
      <c r="GY65" s="37"/>
      <c r="GZ65" s="37"/>
      <c r="HB65" s="1">
        <f t="shared" si="290"/>
        <v>0</v>
      </c>
      <c r="HC65" s="1">
        <f t="shared" si="291"/>
        <v>0</v>
      </c>
      <c r="HD65" s="37" t="s">
        <v>2</v>
      </c>
      <c r="HE65" s="1" t="s">
        <v>31</v>
      </c>
      <c r="HF65" s="1" t="s">
        <v>230</v>
      </c>
      <c r="HG65" s="1" t="s">
        <v>230</v>
      </c>
      <c r="HI65" s="1" t="s">
        <v>96</v>
      </c>
      <c r="HJ65" s="37" t="s">
        <v>2</v>
      </c>
      <c r="JH65" s="58" t="s">
        <v>2</v>
      </c>
    </row>
    <row r="66" spans="1:268" ht="16.25" customHeight="1" x14ac:dyDescent="0.2">
      <c r="A66" s="21" t="s">
        <v>326</v>
      </c>
      <c r="B66" s="1" t="s">
        <v>69</v>
      </c>
      <c r="E66" s="1" t="s">
        <v>72</v>
      </c>
      <c r="F66" s="1" t="s">
        <v>327</v>
      </c>
      <c r="H66" s="1" t="s">
        <v>204</v>
      </c>
      <c r="I66" s="1">
        <v>0</v>
      </c>
      <c r="AD66" s="1">
        <v>0</v>
      </c>
      <c r="AY66" s="1">
        <v>5.39</v>
      </c>
      <c r="BG66" s="1">
        <v>0.96299999999999997</v>
      </c>
      <c r="BH66" s="1">
        <v>8.4000000000000005E-2</v>
      </c>
      <c r="BO66" s="1">
        <v>21.1</v>
      </c>
      <c r="BT66" s="1">
        <v>0</v>
      </c>
      <c r="CO66" s="1">
        <v>0</v>
      </c>
      <c r="DJ66" s="1" t="s">
        <v>96</v>
      </c>
      <c r="DK66" s="1" t="s">
        <v>96</v>
      </c>
      <c r="DL66" s="1">
        <f t="shared" si="139"/>
        <v>0.96299999999999997</v>
      </c>
      <c r="DM66" s="1">
        <f t="shared" si="140"/>
        <v>8.4000000000000005E-2</v>
      </c>
      <c r="DN66" s="1" t="s">
        <v>148</v>
      </c>
      <c r="DO66" s="1" t="s">
        <v>2</v>
      </c>
      <c r="DP66" s="38">
        <f t="shared" si="251"/>
        <v>0</v>
      </c>
      <c r="DQ66" s="38">
        <f t="shared" si="252"/>
        <v>0</v>
      </c>
      <c r="DR66" s="38">
        <f t="shared" si="253"/>
        <v>0</v>
      </c>
      <c r="DS66" s="38">
        <f t="shared" si="254"/>
        <v>0</v>
      </c>
      <c r="DT66" s="38">
        <f t="shared" si="255"/>
        <v>0</v>
      </c>
      <c r="DU66" s="38">
        <f t="shared" si="256"/>
        <v>0</v>
      </c>
      <c r="DV66" s="38">
        <f t="shared" si="257"/>
        <v>0</v>
      </c>
      <c r="DW66" s="38">
        <f t="shared" si="258"/>
        <v>5.1905699999999992E-2</v>
      </c>
      <c r="DX66" s="38">
        <f t="shared" si="259"/>
        <v>4.5275999999999997E-3</v>
      </c>
      <c r="DY66" s="38">
        <f t="shared" si="260"/>
        <v>0</v>
      </c>
      <c r="DZ66" s="38">
        <f t="shared" si="261"/>
        <v>0</v>
      </c>
      <c r="EA66" s="38">
        <f t="shared" si="262"/>
        <v>0</v>
      </c>
      <c r="EB66" s="38">
        <f t="shared" si="263"/>
        <v>0</v>
      </c>
      <c r="EC66" s="38">
        <f t="shared" si="264"/>
        <v>0</v>
      </c>
      <c r="ED66" s="38">
        <f t="shared" si="265"/>
        <v>0</v>
      </c>
      <c r="EE66" s="38">
        <f t="shared" si="266"/>
        <v>1.1372899999999999</v>
      </c>
      <c r="EG66" s="38">
        <f t="shared" si="267"/>
        <v>0</v>
      </c>
      <c r="EH66" s="38">
        <f t="shared" si="268"/>
        <v>0</v>
      </c>
      <c r="EI66" s="38">
        <f t="shared" si="159"/>
        <v>0</v>
      </c>
      <c r="EJ66" s="38">
        <f t="shared" si="160"/>
        <v>0</v>
      </c>
      <c r="EK66" s="38">
        <f t="shared" si="161"/>
        <v>0</v>
      </c>
      <c r="EL66" s="38">
        <f t="shared" si="162"/>
        <v>0</v>
      </c>
      <c r="EM66" s="38">
        <f t="shared" si="163"/>
        <v>0</v>
      </c>
      <c r="EN66" s="38">
        <f t="shared" si="164"/>
        <v>0</v>
      </c>
      <c r="EO66" s="38">
        <f t="shared" si="165"/>
        <v>0</v>
      </c>
      <c r="EP66" s="38">
        <f t="shared" si="166"/>
        <v>680.6913497999999</v>
      </c>
      <c r="EQ66" s="38">
        <f t="shared" si="167"/>
        <v>328.79215686239991</v>
      </c>
      <c r="ER66" s="38">
        <f t="shared" si="168"/>
        <v>0</v>
      </c>
      <c r="ES66" s="38">
        <f t="shared" si="169"/>
        <v>0</v>
      </c>
      <c r="ET66" s="38">
        <f t="shared" si="170"/>
        <v>0</v>
      </c>
      <c r="EU66" s="38">
        <f t="shared" si="171"/>
        <v>0</v>
      </c>
      <c r="EV66" s="38">
        <f t="shared" si="172"/>
        <v>0</v>
      </c>
      <c r="EW66" s="38">
        <f t="shared" si="173"/>
        <v>0</v>
      </c>
      <c r="EX66" s="38">
        <f t="shared" si="174"/>
        <v>105.76796999999999</v>
      </c>
      <c r="EZ66" s="38">
        <f t="shared" si="175"/>
        <v>0</v>
      </c>
      <c r="FA66" s="38">
        <f t="shared" si="176"/>
        <v>0</v>
      </c>
      <c r="FB66" s="1">
        <f t="shared" si="269"/>
        <v>0</v>
      </c>
      <c r="FC66" s="1">
        <f t="shared" si="270"/>
        <v>0</v>
      </c>
      <c r="FD66" s="1">
        <f t="shared" si="271"/>
        <v>0</v>
      </c>
      <c r="FE66" s="1">
        <f t="shared" si="272"/>
        <v>0</v>
      </c>
      <c r="FF66" s="1">
        <f t="shared" si="273"/>
        <v>0</v>
      </c>
      <c r="FG66" s="1">
        <f t="shared" si="274"/>
        <v>0</v>
      </c>
      <c r="FH66" s="1">
        <f t="shared" si="275"/>
        <v>0</v>
      </c>
      <c r="FI66" s="1">
        <f t="shared" si="276"/>
        <v>0</v>
      </c>
      <c r="FJ66" s="1">
        <f t="shared" si="277"/>
        <v>0</v>
      </c>
      <c r="FK66" s="1">
        <f t="shared" si="278"/>
        <v>0</v>
      </c>
      <c r="FL66" s="1">
        <f t="shared" si="279"/>
        <v>0</v>
      </c>
      <c r="FM66" s="1">
        <f t="shared" si="280"/>
        <v>0</v>
      </c>
      <c r="FN66" s="1">
        <f t="shared" si="281"/>
        <v>0</v>
      </c>
      <c r="FO66" s="1">
        <f t="shared" si="282"/>
        <v>0</v>
      </c>
      <c r="FP66" s="1">
        <f t="shared" si="283"/>
        <v>0</v>
      </c>
      <c r="FQ66" s="1">
        <f t="shared" si="284"/>
        <v>0</v>
      </c>
      <c r="FS66" s="1">
        <f t="shared" si="285"/>
        <v>0</v>
      </c>
      <c r="FT66" s="1">
        <f t="shared" si="286"/>
        <v>0</v>
      </c>
      <c r="FU66" s="38">
        <f t="shared" si="195"/>
        <v>0</v>
      </c>
      <c r="FV66" s="38">
        <f t="shared" si="196"/>
        <v>0</v>
      </c>
      <c r="FW66" s="38">
        <f t="shared" si="197"/>
        <v>0</v>
      </c>
      <c r="FX66" s="38">
        <f t="shared" si="198"/>
        <v>0</v>
      </c>
      <c r="FY66" s="38">
        <f t="shared" si="199"/>
        <v>0</v>
      </c>
      <c r="FZ66" s="38">
        <f t="shared" si="200"/>
        <v>0</v>
      </c>
      <c r="GA66" s="38">
        <f t="shared" si="201"/>
        <v>0</v>
      </c>
      <c r="GB66" s="38">
        <f t="shared" si="202"/>
        <v>0</v>
      </c>
      <c r="GC66" s="38">
        <f t="shared" si="203"/>
        <v>0</v>
      </c>
      <c r="GD66" s="38">
        <f t="shared" si="204"/>
        <v>0</v>
      </c>
      <c r="GE66" s="38">
        <f t="shared" si="205"/>
        <v>0</v>
      </c>
      <c r="GF66" s="38">
        <f t="shared" si="206"/>
        <v>0</v>
      </c>
      <c r="GG66" s="38">
        <f t="shared" si="207"/>
        <v>0</v>
      </c>
      <c r="GH66" s="38">
        <f t="shared" si="208"/>
        <v>0</v>
      </c>
      <c r="GI66" s="38">
        <f t="shared" si="209"/>
        <v>0</v>
      </c>
      <c r="GJ66" s="38">
        <f t="shared" si="210"/>
        <v>0</v>
      </c>
      <c r="GL66" s="38">
        <f t="shared" si="211"/>
        <v>0</v>
      </c>
      <c r="GM66" s="38">
        <f t="shared" si="212"/>
        <v>0</v>
      </c>
      <c r="GN66" s="1" t="s">
        <v>2</v>
      </c>
      <c r="GO66" s="1">
        <f t="shared" si="213"/>
        <v>5.39</v>
      </c>
      <c r="GP66" s="13">
        <f t="shared" si="214"/>
        <v>0.96299999999999997</v>
      </c>
      <c r="GQ66" s="41">
        <f t="shared" si="215"/>
        <v>51.905699999999996</v>
      </c>
      <c r="GR66" s="41">
        <f t="shared" si="216"/>
        <v>1115.2514766623999</v>
      </c>
      <c r="GS66" s="14">
        <f t="shared" si="217"/>
        <v>206.91122016</v>
      </c>
      <c r="GT66" s="1">
        <f t="shared" si="287"/>
        <v>0</v>
      </c>
      <c r="GU66" s="1">
        <f t="shared" si="288"/>
        <v>0</v>
      </c>
      <c r="GV66" s="1">
        <f t="shared" si="289"/>
        <v>51.905699999999989</v>
      </c>
      <c r="GW66" s="37">
        <f t="shared" si="221"/>
        <v>0</v>
      </c>
      <c r="GX66" s="37"/>
      <c r="GY66" s="37"/>
      <c r="GZ66" s="37"/>
      <c r="HB66" s="1">
        <f t="shared" si="290"/>
        <v>0</v>
      </c>
      <c r="HC66" s="1">
        <f t="shared" si="291"/>
        <v>0</v>
      </c>
      <c r="HD66" s="37" t="s">
        <v>2</v>
      </c>
      <c r="HE66" s="1" t="s">
        <v>31</v>
      </c>
      <c r="HF66" s="1" t="s">
        <v>230</v>
      </c>
      <c r="HG66" s="1" t="s">
        <v>230</v>
      </c>
      <c r="HI66" s="1" t="s">
        <v>96</v>
      </c>
      <c r="HJ66" s="37" t="s">
        <v>2</v>
      </c>
      <c r="JH66" s="58" t="s">
        <v>2</v>
      </c>
    </row>
    <row r="67" spans="1:268" ht="16.25" customHeight="1" x14ac:dyDescent="0.2">
      <c r="A67" s="21" t="s">
        <v>330</v>
      </c>
      <c r="B67" s="1" t="s">
        <v>69</v>
      </c>
      <c r="E67" s="1" t="s">
        <v>72</v>
      </c>
      <c r="F67" s="1" t="s">
        <v>331</v>
      </c>
      <c r="H67" s="1" t="s">
        <v>211</v>
      </c>
      <c r="I67" s="1">
        <v>0</v>
      </c>
      <c r="AD67" s="1">
        <v>0</v>
      </c>
      <c r="AY67" s="1">
        <v>5.2</v>
      </c>
      <c r="BG67" s="1">
        <v>0.8</v>
      </c>
      <c r="BH67" s="1">
        <v>0.08</v>
      </c>
      <c r="BT67" s="1">
        <v>0</v>
      </c>
      <c r="CO67" s="1">
        <v>0</v>
      </c>
      <c r="DJ67" s="1" t="s">
        <v>96</v>
      </c>
      <c r="DK67" s="1" t="s">
        <v>96</v>
      </c>
      <c r="DL67" s="1">
        <f t="shared" si="139"/>
        <v>0.8</v>
      </c>
      <c r="DM67" s="1">
        <f t="shared" si="140"/>
        <v>0.08</v>
      </c>
      <c r="DN67" s="1" t="s">
        <v>148</v>
      </c>
      <c r="DO67" s="1" t="s">
        <v>2</v>
      </c>
      <c r="DP67" s="38">
        <f t="shared" si="251"/>
        <v>0</v>
      </c>
      <c r="DQ67" s="38">
        <f t="shared" si="252"/>
        <v>0</v>
      </c>
      <c r="DR67" s="38">
        <f t="shared" si="253"/>
        <v>0</v>
      </c>
      <c r="DS67" s="38">
        <f t="shared" si="254"/>
        <v>0</v>
      </c>
      <c r="DT67" s="38">
        <f t="shared" si="255"/>
        <v>0</v>
      </c>
      <c r="DU67" s="38">
        <f t="shared" si="256"/>
        <v>0</v>
      </c>
      <c r="DV67" s="38">
        <f t="shared" si="257"/>
        <v>0</v>
      </c>
      <c r="DW67" s="38">
        <f t="shared" si="258"/>
        <v>4.1599999999999998E-2</v>
      </c>
      <c r="DX67" s="38">
        <f t="shared" si="259"/>
        <v>4.1600000000000005E-3</v>
      </c>
      <c r="DY67" s="38">
        <f t="shared" si="260"/>
        <v>0</v>
      </c>
      <c r="DZ67" s="38">
        <f t="shared" si="261"/>
        <v>0</v>
      </c>
      <c r="EA67" s="38">
        <f t="shared" si="262"/>
        <v>0</v>
      </c>
      <c r="EB67" s="38">
        <f t="shared" si="263"/>
        <v>0</v>
      </c>
      <c r="EC67" s="38">
        <f t="shared" si="264"/>
        <v>0</v>
      </c>
      <c r="ED67" s="38">
        <f t="shared" si="265"/>
        <v>0</v>
      </c>
      <c r="EE67" s="38">
        <f t="shared" si="266"/>
        <v>0</v>
      </c>
      <c r="EG67" s="38">
        <f t="shared" si="267"/>
        <v>0</v>
      </c>
      <c r="EH67" s="38">
        <f t="shared" si="268"/>
        <v>0</v>
      </c>
      <c r="EI67" s="38">
        <f t="shared" si="159"/>
        <v>0</v>
      </c>
      <c r="EJ67" s="38">
        <f t="shared" si="160"/>
        <v>0</v>
      </c>
      <c r="EK67" s="38">
        <f t="shared" si="161"/>
        <v>0</v>
      </c>
      <c r="EL67" s="38">
        <f t="shared" si="162"/>
        <v>0</v>
      </c>
      <c r="EM67" s="38">
        <f t="shared" si="163"/>
        <v>0</v>
      </c>
      <c r="EN67" s="38">
        <f t="shared" si="164"/>
        <v>0</v>
      </c>
      <c r="EO67" s="38">
        <f t="shared" si="165"/>
        <v>0</v>
      </c>
      <c r="EP67" s="38">
        <f t="shared" si="166"/>
        <v>545.54239999999993</v>
      </c>
      <c r="EQ67" s="38">
        <f t="shared" si="167"/>
        <v>302.09721983999998</v>
      </c>
      <c r="ER67" s="38">
        <f t="shared" si="168"/>
        <v>0</v>
      </c>
      <c r="ES67" s="38">
        <f t="shared" si="169"/>
        <v>0</v>
      </c>
      <c r="ET67" s="38">
        <f t="shared" si="170"/>
        <v>0</v>
      </c>
      <c r="EU67" s="38">
        <f t="shared" si="171"/>
        <v>0</v>
      </c>
      <c r="EV67" s="38">
        <f t="shared" si="172"/>
        <v>0</v>
      </c>
      <c r="EW67" s="38">
        <f t="shared" si="173"/>
        <v>0</v>
      </c>
      <c r="EX67" s="38">
        <f t="shared" si="174"/>
        <v>0</v>
      </c>
      <c r="EZ67" s="38">
        <f t="shared" si="175"/>
        <v>0</v>
      </c>
      <c r="FA67" s="38">
        <f t="shared" si="176"/>
        <v>0</v>
      </c>
      <c r="FB67" s="1">
        <f t="shared" si="269"/>
        <v>0</v>
      </c>
      <c r="FC67" s="1">
        <f t="shared" si="270"/>
        <v>0</v>
      </c>
      <c r="FD67" s="1">
        <f t="shared" si="271"/>
        <v>0</v>
      </c>
      <c r="FE67" s="1">
        <f t="shared" si="272"/>
        <v>0</v>
      </c>
      <c r="FF67" s="1">
        <f t="shared" si="273"/>
        <v>0</v>
      </c>
      <c r="FG67" s="1">
        <f t="shared" si="274"/>
        <v>0</v>
      </c>
      <c r="FH67" s="1">
        <f t="shared" si="275"/>
        <v>0</v>
      </c>
      <c r="FI67" s="1">
        <f t="shared" si="276"/>
        <v>0</v>
      </c>
      <c r="FJ67" s="1">
        <f t="shared" si="277"/>
        <v>0</v>
      </c>
      <c r="FK67" s="1">
        <f t="shared" si="278"/>
        <v>0</v>
      </c>
      <c r="FL67" s="1">
        <f t="shared" si="279"/>
        <v>0</v>
      </c>
      <c r="FM67" s="1">
        <f t="shared" si="280"/>
        <v>0</v>
      </c>
      <c r="FN67" s="1">
        <f t="shared" si="281"/>
        <v>0</v>
      </c>
      <c r="FO67" s="1">
        <f t="shared" si="282"/>
        <v>0</v>
      </c>
      <c r="FP67" s="1">
        <f t="shared" si="283"/>
        <v>0</v>
      </c>
      <c r="FQ67" s="1">
        <f t="shared" si="284"/>
        <v>0</v>
      </c>
      <c r="FS67" s="1">
        <f t="shared" si="285"/>
        <v>0</v>
      </c>
      <c r="FT67" s="1">
        <f t="shared" si="286"/>
        <v>0</v>
      </c>
      <c r="FU67" s="38">
        <f t="shared" si="195"/>
        <v>0</v>
      </c>
      <c r="FV67" s="38">
        <f t="shared" si="196"/>
        <v>0</v>
      </c>
      <c r="FW67" s="38">
        <f t="shared" si="197"/>
        <v>0</v>
      </c>
      <c r="FX67" s="38">
        <f t="shared" si="198"/>
        <v>0</v>
      </c>
      <c r="FY67" s="38">
        <f t="shared" si="199"/>
        <v>0</v>
      </c>
      <c r="FZ67" s="38">
        <f t="shared" si="200"/>
        <v>0</v>
      </c>
      <c r="GA67" s="38">
        <f t="shared" si="201"/>
        <v>0</v>
      </c>
      <c r="GB67" s="38">
        <f t="shared" si="202"/>
        <v>0</v>
      </c>
      <c r="GC67" s="38">
        <f t="shared" si="203"/>
        <v>0</v>
      </c>
      <c r="GD67" s="38">
        <f t="shared" si="204"/>
        <v>0</v>
      </c>
      <c r="GE67" s="38">
        <f t="shared" si="205"/>
        <v>0</v>
      </c>
      <c r="GF67" s="38">
        <f t="shared" si="206"/>
        <v>0</v>
      </c>
      <c r="GG67" s="38">
        <f t="shared" si="207"/>
        <v>0</v>
      </c>
      <c r="GH67" s="38">
        <f t="shared" si="208"/>
        <v>0</v>
      </c>
      <c r="GI67" s="38">
        <f t="shared" si="209"/>
        <v>0</v>
      </c>
      <c r="GJ67" s="38">
        <f t="shared" si="210"/>
        <v>0</v>
      </c>
      <c r="GL67" s="38">
        <f t="shared" si="211"/>
        <v>0</v>
      </c>
      <c r="GM67" s="38">
        <f t="shared" si="212"/>
        <v>0</v>
      </c>
      <c r="GN67" s="1" t="s">
        <v>2</v>
      </c>
      <c r="GO67" s="1">
        <f t="shared" si="213"/>
        <v>5.2</v>
      </c>
      <c r="GP67" s="1">
        <f t="shared" si="214"/>
        <v>0.8</v>
      </c>
      <c r="GQ67" s="41">
        <f t="shared" si="215"/>
        <v>41.6</v>
      </c>
      <c r="GR67" s="41">
        <f t="shared" si="216"/>
        <v>847.63961983999991</v>
      </c>
      <c r="GS67" s="14">
        <f t="shared" si="217"/>
        <v>163.00761919999997</v>
      </c>
      <c r="GT67" s="1">
        <f t="shared" si="287"/>
        <v>0</v>
      </c>
      <c r="GU67" s="1">
        <f t="shared" si="288"/>
        <v>0</v>
      </c>
      <c r="GV67" s="1">
        <f t="shared" si="289"/>
        <v>41.6</v>
      </c>
      <c r="GW67" s="37">
        <f t="shared" si="221"/>
        <v>0</v>
      </c>
      <c r="GX67" s="37"/>
      <c r="GY67" s="37"/>
      <c r="GZ67" s="37"/>
      <c r="HB67" s="1">
        <f t="shared" si="290"/>
        <v>0</v>
      </c>
      <c r="HC67" s="1">
        <f t="shared" si="291"/>
        <v>0</v>
      </c>
      <c r="HD67" s="37" t="s">
        <v>2</v>
      </c>
      <c r="HE67" s="1" t="s">
        <v>31</v>
      </c>
      <c r="HF67" s="1" t="s">
        <v>230</v>
      </c>
      <c r="HG67" s="1" t="s">
        <v>230</v>
      </c>
      <c r="HI67" s="1" t="s">
        <v>96</v>
      </c>
      <c r="HJ67" s="37" t="s">
        <v>2</v>
      </c>
      <c r="JH67" s="58" t="s">
        <v>2</v>
      </c>
    </row>
    <row r="68" spans="1:268" ht="16.25" customHeight="1" x14ac:dyDescent="0.2">
      <c r="A68" s="21" t="s">
        <v>346</v>
      </c>
      <c r="B68" s="1" t="s">
        <v>69</v>
      </c>
      <c r="E68" s="1" t="s">
        <v>72</v>
      </c>
      <c r="F68" s="1" t="s">
        <v>152</v>
      </c>
      <c r="H68" s="1" t="s">
        <v>211</v>
      </c>
      <c r="I68" s="1">
        <v>0</v>
      </c>
      <c r="AD68" s="1">
        <v>0.46</v>
      </c>
      <c r="AL68" s="1">
        <v>1.1200000000000001</v>
      </c>
      <c r="AY68" s="1">
        <v>0.37</v>
      </c>
      <c r="BG68" s="1">
        <v>1.1499999999999999</v>
      </c>
      <c r="BT68" s="1">
        <v>0</v>
      </c>
      <c r="CO68" s="1">
        <v>0</v>
      </c>
      <c r="DJ68" s="1" t="s">
        <v>96</v>
      </c>
      <c r="DL68" s="1">
        <f t="shared" si="139"/>
        <v>1.1333734939759037</v>
      </c>
      <c r="DM68" s="1">
        <f t="shared" si="140"/>
        <v>0</v>
      </c>
      <c r="DN68" s="1" t="s">
        <v>148</v>
      </c>
      <c r="DO68" s="1" t="s">
        <v>2</v>
      </c>
      <c r="DP68" s="38">
        <f t="shared" si="251"/>
        <v>0</v>
      </c>
      <c r="DQ68" s="38">
        <f t="shared" si="252"/>
        <v>0</v>
      </c>
      <c r="DR68" s="38">
        <f t="shared" si="253"/>
        <v>0</v>
      </c>
      <c r="DS68" s="38">
        <f t="shared" si="254"/>
        <v>0</v>
      </c>
      <c r="DT68" s="38">
        <f t="shared" si="255"/>
        <v>0</v>
      </c>
      <c r="DU68" s="38">
        <f t="shared" si="256"/>
        <v>0</v>
      </c>
      <c r="DV68" s="38">
        <f t="shared" si="257"/>
        <v>0</v>
      </c>
      <c r="DW68" s="38">
        <f t="shared" si="258"/>
        <v>9.4070000000000004E-3</v>
      </c>
      <c r="DX68" s="38">
        <f t="shared" si="259"/>
        <v>0</v>
      </c>
      <c r="DY68" s="38">
        <f t="shared" si="260"/>
        <v>0</v>
      </c>
      <c r="DZ68" s="38">
        <f t="shared" si="261"/>
        <v>0</v>
      </c>
      <c r="EA68" s="38">
        <f t="shared" si="262"/>
        <v>0</v>
      </c>
      <c r="EB68" s="38">
        <f t="shared" si="263"/>
        <v>0</v>
      </c>
      <c r="EC68" s="38">
        <f t="shared" si="264"/>
        <v>0</v>
      </c>
      <c r="ED68" s="38">
        <f t="shared" si="265"/>
        <v>0</v>
      </c>
      <c r="EE68" s="38">
        <f t="shared" si="266"/>
        <v>0</v>
      </c>
      <c r="EG68" s="38">
        <f t="shared" si="267"/>
        <v>0</v>
      </c>
      <c r="EH68" s="38">
        <f t="shared" si="268"/>
        <v>0</v>
      </c>
      <c r="EI68" s="38">
        <f t="shared" si="159"/>
        <v>0</v>
      </c>
      <c r="EJ68" s="38">
        <f t="shared" si="160"/>
        <v>0</v>
      </c>
      <c r="EK68" s="38">
        <f t="shared" si="161"/>
        <v>0</v>
      </c>
      <c r="EL68" s="38">
        <f t="shared" si="162"/>
        <v>0</v>
      </c>
      <c r="EM68" s="38">
        <f t="shared" si="163"/>
        <v>0</v>
      </c>
      <c r="EN68" s="38">
        <f t="shared" si="164"/>
        <v>0</v>
      </c>
      <c r="EO68" s="38">
        <f t="shared" si="165"/>
        <v>0</v>
      </c>
      <c r="EP68" s="38">
        <f t="shared" si="166"/>
        <v>123.363398</v>
      </c>
      <c r="EQ68" s="38">
        <f t="shared" si="167"/>
        <v>0</v>
      </c>
      <c r="ER68" s="38">
        <f t="shared" si="168"/>
        <v>0</v>
      </c>
      <c r="ES68" s="38">
        <f t="shared" si="169"/>
        <v>0</v>
      </c>
      <c r="ET68" s="38">
        <f t="shared" si="170"/>
        <v>0</v>
      </c>
      <c r="EU68" s="38">
        <f t="shared" si="171"/>
        <v>0</v>
      </c>
      <c r="EV68" s="38">
        <f t="shared" si="172"/>
        <v>0</v>
      </c>
      <c r="EW68" s="38">
        <f t="shared" si="173"/>
        <v>0</v>
      </c>
      <c r="EX68" s="38">
        <f t="shared" si="174"/>
        <v>0</v>
      </c>
      <c r="EZ68" s="38">
        <f t="shared" si="175"/>
        <v>0</v>
      </c>
      <c r="FA68" s="38">
        <f t="shared" si="176"/>
        <v>0</v>
      </c>
      <c r="FB68" s="1">
        <f t="shared" si="269"/>
        <v>0</v>
      </c>
      <c r="FC68" s="1">
        <f t="shared" si="270"/>
        <v>0</v>
      </c>
      <c r="FD68" s="1">
        <f t="shared" si="271"/>
        <v>0</v>
      </c>
      <c r="FE68" s="1">
        <f t="shared" si="272"/>
        <v>0</v>
      </c>
      <c r="FF68" s="1">
        <f t="shared" si="273"/>
        <v>0</v>
      </c>
      <c r="FG68" s="1">
        <f t="shared" si="274"/>
        <v>0</v>
      </c>
      <c r="FH68" s="1">
        <f t="shared" si="275"/>
        <v>0</v>
      </c>
      <c r="FI68" s="1">
        <f t="shared" si="276"/>
        <v>0</v>
      </c>
      <c r="FJ68" s="1">
        <f t="shared" si="277"/>
        <v>0</v>
      </c>
      <c r="FK68" s="1">
        <f t="shared" si="278"/>
        <v>0</v>
      </c>
      <c r="FL68" s="1">
        <f t="shared" si="279"/>
        <v>0</v>
      </c>
      <c r="FM68" s="1">
        <f t="shared" si="280"/>
        <v>0</v>
      </c>
      <c r="FN68" s="1">
        <f t="shared" si="281"/>
        <v>0</v>
      </c>
      <c r="FO68" s="1">
        <f t="shared" si="282"/>
        <v>0</v>
      </c>
      <c r="FP68" s="1">
        <f t="shared" si="283"/>
        <v>0</v>
      </c>
      <c r="FQ68" s="1">
        <f t="shared" si="284"/>
        <v>0</v>
      </c>
      <c r="FS68" s="1">
        <f t="shared" si="285"/>
        <v>0</v>
      </c>
      <c r="FT68" s="1">
        <f t="shared" si="286"/>
        <v>0</v>
      </c>
      <c r="FU68" s="38">
        <f t="shared" si="195"/>
        <v>0</v>
      </c>
      <c r="FV68" s="38">
        <f t="shared" si="196"/>
        <v>0</v>
      </c>
      <c r="FW68" s="38">
        <f t="shared" si="197"/>
        <v>0</v>
      </c>
      <c r="FX68" s="38">
        <f t="shared" si="198"/>
        <v>0</v>
      </c>
      <c r="FY68" s="38">
        <f t="shared" si="199"/>
        <v>0</v>
      </c>
      <c r="FZ68" s="38">
        <f t="shared" si="200"/>
        <v>0</v>
      </c>
      <c r="GA68" s="38">
        <f t="shared" si="201"/>
        <v>0</v>
      </c>
      <c r="GB68" s="38">
        <f t="shared" si="202"/>
        <v>0</v>
      </c>
      <c r="GC68" s="38">
        <f t="shared" si="203"/>
        <v>0</v>
      </c>
      <c r="GD68" s="38">
        <f t="shared" si="204"/>
        <v>0</v>
      </c>
      <c r="GE68" s="38">
        <f t="shared" si="205"/>
        <v>0</v>
      </c>
      <c r="GF68" s="38">
        <f t="shared" si="206"/>
        <v>0</v>
      </c>
      <c r="GG68" s="38">
        <f t="shared" si="207"/>
        <v>0</v>
      </c>
      <c r="GH68" s="38">
        <f t="shared" si="208"/>
        <v>0</v>
      </c>
      <c r="GI68" s="38">
        <f t="shared" si="209"/>
        <v>0</v>
      </c>
      <c r="GJ68" s="38">
        <f t="shared" si="210"/>
        <v>0</v>
      </c>
      <c r="GL68" s="38">
        <f t="shared" si="211"/>
        <v>0</v>
      </c>
      <c r="GM68" s="38">
        <f t="shared" si="212"/>
        <v>0</v>
      </c>
      <c r="GN68" s="1" t="s">
        <v>2</v>
      </c>
      <c r="GO68" s="1">
        <f t="shared" si="213"/>
        <v>0.83000000000000007</v>
      </c>
      <c r="GP68" s="13">
        <f t="shared" si="214"/>
        <v>1.1333734939759037</v>
      </c>
      <c r="GQ68" s="41">
        <f t="shared" si="215"/>
        <v>9.4070000000000018</v>
      </c>
      <c r="GR68" s="41">
        <f t="shared" si="216"/>
        <v>123.363398</v>
      </c>
      <c r="GS68" s="14">
        <f t="shared" si="217"/>
        <v>148.63059999999999</v>
      </c>
      <c r="GT68" s="1">
        <f t="shared" si="287"/>
        <v>0</v>
      </c>
      <c r="GU68" s="1">
        <f t="shared" si="288"/>
        <v>5.1520000000000001</v>
      </c>
      <c r="GV68" s="1">
        <f t="shared" si="289"/>
        <v>4.2549999999999999</v>
      </c>
      <c r="GW68" s="37">
        <f t="shared" si="221"/>
        <v>0</v>
      </c>
      <c r="GX68" s="37"/>
      <c r="GY68" s="37"/>
      <c r="GZ68" s="37"/>
      <c r="HB68" s="1">
        <f t="shared" si="290"/>
        <v>0</v>
      </c>
      <c r="HC68" s="1">
        <f t="shared" si="291"/>
        <v>0</v>
      </c>
      <c r="HD68" s="37" t="s">
        <v>2</v>
      </c>
      <c r="HE68" s="1" t="s">
        <v>31</v>
      </c>
      <c r="HF68" s="1" t="s">
        <v>230</v>
      </c>
      <c r="HG68" s="1" t="s">
        <v>230</v>
      </c>
      <c r="HI68" s="1" t="s">
        <v>96</v>
      </c>
      <c r="HJ68" s="37" t="s">
        <v>2</v>
      </c>
      <c r="JH68" s="58" t="s">
        <v>2</v>
      </c>
    </row>
    <row r="69" spans="1:268" ht="16.25" customHeight="1" x14ac:dyDescent="0.2">
      <c r="A69" s="21" t="s">
        <v>615</v>
      </c>
      <c r="B69" s="1" t="s">
        <v>69</v>
      </c>
      <c r="F69" s="1" t="s">
        <v>616</v>
      </c>
      <c r="I69" s="1">
        <v>52.887</v>
      </c>
      <c r="Q69" s="1">
        <v>1.03</v>
      </c>
      <c r="R69" s="1">
        <v>4.8000000000000001E-2</v>
      </c>
      <c r="X69" s="1">
        <v>0.69</v>
      </c>
      <c r="Y69" s="13">
        <f>17.84*(2*55.85/(2*55.85+3*16.001))</f>
        <v>12.477711752440467</v>
      </c>
      <c r="AD69" s="1">
        <v>19.324000000000002</v>
      </c>
      <c r="AL69" s="1">
        <v>0.92</v>
      </c>
      <c r="AM69" s="1">
        <v>4.8000000000000001E-2</v>
      </c>
      <c r="AS69" s="1">
        <v>0.84</v>
      </c>
      <c r="AT69" s="13">
        <f>18.26*(2*55.85/(2*55.85+3*16.001))</f>
        <v>12.771469540334246</v>
      </c>
      <c r="AY69" s="1">
        <v>0</v>
      </c>
      <c r="BT69" s="1">
        <v>0</v>
      </c>
      <c r="CO69" s="1">
        <v>0</v>
      </c>
      <c r="DJ69" s="1" t="s">
        <v>96</v>
      </c>
      <c r="DK69" s="1" t="s">
        <v>96</v>
      </c>
      <c r="DL69" s="1">
        <f t="shared" si="139"/>
        <v>1.0005634875572973</v>
      </c>
      <c r="DM69" s="1">
        <f t="shared" si="140"/>
        <v>4.8000000000000001E-2</v>
      </c>
      <c r="DN69" s="1" t="s">
        <v>617</v>
      </c>
      <c r="DO69" s="1" t="s">
        <v>2</v>
      </c>
      <c r="DP69" s="38">
        <f t="shared" si="251"/>
        <v>0</v>
      </c>
      <c r="DQ69" s="38">
        <f t="shared" si="252"/>
        <v>0</v>
      </c>
      <c r="DR69" s="38">
        <f t="shared" si="253"/>
        <v>0</v>
      </c>
      <c r="DS69" s="38">
        <f t="shared" si="254"/>
        <v>0</v>
      </c>
      <c r="DT69" s="38">
        <f t="shared" si="255"/>
        <v>0</v>
      </c>
      <c r="DU69" s="38">
        <f t="shared" si="256"/>
        <v>0</v>
      </c>
      <c r="DV69" s="38">
        <f t="shared" si="257"/>
        <v>0</v>
      </c>
      <c r="DW69" s="38">
        <f t="shared" si="258"/>
        <v>0.72251690000000002</v>
      </c>
      <c r="DX69" s="38">
        <f t="shared" si="259"/>
        <v>3.4661279999999996E-2</v>
      </c>
      <c r="DY69" s="38">
        <f t="shared" si="260"/>
        <v>0</v>
      </c>
      <c r="DZ69" s="38">
        <f t="shared" si="261"/>
        <v>0</v>
      </c>
      <c r="EA69" s="38">
        <f t="shared" si="262"/>
        <v>0</v>
      </c>
      <c r="EB69" s="38">
        <f t="shared" si="263"/>
        <v>0</v>
      </c>
      <c r="EC69" s="38">
        <f t="shared" si="264"/>
        <v>0</v>
      </c>
      <c r="ED69" s="38">
        <f t="shared" si="265"/>
        <v>0.52724190000000004</v>
      </c>
      <c r="EE69" s="38">
        <f t="shared" si="266"/>
        <v>9.0670461884873799</v>
      </c>
      <c r="EG69" s="38">
        <f t="shared" si="267"/>
        <v>0</v>
      </c>
      <c r="EH69" s="38">
        <f t="shared" si="268"/>
        <v>0</v>
      </c>
      <c r="EI69" s="38">
        <f t="shared" si="159"/>
        <v>0</v>
      </c>
      <c r="EJ69" s="38">
        <f t="shared" si="160"/>
        <v>0</v>
      </c>
      <c r="EK69" s="38">
        <f t="shared" si="161"/>
        <v>0</v>
      </c>
      <c r="EL69" s="38">
        <f t="shared" si="162"/>
        <v>0</v>
      </c>
      <c r="EM69" s="38">
        <f t="shared" si="163"/>
        <v>0</v>
      </c>
      <c r="EN69" s="38">
        <f t="shared" si="164"/>
        <v>0</v>
      </c>
      <c r="EO69" s="38">
        <f t="shared" si="165"/>
        <v>0</v>
      </c>
      <c r="EP69" s="38">
        <f t="shared" si="166"/>
        <v>9475.0866265999994</v>
      </c>
      <c r="EQ69" s="38">
        <f t="shared" si="167"/>
        <v>2517.0856548307192</v>
      </c>
      <c r="ER69" s="38">
        <f t="shared" si="168"/>
        <v>0</v>
      </c>
      <c r="ES69" s="38">
        <f t="shared" si="169"/>
        <v>0</v>
      </c>
      <c r="ET69" s="38">
        <f t="shared" si="170"/>
        <v>0</v>
      </c>
      <c r="EU69" s="38">
        <f t="shared" si="171"/>
        <v>0</v>
      </c>
      <c r="EV69" s="38">
        <f t="shared" si="172"/>
        <v>0</v>
      </c>
      <c r="EW69" s="38">
        <f t="shared" si="173"/>
        <v>147.1004901</v>
      </c>
      <c r="EX69" s="38">
        <f t="shared" si="174"/>
        <v>843.23529552932632</v>
      </c>
      <c r="EZ69" s="38">
        <f t="shared" si="175"/>
        <v>0</v>
      </c>
      <c r="FA69" s="38">
        <f t="shared" si="176"/>
        <v>0</v>
      </c>
      <c r="FB69" s="1">
        <f t="shared" si="269"/>
        <v>0</v>
      </c>
      <c r="FC69" s="1">
        <f t="shared" si="270"/>
        <v>0</v>
      </c>
      <c r="FD69" s="1">
        <f t="shared" si="271"/>
        <v>0</v>
      </c>
      <c r="FE69" s="1">
        <f t="shared" si="272"/>
        <v>0</v>
      </c>
      <c r="FF69" s="1">
        <f t="shared" si="273"/>
        <v>0</v>
      </c>
      <c r="FG69" s="1">
        <f t="shared" si="274"/>
        <v>0</v>
      </c>
      <c r="FH69" s="1">
        <f t="shared" si="275"/>
        <v>0</v>
      </c>
      <c r="FI69" s="1">
        <f t="shared" si="276"/>
        <v>0</v>
      </c>
      <c r="FJ69" s="1">
        <f t="shared" si="277"/>
        <v>0</v>
      </c>
      <c r="FK69" s="1">
        <f t="shared" si="278"/>
        <v>0</v>
      </c>
      <c r="FL69" s="1">
        <f t="shared" si="279"/>
        <v>0</v>
      </c>
      <c r="FM69" s="1">
        <f t="shared" si="280"/>
        <v>0</v>
      </c>
      <c r="FN69" s="1">
        <f t="shared" si="281"/>
        <v>0</v>
      </c>
      <c r="FO69" s="1">
        <f t="shared" si="282"/>
        <v>0</v>
      </c>
      <c r="FP69" s="1">
        <f t="shared" si="283"/>
        <v>0</v>
      </c>
      <c r="FQ69" s="1">
        <f t="shared" si="284"/>
        <v>0</v>
      </c>
      <c r="FS69" s="1">
        <f t="shared" si="285"/>
        <v>0</v>
      </c>
      <c r="FT69" s="1">
        <f t="shared" si="286"/>
        <v>0</v>
      </c>
      <c r="FU69" s="38">
        <f t="shared" si="195"/>
        <v>0</v>
      </c>
      <c r="FV69" s="38">
        <f t="shared" si="196"/>
        <v>0</v>
      </c>
      <c r="FW69" s="38">
        <f t="shared" si="197"/>
        <v>0</v>
      </c>
      <c r="FX69" s="38">
        <f t="shared" si="198"/>
        <v>0</v>
      </c>
      <c r="FY69" s="38">
        <f t="shared" si="199"/>
        <v>0</v>
      </c>
      <c r="FZ69" s="38">
        <f t="shared" si="200"/>
        <v>0</v>
      </c>
      <c r="GA69" s="38">
        <f t="shared" si="201"/>
        <v>0</v>
      </c>
      <c r="GB69" s="38">
        <f t="shared" si="202"/>
        <v>0</v>
      </c>
      <c r="GC69" s="38">
        <f t="shared" si="203"/>
        <v>0</v>
      </c>
      <c r="GD69" s="38">
        <f t="shared" si="204"/>
        <v>0</v>
      </c>
      <c r="GE69" s="38">
        <f t="shared" si="205"/>
        <v>0</v>
      </c>
      <c r="GF69" s="38">
        <f t="shared" si="206"/>
        <v>0</v>
      </c>
      <c r="GG69" s="38">
        <f t="shared" si="207"/>
        <v>0</v>
      </c>
      <c r="GH69" s="38">
        <f t="shared" si="208"/>
        <v>0</v>
      </c>
      <c r="GI69" s="38">
        <f t="shared" si="209"/>
        <v>0</v>
      </c>
      <c r="GJ69" s="38">
        <f t="shared" si="210"/>
        <v>0</v>
      </c>
      <c r="GL69" s="38">
        <f t="shared" si="211"/>
        <v>0</v>
      </c>
      <c r="GM69" s="38">
        <f t="shared" si="212"/>
        <v>0</v>
      </c>
      <c r="GN69" s="1" t="s">
        <v>2</v>
      </c>
      <c r="GO69" s="13">
        <f t="shared" si="213"/>
        <v>72.210999999999999</v>
      </c>
      <c r="GP69" s="13">
        <f t="shared" si="214"/>
        <v>1.0005634875572973</v>
      </c>
      <c r="GQ69" s="41">
        <f t="shared" si="215"/>
        <v>722.51689999999985</v>
      </c>
      <c r="GR69" s="41">
        <f t="shared" si="216"/>
        <v>12982.508067060044</v>
      </c>
      <c r="GS69" s="14">
        <f t="shared" si="217"/>
        <v>179.78573994349952</v>
      </c>
      <c r="GT69" s="1">
        <f t="shared" si="287"/>
        <v>544.73609999999996</v>
      </c>
      <c r="GU69" s="1">
        <f t="shared" si="288"/>
        <v>177.78080000000003</v>
      </c>
      <c r="GV69" s="1">
        <f t="shared" si="289"/>
        <v>0</v>
      </c>
      <c r="GW69" s="37">
        <f t="shared" si="221"/>
        <v>0</v>
      </c>
      <c r="GX69" s="37"/>
      <c r="GY69" s="37"/>
      <c r="GZ69" s="37"/>
      <c r="HB69" s="1">
        <f t="shared" si="290"/>
        <v>0</v>
      </c>
      <c r="HC69" s="1">
        <f t="shared" si="291"/>
        <v>0</v>
      </c>
      <c r="HD69" s="37" t="s">
        <v>2</v>
      </c>
      <c r="HE69" s="1" t="s">
        <v>31</v>
      </c>
      <c r="HF69" s="1" t="s">
        <v>618</v>
      </c>
      <c r="HG69" s="1" t="s">
        <v>618</v>
      </c>
      <c r="HI69" s="1" t="s">
        <v>96</v>
      </c>
      <c r="HJ69" s="37" t="s">
        <v>2</v>
      </c>
      <c r="JH69" s="58" t="s">
        <v>2</v>
      </c>
    </row>
    <row r="70" spans="1:268" ht="16.25" customHeight="1" x14ac:dyDescent="0.2">
      <c r="A70" s="21" t="s">
        <v>340</v>
      </c>
      <c r="B70" s="1" t="s">
        <v>69</v>
      </c>
      <c r="E70" s="1" t="s">
        <v>72</v>
      </c>
      <c r="F70" s="1" t="s">
        <v>341</v>
      </c>
      <c r="H70" s="1" t="s">
        <v>211</v>
      </c>
      <c r="I70" s="1">
        <v>11.68</v>
      </c>
      <c r="Q70" s="1">
        <v>0.99</v>
      </c>
      <c r="R70" s="1">
        <v>0.06</v>
      </c>
      <c r="Y70" s="1">
        <v>11.4</v>
      </c>
      <c r="AD70" s="1">
        <v>42.96</v>
      </c>
      <c r="AL70" s="1">
        <v>0.91</v>
      </c>
      <c r="AM70" s="1">
        <v>0.06</v>
      </c>
      <c r="AT70" s="1">
        <v>11.9</v>
      </c>
      <c r="AY70" s="1">
        <v>16.260000000000002</v>
      </c>
      <c r="BG70" s="1">
        <v>0.88</v>
      </c>
      <c r="BH70" s="1">
        <v>0.06</v>
      </c>
      <c r="BO70" s="1">
        <v>11.8</v>
      </c>
      <c r="BT70" s="1">
        <v>0</v>
      </c>
      <c r="CO70" s="1">
        <v>0</v>
      </c>
      <c r="DJ70" s="1" t="s">
        <v>96</v>
      </c>
      <c r="DK70" s="1" t="s">
        <v>96</v>
      </c>
      <c r="DL70" s="1">
        <f t="shared" ref="DL70:DL132" si="292">(Q70*I70+AL70*AD70+BG70*AY70)/(I70+AD70+AY70)</f>
        <v>0.91629901269393521</v>
      </c>
      <c r="DM70" s="1">
        <f t="shared" ref="DM70:DM132" si="293">(R70*I70+AM70*AD70+BH70*AY70)/(I70+AD70+AY70)</f>
        <v>5.9999999999999991E-2</v>
      </c>
      <c r="DN70" s="1" t="s">
        <v>342</v>
      </c>
      <c r="DO70" s="1" t="s">
        <v>2</v>
      </c>
      <c r="DP70" s="38">
        <f t="shared" si="251"/>
        <v>0</v>
      </c>
      <c r="DQ70" s="38">
        <f t="shared" si="252"/>
        <v>0</v>
      </c>
      <c r="DR70" s="38">
        <f t="shared" si="253"/>
        <v>0</v>
      </c>
      <c r="DS70" s="38">
        <f t="shared" si="254"/>
        <v>0</v>
      </c>
      <c r="DT70" s="38">
        <f t="shared" si="255"/>
        <v>0</v>
      </c>
      <c r="DU70" s="38">
        <f t="shared" si="256"/>
        <v>0</v>
      </c>
      <c r="DV70" s="38">
        <f t="shared" si="257"/>
        <v>0</v>
      </c>
      <c r="DW70" s="38">
        <f t="shared" si="258"/>
        <v>0.64965600000000012</v>
      </c>
      <c r="DX70" s="38">
        <f t="shared" si="259"/>
        <v>4.2539999999999994E-2</v>
      </c>
      <c r="DY70" s="38">
        <f t="shared" si="260"/>
        <v>0</v>
      </c>
      <c r="DZ70" s="38">
        <f t="shared" si="261"/>
        <v>0</v>
      </c>
      <c r="EA70" s="38">
        <f t="shared" si="262"/>
        <v>0</v>
      </c>
      <c r="EB70" s="38">
        <f t="shared" si="263"/>
        <v>0</v>
      </c>
      <c r="EC70" s="38">
        <f t="shared" si="264"/>
        <v>0</v>
      </c>
      <c r="ED70" s="38">
        <f t="shared" si="265"/>
        <v>0</v>
      </c>
      <c r="EE70" s="38">
        <f t="shared" si="266"/>
        <v>8.3624399999999994</v>
      </c>
      <c r="EG70" s="38">
        <f t="shared" si="267"/>
        <v>0</v>
      </c>
      <c r="EH70" s="38">
        <f t="shared" si="268"/>
        <v>0</v>
      </c>
      <c r="EI70" s="38">
        <f t="shared" si="159"/>
        <v>0</v>
      </c>
      <c r="EJ70" s="38">
        <f t="shared" si="160"/>
        <v>0</v>
      </c>
      <c r="EK70" s="38">
        <f t="shared" si="161"/>
        <v>0</v>
      </c>
      <c r="EL70" s="38">
        <f t="shared" si="162"/>
        <v>0</v>
      </c>
      <c r="EM70" s="38">
        <f t="shared" si="163"/>
        <v>0</v>
      </c>
      <c r="EN70" s="38">
        <f t="shared" si="164"/>
        <v>0</v>
      </c>
      <c r="EO70" s="38">
        <f t="shared" si="165"/>
        <v>0</v>
      </c>
      <c r="EP70" s="38">
        <f t="shared" si="166"/>
        <v>8519.5887840000014</v>
      </c>
      <c r="EQ70" s="38">
        <f t="shared" si="167"/>
        <v>3089.2345509599991</v>
      </c>
      <c r="ER70" s="38">
        <f t="shared" si="168"/>
        <v>0</v>
      </c>
      <c r="ES70" s="38">
        <f t="shared" si="169"/>
        <v>0</v>
      </c>
      <c r="ET70" s="38">
        <f t="shared" si="170"/>
        <v>0</v>
      </c>
      <c r="EU70" s="38">
        <f t="shared" si="171"/>
        <v>0</v>
      </c>
      <c r="EV70" s="38">
        <f t="shared" si="172"/>
        <v>0</v>
      </c>
      <c r="EW70" s="38">
        <f t="shared" si="173"/>
        <v>0</v>
      </c>
      <c r="EX70" s="38">
        <f t="shared" si="174"/>
        <v>777.70691999999997</v>
      </c>
      <c r="EZ70" s="38">
        <f t="shared" si="175"/>
        <v>0</v>
      </c>
      <c r="FA70" s="38">
        <f t="shared" si="176"/>
        <v>0</v>
      </c>
      <c r="FB70" s="1">
        <f t="shared" si="269"/>
        <v>0</v>
      </c>
      <c r="FC70" s="1">
        <f t="shared" si="270"/>
        <v>0</v>
      </c>
      <c r="FD70" s="1">
        <f t="shared" si="271"/>
        <v>0</v>
      </c>
      <c r="FE70" s="1">
        <f t="shared" si="272"/>
        <v>0</v>
      </c>
      <c r="FF70" s="1">
        <f t="shared" si="273"/>
        <v>0</v>
      </c>
      <c r="FG70" s="1">
        <f t="shared" si="274"/>
        <v>0</v>
      </c>
      <c r="FH70" s="1">
        <f t="shared" si="275"/>
        <v>0</v>
      </c>
      <c r="FI70" s="1">
        <f t="shared" si="276"/>
        <v>0</v>
      </c>
      <c r="FJ70" s="1">
        <f t="shared" si="277"/>
        <v>0</v>
      </c>
      <c r="FK70" s="1">
        <f t="shared" si="278"/>
        <v>0</v>
      </c>
      <c r="FL70" s="1">
        <f t="shared" si="279"/>
        <v>0</v>
      </c>
      <c r="FM70" s="1">
        <f t="shared" si="280"/>
        <v>0</v>
      </c>
      <c r="FN70" s="1">
        <f t="shared" si="281"/>
        <v>0</v>
      </c>
      <c r="FO70" s="1">
        <f t="shared" si="282"/>
        <v>0</v>
      </c>
      <c r="FP70" s="1">
        <f t="shared" si="283"/>
        <v>0</v>
      </c>
      <c r="FQ70" s="1">
        <f t="shared" si="284"/>
        <v>0</v>
      </c>
      <c r="FS70" s="1">
        <f t="shared" si="285"/>
        <v>0</v>
      </c>
      <c r="FT70" s="1">
        <f t="shared" si="286"/>
        <v>0</v>
      </c>
      <c r="FU70" s="38">
        <f t="shared" si="195"/>
        <v>0</v>
      </c>
      <c r="FV70" s="38">
        <f t="shared" si="196"/>
        <v>0</v>
      </c>
      <c r="FW70" s="38">
        <f t="shared" si="197"/>
        <v>0</v>
      </c>
      <c r="FX70" s="38">
        <f t="shared" si="198"/>
        <v>0</v>
      </c>
      <c r="FY70" s="38">
        <f t="shared" si="199"/>
        <v>0</v>
      </c>
      <c r="FZ70" s="38">
        <f t="shared" si="200"/>
        <v>0</v>
      </c>
      <c r="GA70" s="38">
        <f t="shared" si="201"/>
        <v>0</v>
      </c>
      <c r="GB70" s="38">
        <f t="shared" si="202"/>
        <v>0</v>
      </c>
      <c r="GC70" s="38">
        <f t="shared" si="203"/>
        <v>0</v>
      </c>
      <c r="GD70" s="38">
        <f t="shared" si="204"/>
        <v>0</v>
      </c>
      <c r="GE70" s="38">
        <f t="shared" si="205"/>
        <v>0</v>
      </c>
      <c r="GF70" s="38">
        <f t="shared" si="206"/>
        <v>0</v>
      </c>
      <c r="GG70" s="38">
        <f t="shared" si="207"/>
        <v>0</v>
      </c>
      <c r="GH70" s="38">
        <f t="shared" si="208"/>
        <v>0</v>
      </c>
      <c r="GI70" s="38">
        <f t="shared" si="209"/>
        <v>0</v>
      </c>
      <c r="GJ70" s="38">
        <f t="shared" si="210"/>
        <v>0</v>
      </c>
      <c r="GL70" s="38">
        <f t="shared" si="211"/>
        <v>0</v>
      </c>
      <c r="GM70" s="38">
        <f t="shared" si="212"/>
        <v>0</v>
      </c>
      <c r="GN70" s="1" t="s">
        <v>2</v>
      </c>
      <c r="GO70" s="1">
        <f t="shared" ref="GO70:GO132" si="294">I70+AD70+AY70</f>
        <v>70.900000000000006</v>
      </c>
      <c r="GP70" s="13">
        <f t="shared" ref="GP70:GP132" si="295">(I70*Q70+AD70*AL70+AY70*BG70)/GO70</f>
        <v>0.91629901269393521</v>
      </c>
      <c r="GQ70" s="41">
        <f t="shared" ref="GQ70:GQ132" si="296">1000*GO70*GP70/100</f>
        <v>649.65600000000006</v>
      </c>
      <c r="GR70" s="41">
        <f t="shared" ref="GR70:GR132" si="297">SUM(EI70:FA70)</f>
        <v>12386.530254960002</v>
      </c>
      <c r="GS70" s="14">
        <f t="shared" ref="GS70:GS132" si="298">GR70/GO70</f>
        <v>174.70423490775741</v>
      </c>
      <c r="GT70" s="1">
        <f t="shared" si="287"/>
        <v>115.63200000000001</v>
      </c>
      <c r="GU70" s="1">
        <f t="shared" si="288"/>
        <v>390.93599999999998</v>
      </c>
      <c r="GV70" s="1">
        <f t="shared" si="289"/>
        <v>143.08800000000002</v>
      </c>
      <c r="GW70" s="37">
        <f t="shared" ref="GW70:GW132" si="299">BT70+CO70</f>
        <v>0</v>
      </c>
      <c r="GX70" s="37"/>
      <c r="GY70" s="37"/>
      <c r="GZ70" s="37"/>
      <c r="HB70" s="1">
        <f t="shared" si="290"/>
        <v>0</v>
      </c>
      <c r="HC70" s="1">
        <f t="shared" si="291"/>
        <v>0</v>
      </c>
      <c r="HD70" s="37" t="s">
        <v>2</v>
      </c>
      <c r="HE70" s="1" t="s">
        <v>31</v>
      </c>
      <c r="HF70" s="1" t="s">
        <v>343</v>
      </c>
      <c r="HG70" s="1" t="s">
        <v>343</v>
      </c>
      <c r="HI70" s="1" t="s">
        <v>96</v>
      </c>
      <c r="HJ70" s="37" t="s">
        <v>2</v>
      </c>
      <c r="JH70" s="58" t="s">
        <v>2</v>
      </c>
    </row>
    <row r="71" spans="1:268" ht="16.25" customHeight="1" x14ac:dyDescent="0.2">
      <c r="A71" s="21" t="s">
        <v>1107</v>
      </c>
      <c r="B71" s="1" t="s">
        <v>64</v>
      </c>
      <c r="F71" s="1" t="s">
        <v>186</v>
      </c>
      <c r="H71" s="1" t="s">
        <v>467</v>
      </c>
      <c r="I71" s="1">
        <f>39+10+17</f>
        <v>66</v>
      </c>
      <c r="Q71" s="14">
        <f>(1.2*39+1.1*10+0.2*17)/I71</f>
        <v>0.92727272727272725</v>
      </c>
      <c r="AD71" s="1">
        <f>146+37</f>
        <v>183</v>
      </c>
      <c r="AL71" s="1">
        <f>(0.9*146+0.9*37)/AD71</f>
        <v>0.90000000000000013</v>
      </c>
      <c r="AY71" s="1">
        <v>17</v>
      </c>
      <c r="BG71" s="1">
        <v>0.2</v>
      </c>
      <c r="BT71" s="1">
        <f>14+8.3</f>
        <v>22.3</v>
      </c>
      <c r="CB71" s="14">
        <f>(1.3*14+1.2*8.3)/BT71</f>
        <v>1.2627802690582959</v>
      </c>
      <c r="CO71" s="1">
        <f>3.9+11</f>
        <v>14.9</v>
      </c>
      <c r="CW71" s="1">
        <f>(1.2*3.9+1.2*11)/CO71</f>
        <v>1.2</v>
      </c>
      <c r="DJ71" s="1" t="s">
        <v>96</v>
      </c>
      <c r="DL71" s="1">
        <f t="shared" si="292"/>
        <v>0.86203007518796992</v>
      </c>
      <c r="DM71" s="1">
        <f t="shared" si="293"/>
        <v>0</v>
      </c>
      <c r="DN71" s="1" t="s">
        <v>67</v>
      </c>
      <c r="DO71" s="1" t="s">
        <v>2</v>
      </c>
      <c r="DP71" s="38">
        <f t="shared" si="251"/>
        <v>0</v>
      </c>
      <c r="DQ71" s="38">
        <f t="shared" si="252"/>
        <v>0</v>
      </c>
      <c r="DR71" s="38">
        <f t="shared" si="253"/>
        <v>0</v>
      </c>
      <c r="DS71" s="38">
        <f t="shared" si="254"/>
        <v>0</v>
      </c>
      <c r="DT71" s="38">
        <f t="shared" si="255"/>
        <v>0</v>
      </c>
      <c r="DU71" s="38">
        <f t="shared" si="256"/>
        <v>0</v>
      </c>
      <c r="DV71" s="38">
        <f t="shared" si="257"/>
        <v>0</v>
      </c>
      <c r="DW71" s="38">
        <f t="shared" si="258"/>
        <v>2.2930000000000001</v>
      </c>
      <c r="DX71" s="38">
        <f t="shared" si="259"/>
        <v>0</v>
      </c>
      <c r="DY71" s="38">
        <f t="shared" si="260"/>
        <v>0</v>
      </c>
      <c r="DZ71" s="38">
        <f t="shared" si="261"/>
        <v>0</v>
      </c>
      <c r="EA71" s="38">
        <f t="shared" si="262"/>
        <v>0</v>
      </c>
      <c r="EB71" s="38">
        <f t="shared" si="263"/>
        <v>0</v>
      </c>
      <c r="EC71" s="38">
        <f t="shared" si="264"/>
        <v>0</v>
      </c>
      <c r="ED71" s="38">
        <f t="shared" si="265"/>
        <v>0</v>
      </c>
      <c r="EE71" s="38">
        <f t="shared" si="266"/>
        <v>0</v>
      </c>
      <c r="EG71" s="38">
        <f t="shared" si="267"/>
        <v>0</v>
      </c>
      <c r="EH71" s="38">
        <f t="shared" si="268"/>
        <v>0</v>
      </c>
      <c r="EI71" s="38">
        <f t="shared" si="159"/>
        <v>0</v>
      </c>
      <c r="EJ71" s="38">
        <f t="shared" si="160"/>
        <v>0</v>
      </c>
      <c r="EK71" s="38">
        <f t="shared" si="161"/>
        <v>0</v>
      </c>
      <c r="EL71" s="38">
        <f t="shared" si="162"/>
        <v>0</v>
      </c>
      <c r="EM71" s="38">
        <f t="shared" si="163"/>
        <v>0</v>
      </c>
      <c r="EN71" s="38">
        <f t="shared" si="164"/>
        <v>0</v>
      </c>
      <c r="EO71" s="38">
        <f t="shared" si="165"/>
        <v>0</v>
      </c>
      <c r="EP71" s="38">
        <f t="shared" si="166"/>
        <v>30070.402000000002</v>
      </c>
      <c r="EQ71" s="38">
        <f t="shared" si="167"/>
        <v>0</v>
      </c>
      <c r="ER71" s="38">
        <f t="shared" si="168"/>
        <v>0</v>
      </c>
      <c r="ES71" s="38">
        <f t="shared" si="169"/>
        <v>0</v>
      </c>
      <c r="ET71" s="38">
        <f t="shared" si="170"/>
        <v>0</v>
      </c>
      <c r="EU71" s="38">
        <f t="shared" si="171"/>
        <v>0</v>
      </c>
      <c r="EV71" s="38">
        <f t="shared" si="172"/>
        <v>0</v>
      </c>
      <c r="EW71" s="38">
        <f t="shared" si="173"/>
        <v>0</v>
      </c>
      <c r="EX71" s="38">
        <f t="shared" si="174"/>
        <v>0</v>
      </c>
      <c r="EZ71" s="38">
        <f t="shared" si="175"/>
        <v>0</v>
      </c>
      <c r="FA71" s="38">
        <f t="shared" si="176"/>
        <v>0</v>
      </c>
      <c r="FB71" s="1">
        <f t="shared" si="269"/>
        <v>0</v>
      </c>
      <c r="FC71" s="1">
        <f t="shared" si="270"/>
        <v>0</v>
      </c>
      <c r="FD71" s="1">
        <f t="shared" si="271"/>
        <v>0</v>
      </c>
      <c r="FE71" s="1">
        <f t="shared" si="272"/>
        <v>0</v>
      </c>
      <c r="FF71" s="1">
        <f t="shared" si="273"/>
        <v>0</v>
      </c>
      <c r="FG71" s="1">
        <f t="shared" si="274"/>
        <v>0</v>
      </c>
      <c r="FH71" s="1">
        <f t="shared" si="275"/>
        <v>0</v>
      </c>
      <c r="FI71" s="1">
        <f t="shared" si="276"/>
        <v>0.46039999999999998</v>
      </c>
      <c r="FJ71" s="1">
        <f t="shared" si="277"/>
        <v>0</v>
      </c>
      <c r="FK71" s="1">
        <f t="shared" si="278"/>
        <v>0</v>
      </c>
      <c r="FL71" s="1">
        <f t="shared" si="279"/>
        <v>0</v>
      </c>
      <c r="FM71" s="1">
        <f t="shared" si="280"/>
        <v>0</v>
      </c>
      <c r="FN71" s="1">
        <f t="shared" si="281"/>
        <v>0</v>
      </c>
      <c r="FO71" s="1">
        <f t="shared" si="282"/>
        <v>0</v>
      </c>
      <c r="FP71" s="1">
        <f t="shared" si="283"/>
        <v>0</v>
      </c>
      <c r="FQ71" s="1">
        <f t="shared" si="284"/>
        <v>0</v>
      </c>
      <c r="FS71" s="1">
        <f t="shared" si="285"/>
        <v>0</v>
      </c>
      <c r="FT71" s="1">
        <f t="shared" si="286"/>
        <v>0</v>
      </c>
      <c r="FU71" s="38">
        <f t="shared" si="195"/>
        <v>0</v>
      </c>
      <c r="FV71" s="38">
        <f t="shared" si="196"/>
        <v>0</v>
      </c>
      <c r="FW71" s="38">
        <f t="shared" si="197"/>
        <v>0</v>
      </c>
      <c r="FX71" s="38">
        <f t="shared" si="198"/>
        <v>0</v>
      </c>
      <c r="FY71" s="38">
        <f t="shared" si="199"/>
        <v>0</v>
      </c>
      <c r="FZ71" s="38">
        <f t="shared" si="200"/>
        <v>0</v>
      </c>
      <c r="GA71" s="38">
        <f t="shared" si="201"/>
        <v>0</v>
      </c>
      <c r="GB71" s="38">
        <f t="shared" si="202"/>
        <v>6037.6855999999998</v>
      </c>
      <c r="GC71" s="38">
        <f t="shared" si="203"/>
        <v>0</v>
      </c>
      <c r="GD71" s="38">
        <f t="shared" si="204"/>
        <v>0</v>
      </c>
      <c r="GE71" s="38">
        <f t="shared" si="205"/>
        <v>0</v>
      </c>
      <c r="GF71" s="38">
        <f t="shared" si="206"/>
        <v>0</v>
      </c>
      <c r="GG71" s="38">
        <f t="shared" si="207"/>
        <v>0</v>
      </c>
      <c r="GH71" s="38">
        <f t="shared" si="208"/>
        <v>0</v>
      </c>
      <c r="GI71" s="38">
        <f t="shared" si="209"/>
        <v>0</v>
      </c>
      <c r="GJ71" s="38">
        <f t="shared" si="210"/>
        <v>0</v>
      </c>
      <c r="GL71" s="38">
        <f t="shared" si="211"/>
        <v>0</v>
      </c>
      <c r="GM71" s="38">
        <f t="shared" si="212"/>
        <v>0</v>
      </c>
      <c r="GN71" s="1" t="s">
        <v>2</v>
      </c>
      <c r="GO71" s="1">
        <f t="shared" si="294"/>
        <v>266</v>
      </c>
      <c r="GP71" s="13">
        <f t="shared" si="295"/>
        <v>0.86203007518796992</v>
      </c>
      <c r="GQ71" s="43">
        <f t="shared" si="296"/>
        <v>2293</v>
      </c>
      <c r="GR71" s="41">
        <f t="shared" si="297"/>
        <v>30070.402000000002</v>
      </c>
      <c r="GS71" s="14">
        <f t="shared" si="298"/>
        <v>113.04662406015038</v>
      </c>
      <c r="GT71" s="1">
        <f t="shared" si="287"/>
        <v>611.99999999999989</v>
      </c>
      <c r="GU71" s="1">
        <f t="shared" si="288"/>
        <v>1647.0000000000002</v>
      </c>
      <c r="GV71" s="1">
        <f t="shared" si="289"/>
        <v>34.000000000000007</v>
      </c>
      <c r="GW71" s="37">
        <f t="shared" si="299"/>
        <v>37.200000000000003</v>
      </c>
      <c r="GX71" s="44">
        <f>(BT71*CB71+CO71*CW71)/GW71</f>
        <v>1.2376344086021505</v>
      </c>
      <c r="GY71" s="41">
        <f>1000*GW71*GX71/100</f>
        <v>460.4</v>
      </c>
      <c r="GZ71" s="41">
        <f>SUM(FU71:GM71)</f>
        <v>6037.6855999999998</v>
      </c>
      <c r="HA71" s="14">
        <f>GZ71/GW71</f>
        <v>162.30337634408599</v>
      </c>
      <c r="HB71" s="1">
        <f t="shared" si="290"/>
        <v>281.60000000000002</v>
      </c>
      <c r="HC71" s="1">
        <f t="shared" si="291"/>
        <v>178.8</v>
      </c>
      <c r="HD71" s="37" t="s">
        <v>2</v>
      </c>
      <c r="HE71" s="1" t="s">
        <v>31</v>
      </c>
      <c r="HF71" s="1" t="s">
        <v>1108</v>
      </c>
      <c r="HG71" s="1" t="s">
        <v>1108</v>
      </c>
      <c r="HI71" s="1" t="s">
        <v>96</v>
      </c>
      <c r="HJ71" s="37" t="s">
        <v>2</v>
      </c>
      <c r="JH71" s="58" t="s">
        <v>2</v>
      </c>
    </row>
    <row r="72" spans="1:268" ht="16.25" customHeight="1" x14ac:dyDescent="0.2">
      <c r="A72" s="21" t="s">
        <v>243</v>
      </c>
      <c r="B72" s="1" t="s">
        <v>69</v>
      </c>
      <c r="E72" s="1" t="s">
        <v>72</v>
      </c>
      <c r="F72" s="1" t="s">
        <v>172</v>
      </c>
      <c r="H72" s="1" t="s">
        <v>204</v>
      </c>
      <c r="I72" s="1">
        <v>0</v>
      </c>
      <c r="AD72" s="1">
        <v>0</v>
      </c>
      <c r="AY72" s="14">
        <v>75</v>
      </c>
      <c r="BG72" s="1">
        <v>0.73</v>
      </c>
      <c r="BH72" s="1">
        <v>4.3999999999999997E-2</v>
      </c>
      <c r="BT72" s="1">
        <v>0</v>
      </c>
      <c r="CO72" s="1">
        <v>0</v>
      </c>
      <c r="DJ72" s="1" t="s">
        <v>96</v>
      </c>
      <c r="DK72" s="1" t="s">
        <v>96</v>
      </c>
      <c r="DL72" s="1">
        <f t="shared" si="292"/>
        <v>0.73</v>
      </c>
      <c r="DM72" s="1">
        <f t="shared" si="293"/>
        <v>4.3999999999999997E-2</v>
      </c>
      <c r="DN72" s="1" t="s">
        <v>67</v>
      </c>
      <c r="DO72" s="1" t="s">
        <v>2</v>
      </c>
      <c r="DP72" s="38">
        <f t="shared" si="251"/>
        <v>0</v>
      </c>
      <c r="DQ72" s="38">
        <f t="shared" si="252"/>
        <v>0</v>
      </c>
      <c r="DR72" s="38">
        <f t="shared" si="253"/>
        <v>0</v>
      </c>
      <c r="DS72" s="38">
        <f t="shared" si="254"/>
        <v>0</v>
      </c>
      <c r="DT72" s="38">
        <f t="shared" si="255"/>
        <v>0</v>
      </c>
      <c r="DU72" s="38">
        <f t="shared" si="256"/>
        <v>0</v>
      </c>
      <c r="DV72" s="38">
        <f t="shared" si="257"/>
        <v>0</v>
      </c>
      <c r="DW72" s="38">
        <f t="shared" si="258"/>
        <v>0.54749999999999999</v>
      </c>
      <c r="DX72" s="38">
        <f t="shared" si="259"/>
        <v>3.3000000000000002E-2</v>
      </c>
      <c r="DY72" s="38">
        <f t="shared" si="260"/>
        <v>0</v>
      </c>
      <c r="DZ72" s="38">
        <f t="shared" si="261"/>
        <v>0</v>
      </c>
      <c r="EA72" s="38">
        <f t="shared" si="262"/>
        <v>0</v>
      </c>
      <c r="EB72" s="38">
        <f t="shared" si="263"/>
        <v>0</v>
      </c>
      <c r="EC72" s="38">
        <f t="shared" si="264"/>
        <v>0</v>
      </c>
      <c r="ED72" s="38">
        <f t="shared" si="265"/>
        <v>0</v>
      </c>
      <c r="EE72" s="38">
        <f t="shared" si="266"/>
        <v>0</v>
      </c>
      <c r="EG72" s="38">
        <f t="shared" si="267"/>
        <v>0</v>
      </c>
      <c r="EH72" s="38">
        <f t="shared" si="268"/>
        <v>0</v>
      </c>
      <c r="EI72" s="38">
        <f t="shared" si="159"/>
        <v>0</v>
      </c>
      <c r="EJ72" s="38">
        <f t="shared" si="160"/>
        <v>0</v>
      </c>
      <c r="EK72" s="38">
        <f t="shared" si="161"/>
        <v>0</v>
      </c>
      <c r="EL72" s="38">
        <f t="shared" si="162"/>
        <v>0</v>
      </c>
      <c r="EM72" s="38">
        <f t="shared" si="163"/>
        <v>0</v>
      </c>
      <c r="EN72" s="38">
        <f t="shared" si="164"/>
        <v>0</v>
      </c>
      <c r="EO72" s="38">
        <f t="shared" si="165"/>
        <v>0</v>
      </c>
      <c r="EP72" s="38">
        <f t="shared" si="166"/>
        <v>7179.915</v>
      </c>
      <c r="EQ72" s="38">
        <f t="shared" si="167"/>
        <v>2396.4442919999997</v>
      </c>
      <c r="ER72" s="38">
        <f t="shared" si="168"/>
        <v>0</v>
      </c>
      <c r="ES72" s="38">
        <f t="shared" si="169"/>
        <v>0</v>
      </c>
      <c r="ET72" s="38">
        <f t="shared" si="170"/>
        <v>0</v>
      </c>
      <c r="EU72" s="38">
        <f t="shared" si="171"/>
        <v>0</v>
      </c>
      <c r="EV72" s="38">
        <f t="shared" si="172"/>
        <v>0</v>
      </c>
      <c r="EW72" s="38">
        <f t="shared" si="173"/>
        <v>0</v>
      </c>
      <c r="EX72" s="38">
        <f t="shared" si="174"/>
        <v>0</v>
      </c>
      <c r="EZ72" s="38">
        <f t="shared" si="175"/>
        <v>0</v>
      </c>
      <c r="FA72" s="38">
        <f t="shared" si="176"/>
        <v>0</v>
      </c>
      <c r="FB72" s="1">
        <f t="shared" si="269"/>
        <v>0</v>
      </c>
      <c r="FC72" s="1">
        <f t="shared" si="270"/>
        <v>0</v>
      </c>
      <c r="FD72" s="1">
        <f t="shared" si="271"/>
        <v>0</v>
      </c>
      <c r="FE72" s="1">
        <f t="shared" si="272"/>
        <v>0</v>
      </c>
      <c r="FF72" s="1">
        <f t="shared" si="273"/>
        <v>0</v>
      </c>
      <c r="FG72" s="1">
        <f t="shared" si="274"/>
        <v>0</v>
      </c>
      <c r="FH72" s="1">
        <f t="shared" si="275"/>
        <v>0</v>
      </c>
      <c r="FI72" s="1">
        <f t="shared" si="276"/>
        <v>0</v>
      </c>
      <c r="FJ72" s="1">
        <f t="shared" si="277"/>
        <v>0</v>
      </c>
      <c r="FK72" s="1">
        <f t="shared" si="278"/>
        <v>0</v>
      </c>
      <c r="FL72" s="1">
        <f t="shared" si="279"/>
        <v>0</v>
      </c>
      <c r="FM72" s="1">
        <f t="shared" si="280"/>
        <v>0</v>
      </c>
      <c r="FN72" s="1">
        <f t="shared" si="281"/>
        <v>0</v>
      </c>
      <c r="FO72" s="1">
        <f t="shared" si="282"/>
        <v>0</v>
      </c>
      <c r="FP72" s="1">
        <f t="shared" si="283"/>
        <v>0</v>
      </c>
      <c r="FQ72" s="1">
        <f t="shared" si="284"/>
        <v>0</v>
      </c>
      <c r="FS72" s="1">
        <f t="shared" si="285"/>
        <v>0</v>
      </c>
      <c r="FT72" s="1">
        <f t="shared" si="286"/>
        <v>0</v>
      </c>
      <c r="FU72" s="38">
        <f t="shared" si="195"/>
        <v>0</v>
      </c>
      <c r="FV72" s="38">
        <f t="shared" si="196"/>
        <v>0</v>
      </c>
      <c r="FW72" s="38">
        <f t="shared" si="197"/>
        <v>0</v>
      </c>
      <c r="FX72" s="38">
        <f t="shared" si="198"/>
        <v>0</v>
      </c>
      <c r="FY72" s="38">
        <f t="shared" si="199"/>
        <v>0</v>
      </c>
      <c r="FZ72" s="38">
        <f t="shared" si="200"/>
        <v>0</v>
      </c>
      <c r="GA72" s="38">
        <f t="shared" si="201"/>
        <v>0</v>
      </c>
      <c r="GB72" s="38">
        <f t="shared" si="202"/>
        <v>0</v>
      </c>
      <c r="GC72" s="38">
        <f t="shared" si="203"/>
        <v>0</v>
      </c>
      <c r="GD72" s="38">
        <f t="shared" si="204"/>
        <v>0</v>
      </c>
      <c r="GE72" s="38">
        <f t="shared" si="205"/>
        <v>0</v>
      </c>
      <c r="GF72" s="38">
        <f t="shared" si="206"/>
        <v>0</v>
      </c>
      <c r="GG72" s="38">
        <f t="shared" si="207"/>
        <v>0</v>
      </c>
      <c r="GH72" s="38">
        <f t="shared" si="208"/>
        <v>0</v>
      </c>
      <c r="GI72" s="38">
        <f t="shared" si="209"/>
        <v>0</v>
      </c>
      <c r="GJ72" s="38">
        <f t="shared" si="210"/>
        <v>0</v>
      </c>
      <c r="GL72" s="38">
        <f t="shared" si="211"/>
        <v>0</v>
      </c>
      <c r="GM72" s="38">
        <f t="shared" si="212"/>
        <v>0</v>
      </c>
      <c r="GN72" s="1" t="s">
        <v>2</v>
      </c>
      <c r="GO72" s="1">
        <f t="shared" si="294"/>
        <v>75</v>
      </c>
      <c r="GP72" s="1">
        <f t="shared" si="295"/>
        <v>0.73</v>
      </c>
      <c r="GQ72" s="41">
        <f t="shared" si="296"/>
        <v>547.5</v>
      </c>
      <c r="GR72" s="41">
        <f t="shared" si="297"/>
        <v>9576.3592919999992</v>
      </c>
      <c r="GS72" s="14">
        <f t="shared" si="298"/>
        <v>127.68479056</v>
      </c>
      <c r="GT72" s="1">
        <f t="shared" si="287"/>
        <v>0</v>
      </c>
      <c r="GU72" s="1">
        <f t="shared" si="288"/>
        <v>0</v>
      </c>
      <c r="GV72" s="1">
        <f t="shared" si="289"/>
        <v>547.5</v>
      </c>
      <c r="GW72" s="37">
        <f t="shared" si="299"/>
        <v>0</v>
      </c>
      <c r="GX72" s="37"/>
      <c r="GY72" s="37"/>
      <c r="GZ72" s="37"/>
      <c r="HB72" s="1">
        <f t="shared" si="290"/>
        <v>0</v>
      </c>
      <c r="HC72" s="1">
        <f t="shared" si="291"/>
        <v>0</v>
      </c>
      <c r="HD72" s="37" t="s">
        <v>2</v>
      </c>
      <c r="HE72" s="1" t="s">
        <v>31</v>
      </c>
      <c r="HF72" s="1" t="s">
        <v>244</v>
      </c>
      <c r="HG72" s="1" t="s">
        <v>245</v>
      </c>
      <c r="HI72" s="1" t="s">
        <v>96</v>
      </c>
      <c r="HJ72" s="37" t="s">
        <v>2</v>
      </c>
      <c r="JH72" s="58" t="s">
        <v>2</v>
      </c>
    </row>
    <row r="73" spans="1:268" ht="16.25" customHeight="1" x14ac:dyDescent="0.2">
      <c r="A73" s="21" t="s">
        <v>300</v>
      </c>
      <c r="B73" s="1" t="s">
        <v>69</v>
      </c>
      <c r="E73" s="1" t="s">
        <v>72</v>
      </c>
      <c r="F73" s="1" t="s">
        <v>301</v>
      </c>
      <c r="H73" s="1" t="s">
        <v>211</v>
      </c>
      <c r="I73" s="1">
        <v>0</v>
      </c>
      <c r="AD73" s="1">
        <v>2.6</v>
      </c>
      <c r="AL73" s="1">
        <v>0.78</v>
      </c>
      <c r="AY73" s="1">
        <v>27</v>
      </c>
      <c r="BG73" s="1">
        <v>0.7</v>
      </c>
      <c r="BT73" s="1">
        <v>0</v>
      </c>
      <c r="CO73" s="1">
        <v>0</v>
      </c>
      <c r="DJ73" s="1" t="s">
        <v>96</v>
      </c>
      <c r="DL73" s="1">
        <f t="shared" si="292"/>
        <v>0.70702702702702691</v>
      </c>
      <c r="DM73" s="1">
        <f t="shared" si="293"/>
        <v>0</v>
      </c>
      <c r="DN73" s="1" t="s">
        <v>148</v>
      </c>
      <c r="DO73" s="1" t="s">
        <v>2</v>
      </c>
      <c r="DP73" s="38">
        <f t="shared" si="251"/>
        <v>0</v>
      </c>
      <c r="DQ73" s="38">
        <f t="shared" si="252"/>
        <v>0</v>
      </c>
      <c r="DR73" s="38">
        <f t="shared" si="253"/>
        <v>0</v>
      </c>
      <c r="DS73" s="38">
        <f t="shared" si="254"/>
        <v>0</v>
      </c>
      <c r="DT73" s="38">
        <f t="shared" si="255"/>
        <v>0</v>
      </c>
      <c r="DU73" s="38">
        <f t="shared" si="256"/>
        <v>0</v>
      </c>
      <c r="DV73" s="38">
        <f t="shared" si="257"/>
        <v>0</v>
      </c>
      <c r="DW73" s="38">
        <f t="shared" si="258"/>
        <v>0.20927999999999997</v>
      </c>
      <c r="DX73" s="38">
        <f t="shared" si="259"/>
        <v>0</v>
      </c>
      <c r="DY73" s="38">
        <f t="shared" si="260"/>
        <v>0</v>
      </c>
      <c r="DZ73" s="38">
        <f t="shared" si="261"/>
        <v>0</v>
      </c>
      <c r="EA73" s="38">
        <f t="shared" si="262"/>
        <v>0</v>
      </c>
      <c r="EB73" s="38">
        <f t="shared" si="263"/>
        <v>0</v>
      </c>
      <c r="EC73" s="38">
        <f t="shared" si="264"/>
        <v>0</v>
      </c>
      <c r="ED73" s="38">
        <f t="shared" si="265"/>
        <v>0</v>
      </c>
      <c r="EE73" s="38">
        <f t="shared" si="266"/>
        <v>0</v>
      </c>
      <c r="EG73" s="38">
        <f t="shared" si="267"/>
        <v>0</v>
      </c>
      <c r="EH73" s="38">
        <f t="shared" si="268"/>
        <v>0</v>
      </c>
      <c r="EI73" s="38">
        <f t="shared" si="159"/>
        <v>0</v>
      </c>
      <c r="EJ73" s="38">
        <f t="shared" si="160"/>
        <v>0</v>
      </c>
      <c r="EK73" s="38">
        <f t="shared" si="161"/>
        <v>0</v>
      </c>
      <c r="EL73" s="38">
        <f t="shared" si="162"/>
        <v>0</v>
      </c>
      <c r="EM73" s="38">
        <f t="shared" si="163"/>
        <v>0</v>
      </c>
      <c r="EN73" s="38">
        <f t="shared" si="164"/>
        <v>0</v>
      </c>
      <c r="EO73" s="38">
        <f t="shared" si="165"/>
        <v>0</v>
      </c>
      <c r="EP73" s="38">
        <f t="shared" si="166"/>
        <v>2744.4979199999993</v>
      </c>
      <c r="EQ73" s="38">
        <f t="shared" si="167"/>
        <v>0</v>
      </c>
      <c r="ER73" s="38">
        <f t="shared" si="168"/>
        <v>0</v>
      </c>
      <c r="ES73" s="38">
        <f t="shared" si="169"/>
        <v>0</v>
      </c>
      <c r="ET73" s="38">
        <f t="shared" si="170"/>
        <v>0</v>
      </c>
      <c r="EU73" s="38">
        <f t="shared" si="171"/>
        <v>0</v>
      </c>
      <c r="EV73" s="38">
        <f t="shared" si="172"/>
        <v>0</v>
      </c>
      <c r="EW73" s="38">
        <f t="shared" si="173"/>
        <v>0</v>
      </c>
      <c r="EX73" s="38">
        <f t="shared" si="174"/>
        <v>0</v>
      </c>
      <c r="EZ73" s="38">
        <f t="shared" si="175"/>
        <v>0</v>
      </c>
      <c r="FA73" s="38">
        <f t="shared" si="176"/>
        <v>0</v>
      </c>
      <c r="FB73" s="1">
        <f t="shared" si="269"/>
        <v>0</v>
      </c>
      <c r="FC73" s="1">
        <f t="shared" si="270"/>
        <v>0</v>
      </c>
      <c r="FD73" s="1">
        <f t="shared" si="271"/>
        <v>0</v>
      </c>
      <c r="FE73" s="1">
        <f t="shared" si="272"/>
        <v>0</v>
      </c>
      <c r="FF73" s="1">
        <f t="shared" si="273"/>
        <v>0</v>
      </c>
      <c r="FG73" s="1">
        <f t="shared" si="274"/>
        <v>0</v>
      </c>
      <c r="FH73" s="1">
        <f t="shared" si="275"/>
        <v>0</v>
      </c>
      <c r="FI73" s="1">
        <f t="shared" si="276"/>
        <v>0</v>
      </c>
      <c r="FJ73" s="1">
        <f t="shared" si="277"/>
        <v>0</v>
      </c>
      <c r="FK73" s="1">
        <f t="shared" si="278"/>
        <v>0</v>
      </c>
      <c r="FL73" s="1">
        <f t="shared" si="279"/>
        <v>0</v>
      </c>
      <c r="FM73" s="1">
        <f t="shared" si="280"/>
        <v>0</v>
      </c>
      <c r="FN73" s="1">
        <f t="shared" si="281"/>
        <v>0</v>
      </c>
      <c r="FO73" s="1">
        <f t="shared" si="282"/>
        <v>0</v>
      </c>
      <c r="FP73" s="1">
        <f t="shared" si="283"/>
        <v>0</v>
      </c>
      <c r="FQ73" s="1">
        <f t="shared" si="284"/>
        <v>0</v>
      </c>
      <c r="FS73" s="1">
        <f t="shared" si="285"/>
        <v>0</v>
      </c>
      <c r="FT73" s="1">
        <f t="shared" si="286"/>
        <v>0</v>
      </c>
      <c r="FU73" s="38">
        <f t="shared" si="195"/>
        <v>0</v>
      </c>
      <c r="FV73" s="38">
        <f t="shared" si="196"/>
        <v>0</v>
      </c>
      <c r="FW73" s="38">
        <f t="shared" si="197"/>
        <v>0</v>
      </c>
      <c r="FX73" s="38">
        <f t="shared" si="198"/>
        <v>0</v>
      </c>
      <c r="FY73" s="38">
        <f t="shared" si="199"/>
        <v>0</v>
      </c>
      <c r="FZ73" s="38">
        <f t="shared" si="200"/>
        <v>0</v>
      </c>
      <c r="GA73" s="38">
        <f t="shared" si="201"/>
        <v>0</v>
      </c>
      <c r="GB73" s="38">
        <f t="shared" si="202"/>
        <v>0</v>
      </c>
      <c r="GC73" s="38">
        <f t="shared" si="203"/>
        <v>0</v>
      </c>
      <c r="GD73" s="38">
        <f t="shared" si="204"/>
        <v>0</v>
      </c>
      <c r="GE73" s="38">
        <f t="shared" si="205"/>
        <v>0</v>
      </c>
      <c r="GF73" s="38">
        <f t="shared" si="206"/>
        <v>0</v>
      </c>
      <c r="GG73" s="38">
        <f t="shared" si="207"/>
        <v>0</v>
      </c>
      <c r="GH73" s="38">
        <f t="shared" si="208"/>
        <v>0</v>
      </c>
      <c r="GI73" s="38">
        <f t="shared" si="209"/>
        <v>0</v>
      </c>
      <c r="GJ73" s="38">
        <f t="shared" si="210"/>
        <v>0</v>
      </c>
      <c r="GL73" s="38">
        <f t="shared" si="211"/>
        <v>0</v>
      </c>
      <c r="GM73" s="38">
        <f t="shared" si="212"/>
        <v>0</v>
      </c>
      <c r="GN73" s="1" t="s">
        <v>2</v>
      </c>
      <c r="GO73" s="1">
        <f t="shared" si="294"/>
        <v>29.6</v>
      </c>
      <c r="GP73" s="13">
        <f t="shared" si="295"/>
        <v>0.70702702702702691</v>
      </c>
      <c r="GQ73" s="41">
        <f t="shared" si="296"/>
        <v>209.27999999999997</v>
      </c>
      <c r="GR73" s="41">
        <f t="shared" si="297"/>
        <v>2744.4979199999993</v>
      </c>
      <c r="GS73" s="14">
        <f t="shared" si="298"/>
        <v>92.719524324324297</v>
      </c>
      <c r="GT73" s="1">
        <f t="shared" si="287"/>
        <v>0</v>
      </c>
      <c r="GU73" s="1">
        <f t="shared" si="288"/>
        <v>20.28</v>
      </c>
      <c r="GV73" s="1">
        <f t="shared" si="289"/>
        <v>189</v>
      </c>
      <c r="GW73" s="37">
        <f t="shared" si="299"/>
        <v>0</v>
      </c>
      <c r="GX73" s="37"/>
      <c r="GY73" s="37"/>
      <c r="GZ73" s="37"/>
      <c r="HB73" s="1">
        <f t="shared" si="290"/>
        <v>0</v>
      </c>
      <c r="HC73" s="1">
        <f t="shared" si="291"/>
        <v>0</v>
      </c>
      <c r="HD73" s="37" t="s">
        <v>2</v>
      </c>
      <c r="HE73" s="1" t="s">
        <v>31</v>
      </c>
      <c r="HF73" s="1" t="s">
        <v>245</v>
      </c>
      <c r="HG73" s="1" t="s">
        <v>245</v>
      </c>
      <c r="HI73" s="1" t="s">
        <v>96</v>
      </c>
      <c r="HJ73" s="37" t="s">
        <v>2</v>
      </c>
      <c r="JH73" s="58" t="s">
        <v>2</v>
      </c>
    </row>
    <row r="74" spans="1:268" ht="16.25" customHeight="1" x14ac:dyDescent="0.2">
      <c r="A74" s="21" t="s">
        <v>325</v>
      </c>
      <c r="B74" s="1" t="s">
        <v>69</v>
      </c>
      <c r="E74" s="1" t="s">
        <v>72</v>
      </c>
      <c r="F74" s="1" t="s">
        <v>151</v>
      </c>
      <c r="H74" s="1" t="s">
        <v>204</v>
      </c>
      <c r="I74" s="1">
        <v>0</v>
      </c>
      <c r="AD74" s="13">
        <v>5.6740000000000004</v>
      </c>
      <c r="AL74" s="1">
        <v>0.82</v>
      </c>
      <c r="AM74" s="1">
        <v>0.06</v>
      </c>
      <c r="AT74" s="14">
        <f>26.3*(2*55.85/(2*55.85+3*16.001))</f>
        <v>18.394832908586565</v>
      </c>
      <c r="AY74" s="13">
        <v>0.93300000000000005</v>
      </c>
      <c r="BG74" s="1">
        <v>0.77</v>
      </c>
      <c r="BH74" s="1">
        <v>0.05</v>
      </c>
      <c r="BO74" s="14">
        <f>24.7*(2*55.85/(2*55.85+3*16.001))</f>
        <v>17.27575562137217</v>
      </c>
      <c r="BT74" s="1">
        <v>0</v>
      </c>
      <c r="CO74" s="1">
        <v>0</v>
      </c>
      <c r="DJ74" s="1" t="s">
        <v>96</v>
      </c>
      <c r="DK74" s="1" t="s">
        <v>96</v>
      </c>
      <c r="DL74" s="1">
        <f t="shared" si="292"/>
        <v>0.81293930679582271</v>
      </c>
      <c r="DM74" s="1">
        <f t="shared" si="293"/>
        <v>5.8587861359164529E-2</v>
      </c>
      <c r="DN74" s="1" t="s">
        <v>156</v>
      </c>
      <c r="DO74" s="1" t="s">
        <v>2</v>
      </c>
      <c r="DP74" s="38">
        <f t="shared" si="251"/>
        <v>0</v>
      </c>
      <c r="DQ74" s="38">
        <f t="shared" si="252"/>
        <v>0</v>
      </c>
      <c r="DR74" s="38">
        <f t="shared" si="253"/>
        <v>0</v>
      </c>
      <c r="DS74" s="38">
        <f t="shared" si="254"/>
        <v>0</v>
      </c>
      <c r="DT74" s="38">
        <f t="shared" si="255"/>
        <v>0</v>
      </c>
      <c r="DU74" s="38">
        <f t="shared" si="256"/>
        <v>0</v>
      </c>
      <c r="DV74" s="38">
        <f t="shared" si="257"/>
        <v>0</v>
      </c>
      <c r="DW74" s="38">
        <f t="shared" si="258"/>
        <v>5.3710900000000006E-2</v>
      </c>
      <c r="DX74" s="38">
        <f t="shared" si="259"/>
        <v>3.8709000000000005E-3</v>
      </c>
      <c r="DY74" s="38">
        <f t="shared" si="260"/>
        <v>0</v>
      </c>
      <c r="DZ74" s="38">
        <f t="shared" si="261"/>
        <v>0</v>
      </c>
      <c r="EA74" s="38">
        <f t="shared" si="262"/>
        <v>0</v>
      </c>
      <c r="EB74" s="38">
        <f t="shared" si="263"/>
        <v>0</v>
      </c>
      <c r="EC74" s="38">
        <f t="shared" si="264"/>
        <v>0</v>
      </c>
      <c r="ED74" s="38">
        <f t="shared" si="265"/>
        <v>0</v>
      </c>
      <c r="EE74" s="38">
        <f t="shared" si="266"/>
        <v>1.204905619180604</v>
      </c>
      <c r="EG74" s="38">
        <f t="shared" si="267"/>
        <v>0</v>
      </c>
      <c r="EH74" s="38">
        <f t="shared" si="268"/>
        <v>0</v>
      </c>
      <c r="EI74" s="38">
        <f t="shared" si="159"/>
        <v>0</v>
      </c>
      <c r="EJ74" s="38">
        <f t="shared" si="160"/>
        <v>0</v>
      </c>
      <c r="EK74" s="38">
        <f t="shared" si="161"/>
        <v>0</v>
      </c>
      <c r="EL74" s="38">
        <f t="shared" si="162"/>
        <v>0</v>
      </c>
      <c r="EM74" s="38">
        <f t="shared" si="163"/>
        <v>0</v>
      </c>
      <c r="EN74" s="38">
        <f t="shared" si="164"/>
        <v>0</v>
      </c>
      <c r="EO74" s="38">
        <f t="shared" si="165"/>
        <v>0</v>
      </c>
      <c r="EP74" s="38">
        <f t="shared" si="166"/>
        <v>704.36474260000011</v>
      </c>
      <c r="EQ74" s="38">
        <f t="shared" si="167"/>
        <v>281.10291545159998</v>
      </c>
      <c r="ER74" s="38">
        <f t="shared" si="168"/>
        <v>0</v>
      </c>
      <c r="ES74" s="38">
        <f t="shared" si="169"/>
        <v>0</v>
      </c>
      <c r="ET74" s="38">
        <f t="shared" si="170"/>
        <v>0</v>
      </c>
      <c r="EU74" s="38">
        <f t="shared" si="171"/>
        <v>0</v>
      </c>
      <c r="EV74" s="38">
        <f t="shared" si="172"/>
        <v>0</v>
      </c>
      <c r="EW74" s="38">
        <f t="shared" si="173"/>
        <v>0</v>
      </c>
      <c r="EX74" s="38">
        <f t="shared" si="174"/>
        <v>112.05622258379617</v>
      </c>
      <c r="EZ74" s="38">
        <f t="shared" si="175"/>
        <v>0</v>
      </c>
      <c r="FA74" s="38">
        <f t="shared" si="176"/>
        <v>0</v>
      </c>
      <c r="FB74" s="1">
        <f t="shared" si="269"/>
        <v>0</v>
      </c>
      <c r="FC74" s="1">
        <f t="shared" si="270"/>
        <v>0</v>
      </c>
      <c r="FD74" s="1">
        <f t="shared" si="271"/>
        <v>0</v>
      </c>
      <c r="FE74" s="1">
        <f t="shared" si="272"/>
        <v>0</v>
      </c>
      <c r="FF74" s="1">
        <f t="shared" si="273"/>
        <v>0</v>
      </c>
      <c r="FG74" s="1">
        <f t="shared" si="274"/>
        <v>0</v>
      </c>
      <c r="FH74" s="1">
        <f t="shared" si="275"/>
        <v>0</v>
      </c>
      <c r="FI74" s="1">
        <f t="shared" si="276"/>
        <v>0</v>
      </c>
      <c r="FJ74" s="1">
        <f t="shared" si="277"/>
        <v>0</v>
      </c>
      <c r="FK74" s="1">
        <f t="shared" si="278"/>
        <v>0</v>
      </c>
      <c r="FL74" s="1">
        <f t="shared" si="279"/>
        <v>0</v>
      </c>
      <c r="FM74" s="1">
        <f t="shared" si="280"/>
        <v>0</v>
      </c>
      <c r="FN74" s="1">
        <f t="shared" si="281"/>
        <v>0</v>
      </c>
      <c r="FO74" s="1">
        <f t="shared" si="282"/>
        <v>0</v>
      </c>
      <c r="FP74" s="1">
        <f t="shared" si="283"/>
        <v>0</v>
      </c>
      <c r="FQ74" s="1">
        <f t="shared" si="284"/>
        <v>0</v>
      </c>
      <c r="FS74" s="1">
        <f t="shared" si="285"/>
        <v>0</v>
      </c>
      <c r="FT74" s="1">
        <f t="shared" si="286"/>
        <v>0</v>
      </c>
      <c r="FU74" s="38">
        <f t="shared" si="195"/>
        <v>0</v>
      </c>
      <c r="FV74" s="38">
        <f t="shared" si="196"/>
        <v>0</v>
      </c>
      <c r="FW74" s="38">
        <f t="shared" si="197"/>
        <v>0</v>
      </c>
      <c r="FX74" s="38">
        <f t="shared" si="198"/>
        <v>0</v>
      </c>
      <c r="FY74" s="38">
        <f t="shared" si="199"/>
        <v>0</v>
      </c>
      <c r="FZ74" s="38">
        <f t="shared" si="200"/>
        <v>0</v>
      </c>
      <c r="GA74" s="38">
        <f t="shared" si="201"/>
        <v>0</v>
      </c>
      <c r="GB74" s="38">
        <f t="shared" si="202"/>
        <v>0</v>
      </c>
      <c r="GC74" s="38">
        <f t="shared" si="203"/>
        <v>0</v>
      </c>
      <c r="GD74" s="38">
        <f t="shared" si="204"/>
        <v>0</v>
      </c>
      <c r="GE74" s="38">
        <f t="shared" si="205"/>
        <v>0</v>
      </c>
      <c r="GF74" s="38">
        <f t="shared" si="206"/>
        <v>0</v>
      </c>
      <c r="GG74" s="38">
        <f t="shared" si="207"/>
        <v>0</v>
      </c>
      <c r="GH74" s="38">
        <f t="shared" si="208"/>
        <v>0</v>
      </c>
      <c r="GI74" s="38">
        <f t="shared" si="209"/>
        <v>0</v>
      </c>
      <c r="GJ74" s="38">
        <f t="shared" si="210"/>
        <v>0</v>
      </c>
      <c r="GL74" s="38">
        <f t="shared" si="211"/>
        <v>0</v>
      </c>
      <c r="GM74" s="38">
        <f t="shared" si="212"/>
        <v>0</v>
      </c>
      <c r="GN74" s="1" t="s">
        <v>2</v>
      </c>
      <c r="GO74" s="1">
        <f t="shared" si="294"/>
        <v>6.6070000000000002</v>
      </c>
      <c r="GP74" s="13">
        <f t="shared" si="295"/>
        <v>0.81293930679582271</v>
      </c>
      <c r="GQ74" s="41">
        <f t="shared" si="296"/>
        <v>53.710900000000009</v>
      </c>
      <c r="GR74" s="41">
        <f t="shared" si="297"/>
        <v>1097.5238806353964</v>
      </c>
      <c r="GS74" s="14">
        <f t="shared" si="298"/>
        <v>166.11531415701472</v>
      </c>
      <c r="GT74" s="1">
        <f t="shared" si="287"/>
        <v>0</v>
      </c>
      <c r="GU74" s="1">
        <f t="shared" si="288"/>
        <v>46.526800000000001</v>
      </c>
      <c r="GV74" s="1">
        <f t="shared" si="289"/>
        <v>7.1841000000000008</v>
      </c>
      <c r="GW74" s="37">
        <f t="shared" si="299"/>
        <v>0</v>
      </c>
      <c r="GX74" s="37"/>
      <c r="GY74" s="37"/>
      <c r="GZ74" s="37"/>
      <c r="HB74" s="1">
        <f t="shared" si="290"/>
        <v>0</v>
      </c>
      <c r="HC74" s="1">
        <f t="shared" si="291"/>
        <v>0</v>
      </c>
      <c r="HD74" s="37" t="s">
        <v>2</v>
      </c>
      <c r="HE74" s="1" t="s">
        <v>31</v>
      </c>
      <c r="HF74" s="1" t="s">
        <v>245</v>
      </c>
      <c r="HG74" s="1" t="s">
        <v>245</v>
      </c>
      <c r="HI74" s="1" t="s">
        <v>96</v>
      </c>
      <c r="HJ74" s="37" t="s">
        <v>2</v>
      </c>
      <c r="JH74" s="58" t="s">
        <v>2</v>
      </c>
    </row>
    <row r="75" spans="1:268" ht="16.25" customHeight="1" x14ac:dyDescent="0.2">
      <c r="A75" s="21" t="s">
        <v>333</v>
      </c>
      <c r="B75" s="1" t="s">
        <v>69</v>
      </c>
      <c r="E75" s="1" t="s">
        <v>72</v>
      </c>
      <c r="F75" s="1" t="s">
        <v>334</v>
      </c>
      <c r="H75" s="1" t="s">
        <v>211</v>
      </c>
      <c r="I75" s="1">
        <v>0</v>
      </c>
      <c r="AD75" s="1">
        <v>0</v>
      </c>
      <c r="AY75" s="1">
        <v>2.8</v>
      </c>
      <c r="BG75" s="1">
        <v>0.91</v>
      </c>
      <c r="BH75" s="1">
        <v>0.09</v>
      </c>
      <c r="BT75" s="1">
        <v>0</v>
      </c>
      <c r="CO75" s="1">
        <v>0</v>
      </c>
      <c r="DJ75" s="1" t="s">
        <v>96</v>
      </c>
      <c r="DK75" s="1" t="s">
        <v>96</v>
      </c>
      <c r="DL75" s="1">
        <f t="shared" si="292"/>
        <v>0.91</v>
      </c>
      <c r="DM75" s="1">
        <f t="shared" si="293"/>
        <v>9.0000000000000011E-2</v>
      </c>
      <c r="DN75" s="1" t="s">
        <v>148</v>
      </c>
      <c r="DO75" s="1" t="s">
        <v>2</v>
      </c>
      <c r="DP75" s="38">
        <f t="shared" si="251"/>
        <v>0</v>
      </c>
      <c r="DQ75" s="38">
        <f t="shared" si="252"/>
        <v>0</v>
      </c>
      <c r="DR75" s="38">
        <f t="shared" si="253"/>
        <v>0</v>
      </c>
      <c r="DS75" s="38">
        <f t="shared" si="254"/>
        <v>0</v>
      </c>
      <c r="DT75" s="38">
        <f t="shared" si="255"/>
        <v>0</v>
      </c>
      <c r="DU75" s="38">
        <f t="shared" si="256"/>
        <v>0</v>
      </c>
      <c r="DV75" s="38">
        <f t="shared" si="257"/>
        <v>0</v>
      </c>
      <c r="DW75" s="38">
        <f t="shared" si="258"/>
        <v>2.5479999999999999E-2</v>
      </c>
      <c r="DX75" s="38">
        <f t="shared" si="259"/>
        <v>2.5200000000000001E-3</v>
      </c>
      <c r="DY75" s="38">
        <f t="shared" si="260"/>
        <v>0</v>
      </c>
      <c r="DZ75" s="38">
        <f t="shared" si="261"/>
        <v>0</v>
      </c>
      <c r="EA75" s="38">
        <f t="shared" si="262"/>
        <v>0</v>
      </c>
      <c r="EB75" s="38">
        <f t="shared" si="263"/>
        <v>0</v>
      </c>
      <c r="EC75" s="38">
        <f t="shared" si="264"/>
        <v>0</v>
      </c>
      <c r="ED75" s="38">
        <f t="shared" si="265"/>
        <v>0</v>
      </c>
      <c r="EE75" s="38">
        <f t="shared" si="266"/>
        <v>0</v>
      </c>
      <c r="EG75" s="38">
        <f t="shared" si="267"/>
        <v>0</v>
      </c>
      <c r="EH75" s="38">
        <f t="shared" si="268"/>
        <v>0</v>
      </c>
      <c r="EI75" s="38">
        <f t="shared" si="159"/>
        <v>0</v>
      </c>
      <c r="EJ75" s="38">
        <f t="shared" si="160"/>
        <v>0</v>
      </c>
      <c r="EK75" s="38">
        <f t="shared" si="161"/>
        <v>0</v>
      </c>
      <c r="EL75" s="38">
        <f t="shared" si="162"/>
        <v>0</v>
      </c>
      <c r="EM75" s="38">
        <f t="shared" si="163"/>
        <v>0</v>
      </c>
      <c r="EN75" s="38">
        <f t="shared" si="164"/>
        <v>0</v>
      </c>
      <c r="EO75" s="38">
        <f t="shared" si="165"/>
        <v>0</v>
      </c>
      <c r="EP75" s="38">
        <f t="shared" si="166"/>
        <v>334.14472000000001</v>
      </c>
      <c r="EQ75" s="38">
        <f t="shared" si="167"/>
        <v>183.00120047999999</v>
      </c>
      <c r="ER75" s="38">
        <f t="shared" si="168"/>
        <v>0</v>
      </c>
      <c r="ES75" s="38">
        <f t="shared" si="169"/>
        <v>0</v>
      </c>
      <c r="ET75" s="38">
        <f t="shared" si="170"/>
        <v>0</v>
      </c>
      <c r="EU75" s="38">
        <f t="shared" si="171"/>
        <v>0</v>
      </c>
      <c r="EV75" s="38">
        <f t="shared" si="172"/>
        <v>0</v>
      </c>
      <c r="EW75" s="38">
        <f t="shared" si="173"/>
        <v>0</v>
      </c>
      <c r="EX75" s="38">
        <f t="shared" si="174"/>
        <v>0</v>
      </c>
      <c r="EZ75" s="38">
        <f t="shared" si="175"/>
        <v>0</v>
      </c>
      <c r="FA75" s="38">
        <f t="shared" si="176"/>
        <v>0</v>
      </c>
      <c r="FB75" s="1">
        <f t="shared" si="269"/>
        <v>0</v>
      </c>
      <c r="FC75" s="1">
        <f t="shared" si="270"/>
        <v>0</v>
      </c>
      <c r="FD75" s="1">
        <f t="shared" si="271"/>
        <v>0</v>
      </c>
      <c r="FE75" s="1">
        <f t="shared" si="272"/>
        <v>0</v>
      </c>
      <c r="FF75" s="1">
        <f t="shared" si="273"/>
        <v>0</v>
      </c>
      <c r="FG75" s="1">
        <f t="shared" si="274"/>
        <v>0</v>
      </c>
      <c r="FH75" s="1">
        <f t="shared" si="275"/>
        <v>0</v>
      </c>
      <c r="FI75" s="1">
        <f t="shared" si="276"/>
        <v>0</v>
      </c>
      <c r="FJ75" s="1">
        <f t="shared" si="277"/>
        <v>0</v>
      </c>
      <c r="FK75" s="1">
        <f t="shared" si="278"/>
        <v>0</v>
      </c>
      <c r="FL75" s="1">
        <f t="shared" si="279"/>
        <v>0</v>
      </c>
      <c r="FM75" s="1">
        <f t="shared" si="280"/>
        <v>0</v>
      </c>
      <c r="FN75" s="1">
        <f t="shared" si="281"/>
        <v>0</v>
      </c>
      <c r="FO75" s="1">
        <f t="shared" si="282"/>
        <v>0</v>
      </c>
      <c r="FP75" s="1">
        <f t="shared" si="283"/>
        <v>0</v>
      </c>
      <c r="FQ75" s="1">
        <f t="shared" si="284"/>
        <v>0</v>
      </c>
      <c r="FS75" s="1">
        <f t="shared" si="285"/>
        <v>0</v>
      </c>
      <c r="FT75" s="1">
        <f t="shared" si="286"/>
        <v>0</v>
      </c>
      <c r="FU75" s="38">
        <f t="shared" si="195"/>
        <v>0</v>
      </c>
      <c r="FV75" s="38">
        <f t="shared" si="196"/>
        <v>0</v>
      </c>
      <c r="FW75" s="38">
        <f t="shared" si="197"/>
        <v>0</v>
      </c>
      <c r="FX75" s="38">
        <f t="shared" si="198"/>
        <v>0</v>
      </c>
      <c r="FY75" s="38">
        <f t="shared" si="199"/>
        <v>0</v>
      </c>
      <c r="FZ75" s="38">
        <f t="shared" si="200"/>
        <v>0</v>
      </c>
      <c r="GA75" s="38">
        <f t="shared" si="201"/>
        <v>0</v>
      </c>
      <c r="GB75" s="38">
        <f t="shared" si="202"/>
        <v>0</v>
      </c>
      <c r="GC75" s="38">
        <f t="shared" si="203"/>
        <v>0</v>
      </c>
      <c r="GD75" s="38">
        <f t="shared" si="204"/>
        <v>0</v>
      </c>
      <c r="GE75" s="38">
        <f t="shared" si="205"/>
        <v>0</v>
      </c>
      <c r="GF75" s="38">
        <f t="shared" si="206"/>
        <v>0</v>
      </c>
      <c r="GG75" s="38">
        <f t="shared" si="207"/>
        <v>0</v>
      </c>
      <c r="GH75" s="38">
        <f t="shared" si="208"/>
        <v>0</v>
      </c>
      <c r="GI75" s="38">
        <f t="shared" si="209"/>
        <v>0</v>
      </c>
      <c r="GJ75" s="38">
        <f t="shared" si="210"/>
        <v>0</v>
      </c>
      <c r="GL75" s="38">
        <f t="shared" si="211"/>
        <v>0</v>
      </c>
      <c r="GM75" s="38">
        <f t="shared" si="212"/>
        <v>0</v>
      </c>
      <c r="GN75" s="1" t="s">
        <v>2</v>
      </c>
      <c r="GO75" s="1">
        <f t="shared" si="294"/>
        <v>2.8</v>
      </c>
      <c r="GP75" s="1">
        <f t="shared" si="295"/>
        <v>0.91</v>
      </c>
      <c r="GQ75" s="41">
        <f t="shared" si="296"/>
        <v>25.48</v>
      </c>
      <c r="GR75" s="41">
        <f t="shared" si="297"/>
        <v>517.14592047999997</v>
      </c>
      <c r="GS75" s="14">
        <f t="shared" si="298"/>
        <v>184.6949716</v>
      </c>
      <c r="GT75" s="1">
        <f t="shared" si="287"/>
        <v>0</v>
      </c>
      <c r="GU75" s="1">
        <f t="shared" si="288"/>
        <v>0</v>
      </c>
      <c r="GV75" s="1">
        <f t="shared" si="289"/>
        <v>25.48</v>
      </c>
      <c r="GW75" s="37">
        <f t="shared" si="299"/>
        <v>0</v>
      </c>
      <c r="GX75" s="37"/>
      <c r="GY75" s="37"/>
      <c r="GZ75" s="37"/>
      <c r="HB75" s="1">
        <f t="shared" si="290"/>
        <v>0</v>
      </c>
      <c r="HC75" s="1">
        <f t="shared" si="291"/>
        <v>0</v>
      </c>
      <c r="HD75" s="37" t="s">
        <v>2</v>
      </c>
      <c r="HE75" s="1" t="s">
        <v>31</v>
      </c>
      <c r="HF75" s="1" t="s">
        <v>244</v>
      </c>
      <c r="HG75" s="1" t="s">
        <v>245</v>
      </c>
      <c r="HI75" s="1" t="s">
        <v>96</v>
      </c>
      <c r="HJ75" s="37" t="s">
        <v>2</v>
      </c>
      <c r="JH75" s="58" t="s">
        <v>2</v>
      </c>
    </row>
    <row r="76" spans="1:268" ht="16.25" customHeight="1" x14ac:dyDescent="0.2">
      <c r="A76" s="21" t="s">
        <v>293</v>
      </c>
      <c r="B76" s="1" t="s">
        <v>69</v>
      </c>
      <c r="E76" s="1" t="s">
        <v>72</v>
      </c>
      <c r="F76" s="1" t="s">
        <v>81</v>
      </c>
      <c r="H76" s="1" t="s">
        <v>204</v>
      </c>
      <c r="I76" s="1">
        <v>0</v>
      </c>
      <c r="AD76" s="1">
        <v>0</v>
      </c>
      <c r="AY76" s="1">
        <f>3.444+4.338</f>
        <v>7.782</v>
      </c>
      <c r="BG76" s="13">
        <f>(1.04*3.444+0.97*4.338)/AY76</f>
        <v>1.0009791827293755</v>
      </c>
      <c r="BH76" s="2">
        <f>(0.079*3.444+0.084*4.338)/AY76</f>
        <v>8.1787201233616047E-2</v>
      </c>
      <c r="BO76" s="14">
        <f>(18.1*3.444+21.1*4.338)/AY76</f>
        <v>19.772320740169622</v>
      </c>
      <c r="BT76" s="1">
        <v>0</v>
      </c>
      <c r="CO76" s="1">
        <v>0</v>
      </c>
      <c r="DJ76" s="1" t="s">
        <v>96</v>
      </c>
      <c r="DK76" s="1" t="s">
        <v>96</v>
      </c>
      <c r="DL76" s="1">
        <f t="shared" si="292"/>
        <v>1.0009791827293755</v>
      </c>
      <c r="DM76" s="1">
        <f t="shared" si="293"/>
        <v>8.1787201233616047E-2</v>
      </c>
      <c r="DN76" s="1" t="s">
        <v>148</v>
      </c>
      <c r="DO76" s="1" t="s">
        <v>2</v>
      </c>
      <c r="DP76" s="38">
        <f t="shared" si="251"/>
        <v>0</v>
      </c>
      <c r="DQ76" s="38">
        <f t="shared" si="252"/>
        <v>0</v>
      </c>
      <c r="DR76" s="38">
        <f t="shared" si="253"/>
        <v>0</v>
      </c>
      <c r="DS76" s="38">
        <f t="shared" si="254"/>
        <v>0</v>
      </c>
      <c r="DT76" s="38">
        <f t="shared" si="255"/>
        <v>0</v>
      </c>
      <c r="DU76" s="38">
        <f t="shared" si="256"/>
        <v>0</v>
      </c>
      <c r="DV76" s="38">
        <f t="shared" si="257"/>
        <v>0</v>
      </c>
      <c r="DW76" s="38">
        <f t="shared" si="258"/>
        <v>7.7896199999999999E-2</v>
      </c>
      <c r="DX76" s="38">
        <f t="shared" si="259"/>
        <v>6.3646800000000002E-3</v>
      </c>
      <c r="DY76" s="38">
        <f t="shared" si="260"/>
        <v>0</v>
      </c>
      <c r="DZ76" s="38">
        <f t="shared" si="261"/>
        <v>0</v>
      </c>
      <c r="EA76" s="38">
        <f t="shared" si="262"/>
        <v>0</v>
      </c>
      <c r="EB76" s="38">
        <f t="shared" si="263"/>
        <v>0</v>
      </c>
      <c r="EC76" s="38">
        <f t="shared" si="264"/>
        <v>0</v>
      </c>
      <c r="ED76" s="38">
        <f t="shared" si="265"/>
        <v>0</v>
      </c>
      <c r="EE76" s="38">
        <f t="shared" si="266"/>
        <v>1.5386820000000001</v>
      </c>
      <c r="EG76" s="38">
        <f t="shared" si="267"/>
        <v>0</v>
      </c>
      <c r="EH76" s="38">
        <f t="shared" si="268"/>
        <v>0</v>
      </c>
      <c r="EI76" s="38">
        <f t="shared" si="159"/>
        <v>0</v>
      </c>
      <c r="EJ76" s="38">
        <f t="shared" si="160"/>
        <v>0</v>
      </c>
      <c r="EK76" s="38">
        <f t="shared" si="161"/>
        <v>0</v>
      </c>
      <c r="EL76" s="38">
        <f t="shared" si="162"/>
        <v>0</v>
      </c>
      <c r="EM76" s="38">
        <f t="shared" si="163"/>
        <v>0</v>
      </c>
      <c r="EN76" s="38">
        <f t="shared" si="164"/>
        <v>0</v>
      </c>
      <c r="EO76" s="38">
        <f t="shared" si="165"/>
        <v>0</v>
      </c>
      <c r="EP76" s="38">
        <f t="shared" si="166"/>
        <v>1021.5307668</v>
      </c>
      <c r="EQ76" s="38">
        <f t="shared" si="167"/>
        <v>462.20003201231992</v>
      </c>
      <c r="ER76" s="38">
        <f t="shared" si="168"/>
        <v>0</v>
      </c>
      <c r="ES76" s="38">
        <f t="shared" si="169"/>
        <v>0</v>
      </c>
      <c r="ET76" s="38">
        <f t="shared" si="170"/>
        <v>0</v>
      </c>
      <c r="EU76" s="38">
        <f t="shared" si="171"/>
        <v>0</v>
      </c>
      <c r="EV76" s="38">
        <f t="shared" si="172"/>
        <v>0</v>
      </c>
      <c r="EW76" s="38">
        <f t="shared" si="173"/>
        <v>0</v>
      </c>
      <c r="EX76" s="38">
        <f t="shared" si="174"/>
        <v>143.09742600000001</v>
      </c>
      <c r="EZ76" s="38">
        <f t="shared" si="175"/>
        <v>0</v>
      </c>
      <c r="FA76" s="38">
        <f t="shared" si="176"/>
        <v>0</v>
      </c>
      <c r="FB76" s="1">
        <f t="shared" si="269"/>
        <v>0</v>
      </c>
      <c r="FC76" s="1">
        <f t="shared" si="270"/>
        <v>0</v>
      </c>
      <c r="FD76" s="1">
        <f t="shared" si="271"/>
        <v>0</v>
      </c>
      <c r="FE76" s="1">
        <f t="shared" si="272"/>
        <v>0</v>
      </c>
      <c r="FF76" s="1">
        <f t="shared" si="273"/>
        <v>0</v>
      </c>
      <c r="FG76" s="1">
        <f t="shared" si="274"/>
        <v>0</v>
      </c>
      <c r="FH76" s="1">
        <f t="shared" si="275"/>
        <v>0</v>
      </c>
      <c r="FI76" s="1">
        <f t="shared" si="276"/>
        <v>0</v>
      </c>
      <c r="FJ76" s="1">
        <f t="shared" si="277"/>
        <v>0</v>
      </c>
      <c r="FK76" s="1">
        <f t="shared" si="278"/>
        <v>0</v>
      </c>
      <c r="FL76" s="1">
        <f t="shared" si="279"/>
        <v>0</v>
      </c>
      <c r="FM76" s="1">
        <f t="shared" si="280"/>
        <v>0</v>
      </c>
      <c r="FN76" s="1">
        <f t="shared" si="281"/>
        <v>0</v>
      </c>
      <c r="FO76" s="1">
        <f t="shared" si="282"/>
        <v>0</v>
      </c>
      <c r="FP76" s="1">
        <f t="shared" si="283"/>
        <v>0</v>
      </c>
      <c r="FQ76" s="1">
        <f t="shared" si="284"/>
        <v>0</v>
      </c>
      <c r="FS76" s="1">
        <f t="shared" si="285"/>
        <v>0</v>
      </c>
      <c r="FT76" s="1">
        <f t="shared" si="286"/>
        <v>0</v>
      </c>
      <c r="FU76" s="38">
        <f t="shared" si="195"/>
        <v>0</v>
      </c>
      <c r="FV76" s="38">
        <f t="shared" si="196"/>
        <v>0</v>
      </c>
      <c r="FW76" s="38">
        <f t="shared" si="197"/>
        <v>0</v>
      </c>
      <c r="FX76" s="38">
        <f t="shared" si="198"/>
        <v>0</v>
      </c>
      <c r="FY76" s="38">
        <f t="shared" si="199"/>
        <v>0</v>
      </c>
      <c r="FZ76" s="38">
        <f t="shared" si="200"/>
        <v>0</v>
      </c>
      <c r="GA76" s="38">
        <f t="shared" si="201"/>
        <v>0</v>
      </c>
      <c r="GB76" s="38">
        <f t="shared" si="202"/>
        <v>0</v>
      </c>
      <c r="GC76" s="38">
        <f t="shared" si="203"/>
        <v>0</v>
      </c>
      <c r="GD76" s="38">
        <f t="shared" si="204"/>
        <v>0</v>
      </c>
      <c r="GE76" s="38">
        <f t="shared" si="205"/>
        <v>0</v>
      </c>
      <c r="GF76" s="38">
        <f t="shared" si="206"/>
        <v>0</v>
      </c>
      <c r="GG76" s="38">
        <f t="shared" si="207"/>
        <v>0</v>
      </c>
      <c r="GH76" s="38">
        <f t="shared" si="208"/>
        <v>0</v>
      </c>
      <c r="GI76" s="38">
        <f t="shared" si="209"/>
        <v>0</v>
      </c>
      <c r="GJ76" s="38">
        <f t="shared" si="210"/>
        <v>0</v>
      </c>
      <c r="GL76" s="38">
        <f t="shared" si="211"/>
        <v>0</v>
      </c>
      <c r="GM76" s="38">
        <f t="shared" si="212"/>
        <v>0</v>
      </c>
      <c r="GN76" s="1" t="s">
        <v>2</v>
      </c>
      <c r="GO76" s="1">
        <f t="shared" si="294"/>
        <v>7.782</v>
      </c>
      <c r="GP76" s="13">
        <f t="shared" si="295"/>
        <v>1.0009791827293755</v>
      </c>
      <c r="GQ76" s="41">
        <f t="shared" si="296"/>
        <v>77.896199999999993</v>
      </c>
      <c r="GR76" s="41">
        <f t="shared" si="297"/>
        <v>1626.8282248123201</v>
      </c>
      <c r="GS76" s="14">
        <f t="shared" si="298"/>
        <v>209.05014454026215</v>
      </c>
      <c r="GT76" s="1">
        <f t="shared" si="287"/>
        <v>0</v>
      </c>
      <c r="GU76" s="1">
        <f t="shared" si="288"/>
        <v>0</v>
      </c>
      <c r="GV76" s="1">
        <f t="shared" si="289"/>
        <v>77.896199999999993</v>
      </c>
      <c r="GW76" s="37">
        <f t="shared" si="299"/>
        <v>0</v>
      </c>
      <c r="GX76" s="37"/>
      <c r="GY76" s="37"/>
      <c r="GZ76" s="37"/>
      <c r="HB76" s="1">
        <f t="shared" si="290"/>
        <v>0</v>
      </c>
      <c r="HC76" s="1">
        <f t="shared" si="291"/>
        <v>0</v>
      </c>
      <c r="HD76" s="37" t="s">
        <v>2</v>
      </c>
      <c r="HE76" s="1" t="s">
        <v>31</v>
      </c>
      <c r="HF76" s="1" t="s">
        <v>244</v>
      </c>
      <c r="HG76" s="1" t="s">
        <v>245</v>
      </c>
      <c r="HI76" s="1" t="s">
        <v>96</v>
      </c>
      <c r="HJ76" s="37" t="s">
        <v>2</v>
      </c>
      <c r="JH76" s="58" t="s">
        <v>2</v>
      </c>
    </row>
    <row r="77" spans="1:268" ht="16.25" customHeight="1" x14ac:dyDescent="0.2">
      <c r="A77" s="21" t="s">
        <v>323</v>
      </c>
      <c r="B77" s="1" t="s">
        <v>69</v>
      </c>
      <c r="E77" s="1" t="s">
        <v>72</v>
      </c>
      <c r="F77" s="1" t="s">
        <v>324</v>
      </c>
      <c r="H77" s="1" t="s">
        <v>204</v>
      </c>
      <c r="I77" s="1">
        <v>0</v>
      </c>
      <c r="AD77" s="1">
        <v>10.4</v>
      </c>
      <c r="AL77" s="1">
        <v>0.76</v>
      </c>
      <c r="AM77" s="2">
        <v>0.05</v>
      </c>
      <c r="AY77" s="1">
        <v>4.2</v>
      </c>
      <c r="BG77" s="1">
        <v>0.74</v>
      </c>
      <c r="BH77" s="1">
        <v>4.7E-2</v>
      </c>
      <c r="BT77" s="1">
        <v>0</v>
      </c>
      <c r="CO77" s="1">
        <v>0</v>
      </c>
      <c r="DJ77" s="1" t="s">
        <v>96</v>
      </c>
      <c r="DK77" s="1" t="s">
        <v>96</v>
      </c>
      <c r="DL77" s="1">
        <f t="shared" si="292"/>
        <v>0.75424657534246575</v>
      </c>
      <c r="DM77" s="1">
        <f t="shared" si="293"/>
        <v>4.913698630136986E-2</v>
      </c>
      <c r="DN77" s="1" t="s">
        <v>67</v>
      </c>
      <c r="DO77" s="1" t="s">
        <v>2</v>
      </c>
      <c r="DP77" s="38">
        <f t="shared" si="251"/>
        <v>0</v>
      </c>
      <c r="DQ77" s="38">
        <f t="shared" si="252"/>
        <v>0</v>
      </c>
      <c r="DR77" s="38">
        <f t="shared" si="253"/>
        <v>0</v>
      </c>
      <c r="DS77" s="38">
        <f t="shared" si="254"/>
        <v>0</v>
      </c>
      <c r="DT77" s="38">
        <f t="shared" si="255"/>
        <v>0</v>
      </c>
      <c r="DU77" s="38">
        <f t="shared" si="256"/>
        <v>0</v>
      </c>
      <c r="DV77" s="38">
        <f t="shared" si="257"/>
        <v>0</v>
      </c>
      <c r="DW77" s="38">
        <f t="shared" si="258"/>
        <v>0.11012000000000001</v>
      </c>
      <c r="DX77" s="38">
        <f t="shared" si="259"/>
        <v>7.1740000000000007E-3</v>
      </c>
      <c r="DY77" s="38">
        <f t="shared" si="260"/>
        <v>0</v>
      </c>
      <c r="DZ77" s="38">
        <f t="shared" si="261"/>
        <v>0</v>
      </c>
      <c r="EA77" s="38">
        <f t="shared" si="262"/>
        <v>0</v>
      </c>
      <c r="EB77" s="38">
        <f t="shared" si="263"/>
        <v>0</v>
      </c>
      <c r="EC77" s="38">
        <f t="shared" si="264"/>
        <v>0</v>
      </c>
      <c r="ED77" s="38">
        <f t="shared" si="265"/>
        <v>0</v>
      </c>
      <c r="EE77" s="38">
        <f t="shared" si="266"/>
        <v>0</v>
      </c>
      <c r="EG77" s="38">
        <f t="shared" si="267"/>
        <v>0</v>
      </c>
      <c r="EH77" s="38">
        <f t="shared" si="268"/>
        <v>0</v>
      </c>
      <c r="EI77" s="38">
        <f t="shared" si="159"/>
        <v>0</v>
      </c>
      <c r="EJ77" s="38">
        <f t="shared" si="160"/>
        <v>0</v>
      </c>
      <c r="EK77" s="38">
        <f t="shared" si="161"/>
        <v>0</v>
      </c>
      <c r="EL77" s="38">
        <f t="shared" si="162"/>
        <v>0</v>
      </c>
      <c r="EM77" s="38">
        <f t="shared" si="163"/>
        <v>0</v>
      </c>
      <c r="EN77" s="38">
        <f t="shared" si="164"/>
        <v>0</v>
      </c>
      <c r="EO77" s="38">
        <f t="shared" si="165"/>
        <v>0</v>
      </c>
      <c r="EP77" s="38">
        <f t="shared" si="166"/>
        <v>1444.1136800000002</v>
      </c>
      <c r="EQ77" s="38">
        <f t="shared" si="167"/>
        <v>520.97246517600001</v>
      </c>
      <c r="ER77" s="38">
        <f t="shared" si="168"/>
        <v>0</v>
      </c>
      <c r="ES77" s="38">
        <f t="shared" si="169"/>
        <v>0</v>
      </c>
      <c r="ET77" s="38">
        <f t="shared" si="170"/>
        <v>0</v>
      </c>
      <c r="EU77" s="38">
        <f t="shared" si="171"/>
        <v>0</v>
      </c>
      <c r="EV77" s="38">
        <f t="shared" si="172"/>
        <v>0</v>
      </c>
      <c r="EW77" s="38">
        <f t="shared" si="173"/>
        <v>0</v>
      </c>
      <c r="EX77" s="38">
        <f t="shared" si="174"/>
        <v>0</v>
      </c>
      <c r="EZ77" s="38">
        <f t="shared" si="175"/>
        <v>0</v>
      </c>
      <c r="FA77" s="38">
        <f t="shared" si="176"/>
        <v>0</v>
      </c>
      <c r="FB77" s="1">
        <f t="shared" si="269"/>
        <v>0</v>
      </c>
      <c r="FC77" s="1">
        <f t="shared" si="270"/>
        <v>0</v>
      </c>
      <c r="FD77" s="1">
        <f t="shared" si="271"/>
        <v>0</v>
      </c>
      <c r="FE77" s="1">
        <f t="shared" si="272"/>
        <v>0</v>
      </c>
      <c r="FF77" s="1">
        <f t="shared" si="273"/>
        <v>0</v>
      </c>
      <c r="FG77" s="1">
        <f t="shared" si="274"/>
        <v>0</v>
      </c>
      <c r="FH77" s="1">
        <f t="shared" si="275"/>
        <v>0</v>
      </c>
      <c r="FI77" s="1">
        <f t="shared" si="276"/>
        <v>0</v>
      </c>
      <c r="FJ77" s="1">
        <f t="shared" si="277"/>
        <v>0</v>
      </c>
      <c r="FK77" s="1">
        <f t="shared" si="278"/>
        <v>0</v>
      </c>
      <c r="FL77" s="1">
        <f t="shared" si="279"/>
        <v>0</v>
      </c>
      <c r="FM77" s="1">
        <f t="shared" si="280"/>
        <v>0</v>
      </c>
      <c r="FN77" s="1">
        <f t="shared" si="281"/>
        <v>0</v>
      </c>
      <c r="FO77" s="1">
        <f t="shared" si="282"/>
        <v>0</v>
      </c>
      <c r="FP77" s="1">
        <f t="shared" si="283"/>
        <v>0</v>
      </c>
      <c r="FQ77" s="1">
        <f t="shared" si="284"/>
        <v>0</v>
      </c>
      <c r="FS77" s="1">
        <f t="shared" si="285"/>
        <v>0</v>
      </c>
      <c r="FT77" s="1">
        <f t="shared" si="286"/>
        <v>0</v>
      </c>
      <c r="FU77" s="38">
        <f t="shared" si="195"/>
        <v>0</v>
      </c>
      <c r="FV77" s="38">
        <f t="shared" si="196"/>
        <v>0</v>
      </c>
      <c r="FW77" s="38">
        <f t="shared" si="197"/>
        <v>0</v>
      </c>
      <c r="FX77" s="38">
        <f t="shared" si="198"/>
        <v>0</v>
      </c>
      <c r="FY77" s="38">
        <f t="shared" si="199"/>
        <v>0</v>
      </c>
      <c r="FZ77" s="38">
        <f t="shared" si="200"/>
        <v>0</v>
      </c>
      <c r="GA77" s="38">
        <f t="shared" si="201"/>
        <v>0</v>
      </c>
      <c r="GB77" s="38">
        <f t="shared" si="202"/>
        <v>0</v>
      </c>
      <c r="GC77" s="38">
        <f t="shared" si="203"/>
        <v>0</v>
      </c>
      <c r="GD77" s="38">
        <f t="shared" si="204"/>
        <v>0</v>
      </c>
      <c r="GE77" s="38">
        <f t="shared" si="205"/>
        <v>0</v>
      </c>
      <c r="GF77" s="38">
        <f t="shared" si="206"/>
        <v>0</v>
      </c>
      <c r="GG77" s="38">
        <f t="shared" si="207"/>
        <v>0</v>
      </c>
      <c r="GH77" s="38">
        <f t="shared" si="208"/>
        <v>0</v>
      </c>
      <c r="GI77" s="38">
        <f t="shared" si="209"/>
        <v>0</v>
      </c>
      <c r="GJ77" s="38">
        <f t="shared" si="210"/>
        <v>0</v>
      </c>
      <c r="GL77" s="38">
        <f t="shared" si="211"/>
        <v>0</v>
      </c>
      <c r="GM77" s="38">
        <f t="shared" si="212"/>
        <v>0</v>
      </c>
      <c r="GN77" s="1" t="s">
        <v>2</v>
      </c>
      <c r="GO77" s="1">
        <f t="shared" si="294"/>
        <v>14.600000000000001</v>
      </c>
      <c r="GP77" s="13">
        <f t="shared" si="295"/>
        <v>0.75424657534246575</v>
      </c>
      <c r="GQ77" s="41">
        <f t="shared" si="296"/>
        <v>110.12000000000002</v>
      </c>
      <c r="GR77" s="41">
        <f t="shared" si="297"/>
        <v>1965.0861451760002</v>
      </c>
      <c r="GS77" s="14">
        <f t="shared" si="298"/>
        <v>134.59494145041097</v>
      </c>
      <c r="GT77" s="1">
        <f t="shared" si="287"/>
        <v>0</v>
      </c>
      <c r="GU77" s="1">
        <f t="shared" si="288"/>
        <v>79.040000000000006</v>
      </c>
      <c r="GV77" s="1">
        <f t="shared" si="289"/>
        <v>31.08</v>
      </c>
      <c r="GW77" s="37">
        <f t="shared" si="299"/>
        <v>0</v>
      </c>
      <c r="GX77" s="37"/>
      <c r="GY77" s="37"/>
      <c r="GZ77" s="37"/>
      <c r="HB77" s="1">
        <f t="shared" si="290"/>
        <v>0</v>
      </c>
      <c r="HC77" s="1">
        <f t="shared" si="291"/>
        <v>0</v>
      </c>
      <c r="HD77" s="37" t="s">
        <v>2</v>
      </c>
      <c r="HE77" s="1" t="s">
        <v>31</v>
      </c>
      <c r="HF77" s="1" t="s">
        <v>244</v>
      </c>
      <c r="HG77" s="1" t="s">
        <v>245</v>
      </c>
      <c r="HI77" s="1" t="s">
        <v>96</v>
      </c>
      <c r="HJ77" s="37" t="s">
        <v>2</v>
      </c>
      <c r="JH77" s="58" t="s">
        <v>2</v>
      </c>
    </row>
    <row r="78" spans="1:268" ht="16.25" customHeight="1" x14ac:dyDescent="0.2">
      <c r="A78" s="21" t="s">
        <v>347</v>
      </c>
      <c r="B78" s="1" t="s">
        <v>69</v>
      </c>
      <c r="E78" s="1" t="s">
        <v>72</v>
      </c>
      <c r="F78" s="1" t="s">
        <v>81</v>
      </c>
      <c r="H78" s="1" t="s">
        <v>204</v>
      </c>
      <c r="I78" s="1">
        <v>0</v>
      </c>
      <c r="AD78" s="1">
        <v>0</v>
      </c>
      <c r="AY78" s="1">
        <v>0.5</v>
      </c>
      <c r="BG78" s="1">
        <v>0.75</v>
      </c>
      <c r="BH78" s="1">
        <v>0.04</v>
      </c>
      <c r="BT78" s="1">
        <v>0</v>
      </c>
      <c r="CO78" s="1">
        <v>0</v>
      </c>
      <c r="DJ78" s="1" t="s">
        <v>96</v>
      </c>
      <c r="DK78" s="1" t="s">
        <v>96</v>
      </c>
      <c r="DL78" s="1">
        <f t="shared" si="292"/>
        <v>0.75</v>
      </c>
      <c r="DM78" s="1">
        <f t="shared" si="293"/>
        <v>0.04</v>
      </c>
      <c r="DN78" s="1" t="s">
        <v>148</v>
      </c>
      <c r="DO78" s="1" t="s">
        <v>2</v>
      </c>
      <c r="DP78" s="38">
        <f t="shared" si="251"/>
        <v>0</v>
      </c>
      <c r="DQ78" s="38">
        <f t="shared" si="252"/>
        <v>0</v>
      </c>
      <c r="DR78" s="38">
        <f t="shared" si="253"/>
        <v>0</v>
      </c>
      <c r="DS78" s="38">
        <f t="shared" si="254"/>
        <v>0</v>
      </c>
      <c r="DT78" s="38">
        <f t="shared" si="255"/>
        <v>0</v>
      </c>
      <c r="DU78" s="38">
        <f t="shared" si="256"/>
        <v>0</v>
      </c>
      <c r="DV78" s="38">
        <f t="shared" si="257"/>
        <v>0</v>
      </c>
      <c r="DW78" s="38">
        <f t="shared" si="258"/>
        <v>3.7499999999999999E-3</v>
      </c>
      <c r="DX78" s="38">
        <f t="shared" si="259"/>
        <v>2.0000000000000001E-4</v>
      </c>
      <c r="DY78" s="38">
        <f t="shared" si="260"/>
        <v>0</v>
      </c>
      <c r="DZ78" s="38">
        <f t="shared" si="261"/>
        <v>0</v>
      </c>
      <c r="EA78" s="38">
        <f t="shared" si="262"/>
        <v>0</v>
      </c>
      <c r="EB78" s="38">
        <f t="shared" si="263"/>
        <v>0</v>
      </c>
      <c r="EC78" s="38">
        <f t="shared" si="264"/>
        <v>0</v>
      </c>
      <c r="ED78" s="38">
        <f t="shared" si="265"/>
        <v>0</v>
      </c>
      <c r="EE78" s="38">
        <f t="shared" si="266"/>
        <v>0</v>
      </c>
      <c r="EG78" s="38">
        <f t="shared" si="267"/>
        <v>0</v>
      </c>
      <c r="EH78" s="38">
        <f t="shared" si="268"/>
        <v>0</v>
      </c>
      <c r="EI78" s="38">
        <f t="shared" si="159"/>
        <v>0</v>
      </c>
      <c r="EJ78" s="38">
        <f t="shared" si="160"/>
        <v>0</v>
      </c>
      <c r="EK78" s="38">
        <f t="shared" si="161"/>
        <v>0</v>
      </c>
      <c r="EL78" s="38">
        <f t="shared" si="162"/>
        <v>0</v>
      </c>
      <c r="EM78" s="38">
        <f t="shared" si="163"/>
        <v>0</v>
      </c>
      <c r="EN78" s="38">
        <f t="shared" si="164"/>
        <v>0</v>
      </c>
      <c r="EO78" s="38">
        <f t="shared" si="165"/>
        <v>0</v>
      </c>
      <c r="EP78" s="38">
        <f t="shared" si="166"/>
        <v>49.177499999999995</v>
      </c>
      <c r="EQ78" s="38">
        <f t="shared" si="167"/>
        <v>14.523904799999999</v>
      </c>
      <c r="ER78" s="38">
        <f t="shared" si="168"/>
        <v>0</v>
      </c>
      <c r="ES78" s="38">
        <f t="shared" si="169"/>
        <v>0</v>
      </c>
      <c r="ET78" s="38">
        <f t="shared" si="170"/>
        <v>0</v>
      </c>
      <c r="EU78" s="38">
        <f t="shared" si="171"/>
        <v>0</v>
      </c>
      <c r="EV78" s="38">
        <f t="shared" si="172"/>
        <v>0</v>
      </c>
      <c r="EW78" s="38">
        <f t="shared" si="173"/>
        <v>0</v>
      </c>
      <c r="EX78" s="38">
        <f t="shared" si="174"/>
        <v>0</v>
      </c>
      <c r="EZ78" s="38">
        <f t="shared" si="175"/>
        <v>0</v>
      </c>
      <c r="FA78" s="38">
        <f t="shared" si="176"/>
        <v>0</v>
      </c>
      <c r="FB78" s="1">
        <f t="shared" si="269"/>
        <v>0</v>
      </c>
      <c r="FC78" s="1">
        <f t="shared" si="270"/>
        <v>0</v>
      </c>
      <c r="FD78" s="1">
        <f t="shared" si="271"/>
        <v>0</v>
      </c>
      <c r="FE78" s="1">
        <f t="shared" si="272"/>
        <v>0</v>
      </c>
      <c r="FF78" s="1">
        <f t="shared" si="273"/>
        <v>0</v>
      </c>
      <c r="FG78" s="1">
        <f t="shared" si="274"/>
        <v>0</v>
      </c>
      <c r="FH78" s="1">
        <f t="shared" si="275"/>
        <v>0</v>
      </c>
      <c r="FI78" s="1">
        <f t="shared" si="276"/>
        <v>0</v>
      </c>
      <c r="FJ78" s="1">
        <f t="shared" si="277"/>
        <v>0</v>
      </c>
      <c r="FK78" s="1">
        <f t="shared" si="278"/>
        <v>0</v>
      </c>
      <c r="FL78" s="1">
        <f t="shared" si="279"/>
        <v>0</v>
      </c>
      <c r="FM78" s="1">
        <f t="shared" si="280"/>
        <v>0</v>
      </c>
      <c r="FN78" s="1">
        <f t="shared" si="281"/>
        <v>0</v>
      </c>
      <c r="FO78" s="1">
        <f t="shared" si="282"/>
        <v>0</v>
      </c>
      <c r="FP78" s="1">
        <f t="shared" si="283"/>
        <v>0</v>
      </c>
      <c r="FQ78" s="1">
        <f t="shared" si="284"/>
        <v>0</v>
      </c>
      <c r="FS78" s="1">
        <f t="shared" si="285"/>
        <v>0</v>
      </c>
      <c r="FT78" s="1">
        <f t="shared" si="286"/>
        <v>0</v>
      </c>
      <c r="FU78" s="38">
        <f t="shared" si="195"/>
        <v>0</v>
      </c>
      <c r="FV78" s="38">
        <f t="shared" si="196"/>
        <v>0</v>
      </c>
      <c r="FW78" s="38">
        <f t="shared" si="197"/>
        <v>0</v>
      </c>
      <c r="FX78" s="38">
        <f t="shared" si="198"/>
        <v>0</v>
      </c>
      <c r="FY78" s="38">
        <f t="shared" si="199"/>
        <v>0</v>
      </c>
      <c r="FZ78" s="38">
        <f t="shared" si="200"/>
        <v>0</v>
      </c>
      <c r="GA78" s="38">
        <f t="shared" si="201"/>
        <v>0</v>
      </c>
      <c r="GB78" s="38">
        <f t="shared" si="202"/>
        <v>0</v>
      </c>
      <c r="GC78" s="38">
        <f t="shared" si="203"/>
        <v>0</v>
      </c>
      <c r="GD78" s="38">
        <f t="shared" si="204"/>
        <v>0</v>
      </c>
      <c r="GE78" s="38">
        <f t="shared" si="205"/>
        <v>0</v>
      </c>
      <c r="GF78" s="38">
        <f t="shared" si="206"/>
        <v>0</v>
      </c>
      <c r="GG78" s="38">
        <f t="shared" si="207"/>
        <v>0</v>
      </c>
      <c r="GH78" s="38">
        <f t="shared" si="208"/>
        <v>0</v>
      </c>
      <c r="GI78" s="38">
        <f t="shared" si="209"/>
        <v>0</v>
      </c>
      <c r="GJ78" s="38">
        <f t="shared" si="210"/>
        <v>0</v>
      </c>
      <c r="GL78" s="38">
        <f t="shared" si="211"/>
        <v>0</v>
      </c>
      <c r="GM78" s="38">
        <f t="shared" si="212"/>
        <v>0</v>
      </c>
      <c r="GN78" s="1" t="s">
        <v>2</v>
      </c>
      <c r="GO78" s="1">
        <f t="shared" si="294"/>
        <v>0.5</v>
      </c>
      <c r="GP78" s="1">
        <f t="shared" si="295"/>
        <v>0.75</v>
      </c>
      <c r="GQ78" s="41">
        <f t="shared" si="296"/>
        <v>3.75</v>
      </c>
      <c r="GR78" s="41">
        <f t="shared" si="297"/>
        <v>63.701404799999992</v>
      </c>
      <c r="GS78" s="14">
        <f t="shared" si="298"/>
        <v>127.40280959999998</v>
      </c>
      <c r="GT78" s="1">
        <f t="shared" si="287"/>
        <v>0</v>
      </c>
      <c r="GU78" s="1">
        <f t="shared" si="288"/>
        <v>0</v>
      </c>
      <c r="GV78" s="1">
        <f t="shared" si="289"/>
        <v>3.75</v>
      </c>
      <c r="GW78" s="37">
        <f t="shared" si="299"/>
        <v>0</v>
      </c>
      <c r="GX78" s="37"/>
      <c r="GY78" s="37"/>
      <c r="GZ78" s="37"/>
      <c r="HB78" s="1">
        <f t="shared" si="290"/>
        <v>0</v>
      </c>
      <c r="HC78" s="1">
        <f t="shared" si="291"/>
        <v>0</v>
      </c>
      <c r="HD78" s="37" t="s">
        <v>2</v>
      </c>
      <c r="HE78" s="1" t="s">
        <v>31</v>
      </c>
      <c r="HF78" s="1" t="s">
        <v>244</v>
      </c>
      <c r="HG78" s="1" t="s">
        <v>245</v>
      </c>
      <c r="HI78" s="1" t="s">
        <v>96</v>
      </c>
      <c r="HJ78" s="37" t="s">
        <v>2</v>
      </c>
      <c r="JH78" s="58" t="s">
        <v>2</v>
      </c>
    </row>
    <row r="79" spans="1:268" ht="16.25" customHeight="1" x14ac:dyDescent="0.2">
      <c r="A79" s="21" t="s">
        <v>443</v>
      </c>
      <c r="B79" s="1" t="s">
        <v>69</v>
      </c>
      <c r="E79" s="1" t="s">
        <v>72</v>
      </c>
      <c r="F79" s="1" t="s">
        <v>172</v>
      </c>
      <c r="H79" s="1" t="s">
        <v>188</v>
      </c>
      <c r="I79" s="1">
        <v>0</v>
      </c>
      <c r="AD79" s="2">
        <v>29.830577999999999</v>
      </c>
      <c r="AL79" s="1">
        <v>0.8</v>
      </c>
      <c r="AM79" s="1">
        <v>7.1999999999999995E-2</v>
      </c>
      <c r="AS79" s="1">
        <v>1.48</v>
      </c>
      <c r="AT79" s="1">
        <v>41</v>
      </c>
      <c r="AU79" s="1">
        <v>10.9</v>
      </c>
      <c r="AY79" s="2">
        <v>18.627089999999999</v>
      </c>
      <c r="BG79" s="1">
        <v>0.42</v>
      </c>
      <c r="BH79" s="1">
        <v>3.5000000000000003E-2</v>
      </c>
      <c r="BN79" s="1">
        <v>1.77</v>
      </c>
      <c r="BO79" s="1">
        <v>41</v>
      </c>
      <c r="BP79" s="1">
        <v>10.9</v>
      </c>
      <c r="BT79" s="1">
        <v>0</v>
      </c>
      <c r="CO79" s="1">
        <v>0</v>
      </c>
      <c r="DJ79" s="1" t="s">
        <v>96</v>
      </c>
      <c r="DK79" s="1" t="s">
        <v>96</v>
      </c>
      <c r="DL79" s="1">
        <f t="shared" si="292"/>
        <v>0.65392829469218372</v>
      </c>
      <c r="DM79" s="1">
        <f t="shared" si="293"/>
        <v>5.7777228693712622E-2</v>
      </c>
      <c r="DN79" s="1" t="s">
        <v>148</v>
      </c>
      <c r="DO79" s="1" t="s">
        <v>2</v>
      </c>
      <c r="DP79" s="38">
        <f t="shared" si="251"/>
        <v>0</v>
      </c>
      <c r="DQ79" s="38">
        <f t="shared" si="252"/>
        <v>0</v>
      </c>
      <c r="DR79" s="38">
        <f t="shared" si="253"/>
        <v>0</v>
      </c>
      <c r="DS79" s="38">
        <f t="shared" si="254"/>
        <v>0</v>
      </c>
      <c r="DT79" s="38">
        <f t="shared" si="255"/>
        <v>0</v>
      </c>
      <c r="DU79" s="38">
        <f t="shared" si="256"/>
        <v>0</v>
      </c>
      <c r="DV79" s="38">
        <f t="shared" si="257"/>
        <v>0</v>
      </c>
      <c r="DW79" s="38">
        <f t="shared" si="258"/>
        <v>0.316878402</v>
      </c>
      <c r="DX79" s="38">
        <f t="shared" si="259"/>
        <v>2.7997497659999995E-2</v>
      </c>
      <c r="DY79" s="38">
        <f t="shared" si="260"/>
        <v>0</v>
      </c>
      <c r="DZ79" s="38">
        <f t="shared" si="261"/>
        <v>0</v>
      </c>
      <c r="EA79" s="38">
        <f t="shared" si="262"/>
        <v>0</v>
      </c>
      <c r="EB79" s="38">
        <f t="shared" si="263"/>
        <v>0</v>
      </c>
      <c r="EC79" s="38">
        <f t="shared" si="264"/>
        <v>0</v>
      </c>
      <c r="ED79" s="38">
        <f t="shared" si="265"/>
        <v>0.77119204739999991</v>
      </c>
      <c r="EE79" s="38">
        <f t="shared" si="266"/>
        <v>19.867643879999999</v>
      </c>
      <c r="EG79" s="38">
        <f t="shared" si="267"/>
        <v>0</v>
      </c>
      <c r="EH79" s="38">
        <f t="shared" si="268"/>
        <v>0</v>
      </c>
      <c r="EI79" s="38">
        <f t="shared" si="159"/>
        <v>0</v>
      </c>
      <c r="EJ79" s="38">
        <f t="shared" si="160"/>
        <v>0</v>
      </c>
      <c r="EK79" s="38">
        <f t="shared" si="161"/>
        <v>0</v>
      </c>
      <c r="EL79" s="38">
        <f t="shared" si="162"/>
        <v>0</v>
      </c>
      <c r="EM79" s="38">
        <f t="shared" si="163"/>
        <v>0</v>
      </c>
      <c r="EN79" s="38">
        <f t="shared" si="164"/>
        <v>0</v>
      </c>
      <c r="EO79" s="38">
        <f t="shared" si="165"/>
        <v>0</v>
      </c>
      <c r="EP79" s="38">
        <f t="shared" si="166"/>
        <v>4155.5433638280001</v>
      </c>
      <c r="EQ79" s="38">
        <f t="shared" si="167"/>
        <v>2033.1649532603133</v>
      </c>
      <c r="ER79" s="38">
        <f t="shared" si="168"/>
        <v>0</v>
      </c>
      <c r="ES79" s="38">
        <f t="shared" si="169"/>
        <v>0</v>
      </c>
      <c r="ET79" s="38">
        <f t="shared" si="170"/>
        <v>0</v>
      </c>
      <c r="EU79" s="38">
        <f t="shared" si="171"/>
        <v>0</v>
      </c>
      <c r="EV79" s="38">
        <f t="shared" si="172"/>
        <v>0</v>
      </c>
      <c r="EW79" s="38">
        <f t="shared" si="173"/>
        <v>215.16258122459999</v>
      </c>
      <c r="EX79" s="38">
        <f t="shared" si="174"/>
        <v>1847.6908808399999</v>
      </c>
      <c r="EZ79" s="38">
        <f t="shared" si="175"/>
        <v>0</v>
      </c>
      <c r="FA79" s="38">
        <f t="shared" si="176"/>
        <v>0</v>
      </c>
      <c r="FB79" s="1">
        <f t="shared" si="269"/>
        <v>0</v>
      </c>
      <c r="FC79" s="1">
        <f t="shared" si="270"/>
        <v>0</v>
      </c>
      <c r="FD79" s="1">
        <f t="shared" si="271"/>
        <v>0</v>
      </c>
      <c r="FE79" s="1">
        <f t="shared" si="272"/>
        <v>0</v>
      </c>
      <c r="FF79" s="1">
        <f t="shared" si="273"/>
        <v>0</v>
      </c>
      <c r="FG79" s="1">
        <f t="shared" si="274"/>
        <v>0</v>
      </c>
      <c r="FH79" s="1">
        <f t="shared" si="275"/>
        <v>0</v>
      </c>
      <c r="FI79" s="1">
        <f t="shared" si="276"/>
        <v>0</v>
      </c>
      <c r="FJ79" s="1">
        <f t="shared" si="277"/>
        <v>0</v>
      </c>
      <c r="FK79" s="1">
        <f t="shared" si="278"/>
        <v>0</v>
      </c>
      <c r="FL79" s="1">
        <f t="shared" si="279"/>
        <v>0</v>
      </c>
      <c r="FM79" s="1">
        <f t="shared" si="280"/>
        <v>0</v>
      </c>
      <c r="FN79" s="1">
        <f t="shared" si="281"/>
        <v>0</v>
      </c>
      <c r="FO79" s="1">
        <f t="shared" si="282"/>
        <v>0</v>
      </c>
      <c r="FP79" s="1">
        <f t="shared" si="283"/>
        <v>0</v>
      </c>
      <c r="FQ79" s="1">
        <f t="shared" si="284"/>
        <v>0</v>
      </c>
      <c r="FS79" s="1">
        <f t="shared" si="285"/>
        <v>0</v>
      </c>
      <c r="FT79" s="1">
        <f t="shared" si="286"/>
        <v>0</v>
      </c>
      <c r="FU79" s="38">
        <f t="shared" si="195"/>
        <v>0</v>
      </c>
      <c r="FV79" s="38">
        <f t="shared" si="196"/>
        <v>0</v>
      </c>
      <c r="FW79" s="38">
        <f t="shared" si="197"/>
        <v>0</v>
      </c>
      <c r="FX79" s="38">
        <f t="shared" si="198"/>
        <v>0</v>
      </c>
      <c r="FY79" s="38">
        <f t="shared" si="199"/>
        <v>0</v>
      </c>
      <c r="FZ79" s="38">
        <f t="shared" si="200"/>
        <v>0</v>
      </c>
      <c r="GA79" s="38">
        <f t="shared" si="201"/>
        <v>0</v>
      </c>
      <c r="GB79" s="38">
        <f t="shared" si="202"/>
        <v>0</v>
      </c>
      <c r="GC79" s="38">
        <f t="shared" si="203"/>
        <v>0</v>
      </c>
      <c r="GD79" s="38">
        <f t="shared" si="204"/>
        <v>0</v>
      </c>
      <c r="GE79" s="38">
        <f t="shared" si="205"/>
        <v>0</v>
      </c>
      <c r="GF79" s="38">
        <f t="shared" si="206"/>
        <v>0</v>
      </c>
      <c r="GG79" s="38">
        <f t="shared" si="207"/>
        <v>0</v>
      </c>
      <c r="GH79" s="38">
        <f t="shared" si="208"/>
        <v>0</v>
      </c>
      <c r="GI79" s="38">
        <f t="shared" si="209"/>
        <v>0</v>
      </c>
      <c r="GJ79" s="38">
        <f t="shared" si="210"/>
        <v>0</v>
      </c>
      <c r="GL79" s="38">
        <f t="shared" si="211"/>
        <v>0</v>
      </c>
      <c r="GM79" s="38">
        <f t="shared" si="212"/>
        <v>0</v>
      </c>
      <c r="GN79" s="1" t="s">
        <v>2</v>
      </c>
      <c r="GO79" s="13">
        <f t="shared" si="294"/>
        <v>48.457667999999998</v>
      </c>
      <c r="GP79" s="13">
        <f t="shared" si="295"/>
        <v>0.65392829469218372</v>
      </c>
      <c r="GQ79" s="41">
        <f t="shared" si="296"/>
        <v>316.87840199999999</v>
      </c>
      <c r="GR79" s="41">
        <f t="shared" si="297"/>
        <v>8251.561779152913</v>
      </c>
      <c r="GS79" s="14">
        <f t="shared" si="298"/>
        <v>170.28392243623679</v>
      </c>
      <c r="GT79" s="1">
        <f t="shared" si="287"/>
        <v>0</v>
      </c>
      <c r="GU79" s="1">
        <f t="shared" si="288"/>
        <v>238.64462399999999</v>
      </c>
      <c r="GV79" s="1">
        <f t="shared" si="289"/>
        <v>78.233777999999987</v>
      </c>
      <c r="GW79" s="37">
        <f t="shared" si="299"/>
        <v>0</v>
      </c>
      <c r="GX79" s="37"/>
      <c r="GY79" s="37"/>
      <c r="GZ79" s="37"/>
      <c r="HB79" s="1">
        <f t="shared" si="290"/>
        <v>0</v>
      </c>
      <c r="HC79" s="1">
        <f t="shared" si="291"/>
        <v>0</v>
      </c>
      <c r="HD79" s="37" t="s">
        <v>2</v>
      </c>
      <c r="HE79" s="1" t="s">
        <v>31</v>
      </c>
      <c r="HF79" s="1" t="s">
        <v>244</v>
      </c>
      <c r="HI79" s="1" t="s">
        <v>96</v>
      </c>
      <c r="HJ79" s="37" t="s">
        <v>2</v>
      </c>
      <c r="JH79" s="58" t="s">
        <v>2</v>
      </c>
    </row>
    <row r="80" spans="1:268" ht="16.25" customHeight="1" x14ac:dyDescent="0.2">
      <c r="A80" s="21" t="s">
        <v>450</v>
      </c>
      <c r="B80" s="1" t="s">
        <v>69</v>
      </c>
      <c r="E80" s="1" t="s">
        <v>72</v>
      </c>
      <c r="F80" s="1" t="s">
        <v>451</v>
      </c>
      <c r="H80" s="1" t="s">
        <v>211</v>
      </c>
      <c r="I80" s="1">
        <v>0</v>
      </c>
      <c r="AD80" s="1">
        <v>0</v>
      </c>
      <c r="AY80" s="1">
        <v>0.7</v>
      </c>
      <c r="BG80" s="1">
        <v>0.83</v>
      </c>
      <c r="BH80" s="1">
        <v>0.04</v>
      </c>
      <c r="BT80" s="1">
        <v>0</v>
      </c>
      <c r="CO80" s="1">
        <v>0</v>
      </c>
      <c r="DJ80" s="1" t="s">
        <v>96</v>
      </c>
      <c r="DK80" s="1" t="s">
        <v>96</v>
      </c>
      <c r="DL80" s="1">
        <f t="shared" si="292"/>
        <v>0.83</v>
      </c>
      <c r="DM80" s="1">
        <f t="shared" si="293"/>
        <v>0.04</v>
      </c>
      <c r="DN80" s="1" t="s">
        <v>148</v>
      </c>
      <c r="DO80" s="1" t="s">
        <v>2</v>
      </c>
      <c r="DP80" s="38">
        <f t="shared" si="251"/>
        <v>0</v>
      </c>
      <c r="DQ80" s="38">
        <f t="shared" si="252"/>
        <v>0</v>
      </c>
      <c r="DR80" s="38">
        <f t="shared" si="253"/>
        <v>0</v>
      </c>
      <c r="DS80" s="38">
        <f t="shared" si="254"/>
        <v>0</v>
      </c>
      <c r="DT80" s="38">
        <f t="shared" si="255"/>
        <v>0</v>
      </c>
      <c r="DU80" s="38">
        <f t="shared" si="256"/>
        <v>0</v>
      </c>
      <c r="DV80" s="38">
        <f t="shared" si="257"/>
        <v>0</v>
      </c>
      <c r="DW80" s="38">
        <f t="shared" si="258"/>
        <v>5.8099999999999992E-3</v>
      </c>
      <c r="DX80" s="38">
        <f t="shared" si="259"/>
        <v>2.7999999999999998E-4</v>
      </c>
      <c r="DY80" s="38">
        <f t="shared" si="260"/>
        <v>0</v>
      </c>
      <c r="DZ80" s="38">
        <f t="shared" si="261"/>
        <v>0</v>
      </c>
      <c r="EA80" s="38">
        <f t="shared" si="262"/>
        <v>0</v>
      </c>
      <c r="EB80" s="38">
        <f t="shared" si="263"/>
        <v>0</v>
      </c>
      <c r="EC80" s="38">
        <f t="shared" si="264"/>
        <v>0</v>
      </c>
      <c r="ED80" s="38">
        <f t="shared" si="265"/>
        <v>0</v>
      </c>
      <c r="EE80" s="38">
        <f t="shared" si="266"/>
        <v>0</v>
      </c>
      <c r="EG80" s="38">
        <f t="shared" si="267"/>
        <v>0</v>
      </c>
      <c r="EH80" s="38">
        <f t="shared" si="268"/>
        <v>0</v>
      </c>
      <c r="EI80" s="38">
        <f t="shared" si="159"/>
        <v>0</v>
      </c>
      <c r="EJ80" s="38">
        <f t="shared" si="160"/>
        <v>0</v>
      </c>
      <c r="EK80" s="38">
        <f t="shared" si="161"/>
        <v>0</v>
      </c>
      <c r="EL80" s="38">
        <f t="shared" si="162"/>
        <v>0</v>
      </c>
      <c r="EM80" s="38">
        <f t="shared" si="163"/>
        <v>0</v>
      </c>
      <c r="EN80" s="38">
        <f t="shared" si="164"/>
        <v>0</v>
      </c>
      <c r="EO80" s="38">
        <f t="shared" si="165"/>
        <v>0</v>
      </c>
      <c r="EP80" s="38">
        <f t="shared" si="166"/>
        <v>76.192339999999987</v>
      </c>
      <c r="EQ80" s="38">
        <f t="shared" si="167"/>
        <v>20.333466719999997</v>
      </c>
      <c r="ER80" s="38">
        <f t="shared" si="168"/>
        <v>0</v>
      </c>
      <c r="ES80" s="38">
        <f t="shared" si="169"/>
        <v>0</v>
      </c>
      <c r="ET80" s="38">
        <f t="shared" si="170"/>
        <v>0</v>
      </c>
      <c r="EU80" s="38">
        <f t="shared" si="171"/>
        <v>0</v>
      </c>
      <c r="EV80" s="38">
        <f t="shared" si="172"/>
        <v>0</v>
      </c>
      <c r="EW80" s="38">
        <f t="shared" si="173"/>
        <v>0</v>
      </c>
      <c r="EX80" s="38">
        <f t="shared" si="174"/>
        <v>0</v>
      </c>
      <c r="EZ80" s="38">
        <f t="shared" si="175"/>
        <v>0</v>
      </c>
      <c r="FA80" s="38">
        <f t="shared" si="176"/>
        <v>0</v>
      </c>
      <c r="FB80" s="1">
        <f t="shared" si="269"/>
        <v>0</v>
      </c>
      <c r="FC80" s="1">
        <f t="shared" si="270"/>
        <v>0</v>
      </c>
      <c r="FD80" s="1">
        <f t="shared" si="271"/>
        <v>0</v>
      </c>
      <c r="FE80" s="1">
        <f t="shared" si="272"/>
        <v>0</v>
      </c>
      <c r="FF80" s="1">
        <f t="shared" si="273"/>
        <v>0</v>
      </c>
      <c r="FG80" s="1">
        <f t="shared" si="274"/>
        <v>0</v>
      </c>
      <c r="FH80" s="1">
        <f t="shared" si="275"/>
        <v>0</v>
      </c>
      <c r="FI80" s="1">
        <f t="shared" si="276"/>
        <v>0</v>
      </c>
      <c r="FJ80" s="1">
        <f t="shared" si="277"/>
        <v>0</v>
      </c>
      <c r="FK80" s="1">
        <f t="shared" si="278"/>
        <v>0</v>
      </c>
      <c r="FL80" s="1">
        <f t="shared" si="279"/>
        <v>0</v>
      </c>
      <c r="FM80" s="1">
        <f t="shared" si="280"/>
        <v>0</v>
      </c>
      <c r="FN80" s="1">
        <f t="shared" si="281"/>
        <v>0</v>
      </c>
      <c r="FO80" s="1">
        <f t="shared" si="282"/>
        <v>0</v>
      </c>
      <c r="FP80" s="1">
        <f t="shared" si="283"/>
        <v>0</v>
      </c>
      <c r="FQ80" s="1">
        <f t="shared" si="284"/>
        <v>0</v>
      </c>
      <c r="FS80" s="1">
        <f t="shared" si="285"/>
        <v>0</v>
      </c>
      <c r="FT80" s="1">
        <f t="shared" si="286"/>
        <v>0</v>
      </c>
      <c r="FU80" s="38">
        <f t="shared" si="195"/>
        <v>0</v>
      </c>
      <c r="FV80" s="38">
        <f t="shared" si="196"/>
        <v>0</v>
      </c>
      <c r="FW80" s="38">
        <f t="shared" si="197"/>
        <v>0</v>
      </c>
      <c r="FX80" s="38">
        <f t="shared" si="198"/>
        <v>0</v>
      </c>
      <c r="FY80" s="38">
        <f t="shared" si="199"/>
        <v>0</v>
      </c>
      <c r="FZ80" s="38">
        <f t="shared" si="200"/>
        <v>0</v>
      </c>
      <c r="GA80" s="38">
        <f t="shared" si="201"/>
        <v>0</v>
      </c>
      <c r="GB80" s="38">
        <f t="shared" si="202"/>
        <v>0</v>
      </c>
      <c r="GC80" s="38">
        <f t="shared" si="203"/>
        <v>0</v>
      </c>
      <c r="GD80" s="38">
        <f t="shared" si="204"/>
        <v>0</v>
      </c>
      <c r="GE80" s="38">
        <f t="shared" si="205"/>
        <v>0</v>
      </c>
      <c r="GF80" s="38">
        <f t="shared" si="206"/>
        <v>0</v>
      </c>
      <c r="GG80" s="38">
        <f t="shared" si="207"/>
        <v>0</v>
      </c>
      <c r="GH80" s="38">
        <f t="shared" si="208"/>
        <v>0</v>
      </c>
      <c r="GI80" s="38">
        <f t="shared" si="209"/>
        <v>0</v>
      </c>
      <c r="GJ80" s="38">
        <f t="shared" si="210"/>
        <v>0</v>
      </c>
      <c r="GL80" s="38">
        <f t="shared" si="211"/>
        <v>0</v>
      </c>
      <c r="GM80" s="38">
        <f t="shared" si="212"/>
        <v>0</v>
      </c>
      <c r="GN80" s="1" t="s">
        <v>2</v>
      </c>
      <c r="GO80" s="1">
        <f t="shared" si="294"/>
        <v>0.7</v>
      </c>
      <c r="GP80" s="1">
        <f t="shared" si="295"/>
        <v>0.83</v>
      </c>
      <c r="GQ80" s="41">
        <f t="shared" si="296"/>
        <v>5.81</v>
      </c>
      <c r="GR80" s="41">
        <f t="shared" si="297"/>
        <v>96.525806719999991</v>
      </c>
      <c r="GS80" s="14">
        <f t="shared" si="298"/>
        <v>137.8940096</v>
      </c>
      <c r="GT80" s="1">
        <f t="shared" si="287"/>
        <v>0</v>
      </c>
      <c r="GU80" s="1">
        <f t="shared" si="288"/>
        <v>0</v>
      </c>
      <c r="GV80" s="1">
        <f t="shared" si="289"/>
        <v>5.81</v>
      </c>
      <c r="GW80" s="37">
        <f t="shared" si="299"/>
        <v>0</v>
      </c>
      <c r="GX80" s="37"/>
      <c r="GY80" s="37"/>
      <c r="GZ80" s="37"/>
      <c r="HB80" s="1">
        <f t="shared" si="290"/>
        <v>0</v>
      </c>
      <c r="HC80" s="1">
        <f t="shared" si="291"/>
        <v>0</v>
      </c>
      <c r="HD80" s="37" t="s">
        <v>2</v>
      </c>
      <c r="HE80" s="1" t="s">
        <v>31</v>
      </c>
      <c r="HF80" s="1" t="s">
        <v>245</v>
      </c>
      <c r="HI80" s="1" t="s">
        <v>96</v>
      </c>
      <c r="HJ80" s="37" t="s">
        <v>2</v>
      </c>
      <c r="JH80" s="58" t="s">
        <v>2</v>
      </c>
    </row>
    <row r="81" spans="1:268" ht="16.25" customHeight="1" x14ac:dyDescent="0.2">
      <c r="A81" s="21" t="s">
        <v>246</v>
      </c>
      <c r="B81" s="1" t="s">
        <v>69</v>
      </c>
      <c r="E81" s="1" t="s">
        <v>72</v>
      </c>
      <c r="F81" s="1" t="s">
        <v>247</v>
      </c>
      <c r="H81" s="1" t="s">
        <v>211</v>
      </c>
      <c r="I81" s="1">
        <v>0</v>
      </c>
      <c r="AD81" s="1">
        <v>0</v>
      </c>
      <c r="AY81" s="11">
        <v>1</v>
      </c>
      <c r="BG81" s="11">
        <v>1</v>
      </c>
      <c r="BT81" s="1">
        <v>0</v>
      </c>
      <c r="CO81" s="1">
        <v>0</v>
      </c>
      <c r="DJ81" s="1" t="s">
        <v>163</v>
      </c>
      <c r="DL81" s="1">
        <f t="shared" si="292"/>
        <v>1</v>
      </c>
      <c r="DM81" s="1">
        <f t="shared" si="293"/>
        <v>0</v>
      </c>
      <c r="DN81" s="1" t="s">
        <v>148</v>
      </c>
      <c r="DO81" s="1" t="s">
        <v>2</v>
      </c>
      <c r="DP81" s="38">
        <f t="shared" si="251"/>
        <v>0</v>
      </c>
      <c r="DQ81" s="38">
        <f t="shared" si="252"/>
        <v>0</v>
      </c>
      <c r="DR81" s="38">
        <f t="shared" si="253"/>
        <v>0</v>
      </c>
      <c r="DS81" s="38">
        <f t="shared" si="254"/>
        <v>0</v>
      </c>
      <c r="DT81" s="38">
        <f t="shared" si="255"/>
        <v>0</v>
      </c>
      <c r="DU81" s="38">
        <f t="shared" si="256"/>
        <v>0</v>
      </c>
      <c r="DV81" s="38">
        <f t="shared" si="257"/>
        <v>0</v>
      </c>
      <c r="DW81" s="38">
        <f t="shared" si="258"/>
        <v>0.01</v>
      </c>
      <c r="DX81" s="38">
        <f t="shared" si="259"/>
        <v>0</v>
      </c>
      <c r="DY81" s="38">
        <f t="shared" si="260"/>
        <v>0</v>
      </c>
      <c r="DZ81" s="38">
        <f t="shared" si="261"/>
        <v>0</v>
      </c>
      <c r="EA81" s="38">
        <f t="shared" si="262"/>
        <v>0</v>
      </c>
      <c r="EB81" s="38">
        <f t="shared" si="263"/>
        <v>0</v>
      </c>
      <c r="EC81" s="38">
        <f t="shared" si="264"/>
        <v>0</v>
      </c>
      <c r="ED81" s="38">
        <f t="shared" si="265"/>
        <v>0</v>
      </c>
      <c r="EE81" s="38">
        <f t="shared" si="266"/>
        <v>0</v>
      </c>
      <c r="EG81" s="38">
        <f t="shared" si="267"/>
        <v>0</v>
      </c>
      <c r="EH81" s="38">
        <f t="shared" si="268"/>
        <v>0</v>
      </c>
      <c r="EI81" s="38">
        <f t="shared" si="159"/>
        <v>0</v>
      </c>
      <c r="EJ81" s="38">
        <f t="shared" si="160"/>
        <v>0</v>
      </c>
      <c r="EK81" s="38">
        <f t="shared" si="161"/>
        <v>0</v>
      </c>
      <c r="EL81" s="38">
        <f t="shared" si="162"/>
        <v>0</v>
      </c>
      <c r="EM81" s="38">
        <f t="shared" si="163"/>
        <v>0</v>
      </c>
      <c r="EN81" s="38">
        <f t="shared" si="164"/>
        <v>0</v>
      </c>
      <c r="EO81" s="38">
        <f t="shared" si="165"/>
        <v>0</v>
      </c>
      <c r="EP81" s="38">
        <f t="shared" si="166"/>
        <v>131.14000000000001</v>
      </c>
      <c r="EQ81" s="38">
        <f t="shared" si="167"/>
        <v>0</v>
      </c>
      <c r="ER81" s="38">
        <f t="shared" si="168"/>
        <v>0</v>
      </c>
      <c r="ES81" s="38">
        <f t="shared" si="169"/>
        <v>0</v>
      </c>
      <c r="ET81" s="38">
        <f t="shared" si="170"/>
        <v>0</v>
      </c>
      <c r="EU81" s="38">
        <f t="shared" si="171"/>
        <v>0</v>
      </c>
      <c r="EV81" s="38">
        <f t="shared" si="172"/>
        <v>0</v>
      </c>
      <c r="EW81" s="38">
        <f t="shared" si="173"/>
        <v>0</v>
      </c>
      <c r="EX81" s="38">
        <f t="shared" si="174"/>
        <v>0</v>
      </c>
      <c r="EZ81" s="38">
        <f t="shared" si="175"/>
        <v>0</v>
      </c>
      <c r="FA81" s="38">
        <f t="shared" si="176"/>
        <v>0</v>
      </c>
      <c r="FB81" s="1">
        <f t="shared" si="269"/>
        <v>0</v>
      </c>
      <c r="FC81" s="1">
        <f t="shared" si="270"/>
        <v>0</v>
      </c>
      <c r="FD81" s="1">
        <f t="shared" si="271"/>
        <v>0</v>
      </c>
      <c r="FE81" s="1">
        <f t="shared" si="272"/>
        <v>0</v>
      </c>
      <c r="FF81" s="1">
        <f t="shared" si="273"/>
        <v>0</v>
      </c>
      <c r="FG81" s="1">
        <f t="shared" si="274"/>
        <v>0</v>
      </c>
      <c r="FH81" s="1">
        <f t="shared" si="275"/>
        <v>0</v>
      </c>
      <c r="FI81" s="1">
        <f t="shared" si="276"/>
        <v>0</v>
      </c>
      <c r="FJ81" s="1">
        <f t="shared" si="277"/>
        <v>0</v>
      </c>
      <c r="FK81" s="1">
        <f t="shared" si="278"/>
        <v>0</v>
      </c>
      <c r="FL81" s="1">
        <f t="shared" si="279"/>
        <v>0</v>
      </c>
      <c r="FM81" s="1">
        <f t="shared" si="280"/>
        <v>0</v>
      </c>
      <c r="FN81" s="1">
        <f t="shared" si="281"/>
        <v>0</v>
      </c>
      <c r="FO81" s="1">
        <f t="shared" si="282"/>
        <v>0</v>
      </c>
      <c r="FP81" s="1">
        <f t="shared" si="283"/>
        <v>0</v>
      </c>
      <c r="FQ81" s="1">
        <f t="shared" si="284"/>
        <v>0</v>
      </c>
      <c r="FS81" s="1">
        <f t="shared" si="285"/>
        <v>0</v>
      </c>
      <c r="FT81" s="1">
        <f t="shared" si="286"/>
        <v>0</v>
      </c>
      <c r="FU81" s="38">
        <f t="shared" si="195"/>
        <v>0</v>
      </c>
      <c r="FV81" s="38">
        <f t="shared" si="196"/>
        <v>0</v>
      </c>
      <c r="FW81" s="38">
        <f t="shared" si="197"/>
        <v>0</v>
      </c>
      <c r="FX81" s="38">
        <f t="shared" si="198"/>
        <v>0</v>
      </c>
      <c r="FY81" s="38">
        <f t="shared" si="199"/>
        <v>0</v>
      </c>
      <c r="FZ81" s="38">
        <f t="shared" si="200"/>
        <v>0</v>
      </c>
      <c r="GA81" s="38">
        <f t="shared" si="201"/>
        <v>0</v>
      </c>
      <c r="GB81" s="38">
        <f t="shared" si="202"/>
        <v>0</v>
      </c>
      <c r="GC81" s="38">
        <f t="shared" si="203"/>
        <v>0</v>
      </c>
      <c r="GD81" s="38">
        <f t="shared" si="204"/>
        <v>0</v>
      </c>
      <c r="GE81" s="38">
        <f t="shared" si="205"/>
        <v>0</v>
      </c>
      <c r="GF81" s="38">
        <f t="shared" si="206"/>
        <v>0</v>
      </c>
      <c r="GG81" s="38">
        <f t="shared" si="207"/>
        <v>0</v>
      </c>
      <c r="GH81" s="38">
        <f t="shared" si="208"/>
        <v>0</v>
      </c>
      <c r="GI81" s="38">
        <f t="shared" si="209"/>
        <v>0</v>
      </c>
      <c r="GJ81" s="38">
        <f t="shared" si="210"/>
        <v>0</v>
      </c>
      <c r="GL81" s="38">
        <f t="shared" si="211"/>
        <v>0</v>
      </c>
      <c r="GM81" s="38">
        <f t="shared" si="212"/>
        <v>0</v>
      </c>
      <c r="GN81" s="1" t="s">
        <v>2</v>
      </c>
      <c r="GO81" s="1">
        <f t="shared" si="294"/>
        <v>1</v>
      </c>
      <c r="GP81" s="1">
        <f t="shared" si="295"/>
        <v>1</v>
      </c>
      <c r="GQ81" s="41">
        <f t="shared" si="296"/>
        <v>10</v>
      </c>
      <c r="GR81" s="41">
        <f t="shared" si="297"/>
        <v>131.14000000000001</v>
      </c>
      <c r="GS81" s="14">
        <f t="shared" si="298"/>
        <v>131.14000000000001</v>
      </c>
      <c r="GT81" s="1">
        <f t="shared" si="287"/>
        <v>0</v>
      </c>
      <c r="GU81" s="1">
        <f t="shared" si="288"/>
        <v>0</v>
      </c>
      <c r="GV81" s="1">
        <f t="shared" si="289"/>
        <v>10</v>
      </c>
      <c r="GW81" s="37">
        <f t="shared" si="299"/>
        <v>0</v>
      </c>
      <c r="GX81" s="37"/>
      <c r="GY81" s="37"/>
      <c r="GZ81" s="37"/>
      <c r="HB81" s="1">
        <f t="shared" si="290"/>
        <v>0</v>
      </c>
      <c r="HC81" s="1">
        <f t="shared" si="291"/>
        <v>0</v>
      </c>
      <c r="HD81" s="37" t="s">
        <v>2</v>
      </c>
      <c r="HE81" s="1" t="s">
        <v>31</v>
      </c>
      <c r="HF81" s="1" t="s">
        <v>230</v>
      </c>
      <c r="HG81" s="1" t="s">
        <v>230</v>
      </c>
      <c r="HI81" s="1" t="s">
        <v>163</v>
      </c>
      <c r="HJ81" s="37" t="s">
        <v>2</v>
      </c>
      <c r="JH81" s="58" t="s">
        <v>2</v>
      </c>
    </row>
    <row r="82" spans="1:268" ht="16.25" customHeight="1" x14ac:dyDescent="0.2">
      <c r="A82" s="21" t="s">
        <v>898</v>
      </c>
      <c r="B82" s="1" t="s">
        <v>69</v>
      </c>
      <c r="F82" s="1" t="s">
        <v>131</v>
      </c>
      <c r="I82" s="1">
        <v>0</v>
      </c>
      <c r="AD82" s="1">
        <v>0</v>
      </c>
      <c r="AY82" s="1">
        <v>14</v>
      </c>
      <c r="BG82" s="1">
        <v>1.1499999999999999</v>
      </c>
      <c r="BH82" s="1">
        <v>5.5E-2</v>
      </c>
      <c r="BT82" s="1">
        <v>0</v>
      </c>
      <c r="CO82" s="1">
        <v>0</v>
      </c>
      <c r="DJ82" s="1" t="s">
        <v>163</v>
      </c>
      <c r="DK82" s="1" t="s">
        <v>163</v>
      </c>
      <c r="DL82" s="1">
        <f t="shared" si="292"/>
        <v>1.1499999999999999</v>
      </c>
      <c r="DM82" s="1">
        <f t="shared" si="293"/>
        <v>5.5E-2</v>
      </c>
      <c r="DN82" s="1" t="s">
        <v>899</v>
      </c>
      <c r="DO82" s="1" t="s">
        <v>2</v>
      </c>
      <c r="DP82" s="38">
        <f t="shared" si="251"/>
        <v>0</v>
      </c>
      <c r="DQ82" s="38">
        <f t="shared" si="252"/>
        <v>0</v>
      </c>
      <c r="DR82" s="38">
        <f t="shared" si="253"/>
        <v>0</v>
      </c>
      <c r="DS82" s="38">
        <f t="shared" si="254"/>
        <v>0</v>
      </c>
      <c r="DT82" s="38">
        <f t="shared" si="255"/>
        <v>0</v>
      </c>
      <c r="DU82" s="38">
        <f t="shared" si="256"/>
        <v>0</v>
      </c>
      <c r="DV82" s="38">
        <f t="shared" si="257"/>
        <v>0</v>
      </c>
      <c r="DW82" s="38">
        <f t="shared" si="258"/>
        <v>0.16099999999999998</v>
      </c>
      <c r="DX82" s="38">
        <f t="shared" si="259"/>
        <v>7.7000000000000002E-3</v>
      </c>
      <c r="DY82" s="38">
        <f t="shared" si="260"/>
        <v>0</v>
      </c>
      <c r="DZ82" s="38">
        <f t="shared" si="261"/>
        <v>0</v>
      </c>
      <c r="EA82" s="38">
        <f t="shared" si="262"/>
        <v>0</v>
      </c>
      <c r="EB82" s="38">
        <f t="shared" si="263"/>
        <v>0</v>
      </c>
      <c r="EC82" s="38">
        <f t="shared" si="264"/>
        <v>0</v>
      </c>
      <c r="ED82" s="38">
        <f t="shared" si="265"/>
        <v>0</v>
      </c>
      <c r="EE82" s="38">
        <f t="shared" si="266"/>
        <v>0</v>
      </c>
      <c r="EG82" s="38">
        <f t="shared" si="267"/>
        <v>0</v>
      </c>
      <c r="EH82" s="38">
        <f t="shared" si="268"/>
        <v>0</v>
      </c>
      <c r="EI82" s="38">
        <f t="shared" si="159"/>
        <v>0</v>
      </c>
      <c r="EJ82" s="38">
        <f t="shared" si="160"/>
        <v>0</v>
      </c>
      <c r="EK82" s="38">
        <f t="shared" si="161"/>
        <v>0</v>
      </c>
      <c r="EL82" s="38">
        <f t="shared" si="162"/>
        <v>0</v>
      </c>
      <c r="EM82" s="38">
        <f t="shared" si="163"/>
        <v>0</v>
      </c>
      <c r="EN82" s="38">
        <f t="shared" si="164"/>
        <v>0</v>
      </c>
      <c r="EO82" s="38">
        <f t="shared" si="165"/>
        <v>0</v>
      </c>
      <c r="EP82" s="38">
        <f t="shared" si="166"/>
        <v>2111.3539999999998</v>
      </c>
      <c r="EQ82" s="38">
        <f t="shared" si="167"/>
        <v>559.17033479999998</v>
      </c>
      <c r="ER82" s="38">
        <f t="shared" si="168"/>
        <v>0</v>
      </c>
      <c r="ES82" s="38">
        <f t="shared" si="169"/>
        <v>0</v>
      </c>
      <c r="ET82" s="38">
        <f t="shared" si="170"/>
        <v>0</v>
      </c>
      <c r="EU82" s="38">
        <f t="shared" si="171"/>
        <v>0</v>
      </c>
      <c r="EV82" s="38">
        <f t="shared" si="172"/>
        <v>0</v>
      </c>
      <c r="EW82" s="38">
        <f t="shared" si="173"/>
        <v>0</v>
      </c>
      <c r="EX82" s="38">
        <f t="shared" si="174"/>
        <v>0</v>
      </c>
      <c r="EZ82" s="38">
        <f t="shared" si="175"/>
        <v>0</v>
      </c>
      <c r="FA82" s="38">
        <f t="shared" si="176"/>
        <v>0</v>
      </c>
      <c r="FB82" s="1">
        <f t="shared" si="269"/>
        <v>0</v>
      </c>
      <c r="FC82" s="1">
        <f t="shared" si="270"/>
        <v>0</v>
      </c>
      <c r="FD82" s="1">
        <f t="shared" si="271"/>
        <v>0</v>
      </c>
      <c r="FE82" s="1">
        <f t="shared" si="272"/>
        <v>0</v>
      </c>
      <c r="FF82" s="1">
        <f t="shared" si="273"/>
        <v>0</v>
      </c>
      <c r="FG82" s="1">
        <f t="shared" si="274"/>
        <v>0</v>
      </c>
      <c r="FH82" s="1">
        <f t="shared" si="275"/>
        <v>0</v>
      </c>
      <c r="FI82" s="1">
        <f t="shared" si="276"/>
        <v>0</v>
      </c>
      <c r="FJ82" s="1">
        <f t="shared" si="277"/>
        <v>0</v>
      </c>
      <c r="FK82" s="1">
        <f t="shared" si="278"/>
        <v>0</v>
      </c>
      <c r="FL82" s="1">
        <f t="shared" si="279"/>
        <v>0</v>
      </c>
      <c r="FM82" s="1">
        <f t="shared" si="280"/>
        <v>0</v>
      </c>
      <c r="FN82" s="1">
        <f t="shared" si="281"/>
        <v>0</v>
      </c>
      <c r="FO82" s="1">
        <f t="shared" si="282"/>
        <v>0</v>
      </c>
      <c r="FP82" s="1">
        <f t="shared" si="283"/>
        <v>0</v>
      </c>
      <c r="FQ82" s="1">
        <f t="shared" si="284"/>
        <v>0</v>
      </c>
      <c r="FS82" s="1">
        <f t="shared" si="285"/>
        <v>0</v>
      </c>
      <c r="FT82" s="1">
        <f t="shared" si="286"/>
        <v>0</v>
      </c>
      <c r="FU82" s="38">
        <f t="shared" si="195"/>
        <v>0</v>
      </c>
      <c r="FV82" s="38">
        <f t="shared" si="196"/>
        <v>0</v>
      </c>
      <c r="FW82" s="38">
        <f t="shared" si="197"/>
        <v>0</v>
      </c>
      <c r="FX82" s="38">
        <f t="shared" si="198"/>
        <v>0</v>
      </c>
      <c r="FY82" s="38">
        <f t="shared" si="199"/>
        <v>0</v>
      </c>
      <c r="FZ82" s="38">
        <f t="shared" si="200"/>
        <v>0</v>
      </c>
      <c r="GA82" s="38">
        <f t="shared" si="201"/>
        <v>0</v>
      </c>
      <c r="GB82" s="38">
        <f t="shared" si="202"/>
        <v>0</v>
      </c>
      <c r="GC82" s="38">
        <f t="shared" si="203"/>
        <v>0</v>
      </c>
      <c r="GD82" s="38">
        <f t="shared" si="204"/>
        <v>0</v>
      </c>
      <c r="GE82" s="38">
        <f t="shared" si="205"/>
        <v>0</v>
      </c>
      <c r="GF82" s="38">
        <f t="shared" si="206"/>
        <v>0</v>
      </c>
      <c r="GG82" s="38">
        <f t="shared" si="207"/>
        <v>0</v>
      </c>
      <c r="GH82" s="38">
        <f t="shared" si="208"/>
        <v>0</v>
      </c>
      <c r="GI82" s="38">
        <f t="shared" si="209"/>
        <v>0</v>
      </c>
      <c r="GJ82" s="38">
        <f t="shared" si="210"/>
        <v>0</v>
      </c>
      <c r="GL82" s="38">
        <f t="shared" si="211"/>
        <v>0</v>
      </c>
      <c r="GM82" s="38">
        <f t="shared" si="212"/>
        <v>0</v>
      </c>
      <c r="GN82" s="1" t="s">
        <v>2</v>
      </c>
      <c r="GO82" s="1">
        <f t="shared" si="294"/>
        <v>14</v>
      </c>
      <c r="GP82" s="1">
        <f t="shared" si="295"/>
        <v>1.1499999999999999</v>
      </c>
      <c r="GQ82" s="41">
        <f t="shared" si="296"/>
        <v>160.99999999999997</v>
      </c>
      <c r="GR82" s="41">
        <f t="shared" si="297"/>
        <v>2670.5243347999999</v>
      </c>
      <c r="GS82" s="14">
        <f t="shared" si="298"/>
        <v>190.75173820000001</v>
      </c>
      <c r="GT82" s="1">
        <f t="shared" si="287"/>
        <v>0</v>
      </c>
      <c r="GU82" s="1">
        <f t="shared" si="288"/>
        <v>0</v>
      </c>
      <c r="GV82" s="1">
        <f t="shared" si="289"/>
        <v>160.99999999999997</v>
      </c>
      <c r="GW82" s="37">
        <f t="shared" si="299"/>
        <v>0</v>
      </c>
      <c r="GX82" s="37"/>
      <c r="GY82" s="37"/>
      <c r="GZ82" s="37"/>
      <c r="HB82" s="1">
        <f t="shared" si="290"/>
        <v>0</v>
      </c>
      <c r="HC82" s="1">
        <f t="shared" si="291"/>
        <v>0</v>
      </c>
      <c r="HD82" s="37" t="s">
        <v>2</v>
      </c>
      <c r="HE82" s="1" t="s">
        <v>31</v>
      </c>
      <c r="HF82" s="1" t="s">
        <v>230</v>
      </c>
      <c r="HG82" s="1" t="s">
        <v>230</v>
      </c>
      <c r="HI82" s="1" t="s">
        <v>163</v>
      </c>
      <c r="HJ82" s="37" t="s">
        <v>2</v>
      </c>
      <c r="JH82" s="58" t="s">
        <v>2</v>
      </c>
    </row>
    <row r="83" spans="1:268" ht="16.25" customHeight="1" x14ac:dyDescent="0.2">
      <c r="A83" s="21" t="s">
        <v>621</v>
      </c>
      <c r="B83" s="1" t="s">
        <v>69</v>
      </c>
      <c r="F83" s="1" t="s">
        <v>131</v>
      </c>
      <c r="I83" s="1">
        <v>0</v>
      </c>
      <c r="AD83" s="1">
        <v>0</v>
      </c>
      <c r="AY83" s="1">
        <v>4</v>
      </c>
      <c r="BG83" s="1">
        <v>1.2</v>
      </c>
      <c r="BT83" s="1">
        <v>0</v>
      </c>
      <c r="CO83" s="1">
        <v>0</v>
      </c>
      <c r="DJ83" s="1" t="s">
        <v>163</v>
      </c>
      <c r="DL83" s="1">
        <f t="shared" si="292"/>
        <v>1.2</v>
      </c>
      <c r="DM83" s="1">
        <f t="shared" si="293"/>
        <v>0</v>
      </c>
      <c r="DN83" s="1" t="s">
        <v>471</v>
      </c>
      <c r="DO83" s="1" t="s">
        <v>2</v>
      </c>
      <c r="DP83" s="38">
        <f t="shared" si="251"/>
        <v>0</v>
      </c>
      <c r="DQ83" s="38">
        <f t="shared" si="252"/>
        <v>0</v>
      </c>
      <c r="DR83" s="38">
        <f t="shared" si="253"/>
        <v>0</v>
      </c>
      <c r="DS83" s="38">
        <f t="shared" si="254"/>
        <v>0</v>
      </c>
      <c r="DT83" s="38">
        <f t="shared" si="255"/>
        <v>0</v>
      </c>
      <c r="DU83" s="38">
        <f t="shared" si="256"/>
        <v>0</v>
      </c>
      <c r="DV83" s="38">
        <f t="shared" si="257"/>
        <v>0</v>
      </c>
      <c r="DW83" s="38">
        <f t="shared" si="258"/>
        <v>4.8000000000000001E-2</v>
      </c>
      <c r="DX83" s="38">
        <f t="shared" si="259"/>
        <v>0</v>
      </c>
      <c r="DY83" s="38">
        <f t="shared" si="260"/>
        <v>0</v>
      </c>
      <c r="DZ83" s="38">
        <f t="shared" si="261"/>
        <v>0</v>
      </c>
      <c r="EA83" s="38">
        <f t="shared" si="262"/>
        <v>0</v>
      </c>
      <c r="EB83" s="38">
        <f t="shared" si="263"/>
        <v>0</v>
      </c>
      <c r="EC83" s="38">
        <f t="shared" si="264"/>
        <v>0</v>
      </c>
      <c r="ED83" s="38">
        <f t="shared" si="265"/>
        <v>0</v>
      </c>
      <c r="EE83" s="38">
        <f t="shared" si="266"/>
        <v>0</v>
      </c>
      <c r="EG83" s="38">
        <f t="shared" si="267"/>
        <v>0</v>
      </c>
      <c r="EH83" s="38">
        <f t="shared" si="268"/>
        <v>0</v>
      </c>
      <c r="EI83" s="38">
        <f t="shared" si="159"/>
        <v>0</v>
      </c>
      <c r="EJ83" s="38">
        <f t="shared" si="160"/>
        <v>0</v>
      </c>
      <c r="EK83" s="38">
        <f t="shared" si="161"/>
        <v>0</v>
      </c>
      <c r="EL83" s="38">
        <f t="shared" si="162"/>
        <v>0</v>
      </c>
      <c r="EM83" s="38">
        <f t="shared" si="163"/>
        <v>0</v>
      </c>
      <c r="EN83" s="38">
        <f t="shared" si="164"/>
        <v>0</v>
      </c>
      <c r="EO83" s="38">
        <f t="shared" si="165"/>
        <v>0</v>
      </c>
      <c r="EP83" s="38">
        <f t="shared" si="166"/>
        <v>629.47199999999998</v>
      </c>
      <c r="EQ83" s="38">
        <f t="shared" si="167"/>
        <v>0</v>
      </c>
      <c r="ER83" s="38">
        <f t="shared" si="168"/>
        <v>0</v>
      </c>
      <c r="ES83" s="38">
        <f t="shared" si="169"/>
        <v>0</v>
      </c>
      <c r="ET83" s="38">
        <f t="shared" si="170"/>
        <v>0</v>
      </c>
      <c r="EU83" s="38">
        <f t="shared" si="171"/>
        <v>0</v>
      </c>
      <c r="EV83" s="38">
        <f t="shared" si="172"/>
        <v>0</v>
      </c>
      <c r="EW83" s="38">
        <f t="shared" si="173"/>
        <v>0</v>
      </c>
      <c r="EX83" s="38">
        <f t="shared" si="174"/>
        <v>0</v>
      </c>
      <c r="EZ83" s="38">
        <f t="shared" si="175"/>
        <v>0</v>
      </c>
      <c r="FA83" s="38">
        <f t="shared" si="176"/>
        <v>0</v>
      </c>
      <c r="FB83" s="1">
        <f t="shared" si="269"/>
        <v>0</v>
      </c>
      <c r="FC83" s="1">
        <f t="shared" si="270"/>
        <v>0</v>
      </c>
      <c r="FD83" s="1">
        <f t="shared" si="271"/>
        <v>0</v>
      </c>
      <c r="FE83" s="1">
        <f t="shared" si="272"/>
        <v>0</v>
      </c>
      <c r="FF83" s="1">
        <f t="shared" si="273"/>
        <v>0</v>
      </c>
      <c r="FG83" s="1">
        <f t="shared" si="274"/>
        <v>0</v>
      </c>
      <c r="FH83" s="1">
        <f t="shared" si="275"/>
        <v>0</v>
      </c>
      <c r="FI83" s="1">
        <f t="shared" si="276"/>
        <v>0</v>
      </c>
      <c r="FJ83" s="1">
        <f t="shared" si="277"/>
        <v>0</v>
      </c>
      <c r="FK83" s="1">
        <f t="shared" si="278"/>
        <v>0</v>
      </c>
      <c r="FL83" s="1">
        <f t="shared" si="279"/>
        <v>0</v>
      </c>
      <c r="FM83" s="1">
        <f t="shared" si="280"/>
        <v>0</v>
      </c>
      <c r="FN83" s="1">
        <f t="shared" si="281"/>
        <v>0</v>
      </c>
      <c r="FO83" s="1">
        <f t="shared" si="282"/>
        <v>0</v>
      </c>
      <c r="FP83" s="1">
        <f t="shared" si="283"/>
        <v>0</v>
      </c>
      <c r="FQ83" s="1">
        <f t="shared" si="284"/>
        <v>0</v>
      </c>
      <c r="FS83" s="1">
        <f t="shared" si="285"/>
        <v>0</v>
      </c>
      <c r="FT83" s="1">
        <f t="shared" si="286"/>
        <v>0</v>
      </c>
      <c r="FU83" s="38">
        <f t="shared" si="195"/>
        <v>0</v>
      </c>
      <c r="FV83" s="38">
        <f t="shared" si="196"/>
        <v>0</v>
      </c>
      <c r="FW83" s="38">
        <f t="shared" si="197"/>
        <v>0</v>
      </c>
      <c r="FX83" s="38">
        <f t="shared" si="198"/>
        <v>0</v>
      </c>
      <c r="FY83" s="38">
        <f t="shared" si="199"/>
        <v>0</v>
      </c>
      <c r="FZ83" s="38">
        <f t="shared" si="200"/>
        <v>0</v>
      </c>
      <c r="GA83" s="38">
        <f t="shared" si="201"/>
        <v>0</v>
      </c>
      <c r="GB83" s="38">
        <f t="shared" si="202"/>
        <v>0</v>
      </c>
      <c r="GC83" s="38">
        <f t="shared" si="203"/>
        <v>0</v>
      </c>
      <c r="GD83" s="38">
        <f t="shared" si="204"/>
        <v>0</v>
      </c>
      <c r="GE83" s="38">
        <f t="shared" si="205"/>
        <v>0</v>
      </c>
      <c r="GF83" s="38">
        <f t="shared" si="206"/>
        <v>0</v>
      </c>
      <c r="GG83" s="38">
        <f t="shared" si="207"/>
        <v>0</v>
      </c>
      <c r="GH83" s="38">
        <f t="shared" si="208"/>
        <v>0</v>
      </c>
      <c r="GI83" s="38">
        <f t="shared" si="209"/>
        <v>0</v>
      </c>
      <c r="GJ83" s="38">
        <f t="shared" si="210"/>
        <v>0</v>
      </c>
      <c r="GL83" s="38">
        <f t="shared" si="211"/>
        <v>0</v>
      </c>
      <c r="GM83" s="38">
        <f t="shared" si="212"/>
        <v>0</v>
      </c>
      <c r="GN83" s="1" t="s">
        <v>2</v>
      </c>
      <c r="GO83" s="1">
        <f t="shared" si="294"/>
        <v>4</v>
      </c>
      <c r="GP83" s="1">
        <f t="shared" si="295"/>
        <v>1.2</v>
      </c>
      <c r="GQ83" s="41">
        <f t="shared" si="296"/>
        <v>48</v>
      </c>
      <c r="GR83" s="41">
        <f t="shared" si="297"/>
        <v>629.47199999999998</v>
      </c>
      <c r="GS83" s="14">
        <f t="shared" si="298"/>
        <v>157.36799999999999</v>
      </c>
      <c r="GT83" s="1">
        <f t="shared" si="287"/>
        <v>0</v>
      </c>
      <c r="GU83" s="1">
        <f t="shared" si="288"/>
        <v>0</v>
      </c>
      <c r="GV83" s="1">
        <f t="shared" si="289"/>
        <v>48</v>
      </c>
      <c r="GW83" s="37">
        <f t="shared" si="299"/>
        <v>0</v>
      </c>
      <c r="GX83" s="37"/>
      <c r="GY83" s="37"/>
      <c r="GZ83" s="37"/>
      <c r="HB83" s="1">
        <f t="shared" si="290"/>
        <v>0</v>
      </c>
      <c r="HC83" s="1">
        <f t="shared" si="291"/>
        <v>0</v>
      </c>
      <c r="HD83" s="37" t="s">
        <v>2</v>
      </c>
      <c r="HE83" s="1" t="s">
        <v>31</v>
      </c>
      <c r="HF83" s="1" t="s">
        <v>230</v>
      </c>
      <c r="HI83" s="1" t="s">
        <v>163</v>
      </c>
      <c r="HJ83" s="37" t="s">
        <v>2</v>
      </c>
      <c r="JH83" s="58" t="s">
        <v>2</v>
      </c>
    </row>
    <row r="84" spans="1:268" ht="16.25" customHeight="1" x14ac:dyDescent="0.2">
      <c r="A84" s="21" t="s">
        <v>1122</v>
      </c>
      <c r="B84" s="1" t="s">
        <v>71</v>
      </c>
      <c r="F84" s="1" t="s">
        <v>1123</v>
      </c>
      <c r="I84" s="1">
        <v>0</v>
      </c>
      <c r="AD84" s="1">
        <v>0</v>
      </c>
      <c r="AY84" s="1">
        <v>8.6999999999999993</v>
      </c>
      <c r="BG84" s="1">
        <v>1.1399999999999999</v>
      </c>
      <c r="BH84" s="1">
        <v>5.3999999999999999E-2</v>
      </c>
      <c r="BT84" s="1">
        <v>0</v>
      </c>
      <c r="CO84" s="1">
        <v>0</v>
      </c>
      <c r="DJ84" s="1" t="s">
        <v>163</v>
      </c>
      <c r="DK84" s="1" t="s">
        <v>163</v>
      </c>
      <c r="DL84" s="1">
        <f t="shared" si="292"/>
        <v>1.1399999999999999</v>
      </c>
      <c r="DM84" s="1">
        <f t="shared" si="293"/>
        <v>5.3999999999999999E-2</v>
      </c>
      <c r="DN84" s="1" t="s">
        <v>471</v>
      </c>
      <c r="DO84" s="1" t="s">
        <v>2</v>
      </c>
      <c r="DP84" s="38">
        <f t="shared" si="251"/>
        <v>0</v>
      </c>
      <c r="DQ84" s="38">
        <f t="shared" si="252"/>
        <v>0</v>
      </c>
      <c r="DR84" s="38">
        <f t="shared" si="253"/>
        <v>0</v>
      </c>
      <c r="DS84" s="38">
        <f t="shared" si="254"/>
        <v>0</v>
      </c>
      <c r="DT84" s="38">
        <f t="shared" si="255"/>
        <v>0</v>
      </c>
      <c r="DU84" s="38">
        <f t="shared" si="256"/>
        <v>0</v>
      </c>
      <c r="DV84" s="38">
        <f t="shared" si="257"/>
        <v>0</v>
      </c>
      <c r="DW84" s="38">
        <f t="shared" si="258"/>
        <v>9.9179999999999977E-2</v>
      </c>
      <c r="DX84" s="38">
        <f t="shared" si="259"/>
        <v>4.6979999999999991E-3</v>
      </c>
      <c r="DY84" s="38">
        <f t="shared" si="260"/>
        <v>0</v>
      </c>
      <c r="DZ84" s="38">
        <f t="shared" si="261"/>
        <v>0</v>
      </c>
      <c r="EA84" s="38">
        <f t="shared" si="262"/>
        <v>0</v>
      </c>
      <c r="EB84" s="38">
        <f t="shared" si="263"/>
        <v>0</v>
      </c>
      <c r="EC84" s="38">
        <f t="shared" si="264"/>
        <v>0</v>
      </c>
      <c r="ED84" s="38">
        <f t="shared" si="265"/>
        <v>0</v>
      </c>
      <c r="EE84" s="38">
        <f t="shared" si="266"/>
        <v>0</v>
      </c>
      <c r="EG84" s="38">
        <f t="shared" si="267"/>
        <v>0</v>
      </c>
      <c r="EH84" s="38">
        <f t="shared" si="268"/>
        <v>0</v>
      </c>
      <c r="EI84" s="38">
        <f t="shared" si="159"/>
        <v>0</v>
      </c>
      <c r="EJ84" s="38">
        <f t="shared" si="160"/>
        <v>0</v>
      </c>
      <c r="EK84" s="38">
        <f t="shared" si="161"/>
        <v>0</v>
      </c>
      <c r="EL84" s="38">
        <f t="shared" si="162"/>
        <v>0</v>
      </c>
      <c r="EM84" s="38">
        <f t="shared" si="163"/>
        <v>0</v>
      </c>
      <c r="EN84" s="38">
        <f t="shared" si="164"/>
        <v>0</v>
      </c>
      <c r="EO84" s="38">
        <f t="shared" si="165"/>
        <v>0</v>
      </c>
      <c r="EP84" s="38">
        <f t="shared" si="166"/>
        <v>1300.6465199999998</v>
      </c>
      <c r="EQ84" s="38">
        <f t="shared" si="167"/>
        <v>341.16652375199988</v>
      </c>
      <c r="ER84" s="38">
        <f t="shared" si="168"/>
        <v>0</v>
      </c>
      <c r="ES84" s="38">
        <f t="shared" si="169"/>
        <v>0</v>
      </c>
      <c r="ET84" s="38">
        <f t="shared" si="170"/>
        <v>0</v>
      </c>
      <c r="EU84" s="38">
        <f t="shared" si="171"/>
        <v>0</v>
      </c>
      <c r="EV84" s="38">
        <f t="shared" si="172"/>
        <v>0</v>
      </c>
      <c r="EW84" s="38">
        <f t="shared" si="173"/>
        <v>0</v>
      </c>
      <c r="EX84" s="38">
        <f t="shared" si="174"/>
        <v>0</v>
      </c>
      <c r="EZ84" s="38">
        <f t="shared" si="175"/>
        <v>0</v>
      </c>
      <c r="FA84" s="38">
        <f t="shared" si="176"/>
        <v>0</v>
      </c>
      <c r="FB84" s="1">
        <f t="shared" si="269"/>
        <v>0</v>
      </c>
      <c r="FC84" s="1">
        <f t="shared" si="270"/>
        <v>0</v>
      </c>
      <c r="FD84" s="1">
        <f t="shared" si="271"/>
        <v>0</v>
      </c>
      <c r="FE84" s="1">
        <f t="shared" si="272"/>
        <v>0</v>
      </c>
      <c r="FF84" s="1">
        <f t="shared" si="273"/>
        <v>0</v>
      </c>
      <c r="FG84" s="1">
        <f t="shared" si="274"/>
        <v>0</v>
      </c>
      <c r="FH84" s="1">
        <f t="shared" si="275"/>
        <v>0</v>
      </c>
      <c r="FI84" s="1">
        <f t="shared" si="276"/>
        <v>0</v>
      </c>
      <c r="FJ84" s="1">
        <f t="shared" si="277"/>
        <v>0</v>
      </c>
      <c r="FK84" s="1">
        <f t="shared" si="278"/>
        <v>0</v>
      </c>
      <c r="FL84" s="1">
        <f t="shared" si="279"/>
        <v>0</v>
      </c>
      <c r="FM84" s="1">
        <f t="shared" si="280"/>
        <v>0</v>
      </c>
      <c r="FN84" s="1">
        <f t="shared" si="281"/>
        <v>0</v>
      </c>
      <c r="FO84" s="1">
        <f t="shared" si="282"/>
        <v>0</v>
      </c>
      <c r="FP84" s="1">
        <f t="shared" si="283"/>
        <v>0</v>
      </c>
      <c r="FQ84" s="1">
        <f t="shared" si="284"/>
        <v>0</v>
      </c>
      <c r="FS84" s="1">
        <f t="shared" si="285"/>
        <v>0</v>
      </c>
      <c r="FT84" s="1">
        <f t="shared" si="286"/>
        <v>0</v>
      </c>
      <c r="FU84" s="38">
        <f t="shared" si="195"/>
        <v>0</v>
      </c>
      <c r="FV84" s="38">
        <f t="shared" si="196"/>
        <v>0</v>
      </c>
      <c r="FW84" s="38">
        <f t="shared" si="197"/>
        <v>0</v>
      </c>
      <c r="FX84" s="38">
        <f t="shared" si="198"/>
        <v>0</v>
      </c>
      <c r="FY84" s="38">
        <f t="shared" si="199"/>
        <v>0</v>
      </c>
      <c r="FZ84" s="38">
        <f t="shared" si="200"/>
        <v>0</v>
      </c>
      <c r="GA84" s="38">
        <f t="shared" si="201"/>
        <v>0</v>
      </c>
      <c r="GB84" s="38">
        <f t="shared" si="202"/>
        <v>0</v>
      </c>
      <c r="GC84" s="38">
        <f t="shared" si="203"/>
        <v>0</v>
      </c>
      <c r="GD84" s="38">
        <f t="shared" si="204"/>
        <v>0</v>
      </c>
      <c r="GE84" s="38">
        <f t="shared" si="205"/>
        <v>0</v>
      </c>
      <c r="GF84" s="38">
        <f t="shared" si="206"/>
        <v>0</v>
      </c>
      <c r="GG84" s="38">
        <f t="shared" si="207"/>
        <v>0</v>
      </c>
      <c r="GH84" s="38">
        <f t="shared" si="208"/>
        <v>0</v>
      </c>
      <c r="GI84" s="38">
        <f t="shared" si="209"/>
        <v>0</v>
      </c>
      <c r="GJ84" s="38">
        <f t="shared" si="210"/>
        <v>0</v>
      </c>
      <c r="GL84" s="38">
        <f t="shared" si="211"/>
        <v>0</v>
      </c>
      <c r="GM84" s="38">
        <f t="shared" si="212"/>
        <v>0</v>
      </c>
      <c r="GN84" s="1" t="s">
        <v>2</v>
      </c>
      <c r="GO84" s="1">
        <f t="shared" si="294"/>
        <v>8.6999999999999993</v>
      </c>
      <c r="GP84" s="1">
        <f t="shared" si="295"/>
        <v>1.1399999999999999</v>
      </c>
      <c r="GQ84" s="41">
        <f t="shared" si="296"/>
        <v>99.18</v>
      </c>
      <c r="GR84" s="41">
        <f t="shared" si="297"/>
        <v>1641.8130437519997</v>
      </c>
      <c r="GS84" s="14">
        <f t="shared" si="298"/>
        <v>188.71414295999998</v>
      </c>
      <c r="GT84" s="1">
        <f t="shared" si="287"/>
        <v>0</v>
      </c>
      <c r="GU84" s="1">
        <f t="shared" si="288"/>
        <v>0</v>
      </c>
      <c r="GV84" s="1">
        <f t="shared" si="289"/>
        <v>99.179999999999978</v>
      </c>
      <c r="GW84" s="37">
        <f t="shared" si="299"/>
        <v>0</v>
      </c>
      <c r="GX84" s="37"/>
      <c r="GY84" s="37"/>
      <c r="GZ84" s="37"/>
      <c r="HB84" s="1">
        <f t="shared" si="290"/>
        <v>0</v>
      </c>
      <c r="HC84" s="1">
        <f t="shared" si="291"/>
        <v>0</v>
      </c>
      <c r="HD84" s="37" t="s">
        <v>2</v>
      </c>
      <c r="HE84" s="1" t="s">
        <v>31</v>
      </c>
      <c r="HF84" s="1" t="s">
        <v>618</v>
      </c>
      <c r="HG84" s="1" t="s">
        <v>618</v>
      </c>
      <c r="HI84" s="1" t="s">
        <v>163</v>
      </c>
      <c r="HJ84" s="37" t="s">
        <v>2</v>
      </c>
      <c r="JH84" s="58" t="s">
        <v>2</v>
      </c>
    </row>
    <row r="85" spans="1:268" ht="16.25" customHeight="1" x14ac:dyDescent="0.2">
      <c r="A85" s="21" t="s">
        <v>1124</v>
      </c>
      <c r="B85" s="1" t="s">
        <v>69</v>
      </c>
      <c r="F85" s="1" t="s">
        <v>1125</v>
      </c>
      <c r="I85" s="1">
        <v>0</v>
      </c>
      <c r="AD85" s="1">
        <v>0</v>
      </c>
      <c r="AY85" s="1">
        <v>9.6999999999999993</v>
      </c>
      <c r="BG85" s="1">
        <v>0.91</v>
      </c>
      <c r="BT85" s="1">
        <v>0</v>
      </c>
      <c r="CO85" s="1">
        <v>0</v>
      </c>
      <c r="DJ85" s="1" t="s">
        <v>163</v>
      </c>
      <c r="DL85" s="1">
        <f t="shared" si="292"/>
        <v>0.91</v>
      </c>
      <c r="DM85" s="1">
        <f t="shared" si="293"/>
        <v>0</v>
      </c>
      <c r="DN85" s="1" t="s">
        <v>471</v>
      </c>
      <c r="DO85" s="1" t="s">
        <v>2</v>
      </c>
      <c r="DP85" s="38">
        <f t="shared" si="251"/>
        <v>0</v>
      </c>
      <c r="DQ85" s="38">
        <f t="shared" si="252"/>
        <v>0</v>
      </c>
      <c r="DR85" s="38">
        <f t="shared" si="253"/>
        <v>0</v>
      </c>
      <c r="DS85" s="38">
        <f t="shared" si="254"/>
        <v>0</v>
      </c>
      <c r="DT85" s="38">
        <f t="shared" si="255"/>
        <v>0</v>
      </c>
      <c r="DU85" s="38">
        <f t="shared" si="256"/>
        <v>0</v>
      </c>
      <c r="DV85" s="38">
        <f t="shared" si="257"/>
        <v>0</v>
      </c>
      <c r="DW85" s="38">
        <f t="shared" si="258"/>
        <v>8.8270000000000001E-2</v>
      </c>
      <c r="DX85" s="38">
        <f t="shared" si="259"/>
        <v>0</v>
      </c>
      <c r="DY85" s="38">
        <f t="shared" si="260"/>
        <v>0</v>
      </c>
      <c r="DZ85" s="38">
        <f t="shared" si="261"/>
        <v>0</v>
      </c>
      <c r="EA85" s="38">
        <f t="shared" si="262"/>
        <v>0</v>
      </c>
      <c r="EB85" s="38">
        <f t="shared" si="263"/>
        <v>0</v>
      </c>
      <c r="EC85" s="38">
        <f t="shared" si="264"/>
        <v>0</v>
      </c>
      <c r="ED85" s="38">
        <f t="shared" si="265"/>
        <v>0</v>
      </c>
      <c r="EE85" s="38">
        <f t="shared" si="266"/>
        <v>0</v>
      </c>
      <c r="EG85" s="38">
        <f t="shared" si="267"/>
        <v>0</v>
      </c>
      <c r="EH85" s="38">
        <f t="shared" si="268"/>
        <v>0</v>
      </c>
      <c r="EI85" s="38">
        <f t="shared" si="159"/>
        <v>0</v>
      </c>
      <c r="EJ85" s="38">
        <f t="shared" si="160"/>
        <v>0</v>
      </c>
      <c r="EK85" s="38">
        <f t="shared" si="161"/>
        <v>0</v>
      </c>
      <c r="EL85" s="38">
        <f t="shared" si="162"/>
        <v>0</v>
      </c>
      <c r="EM85" s="38">
        <f t="shared" si="163"/>
        <v>0</v>
      </c>
      <c r="EN85" s="38">
        <f t="shared" si="164"/>
        <v>0</v>
      </c>
      <c r="EO85" s="38">
        <f t="shared" si="165"/>
        <v>0</v>
      </c>
      <c r="EP85" s="38">
        <f t="shared" si="166"/>
        <v>1157.57278</v>
      </c>
      <c r="EQ85" s="38">
        <f t="shared" si="167"/>
        <v>0</v>
      </c>
      <c r="ER85" s="38">
        <f t="shared" si="168"/>
        <v>0</v>
      </c>
      <c r="ES85" s="38">
        <f t="shared" si="169"/>
        <v>0</v>
      </c>
      <c r="ET85" s="38">
        <f t="shared" si="170"/>
        <v>0</v>
      </c>
      <c r="EU85" s="38">
        <f t="shared" si="171"/>
        <v>0</v>
      </c>
      <c r="EV85" s="38">
        <f t="shared" si="172"/>
        <v>0</v>
      </c>
      <c r="EW85" s="38">
        <f t="shared" si="173"/>
        <v>0</v>
      </c>
      <c r="EX85" s="38">
        <f t="shared" si="174"/>
        <v>0</v>
      </c>
      <c r="EZ85" s="38">
        <f t="shared" si="175"/>
        <v>0</v>
      </c>
      <c r="FA85" s="38">
        <f t="shared" si="176"/>
        <v>0</v>
      </c>
      <c r="FB85" s="1">
        <f t="shared" si="269"/>
        <v>0</v>
      </c>
      <c r="FC85" s="1">
        <f t="shared" si="270"/>
        <v>0</v>
      </c>
      <c r="FD85" s="1">
        <f t="shared" si="271"/>
        <v>0</v>
      </c>
      <c r="FE85" s="1">
        <f t="shared" si="272"/>
        <v>0</v>
      </c>
      <c r="FF85" s="1">
        <f t="shared" si="273"/>
        <v>0</v>
      </c>
      <c r="FG85" s="1">
        <f t="shared" si="274"/>
        <v>0</v>
      </c>
      <c r="FH85" s="1">
        <f t="shared" si="275"/>
        <v>0</v>
      </c>
      <c r="FI85" s="1">
        <f t="shared" si="276"/>
        <v>0</v>
      </c>
      <c r="FJ85" s="1">
        <f t="shared" si="277"/>
        <v>0</v>
      </c>
      <c r="FK85" s="1">
        <f t="shared" si="278"/>
        <v>0</v>
      </c>
      <c r="FL85" s="1">
        <f t="shared" si="279"/>
        <v>0</v>
      </c>
      <c r="FM85" s="1">
        <f t="shared" si="280"/>
        <v>0</v>
      </c>
      <c r="FN85" s="1">
        <f t="shared" si="281"/>
        <v>0</v>
      </c>
      <c r="FO85" s="1">
        <f t="shared" si="282"/>
        <v>0</v>
      </c>
      <c r="FP85" s="1">
        <f t="shared" si="283"/>
        <v>0</v>
      </c>
      <c r="FQ85" s="1">
        <f t="shared" si="284"/>
        <v>0</v>
      </c>
      <c r="FS85" s="1">
        <f t="shared" si="285"/>
        <v>0</v>
      </c>
      <c r="FT85" s="1">
        <f t="shared" si="286"/>
        <v>0</v>
      </c>
      <c r="FU85" s="38">
        <f t="shared" si="195"/>
        <v>0</v>
      </c>
      <c r="FV85" s="38">
        <f t="shared" si="196"/>
        <v>0</v>
      </c>
      <c r="FW85" s="38">
        <f t="shared" si="197"/>
        <v>0</v>
      </c>
      <c r="FX85" s="38">
        <f t="shared" si="198"/>
        <v>0</v>
      </c>
      <c r="FY85" s="38">
        <f t="shared" si="199"/>
        <v>0</v>
      </c>
      <c r="FZ85" s="38">
        <f t="shared" si="200"/>
        <v>0</v>
      </c>
      <c r="GA85" s="38">
        <f t="shared" si="201"/>
        <v>0</v>
      </c>
      <c r="GB85" s="38">
        <f t="shared" si="202"/>
        <v>0</v>
      </c>
      <c r="GC85" s="38">
        <f t="shared" si="203"/>
        <v>0</v>
      </c>
      <c r="GD85" s="38">
        <f t="shared" si="204"/>
        <v>0</v>
      </c>
      <c r="GE85" s="38">
        <f t="shared" si="205"/>
        <v>0</v>
      </c>
      <c r="GF85" s="38">
        <f t="shared" si="206"/>
        <v>0</v>
      </c>
      <c r="GG85" s="38">
        <f t="shared" si="207"/>
        <v>0</v>
      </c>
      <c r="GH85" s="38">
        <f t="shared" si="208"/>
        <v>0</v>
      </c>
      <c r="GI85" s="38">
        <f t="shared" si="209"/>
        <v>0</v>
      </c>
      <c r="GJ85" s="38">
        <f t="shared" si="210"/>
        <v>0</v>
      </c>
      <c r="GL85" s="38">
        <f t="shared" si="211"/>
        <v>0</v>
      </c>
      <c r="GM85" s="38">
        <f t="shared" si="212"/>
        <v>0</v>
      </c>
      <c r="GN85" s="1" t="s">
        <v>2</v>
      </c>
      <c r="GO85" s="1">
        <f t="shared" si="294"/>
        <v>9.6999999999999993</v>
      </c>
      <c r="GP85" s="1">
        <f t="shared" si="295"/>
        <v>0.91</v>
      </c>
      <c r="GQ85" s="41">
        <f t="shared" si="296"/>
        <v>88.27</v>
      </c>
      <c r="GR85" s="41">
        <f t="shared" si="297"/>
        <v>1157.57278</v>
      </c>
      <c r="GS85" s="14">
        <f t="shared" si="298"/>
        <v>119.3374</v>
      </c>
      <c r="GT85" s="1">
        <f t="shared" si="287"/>
        <v>0</v>
      </c>
      <c r="GU85" s="1">
        <f t="shared" si="288"/>
        <v>0</v>
      </c>
      <c r="GV85" s="1">
        <f t="shared" si="289"/>
        <v>88.27</v>
      </c>
      <c r="GW85" s="37">
        <f t="shared" si="299"/>
        <v>0</v>
      </c>
      <c r="GX85" s="37"/>
      <c r="GY85" s="37"/>
      <c r="GZ85" s="37"/>
      <c r="HB85" s="1">
        <f t="shared" si="290"/>
        <v>0</v>
      </c>
      <c r="HC85" s="1">
        <f t="shared" si="291"/>
        <v>0</v>
      </c>
      <c r="HD85" s="37" t="s">
        <v>2</v>
      </c>
      <c r="HE85" s="1" t="s">
        <v>31</v>
      </c>
      <c r="HF85" s="1" t="s">
        <v>618</v>
      </c>
      <c r="HG85" s="1" t="s">
        <v>618</v>
      </c>
      <c r="HI85" s="1" t="s">
        <v>163</v>
      </c>
      <c r="HJ85" s="37" t="s">
        <v>2</v>
      </c>
      <c r="JH85" s="58" t="s">
        <v>2</v>
      </c>
    </row>
    <row r="86" spans="1:268" ht="16.25" customHeight="1" x14ac:dyDescent="0.2">
      <c r="A86" s="21" t="s">
        <v>902</v>
      </c>
      <c r="B86" s="1" t="s">
        <v>71</v>
      </c>
      <c r="F86" s="1" t="s">
        <v>131</v>
      </c>
      <c r="I86" s="1">
        <v>0</v>
      </c>
      <c r="AD86" s="1">
        <v>0</v>
      </c>
      <c r="AY86" s="1">
        <f>0.1175/(1.175/100)</f>
        <v>10</v>
      </c>
      <c r="BG86" s="1">
        <v>1.175</v>
      </c>
      <c r="BH86" s="1">
        <v>0.06</v>
      </c>
      <c r="BT86" s="1">
        <v>0</v>
      </c>
      <c r="CO86" s="1">
        <v>0</v>
      </c>
      <c r="DJ86" s="1" t="s">
        <v>163</v>
      </c>
      <c r="DK86" s="1" t="s">
        <v>163</v>
      </c>
      <c r="DL86" s="1">
        <f t="shared" si="292"/>
        <v>1.175</v>
      </c>
      <c r="DM86" s="1">
        <f t="shared" si="293"/>
        <v>0.06</v>
      </c>
      <c r="DN86" s="1" t="s">
        <v>899</v>
      </c>
      <c r="DO86" s="1" t="s">
        <v>2</v>
      </c>
      <c r="DP86" s="38">
        <f t="shared" si="251"/>
        <v>0</v>
      </c>
      <c r="DQ86" s="38">
        <f t="shared" si="252"/>
        <v>0</v>
      </c>
      <c r="DR86" s="38">
        <f t="shared" si="253"/>
        <v>0</v>
      </c>
      <c r="DS86" s="38">
        <f t="shared" si="254"/>
        <v>0</v>
      </c>
      <c r="DT86" s="38">
        <f t="shared" si="255"/>
        <v>0</v>
      </c>
      <c r="DU86" s="38">
        <f t="shared" si="256"/>
        <v>0</v>
      </c>
      <c r="DV86" s="38">
        <f t="shared" si="257"/>
        <v>0</v>
      </c>
      <c r="DW86" s="38">
        <f t="shared" si="258"/>
        <v>0.11749999999999999</v>
      </c>
      <c r="DX86" s="38">
        <f t="shared" si="259"/>
        <v>6.0000000000000001E-3</v>
      </c>
      <c r="DY86" s="38">
        <f t="shared" si="260"/>
        <v>0</v>
      </c>
      <c r="DZ86" s="38">
        <f t="shared" si="261"/>
        <v>0</v>
      </c>
      <c r="EA86" s="38">
        <f t="shared" si="262"/>
        <v>0</v>
      </c>
      <c r="EB86" s="38">
        <f t="shared" si="263"/>
        <v>0</v>
      </c>
      <c r="EC86" s="38">
        <f t="shared" si="264"/>
        <v>0</v>
      </c>
      <c r="ED86" s="38">
        <f t="shared" si="265"/>
        <v>0</v>
      </c>
      <c r="EE86" s="38">
        <f t="shared" si="266"/>
        <v>0</v>
      </c>
      <c r="EG86" s="38">
        <f t="shared" si="267"/>
        <v>0</v>
      </c>
      <c r="EH86" s="38">
        <f t="shared" si="268"/>
        <v>0</v>
      </c>
      <c r="EI86" s="38">
        <f t="shared" si="159"/>
        <v>0</v>
      </c>
      <c r="EJ86" s="38">
        <f t="shared" si="160"/>
        <v>0</v>
      </c>
      <c r="EK86" s="38">
        <f t="shared" si="161"/>
        <v>0</v>
      </c>
      <c r="EL86" s="38">
        <f t="shared" si="162"/>
        <v>0</v>
      </c>
      <c r="EM86" s="38">
        <f t="shared" si="163"/>
        <v>0</v>
      </c>
      <c r="EN86" s="38">
        <f t="shared" si="164"/>
        <v>0</v>
      </c>
      <c r="EO86" s="38">
        <f t="shared" si="165"/>
        <v>0</v>
      </c>
      <c r="EP86" s="38">
        <f t="shared" si="166"/>
        <v>1540.895</v>
      </c>
      <c r="EQ86" s="38">
        <f t="shared" si="167"/>
        <v>435.71714399999996</v>
      </c>
      <c r="ER86" s="38">
        <f t="shared" si="168"/>
        <v>0</v>
      </c>
      <c r="ES86" s="38">
        <f t="shared" si="169"/>
        <v>0</v>
      </c>
      <c r="ET86" s="38">
        <f t="shared" si="170"/>
        <v>0</v>
      </c>
      <c r="EU86" s="38">
        <f t="shared" si="171"/>
        <v>0</v>
      </c>
      <c r="EV86" s="38">
        <f t="shared" si="172"/>
        <v>0</v>
      </c>
      <c r="EW86" s="38">
        <f t="shared" si="173"/>
        <v>0</v>
      </c>
      <c r="EX86" s="38">
        <f t="shared" si="174"/>
        <v>0</v>
      </c>
      <c r="EZ86" s="38">
        <f t="shared" si="175"/>
        <v>0</v>
      </c>
      <c r="FA86" s="38">
        <f t="shared" si="176"/>
        <v>0</v>
      </c>
      <c r="FB86" s="1">
        <f t="shared" si="269"/>
        <v>0</v>
      </c>
      <c r="FC86" s="1">
        <f t="shared" si="270"/>
        <v>0</v>
      </c>
      <c r="FD86" s="1">
        <f t="shared" si="271"/>
        <v>0</v>
      </c>
      <c r="FE86" s="1">
        <f t="shared" si="272"/>
        <v>0</v>
      </c>
      <c r="FF86" s="1">
        <f t="shared" si="273"/>
        <v>0</v>
      </c>
      <c r="FG86" s="1">
        <f t="shared" si="274"/>
        <v>0</v>
      </c>
      <c r="FH86" s="1">
        <f t="shared" si="275"/>
        <v>0</v>
      </c>
      <c r="FI86" s="1">
        <f t="shared" si="276"/>
        <v>0</v>
      </c>
      <c r="FJ86" s="1">
        <f t="shared" si="277"/>
        <v>0</v>
      </c>
      <c r="FK86" s="1">
        <f t="shared" si="278"/>
        <v>0</v>
      </c>
      <c r="FL86" s="1">
        <f t="shared" si="279"/>
        <v>0</v>
      </c>
      <c r="FM86" s="1">
        <f t="shared" si="280"/>
        <v>0</v>
      </c>
      <c r="FN86" s="1">
        <f t="shared" si="281"/>
        <v>0</v>
      </c>
      <c r="FO86" s="1">
        <f t="shared" si="282"/>
        <v>0</v>
      </c>
      <c r="FP86" s="1">
        <f t="shared" si="283"/>
        <v>0</v>
      </c>
      <c r="FQ86" s="1">
        <f t="shared" si="284"/>
        <v>0</v>
      </c>
      <c r="FS86" s="1">
        <f t="shared" si="285"/>
        <v>0</v>
      </c>
      <c r="FT86" s="1">
        <f t="shared" si="286"/>
        <v>0</v>
      </c>
      <c r="FU86" s="38">
        <f t="shared" si="195"/>
        <v>0</v>
      </c>
      <c r="FV86" s="38">
        <f t="shared" si="196"/>
        <v>0</v>
      </c>
      <c r="FW86" s="38">
        <f t="shared" si="197"/>
        <v>0</v>
      </c>
      <c r="FX86" s="38">
        <f t="shared" si="198"/>
        <v>0</v>
      </c>
      <c r="FY86" s="38">
        <f t="shared" si="199"/>
        <v>0</v>
      </c>
      <c r="FZ86" s="38">
        <f t="shared" si="200"/>
        <v>0</v>
      </c>
      <c r="GA86" s="38">
        <f t="shared" si="201"/>
        <v>0</v>
      </c>
      <c r="GB86" s="38">
        <f t="shared" si="202"/>
        <v>0</v>
      </c>
      <c r="GC86" s="38">
        <f t="shared" si="203"/>
        <v>0</v>
      </c>
      <c r="GD86" s="38">
        <f t="shared" si="204"/>
        <v>0</v>
      </c>
      <c r="GE86" s="38">
        <f t="shared" si="205"/>
        <v>0</v>
      </c>
      <c r="GF86" s="38">
        <f t="shared" si="206"/>
        <v>0</v>
      </c>
      <c r="GG86" s="38">
        <f t="shared" si="207"/>
        <v>0</v>
      </c>
      <c r="GH86" s="38">
        <f t="shared" si="208"/>
        <v>0</v>
      </c>
      <c r="GI86" s="38">
        <f t="shared" si="209"/>
        <v>0</v>
      </c>
      <c r="GJ86" s="38">
        <f t="shared" si="210"/>
        <v>0</v>
      </c>
      <c r="GL86" s="38">
        <f t="shared" si="211"/>
        <v>0</v>
      </c>
      <c r="GM86" s="38">
        <f t="shared" si="212"/>
        <v>0</v>
      </c>
      <c r="GN86" s="1" t="s">
        <v>2</v>
      </c>
      <c r="GO86" s="1">
        <f t="shared" si="294"/>
        <v>10</v>
      </c>
      <c r="GP86" s="13">
        <f t="shared" si="295"/>
        <v>1.175</v>
      </c>
      <c r="GQ86" s="41">
        <f t="shared" si="296"/>
        <v>117.5</v>
      </c>
      <c r="GR86" s="41">
        <f t="shared" si="297"/>
        <v>1976.6121439999999</v>
      </c>
      <c r="GS86" s="14">
        <f t="shared" si="298"/>
        <v>197.66121440000001</v>
      </c>
      <c r="GT86" s="1">
        <f t="shared" si="287"/>
        <v>0</v>
      </c>
      <c r="GU86" s="1">
        <f t="shared" si="288"/>
        <v>0</v>
      </c>
      <c r="GV86" s="1">
        <f t="shared" si="289"/>
        <v>117.5</v>
      </c>
      <c r="GW86" s="37">
        <f t="shared" si="299"/>
        <v>0</v>
      </c>
      <c r="GX86" s="37"/>
      <c r="GY86" s="37"/>
      <c r="GZ86" s="37"/>
      <c r="HB86" s="1">
        <f t="shared" si="290"/>
        <v>0</v>
      </c>
      <c r="HC86" s="1">
        <f t="shared" si="291"/>
        <v>0</v>
      </c>
      <c r="HD86" s="37" t="s">
        <v>2</v>
      </c>
      <c r="HE86" s="1" t="s">
        <v>31</v>
      </c>
      <c r="HF86" s="1" t="s">
        <v>618</v>
      </c>
      <c r="HG86" s="1" t="s">
        <v>618</v>
      </c>
      <c r="HI86" s="1" t="s">
        <v>163</v>
      </c>
      <c r="HJ86" s="37" t="s">
        <v>2</v>
      </c>
      <c r="JH86" s="58" t="s">
        <v>2</v>
      </c>
    </row>
    <row r="87" spans="1:268" ht="16.25" customHeight="1" x14ac:dyDescent="0.2">
      <c r="A87" s="21" t="s">
        <v>900</v>
      </c>
      <c r="B87" s="1" t="s">
        <v>69</v>
      </c>
      <c r="F87" s="1" t="s">
        <v>131</v>
      </c>
      <c r="I87" s="1">
        <v>0</v>
      </c>
      <c r="AD87" s="1">
        <v>0</v>
      </c>
      <c r="AY87" s="1">
        <v>3</v>
      </c>
      <c r="BG87" s="1">
        <v>1.23</v>
      </c>
      <c r="BH87" s="1">
        <v>0.08</v>
      </c>
      <c r="BT87" s="1">
        <v>0</v>
      </c>
      <c r="CO87" s="1">
        <v>0</v>
      </c>
      <c r="DJ87" s="1" t="s">
        <v>163</v>
      </c>
      <c r="DK87" s="1" t="s">
        <v>163</v>
      </c>
      <c r="DL87" s="1">
        <f t="shared" si="292"/>
        <v>1.23</v>
      </c>
      <c r="DM87" s="1">
        <f t="shared" si="293"/>
        <v>0.08</v>
      </c>
      <c r="DN87" s="1" t="s">
        <v>899</v>
      </c>
      <c r="DO87" s="1" t="s">
        <v>2</v>
      </c>
      <c r="DP87" s="38">
        <f t="shared" si="251"/>
        <v>0</v>
      </c>
      <c r="DQ87" s="38">
        <f t="shared" si="252"/>
        <v>0</v>
      </c>
      <c r="DR87" s="38">
        <f t="shared" si="253"/>
        <v>0</v>
      </c>
      <c r="DS87" s="38">
        <f t="shared" si="254"/>
        <v>0</v>
      </c>
      <c r="DT87" s="38">
        <f t="shared" si="255"/>
        <v>0</v>
      </c>
      <c r="DU87" s="38">
        <f t="shared" si="256"/>
        <v>0</v>
      </c>
      <c r="DV87" s="38">
        <f t="shared" si="257"/>
        <v>0</v>
      </c>
      <c r="DW87" s="38">
        <f t="shared" si="258"/>
        <v>3.6900000000000002E-2</v>
      </c>
      <c r="DX87" s="38">
        <f t="shared" si="259"/>
        <v>2.3999999999999998E-3</v>
      </c>
      <c r="DY87" s="38">
        <f t="shared" si="260"/>
        <v>0</v>
      </c>
      <c r="DZ87" s="38">
        <f t="shared" si="261"/>
        <v>0</v>
      </c>
      <c r="EA87" s="38">
        <f t="shared" si="262"/>
        <v>0</v>
      </c>
      <c r="EB87" s="38">
        <f t="shared" si="263"/>
        <v>0</v>
      </c>
      <c r="EC87" s="38">
        <f t="shared" si="264"/>
        <v>0</v>
      </c>
      <c r="ED87" s="38">
        <f t="shared" si="265"/>
        <v>0</v>
      </c>
      <c r="EE87" s="38">
        <f t="shared" si="266"/>
        <v>0</v>
      </c>
      <c r="EG87" s="38">
        <f t="shared" si="267"/>
        <v>0</v>
      </c>
      <c r="EH87" s="38">
        <f t="shared" si="268"/>
        <v>0</v>
      </c>
      <c r="EI87" s="38">
        <f t="shared" si="159"/>
        <v>0</v>
      </c>
      <c r="EJ87" s="38">
        <f t="shared" si="160"/>
        <v>0</v>
      </c>
      <c r="EK87" s="38">
        <f t="shared" si="161"/>
        <v>0</v>
      </c>
      <c r="EL87" s="38">
        <f t="shared" si="162"/>
        <v>0</v>
      </c>
      <c r="EM87" s="38">
        <f t="shared" si="163"/>
        <v>0</v>
      </c>
      <c r="EN87" s="38">
        <f t="shared" si="164"/>
        <v>0</v>
      </c>
      <c r="EO87" s="38">
        <f t="shared" si="165"/>
        <v>0</v>
      </c>
      <c r="EP87" s="38">
        <f t="shared" si="166"/>
        <v>483.90660000000003</v>
      </c>
      <c r="EQ87" s="38">
        <f t="shared" si="167"/>
        <v>174.28685759999996</v>
      </c>
      <c r="ER87" s="38">
        <f t="shared" si="168"/>
        <v>0</v>
      </c>
      <c r="ES87" s="38">
        <f t="shared" si="169"/>
        <v>0</v>
      </c>
      <c r="ET87" s="38">
        <f t="shared" si="170"/>
        <v>0</v>
      </c>
      <c r="EU87" s="38">
        <f t="shared" si="171"/>
        <v>0</v>
      </c>
      <c r="EV87" s="38">
        <f t="shared" si="172"/>
        <v>0</v>
      </c>
      <c r="EW87" s="38">
        <f t="shared" si="173"/>
        <v>0</v>
      </c>
      <c r="EX87" s="38">
        <f t="shared" si="174"/>
        <v>0</v>
      </c>
      <c r="EZ87" s="38">
        <f t="shared" si="175"/>
        <v>0</v>
      </c>
      <c r="FA87" s="38">
        <f t="shared" si="176"/>
        <v>0</v>
      </c>
      <c r="FB87" s="1">
        <f t="shared" si="269"/>
        <v>0</v>
      </c>
      <c r="FC87" s="1">
        <f t="shared" si="270"/>
        <v>0</v>
      </c>
      <c r="FD87" s="1">
        <f t="shared" si="271"/>
        <v>0</v>
      </c>
      <c r="FE87" s="1">
        <f t="shared" si="272"/>
        <v>0</v>
      </c>
      <c r="FF87" s="1">
        <f t="shared" si="273"/>
        <v>0</v>
      </c>
      <c r="FG87" s="1">
        <f t="shared" si="274"/>
        <v>0</v>
      </c>
      <c r="FH87" s="1">
        <f t="shared" si="275"/>
        <v>0</v>
      </c>
      <c r="FI87" s="1">
        <f t="shared" si="276"/>
        <v>0</v>
      </c>
      <c r="FJ87" s="1">
        <f t="shared" si="277"/>
        <v>0</v>
      </c>
      <c r="FK87" s="1">
        <f t="shared" si="278"/>
        <v>0</v>
      </c>
      <c r="FL87" s="1">
        <f t="shared" si="279"/>
        <v>0</v>
      </c>
      <c r="FM87" s="1">
        <f t="shared" si="280"/>
        <v>0</v>
      </c>
      <c r="FN87" s="1">
        <f t="shared" si="281"/>
        <v>0</v>
      </c>
      <c r="FO87" s="1">
        <f t="shared" si="282"/>
        <v>0</v>
      </c>
      <c r="FP87" s="1">
        <f t="shared" si="283"/>
        <v>0</v>
      </c>
      <c r="FQ87" s="1">
        <f t="shared" si="284"/>
        <v>0</v>
      </c>
      <c r="FS87" s="1">
        <f t="shared" si="285"/>
        <v>0</v>
      </c>
      <c r="FT87" s="1">
        <f t="shared" si="286"/>
        <v>0</v>
      </c>
      <c r="FU87" s="38">
        <f t="shared" si="195"/>
        <v>0</v>
      </c>
      <c r="FV87" s="38">
        <f t="shared" si="196"/>
        <v>0</v>
      </c>
      <c r="FW87" s="38">
        <f t="shared" si="197"/>
        <v>0</v>
      </c>
      <c r="FX87" s="38">
        <f t="shared" si="198"/>
        <v>0</v>
      </c>
      <c r="FY87" s="38">
        <f t="shared" si="199"/>
        <v>0</v>
      </c>
      <c r="FZ87" s="38">
        <f t="shared" si="200"/>
        <v>0</v>
      </c>
      <c r="GA87" s="38">
        <f t="shared" si="201"/>
        <v>0</v>
      </c>
      <c r="GB87" s="38">
        <f t="shared" si="202"/>
        <v>0</v>
      </c>
      <c r="GC87" s="38">
        <f t="shared" si="203"/>
        <v>0</v>
      </c>
      <c r="GD87" s="38">
        <f t="shared" si="204"/>
        <v>0</v>
      </c>
      <c r="GE87" s="38">
        <f t="shared" si="205"/>
        <v>0</v>
      </c>
      <c r="GF87" s="38">
        <f t="shared" si="206"/>
        <v>0</v>
      </c>
      <c r="GG87" s="38">
        <f t="shared" si="207"/>
        <v>0</v>
      </c>
      <c r="GH87" s="38">
        <f t="shared" si="208"/>
        <v>0</v>
      </c>
      <c r="GI87" s="38">
        <f t="shared" si="209"/>
        <v>0</v>
      </c>
      <c r="GJ87" s="38">
        <f t="shared" si="210"/>
        <v>0</v>
      </c>
      <c r="GL87" s="38">
        <f t="shared" si="211"/>
        <v>0</v>
      </c>
      <c r="GM87" s="38">
        <f t="shared" si="212"/>
        <v>0</v>
      </c>
      <c r="GN87" s="1" t="s">
        <v>2</v>
      </c>
      <c r="GO87" s="1">
        <f t="shared" si="294"/>
        <v>3</v>
      </c>
      <c r="GP87" s="1">
        <f t="shared" si="295"/>
        <v>1.23</v>
      </c>
      <c r="GQ87" s="41">
        <f t="shared" si="296"/>
        <v>36.9</v>
      </c>
      <c r="GR87" s="41">
        <f t="shared" si="297"/>
        <v>658.19345759999999</v>
      </c>
      <c r="GS87" s="14">
        <f t="shared" si="298"/>
        <v>219.39781919999999</v>
      </c>
      <c r="GT87" s="1">
        <f t="shared" si="287"/>
        <v>0</v>
      </c>
      <c r="GU87" s="1">
        <f t="shared" si="288"/>
        <v>0</v>
      </c>
      <c r="GV87" s="1">
        <f t="shared" si="289"/>
        <v>36.9</v>
      </c>
      <c r="GW87" s="37">
        <f t="shared" si="299"/>
        <v>0</v>
      </c>
      <c r="GX87" s="37"/>
      <c r="GY87" s="37"/>
      <c r="GZ87" s="37"/>
      <c r="HB87" s="1">
        <f t="shared" si="290"/>
        <v>0</v>
      </c>
      <c r="HC87" s="1">
        <f t="shared" si="291"/>
        <v>0</v>
      </c>
      <c r="HD87" s="37" t="s">
        <v>2</v>
      </c>
      <c r="HE87" s="1" t="s">
        <v>31</v>
      </c>
      <c r="HF87" s="1" t="s">
        <v>618</v>
      </c>
      <c r="HG87" s="1" t="s">
        <v>618</v>
      </c>
      <c r="HI87" s="1" t="s">
        <v>163</v>
      </c>
      <c r="HJ87" s="37" t="s">
        <v>2</v>
      </c>
      <c r="JH87" s="58" t="s">
        <v>2</v>
      </c>
    </row>
    <row r="88" spans="1:268" ht="16.25" customHeight="1" x14ac:dyDescent="0.2">
      <c r="A88" s="21" t="s">
        <v>1104</v>
      </c>
      <c r="B88" s="1" t="s">
        <v>69</v>
      </c>
      <c r="F88" s="1" t="s">
        <v>131</v>
      </c>
      <c r="I88" s="1">
        <v>0</v>
      </c>
      <c r="AD88" s="1">
        <v>0</v>
      </c>
      <c r="AY88" s="1">
        <v>40</v>
      </c>
      <c r="BG88" s="1">
        <v>1.35</v>
      </c>
      <c r="BH88" s="1">
        <v>0.04</v>
      </c>
      <c r="BT88" s="1">
        <v>0</v>
      </c>
      <c r="CO88" s="1">
        <v>0</v>
      </c>
      <c r="DJ88" s="1" t="s">
        <v>163</v>
      </c>
      <c r="DK88" s="1" t="s">
        <v>163</v>
      </c>
      <c r="DL88" s="1">
        <f t="shared" si="292"/>
        <v>1.35</v>
      </c>
      <c r="DM88" s="1">
        <f t="shared" si="293"/>
        <v>0.04</v>
      </c>
      <c r="DN88" s="1" t="s">
        <v>471</v>
      </c>
      <c r="DO88" s="1" t="s">
        <v>2</v>
      </c>
      <c r="DP88" s="38">
        <f t="shared" si="251"/>
        <v>0</v>
      </c>
      <c r="DQ88" s="38">
        <f t="shared" si="252"/>
        <v>0</v>
      </c>
      <c r="DR88" s="38">
        <f t="shared" si="253"/>
        <v>0</v>
      </c>
      <c r="DS88" s="38">
        <f t="shared" si="254"/>
        <v>0</v>
      </c>
      <c r="DT88" s="38">
        <f t="shared" si="255"/>
        <v>0</v>
      </c>
      <c r="DU88" s="38">
        <f t="shared" si="256"/>
        <v>0</v>
      </c>
      <c r="DV88" s="38">
        <f t="shared" si="257"/>
        <v>0</v>
      </c>
      <c r="DW88" s="38">
        <f t="shared" si="258"/>
        <v>0.54</v>
      </c>
      <c r="DX88" s="38">
        <f t="shared" si="259"/>
        <v>1.6E-2</v>
      </c>
      <c r="DY88" s="38">
        <f t="shared" si="260"/>
        <v>0</v>
      </c>
      <c r="DZ88" s="38">
        <f t="shared" si="261"/>
        <v>0</v>
      </c>
      <c r="EA88" s="38">
        <f t="shared" si="262"/>
        <v>0</v>
      </c>
      <c r="EB88" s="38">
        <f t="shared" si="263"/>
        <v>0</v>
      </c>
      <c r="EC88" s="38">
        <f t="shared" si="264"/>
        <v>0</v>
      </c>
      <c r="ED88" s="38">
        <f t="shared" si="265"/>
        <v>0</v>
      </c>
      <c r="EE88" s="38">
        <f t="shared" si="266"/>
        <v>0</v>
      </c>
      <c r="EG88" s="38">
        <f t="shared" si="267"/>
        <v>0</v>
      </c>
      <c r="EH88" s="38">
        <f t="shared" si="268"/>
        <v>0</v>
      </c>
      <c r="EI88" s="38">
        <f t="shared" si="159"/>
        <v>0</v>
      </c>
      <c r="EJ88" s="38">
        <f t="shared" si="160"/>
        <v>0</v>
      </c>
      <c r="EK88" s="38">
        <f t="shared" si="161"/>
        <v>0</v>
      </c>
      <c r="EL88" s="38">
        <f t="shared" si="162"/>
        <v>0</v>
      </c>
      <c r="EM88" s="38">
        <f t="shared" si="163"/>
        <v>0</v>
      </c>
      <c r="EN88" s="38">
        <f t="shared" si="164"/>
        <v>0</v>
      </c>
      <c r="EO88" s="38">
        <f t="shared" si="165"/>
        <v>0</v>
      </c>
      <c r="EP88" s="38">
        <f t="shared" si="166"/>
        <v>7081.56</v>
      </c>
      <c r="EQ88" s="38">
        <f t="shared" si="167"/>
        <v>1161.912384</v>
      </c>
      <c r="ER88" s="38">
        <f t="shared" si="168"/>
        <v>0</v>
      </c>
      <c r="ES88" s="38">
        <f t="shared" si="169"/>
        <v>0</v>
      </c>
      <c r="ET88" s="38">
        <f t="shared" si="170"/>
        <v>0</v>
      </c>
      <c r="EU88" s="38">
        <f t="shared" si="171"/>
        <v>0</v>
      </c>
      <c r="EV88" s="38">
        <f t="shared" si="172"/>
        <v>0</v>
      </c>
      <c r="EW88" s="38">
        <f t="shared" si="173"/>
        <v>0</v>
      </c>
      <c r="EX88" s="38">
        <f t="shared" si="174"/>
        <v>0</v>
      </c>
      <c r="EZ88" s="38">
        <f t="shared" si="175"/>
        <v>0</v>
      </c>
      <c r="FA88" s="38">
        <f t="shared" si="176"/>
        <v>0</v>
      </c>
      <c r="FB88" s="1">
        <f t="shared" si="269"/>
        <v>0</v>
      </c>
      <c r="FC88" s="1">
        <f t="shared" si="270"/>
        <v>0</v>
      </c>
      <c r="FD88" s="1">
        <f t="shared" si="271"/>
        <v>0</v>
      </c>
      <c r="FE88" s="1">
        <f t="shared" si="272"/>
        <v>0</v>
      </c>
      <c r="FF88" s="1">
        <f t="shared" si="273"/>
        <v>0</v>
      </c>
      <c r="FG88" s="1">
        <f t="shared" si="274"/>
        <v>0</v>
      </c>
      <c r="FH88" s="1">
        <f t="shared" si="275"/>
        <v>0</v>
      </c>
      <c r="FI88" s="1">
        <f t="shared" si="276"/>
        <v>0</v>
      </c>
      <c r="FJ88" s="1">
        <f t="shared" si="277"/>
        <v>0</v>
      </c>
      <c r="FK88" s="1">
        <f t="shared" si="278"/>
        <v>0</v>
      </c>
      <c r="FL88" s="1">
        <f t="shared" si="279"/>
        <v>0</v>
      </c>
      <c r="FM88" s="1">
        <f t="shared" si="280"/>
        <v>0</v>
      </c>
      <c r="FN88" s="1">
        <f t="shared" si="281"/>
        <v>0</v>
      </c>
      <c r="FO88" s="1">
        <f t="shared" si="282"/>
        <v>0</v>
      </c>
      <c r="FP88" s="1">
        <f t="shared" si="283"/>
        <v>0</v>
      </c>
      <c r="FQ88" s="1">
        <f t="shared" si="284"/>
        <v>0</v>
      </c>
      <c r="FS88" s="1">
        <f t="shared" si="285"/>
        <v>0</v>
      </c>
      <c r="FT88" s="1">
        <f t="shared" si="286"/>
        <v>0</v>
      </c>
      <c r="FU88" s="38">
        <f t="shared" si="195"/>
        <v>0</v>
      </c>
      <c r="FV88" s="38">
        <f t="shared" si="196"/>
        <v>0</v>
      </c>
      <c r="FW88" s="38">
        <f t="shared" si="197"/>
        <v>0</v>
      </c>
      <c r="FX88" s="38">
        <f t="shared" si="198"/>
        <v>0</v>
      </c>
      <c r="FY88" s="38">
        <f t="shared" si="199"/>
        <v>0</v>
      </c>
      <c r="FZ88" s="38">
        <f t="shared" si="200"/>
        <v>0</v>
      </c>
      <c r="GA88" s="38">
        <f t="shared" si="201"/>
        <v>0</v>
      </c>
      <c r="GB88" s="38">
        <f t="shared" si="202"/>
        <v>0</v>
      </c>
      <c r="GC88" s="38">
        <f t="shared" si="203"/>
        <v>0</v>
      </c>
      <c r="GD88" s="38">
        <f t="shared" si="204"/>
        <v>0</v>
      </c>
      <c r="GE88" s="38">
        <f t="shared" si="205"/>
        <v>0</v>
      </c>
      <c r="GF88" s="38">
        <f t="shared" si="206"/>
        <v>0</v>
      </c>
      <c r="GG88" s="38">
        <f t="shared" si="207"/>
        <v>0</v>
      </c>
      <c r="GH88" s="38">
        <f t="shared" si="208"/>
        <v>0</v>
      </c>
      <c r="GI88" s="38">
        <f t="shared" si="209"/>
        <v>0</v>
      </c>
      <c r="GJ88" s="38">
        <f t="shared" si="210"/>
        <v>0</v>
      </c>
      <c r="GL88" s="38">
        <f t="shared" si="211"/>
        <v>0</v>
      </c>
      <c r="GM88" s="38">
        <f t="shared" si="212"/>
        <v>0</v>
      </c>
      <c r="GN88" s="1" t="s">
        <v>2</v>
      </c>
      <c r="GO88" s="1">
        <f t="shared" si="294"/>
        <v>40</v>
      </c>
      <c r="GP88" s="1">
        <f t="shared" si="295"/>
        <v>1.35</v>
      </c>
      <c r="GQ88" s="41">
        <f t="shared" si="296"/>
        <v>540</v>
      </c>
      <c r="GR88" s="41">
        <f t="shared" si="297"/>
        <v>8243.4723840000006</v>
      </c>
      <c r="GS88" s="14">
        <f t="shared" si="298"/>
        <v>206.08680960000001</v>
      </c>
      <c r="GT88" s="1">
        <f t="shared" si="287"/>
        <v>0</v>
      </c>
      <c r="GU88" s="1">
        <f t="shared" si="288"/>
        <v>0</v>
      </c>
      <c r="GV88" s="1">
        <f t="shared" si="289"/>
        <v>540</v>
      </c>
      <c r="GW88" s="37">
        <f t="shared" si="299"/>
        <v>0</v>
      </c>
      <c r="GX88" s="37"/>
      <c r="GY88" s="37"/>
      <c r="GZ88" s="37"/>
      <c r="HB88" s="1">
        <f t="shared" si="290"/>
        <v>0</v>
      </c>
      <c r="HC88" s="1">
        <f t="shared" si="291"/>
        <v>0</v>
      </c>
      <c r="HD88" s="37" t="s">
        <v>2</v>
      </c>
      <c r="HE88" s="1" t="s">
        <v>31</v>
      </c>
      <c r="HF88" s="1" t="s">
        <v>245</v>
      </c>
      <c r="HG88" s="1" t="s">
        <v>245</v>
      </c>
      <c r="HI88" s="1" t="s">
        <v>163</v>
      </c>
      <c r="HJ88" s="37" t="s">
        <v>2</v>
      </c>
      <c r="JH88" s="58" t="s">
        <v>2</v>
      </c>
    </row>
    <row r="89" spans="1:268" ht="16.25" customHeight="1" x14ac:dyDescent="0.2">
      <c r="A89" s="21" t="s">
        <v>339</v>
      </c>
      <c r="B89" s="1" t="s">
        <v>69</v>
      </c>
      <c r="E89" s="1" t="s">
        <v>72</v>
      </c>
      <c r="F89" s="1" t="s">
        <v>131</v>
      </c>
      <c r="H89" s="1" t="s">
        <v>211</v>
      </c>
      <c r="I89" s="1">
        <v>0</v>
      </c>
      <c r="AD89" s="1">
        <v>0</v>
      </c>
      <c r="AY89" s="1">
        <v>19.2</v>
      </c>
      <c r="BG89" s="1">
        <v>0.63</v>
      </c>
      <c r="BH89" s="1">
        <v>0.1</v>
      </c>
      <c r="BQ89" s="1">
        <v>40</v>
      </c>
      <c r="BT89" s="1">
        <v>0</v>
      </c>
      <c r="CO89" s="1">
        <v>0</v>
      </c>
      <c r="DJ89" s="1" t="s">
        <v>163</v>
      </c>
      <c r="DK89" s="1" t="s">
        <v>163</v>
      </c>
      <c r="DL89" s="1">
        <f t="shared" si="292"/>
        <v>0.63</v>
      </c>
      <c r="DM89" s="1">
        <f t="shared" si="293"/>
        <v>0.1</v>
      </c>
      <c r="DN89" s="1" t="s">
        <v>169</v>
      </c>
      <c r="DO89" s="1" t="s">
        <v>2</v>
      </c>
      <c r="DP89" s="38">
        <f t="shared" si="251"/>
        <v>0</v>
      </c>
      <c r="DQ89" s="38">
        <f t="shared" si="252"/>
        <v>0</v>
      </c>
      <c r="DR89" s="38">
        <f t="shared" si="253"/>
        <v>0</v>
      </c>
      <c r="DS89" s="38">
        <f t="shared" si="254"/>
        <v>0</v>
      </c>
      <c r="DT89" s="38">
        <f t="shared" si="255"/>
        <v>0</v>
      </c>
      <c r="DU89" s="38">
        <f t="shared" si="256"/>
        <v>0</v>
      </c>
      <c r="DV89" s="38">
        <f t="shared" si="257"/>
        <v>0</v>
      </c>
      <c r="DW89" s="38">
        <f t="shared" si="258"/>
        <v>0.12096</v>
      </c>
      <c r="DX89" s="38">
        <f t="shared" si="259"/>
        <v>1.9199999999999998E-2</v>
      </c>
      <c r="DY89" s="38">
        <f t="shared" si="260"/>
        <v>0</v>
      </c>
      <c r="DZ89" s="38">
        <f t="shared" si="261"/>
        <v>0</v>
      </c>
      <c r="EA89" s="38">
        <f t="shared" si="262"/>
        <v>0</v>
      </c>
      <c r="EB89" s="38">
        <f t="shared" si="263"/>
        <v>0</v>
      </c>
      <c r="EC89" s="38">
        <f t="shared" si="264"/>
        <v>0</v>
      </c>
      <c r="ED89" s="38">
        <f t="shared" si="265"/>
        <v>0</v>
      </c>
      <c r="EE89" s="38">
        <f t="shared" si="266"/>
        <v>0</v>
      </c>
      <c r="EG89" s="38">
        <f t="shared" si="267"/>
        <v>768</v>
      </c>
      <c r="EH89" s="38">
        <f t="shared" si="268"/>
        <v>0</v>
      </c>
      <c r="EI89" s="38">
        <f t="shared" si="159"/>
        <v>0</v>
      </c>
      <c r="EJ89" s="38">
        <f t="shared" si="160"/>
        <v>0</v>
      </c>
      <c r="EK89" s="38">
        <f t="shared" si="161"/>
        <v>0</v>
      </c>
      <c r="EL89" s="38">
        <f t="shared" si="162"/>
        <v>0</v>
      </c>
      <c r="EM89" s="38">
        <f t="shared" si="163"/>
        <v>0</v>
      </c>
      <c r="EN89" s="38">
        <f t="shared" si="164"/>
        <v>0</v>
      </c>
      <c r="EO89" s="38">
        <f t="shared" si="165"/>
        <v>0</v>
      </c>
      <c r="EP89" s="38">
        <f t="shared" si="166"/>
        <v>1586.26944</v>
      </c>
      <c r="EQ89" s="38">
        <f t="shared" si="167"/>
        <v>1394.2948607999997</v>
      </c>
      <c r="ER89" s="38">
        <f t="shared" si="168"/>
        <v>0</v>
      </c>
      <c r="ES89" s="38">
        <f t="shared" si="169"/>
        <v>0</v>
      </c>
      <c r="ET89" s="38">
        <f t="shared" si="170"/>
        <v>0</v>
      </c>
      <c r="EU89" s="38">
        <f t="shared" si="171"/>
        <v>0</v>
      </c>
      <c r="EV89" s="38">
        <f t="shared" si="172"/>
        <v>0</v>
      </c>
      <c r="EW89" s="38">
        <f t="shared" si="173"/>
        <v>0</v>
      </c>
      <c r="EX89" s="38">
        <f t="shared" si="174"/>
        <v>0</v>
      </c>
      <c r="EZ89" s="38">
        <f t="shared" si="175"/>
        <v>276.48</v>
      </c>
      <c r="FA89" s="38">
        <f t="shared" si="176"/>
        <v>0</v>
      </c>
      <c r="FB89" s="1">
        <f t="shared" si="269"/>
        <v>0</v>
      </c>
      <c r="FC89" s="1">
        <f t="shared" si="270"/>
        <v>0</v>
      </c>
      <c r="FD89" s="1">
        <f t="shared" si="271"/>
        <v>0</v>
      </c>
      <c r="FE89" s="1">
        <f t="shared" si="272"/>
        <v>0</v>
      </c>
      <c r="FF89" s="1">
        <f t="shared" si="273"/>
        <v>0</v>
      </c>
      <c r="FG89" s="1">
        <f t="shared" si="274"/>
        <v>0</v>
      </c>
      <c r="FH89" s="1">
        <f t="shared" si="275"/>
        <v>0</v>
      </c>
      <c r="FI89" s="1">
        <f t="shared" si="276"/>
        <v>0</v>
      </c>
      <c r="FJ89" s="1">
        <f t="shared" si="277"/>
        <v>0</v>
      </c>
      <c r="FK89" s="1">
        <f t="shared" si="278"/>
        <v>0</v>
      </c>
      <c r="FL89" s="1">
        <f t="shared" si="279"/>
        <v>0</v>
      </c>
      <c r="FM89" s="1">
        <f t="shared" si="280"/>
        <v>0</v>
      </c>
      <c r="FN89" s="1">
        <f t="shared" si="281"/>
        <v>0</v>
      </c>
      <c r="FO89" s="1">
        <f t="shared" si="282"/>
        <v>0</v>
      </c>
      <c r="FP89" s="1">
        <f t="shared" si="283"/>
        <v>0</v>
      </c>
      <c r="FQ89" s="1">
        <f t="shared" si="284"/>
        <v>0</v>
      </c>
      <c r="FS89" s="1">
        <f t="shared" si="285"/>
        <v>0</v>
      </c>
      <c r="FT89" s="1">
        <f t="shared" si="286"/>
        <v>0</v>
      </c>
      <c r="FU89" s="38">
        <f t="shared" si="195"/>
        <v>0</v>
      </c>
      <c r="FV89" s="38">
        <f t="shared" si="196"/>
        <v>0</v>
      </c>
      <c r="FW89" s="38">
        <f t="shared" si="197"/>
        <v>0</v>
      </c>
      <c r="FX89" s="38">
        <f t="shared" si="198"/>
        <v>0</v>
      </c>
      <c r="FY89" s="38">
        <f t="shared" si="199"/>
        <v>0</v>
      </c>
      <c r="FZ89" s="38">
        <f t="shared" si="200"/>
        <v>0</v>
      </c>
      <c r="GA89" s="38">
        <f t="shared" si="201"/>
        <v>0</v>
      </c>
      <c r="GB89" s="38">
        <f t="shared" si="202"/>
        <v>0</v>
      </c>
      <c r="GC89" s="38">
        <f t="shared" si="203"/>
        <v>0</v>
      </c>
      <c r="GD89" s="38">
        <f t="shared" si="204"/>
        <v>0</v>
      </c>
      <c r="GE89" s="38">
        <f t="shared" si="205"/>
        <v>0</v>
      </c>
      <c r="GF89" s="38">
        <f t="shared" si="206"/>
        <v>0</v>
      </c>
      <c r="GG89" s="38">
        <f t="shared" si="207"/>
        <v>0</v>
      </c>
      <c r="GH89" s="38">
        <f t="shared" si="208"/>
        <v>0</v>
      </c>
      <c r="GI89" s="38">
        <f t="shared" si="209"/>
        <v>0</v>
      </c>
      <c r="GJ89" s="38">
        <f t="shared" si="210"/>
        <v>0</v>
      </c>
      <c r="GL89" s="38">
        <f t="shared" si="211"/>
        <v>0</v>
      </c>
      <c r="GM89" s="38">
        <f t="shared" si="212"/>
        <v>0</v>
      </c>
      <c r="GN89" s="1" t="s">
        <v>2</v>
      </c>
      <c r="GO89" s="1">
        <f t="shared" si="294"/>
        <v>19.2</v>
      </c>
      <c r="GP89" s="1">
        <f t="shared" si="295"/>
        <v>0.63</v>
      </c>
      <c r="GQ89" s="41">
        <f t="shared" si="296"/>
        <v>120.96</v>
      </c>
      <c r="GR89" s="41">
        <f t="shared" si="297"/>
        <v>3257.0443007999997</v>
      </c>
      <c r="GS89" s="14">
        <f t="shared" si="298"/>
        <v>169.63772399999999</v>
      </c>
      <c r="GT89" s="1">
        <f t="shared" si="287"/>
        <v>0</v>
      </c>
      <c r="GU89" s="1">
        <f t="shared" si="288"/>
        <v>0</v>
      </c>
      <c r="GV89" s="1">
        <f t="shared" si="289"/>
        <v>120.96</v>
      </c>
      <c r="GW89" s="37">
        <f t="shared" si="299"/>
        <v>0</v>
      </c>
      <c r="GX89" s="37"/>
      <c r="GY89" s="37"/>
      <c r="GZ89" s="37"/>
      <c r="HB89" s="1">
        <f t="shared" si="290"/>
        <v>0</v>
      </c>
      <c r="HC89" s="1">
        <f t="shared" si="291"/>
        <v>0</v>
      </c>
      <c r="HD89" s="37" t="s">
        <v>2</v>
      </c>
      <c r="HE89" s="1" t="s">
        <v>31</v>
      </c>
      <c r="HF89" s="1" t="s">
        <v>244</v>
      </c>
      <c r="HI89" s="1" t="s">
        <v>163</v>
      </c>
      <c r="HJ89" s="37" t="s">
        <v>2</v>
      </c>
      <c r="JH89" s="58" t="s">
        <v>2</v>
      </c>
    </row>
    <row r="90" spans="1:268" ht="16.25" customHeight="1" x14ac:dyDescent="0.2">
      <c r="A90" s="21" t="s">
        <v>892</v>
      </c>
      <c r="B90" s="1" t="s">
        <v>69</v>
      </c>
      <c r="F90" s="1" t="s">
        <v>131</v>
      </c>
      <c r="I90" s="1">
        <v>0</v>
      </c>
      <c r="AD90" s="1">
        <v>0</v>
      </c>
      <c r="AY90" s="14">
        <v>81.056000000000012</v>
      </c>
      <c r="BG90" s="13">
        <v>1.0129362416107379</v>
      </c>
      <c r="BH90" s="13">
        <v>5.0084386103434651E-2</v>
      </c>
      <c r="BN90" s="14">
        <v>25.75900241808132</v>
      </c>
      <c r="BO90" s="14">
        <v>35.027782027240427</v>
      </c>
      <c r="BT90" s="1">
        <v>0</v>
      </c>
      <c r="CO90" s="1">
        <v>0</v>
      </c>
      <c r="DJ90" s="1" t="s">
        <v>163</v>
      </c>
      <c r="DK90" s="1" t="s">
        <v>163</v>
      </c>
      <c r="DL90" s="1">
        <f t="shared" si="292"/>
        <v>1.0129362416107379</v>
      </c>
      <c r="DM90" s="1">
        <f t="shared" si="293"/>
        <v>5.0084386103434651E-2</v>
      </c>
      <c r="DN90" s="1" t="s">
        <v>893</v>
      </c>
      <c r="DO90" s="1" t="s">
        <v>2</v>
      </c>
      <c r="DP90" s="38">
        <f t="shared" si="251"/>
        <v>0</v>
      </c>
      <c r="DQ90" s="38">
        <f t="shared" si="252"/>
        <v>0</v>
      </c>
      <c r="DR90" s="38">
        <f t="shared" si="253"/>
        <v>0</v>
      </c>
      <c r="DS90" s="38">
        <f t="shared" si="254"/>
        <v>0</v>
      </c>
      <c r="DT90" s="38">
        <f t="shared" si="255"/>
        <v>0</v>
      </c>
      <c r="DU90" s="38">
        <f t="shared" si="256"/>
        <v>0</v>
      </c>
      <c r="DV90" s="38">
        <f t="shared" si="257"/>
        <v>0</v>
      </c>
      <c r="DW90" s="38">
        <f t="shared" si="258"/>
        <v>0.82104559999999982</v>
      </c>
      <c r="DX90" s="38">
        <f t="shared" si="259"/>
        <v>4.0596399999999998E-2</v>
      </c>
      <c r="DY90" s="38">
        <f t="shared" si="260"/>
        <v>0</v>
      </c>
      <c r="DZ90" s="38">
        <f t="shared" si="261"/>
        <v>0</v>
      </c>
      <c r="EA90" s="38">
        <f t="shared" si="262"/>
        <v>0</v>
      </c>
      <c r="EB90" s="38">
        <f t="shared" si="263"/>
        <v>0</v>
      </c>
      <c r="EC90" s="38">
        <f t="shared" si="264"/>
        <v>0</v>
      </c>
      <c r="ED90" s="38">
        <f t="shared" si="265"/>
        <v>20.879216999999997</v>
      </c>
      <c r="EE90" s="38">
        <f t="shared" si="266"/>
        <v>28.392119000000001</v>
      </c>
      <c r="EG90" s="38">
        <f t="shared" si="267"/>
        <v>0</v>
      </c>
      <c r="EH90" s="38">
        <f t="shared" si="268"/>
        <v>0</v>
      </c>
      <c r="EI90" s="38">
        <f t="shared" si="159"/>
        <v>0</v>
      </c>
      <c r="EJ90" s="38">
        <f t="shared" si="160"/>
        <v>0</v>
      </c>
      <c r="EK90" s="38">
        <f t="shared" si="161"/>
        <v>0</v>
      </c>
      <c r="EL90" s="38">
        <f t="shared" si="162"/>
        <v>0</v>
      </c>
      <c r="EM90" s="38">
        <f t="shared" si="163"/>
        <v>0</v>
      </c>
      <c r="EN90" s="38">
        <f t="shared" si="164"/>
        <v>0</v>
      </c>
      <c r="EO90" s="38">
        <f t="shared" si="165"/>
        <v>0</v>
      </c>
      <c r="EP90" s="38">
        <f t="shared" si="166"/>
        <v>10767.191998399998</v>
      </c>
      <c r="EQ90" s="38">
        <f t="shared" si="167"/>
        <v>2948.0912441135993</v>
      </c>
      <c r="ER90" s="38">
        <f t="shared" si="168"/>
        <v>0</v>
      </c>
      <c r="ES90" s="38">
        <f t="shared" si="169"/>
        <v>0</v>
      </c>
      <c r="ET90" s="38">
        <f t="shared" si="170"/>
        <v>0</v>
      </c>
      <c r="EU90" s="38">
        <f t="shared" si="171"/>
        <v>0</v>
      </c>
      <c r="EV90" s="38">
        <f t="shared" si="172"/>
        <v>0</v>
      </c>
      <c r="EW90" s="38">
        <f t="shared" si="173"/>
        <v>5825.3015429999996</v>
      </c>
      <c r="EX90" s="38">
        <f t="shared" si="174"/>
        <v>2640.467067</v>
      </c>
      <c r="EZ90" s="38">
        <f t="shared" si="175"/>
        <v>0</v>
      </c>
      <c r="FA90" s="38">
        <f t="shared" si="176"/>
        <v>0</v>
      </c>
      <c r="FB90" s="1">
        <f t="shared" si="269"/>
        <v>0</v>
      </c>
      <c r="FC90" s="1">
        <f t="shared" si="270"/>
        <v>0</v>
      </c>
      <c r="FD90" s="1">
        <f t="shared" si="271"/>
        <v>0</v>
      </c>
      <c r="FE90" s="1">
        <f t="shared" si="272"/>
        <v>0</v>
      </c>
      <c r="FF90" s="1">
        <f t="shared" si="273"/>
        <v>0</v>
      </c>
      <c r="FG90" s="1">
        <f t="shared" si="274"/>
        <v>0</v>
      </c>
      <c r="FH90" s="1">
        <f t="shared" si="275"/>
        <v>0</v>
      </c>
      <c r="FI90" s="1">
        <f t="shared" si="276"/>
        <v>0</v>
      </c>
      <c r="FJ90" s="1">
        <f t="shared" si="277"/>
        <v>0</v>
      </c>
      <c r="FK90" s="1">
        <f t="shared" si="278"/>
        <v>0</v>
      </c>
      <c r="FL90" s="1">
        <f t="shared" si="279"/>
        <v>0</v>
      </c>
      <c r="FM90" s="1">
        <f t="shared" si="280"/>
        <v>0</v>
      </c>
      <c r="FN90" s="1">
        <f t="shared" si="281"/>
        <v>0</v>
      </c>
      <c r="FO90" s="1">
        <f t="shared" si="282"/>
        <v>0</v>
      </c>
      <c r="FP90" s="1">
        <f t="shared" si="283"/>
        <v>0</v>
      </c>
      <c r="FQ90" s="1">
        <f t="shared" si="284"/>
        <v>0</v>
      </c>
      <c r="FS90" s="1">
        <f t="shared" si="285"/>
        <v>0</v>
      </c>
      <c r="FT90" s="1">
        <f t="shared" si="286"/>
        <v>0</v>
      </c>
      <c r="FU90" s="38">
        <f t="shared" si="195"/>
        <v>0</v>
      </c>
      <c r="FV90" s="38">
        <f t="shared" si="196"/>
        <v>0</v>
      </c>
      <c r="FW90" s="38">
        <f t="shared" si="197"/>
        <v>0</v>
      </c>
      <c r="FX90" s="38">
        <f t="shared" si="198"/>
        <v>0</v>
      </c>
      <c r="FY90" s="38">
        <f t="shared" si="199"/>
        <v>0</v>
      </c>
      <c r="FZ90" s="38">
        <f t="shared" si="200"/>
        <v>0</v>
      </c>
      <c r="GA90" s="38">
        <f t="shared" si="201"/>
        <v>0</v>
      </c>
      <c r="GB90" s="38">
        <f t="shared" si="202"/>
        <v>0</v>
      </c>
      <c r="GC90" s="38">
        <f t="shared" si="203"/>
        <v>0</v>
      </c>
      <c r="GD90" s="38">
        <f t="shared" si="204"/>
        <v>0</v>
      </c>
      <c r="GE90" s="38">
        <f t="shared" si="205"/>
        <v>0</v>
      </c>
      <c r="GF90" s="38">
        <f t="shared" si="206"/>
        <v>0</v>
      </c>
      <c r="GG90" s="38">
        <f t="shared" si="207"/>
        <v>0</v>
      </c>
      <c r="GH90" s="38">
        <f t="shared" si="208"/>
        <v>0</v>
      </c>
      <c r="GI90" s="38">
        <f t="shared" si="209"/>
        <v>0</v>
      </c>
      <c r="GJ90" s="38">
        <f t="shared" si="210"/>
        <v>0</v>
      </c>
      <c r="GL90" s="38">
        <f t="shared" si="211"/>
        <v>0</v>
      </c>
      <c r="GM90" s="38">
        <f t="shared" si="212"/>
        <v>0</v>
      </c>
      <c r="GN90" s="1" t="s">
        <v>2</v>
      </c>
      <c r="GO90" s="13">
        <f t="shared" si="294"/>
        <v>81.056000000000012</v>
      </c>
      <c r="GP90" s="13">
        <f t="shared" si="295"/>
        <v>1.0129362416107379</v>
      </c>
      <c r="GQ90" s="41">
        <f t="shared" si="296"/>
        <v>821.04559999999981</v>
      </c>
      <c r="GR90" s="41">
        <f t="shared" si="297"/>
        <v>22181.051852513596</v>
      </c>
      <c r="GS90" s="14">
        <f t="shared" si="298"/>
        <v>273.65095554324904</v>
      </c>
      <c r="GT90" s="1">
        <f t="shared" si="287"/>
        <v>0</v>
      </c>
      <c r="GU90" s="1">
        <f t="shared" si="288"/>
        <v>0</v>
      </c>
      <c r="GV90" s="1">
        <f t="shared" si="289"/>
        <v>821.04559999999981</v>
      </c>
      <c r="GW90" s="37">
        <f t="shared" si="299"/>
        <v>0</v>
      </c>
      <c r="GX90" s="37"/>
      <c r="GY90" s="37"/>
      <c r="GZ90" s="37"/>
      <c r="HB90" s="1">
        <f t="shared" si="290"/>
        <v>0</v>
      </c>
      <c r="HC90" s="1">
        <f t="shared" si="291"/>
        <v>0</v>
      </c>
      <c r="HD90" s="37" t="s">
        <v>2</v>
      </c>
      <c r="HE90" s="1" t="s">
        <v>31</v>
      </c>
      <c r="HF90" s="1" t="s">
        <v>894</v>
      </c>
      <c r="HG90" s="1" t="s">
        <v>894</v>
      </c>
      <c r="HI90" s="1" t="s">
        <v>163</v>
      </c>
      <c r="HJ90" s="37" t="s">
        <v>2</v>
      </c>
      <c r="JH90" s="58" t="s">
        <v>2</v>
      </c>
    </row>
    <row r="91" spans="1:268" ht="16.25" customHeight="1" x14ac:dyDescent="0.2">
      <c r="A91" s="21" t="s">
        <v>895</v>
      </c>
      <c r="B91" s="1" t="s">
        <v>64</v>
      </c>
      <c r="F91" s="1" t="s">
        <v>131</v>
      </c>
      <c r="I91" s="1">
        <v>0</v>
      </c>
      <c r="AD91" s="1">
        <v>0</v>
      </c>
      <c r="AY91" s="14">
        <v>129.99799999999999</v>
      </c>
      <c r="BG91" s="13">
        <v>0.86440929860459403</v>
      </c>
      <c r="BH91" s="13">
        <v>6.6948799212295573E-2</v>
      </c>
      <c r="BN91" s="14">
        <v>40.305776242711431</v>
      </c>
      <c r="BO91" s="14">
        <v>15.339164448683825</v>
      </c>
      <c r="BT91" s="1">
        <v>0</v>
      </c>
      <c r="CO91" s="1">
        <v>0</v>
      </c>
      <c r="DJ91" s="1" t="s">
        <v>163</v>
      </c>
      <c r="DK91" s="1" t="s">
        <v>163</v>
      </c>
      <c r="DL91" s="1">
        <f t="shared" si="292"/>
        <v>0.86440929860459403</v>
      </c>
      <c r="DM91" s="1">
        <f t="shared" si="293"/>
        <v>6.6948799212295573E-2</v>
      </c>
      <c r="DN91" s="1" t="s">
        <v>893</v>
      </c>
      <c r="DO91" s="1" t="s">
        <v>2</v>
      </c>
      <c r="DP91" s="38">
        <f t="shared" si="251"/>
        <v>0</v>
      </c>
      <c r="DQ91" s="38">
        <f t="shared" si="252"/>
        <v>0</v>
      </c>
      <c r="DR91" s="38">
        <f t="shared" si="253"/>
        <v>0</v>
      </c>
      <c r="DS91" s="38">
        <f t="shared" si="254"/>
        <v>0</v>
      </c>
      <c r="DT91" s="38">
        <f t="shared" si="255"/>
        <v>0</v>
      </c>
      <c r="DU91" s="38">
        <f t="shared" si="256"/>
        <v>0</v>
      </c>
      <c r="DV91" s="38">
        <f t="shared" si="257"/>
        <v>0</v>
      </c>
      <c r="DW91" s="38">
        <f t="shared" si="258"/>
        <v>1.1237148000000001</v>
      </c>
      <c r="DX91" s="38">
        <f t="shared" si="259"/>
        <v>8.7032099999999987E-2</v>
      </c>
      <c r="DY91" s="38">
        <f t="shared" si="260"/>
        <v>0</v>
      </c>
      <c r="DZ91" s="38">
        <f t="shared" si="261"/>
        <v>0</v>
      </c>
      <c r="EA91" s="38">
        <f t="shared" si="262"/>
        <v>0</v>
      </c>
      <c r="EB91" s="38">
        <f t="shared" si="263"/>
        <v>0</v>
      </c>
      <c r="EC91" s="38">
        <f t="shared" si="264"/>
        <v>0</v>
      </c>
      <c r="ED91" s="38">
        <f t="shared" si="265"/>
        <v>52.396703000000009</v>
      </c>
      <c r="EE91" s="38">
        <f t="shared" si="266"/>
        <v>19.940606999999996</v>
      </c>
      <c r="EG91" s="38">
        <f t="shared" si="267"/>
        <v>0</v>
      </c>
      <c r="EH91" s="38">
        <f t="shared" si="268"/>
        <v>0</v>
      </c>
      <c r="EI91" s="38">
        <f t="shared" si="159"/>
        <v>0</v>
      </c>
      <c r="EJ91" s="38">
        <f t="shared" si="160"/>
        <v>0</v>
      </c>
      <c r="EK91" s="38">
        <f t="shared" si="161"/>
        <v>0</v>
      </c>
      <c r="EL91" s="38">
        <f t="shared" si="162"/>
        <v>0</v>
      </c>
      <c r="EM91" s="38">
        <f t="shared" si="163"/>
        <v>0</v>
      </c>
      <c r="EN91" s="38">
        <f t="shared" si="164"/>
        <v>0</v>
      </c>
      <c r="EO91" s="38">
        <f t="shared" si="165"/>
        <v>0</v>
      </c>
      <c r="EP91" s="38">
        <f t="shared" si="166"/>
        <v>14736.395887200002</v>
      </c>
      <c r="EQ91" s="38">
        <f t="shared" si="167"/>
        <v>6320.2296747203982</v>
      </c>
      <c r="ER91" s="38">
        <f t="shared" si="168"/>
        <v>0</v>
      </c>
      <c r="ES91" s="38">
        <f t="shared" si="169"/>
        <v>0</v>
      </c>
      <c r="ET91" s="38">
        <f t="shared" si="170"/>
        <v>0</v>
      </c>
      <c r="EU91" s="38">
        <f t="shared" si="171"/>
        <v>0</v>
      </c>
      <c r="EV91" s="38">
        <f t="shared" si="172"/>
        <v>0</v>
      </c>
      <c r="EW91" s="38">
        <f t="shared" si="173"/>
        <v>14618.680137000003</v>
      </c>
      <c r="EX91" s="38">
        <f t="shared" si="174"/>
        <v>1854.4764509999998</v>
      </c>
      <c r="EZ91" s="38">
        <f t="shared" si="175"/>
        <v>0</v>
      </c>
      <c r="FA91" s="38">
        <f t="shared" si="176"/>
        <v>0</v>
      </c>
      <c r="FB91" s="1">
        <f t="shared" si="269"/>
        <v>0</v>
      </c>
      <c r="FC91" s="1">
        <f t="shared" si="270"/>
        <v>0</v>
      </c>
      <c r="FD91" s="1">
        <f t="shared" si="271"/>
        <v>0</v>
      </c>
      <c r="FE91" s="1">
        <f t="shared" si="272"/>
        <v>0</v>
      </c>
      <c r="FF91" s="1">
        <f t="shared" si="273"/>
        <v>0</v>
      </c>
      <c r="FG91" s="1">
        <f t="shared" si="274"/>
        <v>0</v>
      </c>
      <c r="FH91" s="1">
        <f t="shared" si="275"/>
        <v>0</v>
      </c>
      <c r="FI91" s="1">
        <f t="shared" si="276"/>
        <v>0</v>
      </c>
      <c r="FJ91" s="1">
        <f t="shared" si="277"/>
        <v>0</v>
      </c>
      <c r="FK91" s="1">
        <f t="shared" si="278"/>
        <v>0</v>
      </c>
      <c r="FL91" s="1">
        <f t="shared" si="279"/>
        <v>0</v>
      </c>
      <c r="FM91" s="1">
        <f t="shared" si="280"/>
        <v>0</v>
      </c>
      <c r="FN91" s="1">
        <f t="shared" si="281"/>
        <v>0</v>
      </c>
      <c r="FO91" s="1">
        <f t="shared" si="282"/>
        <v>0</v>
      </c>
      <c r="FP91" s="1">
        <f t="shared" si="283"/>
        <v>0</v>
      </c>
      <c r="FQ91" s="1">
        <f t="shared" si="284"/>
        <v>0</v>
      </c>
      <c r="FS91" s="1">
        <f t="shared" si="285"/>
        <v>0</v>
      </c>
      <c r="FT91" s="1">
        <f t="shared" si="286"/>
        <v>0</v>
      </c>
      <c r="FU91" s="38">
        <f t="shared" si="195"/>
        <v>0</v>
      </c>
      <c r="FV91" s="38">
        <f t="shared" si="196"/>
        <v>0</v>
      </c>
      <c r="FW91" s="38">
        <f t="shared" si="197"/>
        <v>0</v>
      </c>
      <c r="FX91" s="38">
        <f t="shared" si="198"/>
        <v>0</v>
      </c>
      <c r="FY91" s="38">
        <f t="shared" si="199"/>
        <v>0</v>
      </c>
      <c r="FZ91" s="38">
        <f t="shared" si="200"/>
        <v>0</v>
      </c>
      <c r="GA91" s="38">
        <f t="shared" si="201"/>
        <v>0</v>
      </c>
      <c r="GB91" s="38">
        <f t="shared" si="202"/>
        <v>0</v>
      </c>
      <c r="GC91" s="38">
        <f t="shared" si="203"/>
        <v>0</v>
      </c>
      <c r="GD91" s="38">
        <f t="shared" si="204"/>
        <v>0</v>
      </c>
      <c r="GE91" s="38">
        <f t="shared" si="205"/>
        <v>0</v>
      </c>
      <c r="GF91" s="38">
        <f t="shared" si="206"/>
        <v>0</v>
      </c>
      <c r="GG91" s="38">
        <f t="shared" si="207"/>
        <v>0</v>
      </c>
      <c r="GH91" s="38">
        <f t="shared" si="208"/>
        <v>0</v>
      </c>
      <c r="GI91" s="38">
        <f t="shared" si="209"/>
        <v>0</v>
      </c>
      <c r="GJ91" s="38">
        <f t="shared" si="210"/>
        <v>0</v>
      </c>
      <c r="GL91" s="38">
        <f t="shared" si="211"/>
        <v>0</v>
      </c>
      <c r="GM91" s="38">
        <f t="shared" si="212"/>
        <v>0</v>
      </c>
      <c r="GN91" s="1" t="s">
        <v>2</v>
      </c>
      <c r="GO91" s="14">
        <f t="shared" si="294"/>
        <v>129.99799999999999</v>
      </c>
      <c r="GP91" s="13">
        <f t="shared" si="295"/>
        <v>0.86440929860459403</v>
      </c>
      <c r="GQ91" s="43">
        <f t="shared" si="296"/>
        <v>1123.7148</v>
      </c>
      <c r="GR91" s="41">
        <f t="shared" si="297"/>
        <v>37529.782149920407</v>
      </c>
      <c r="GS91" s="14">
        <f t="shared" si="298"/>
        <v>288.69507338513216</v>
      </c>
      <c r="GT91" s="1">
        <f t="shared" si="287"/>
        <v>0</v>
      </c>
      <c r="GU91" s="1">
        <f t="shared" si="288"/>
        <v>0</v>
      </c>
      <c r="GV91" s="1">
        <f t="shared" si="289"/>
        <v>1123.7148000000002</v>
      </c>
      <c r="GW91" s="37">
        <f t="shared" si="299"/>
        <v>0</v>
      </c>
      <c r="GX91" s="37"/>
      <c r="GY91" s="37"/>
      <c r="GZ91" s="37"/>
      <c r="HB91" s="1">
        <f t="shared" si="290"/>
        <v>0</v>
      </c>
      <c r="HC91" s="1">
        <f t="shared" si="291"/>
        <v>0</v>
      </c>
      <c r="HD91" s="37" t="s">
        <v>2</v>
      </c>
      <c r="HE91" s="1" t="s">
        <v>31</v>
      </c>
      <c r="HF91" s="1" t="s">
        <v>894</v>
      </c>
      <c r="HG91" s="1" t="s">
        <v>894</v>
      </c>
      <c r="HI91" s="1" t="s">
        <v>163</v>
      </c>
      <c r="HJ91" s="37" t="s">
        <v>2</v>
      </c>
      <c r="JH91" s="58" t="s">
        <v>2</v>
      </c>
    </row>
    <row r="92" spans="1:268" ht="16.25" customHeight="1" x14ac:dyDescent="0.2">
      <c r="A92" s="21" t="s">
        <v>896</v>
      </c>
      <c r="B92" s="1" t="s">
        <v>69</v>
      </c>
      <c r="F92" s="1" t="s">
        <v>131</v>
      </c>
      <c r="I92" s="1">
        <v>0</v>
      </c>
      <c r="AD92" s="1">
        <v>0</v>
      </c>
      <c r="AY92" s="14">
        <v>166.31499999999997</v>
      </c>
      <c r="BG92" s="13">
        <v>0.84490899798575025</v>
      </c>
      <c r="BH92" s="13">
        <v>5.7316598021826065E-2</v>
      </c>
      <c r="BN92" s="14">
        <v>42.397044163184326</v>
      </c>
      <c r="BO92" s="14">
        <v>9.5176676788022743</v>
      </c>
      <c r="BT92" s="1">
        <v>0</v>
      </c>
      <c r="CO92" s="1">
        <v>0</v>
      </c>
      <c r="DJ92" s="1" t="s">
        <v>163</v>
      </c>
      <c r="DK92" s="1" t="s">
        <v>163</v>
      </c>
      <c r="DL92" s="1">
        <f t="shared" si="292"/>
        <v>0.84490899798575025</v>
      </c>
      <c r="DM92" s="1">
        <f t="shared" si="293"/>
        <v>5.7316598021826065E-2</v>
      </c>
      <c r="DN92" s="1" t="s">
        <v>893</v>
      </c>
      <c r="DO92" s="1" t="s">
        <v>2</v>
      </c>
      <c r="DP92" s="38">
        <f t="shared" si="251"/>
        <v>0</v>
      </c>
      <c r="DQ92" s="38">
        <f t="shared" si="252"/>
        <v>0</v>
      </c>
      <c r="DR92" s="38">
        <f t="shared" si="253"/>
        <v>0</v>
      </c>
      <c r="DS92" s="38">
        <f t="shared" si="254"/>
        <v>0</v>
      </c>
      <c r="DT92" s="38">
        <f t="shared" si="255"/>
        <v>0</v>
      </c>
      <c r="DU92" s="38">
        <f t="shared" si="256"/>
        <v>0</v>
      </c>
      <c r="DV92" s="38">
        <f t="shared" si="257"/>
        <v>0</v>
      </c>
      <c r="DW92" s="38">
        <f t="shared" si="258"/>
        <v>1.4052104000000003</v>
      </c>
      <c r="DX92" s="38">
        <f t="shared" si="259"/>
        <v>9.5326099999999997E-2</v>
      </c>
      <c r="DY92" s="38">
        <f t="shared" si="260"/>
        <v>0</v>
      </c>
      <c r="DZ92" s="38">
        <f t="shared" si="261"/>
        <v>0</v>
      </c>
      <c r="EA92" s="38">
        <f t="shared" si="262"/>
        <v>0</v>
      </c>
      <c r="EB92" s="38">
        <f t="shared" si="263"/>
        <v>0</v>
      </c>
      <c r="EC92" s="38">
        <f t="shared" si="264"/>
        <v>0</v>
      </c>
      <c r="ED92" s="38">
        <f t="shared" si="265"/>
        <v>70.512643999999995</v>
      </c>
      <c r="EE92" s="38">
        <f t="shared" si="266"/>
        <v>15.829309</v>
      </c>
      <c r="EG92" s="38">
        <f t="shared" si="267"/>
        <v>0</v>
      </c>
      <c r="EH92" s="38">
        <f t="shared" si="268"/>
        <v>0</v>
      </c>
      <c r="EI92" s="38">
        <f t="shared" si="159"/>
        <v>0</v>
      </c>
      <c r="EJ92" s="38">
        <f t="shared" si="160"/>
        <v>0</v>
      </c>
      <c r="EK92" s="38">
        <f t="shared" si="161"/>
        <v>0</v>
      </c>
      <c r="EL92" s="38">
        <f t="shared" si="162"/>
        <v>0</v>
      </c>
      <c r="EM92" s="38">
        <f t="shared" si="163"/>
        <v>0</v>
      </c>
      <c r="EN92" s="38">
        <f t="shared" si="164"/>
        <v>0</v>
      </c>
      <c r="EO92" s="38">
        <f t="shared" si="165"/>
        <v>0</v>
      </c>
      <c r="EP92" s="38">
        <f t="shared" si="166"/>
        <v>18427.929185600005</v>
      </c>
      <c r="EQ92" s="38">
        <f t="shared" si="167"/>
        <v>6922.5360067763986</v>
      </c>
      <c r="ER92" s="38">
        <f t="shared" si="168"/>
        <v>0</v>
      </c>
      <c r="ES92" s="38">
        <f t="shared" si="169"/>
        <v>0</v>
      </c>
      <c r="ET92" s="38">
        <f t="shared" si="170"/>
        <v>0</v>
      </c>
      <c r="EU92" s="38">
        <f t="shared" si="171"/>
        <v>0</v>
      </c>
      <c r="EV92" s="38">
        <f t="shared" si="172"/>
        <v>0</v>
      </c>
      <c r="EW92" s="38">
        <f t="shared" si="173"/>
        <v>19673.027675999998</v>
      </c>
      <c r="EX92" s="38">
        <f t="shared" si="174"/>
        <v>1472.1257370000001</v>
      </c>
      <c r="EZ92" s="38">
        <f t="shared" si="175"/>
        <v>0</v>
      </c>
      <c r="FA92" s="38">
        <f t="shared" si="176"/>
        <v>0</v>
      </c>
      <c r="FB92" s="1">
        <f t="shared" si="269"/>
        <v>0</v>
      </c>
      <c r="FC92" s="1">
        <f t="shared" si="270"/>
        <v>0</v>
      </c>
      <c r="FD92" s="1">
        <f t="shared" si="271"/>
        <v>0</v>
      </c>
      <c r="FE92" s="1">
        <f t="shared" si="272"/>
        <v>0</v>
      </c>
      <c r="FF92" s="1">
        <f t="shared" si="273"/>
        <v>0</v>
      </c>
      <c r="FG92" s="1">
        <f t="shared" si="274"/>
        <v>0</v>
      </c>
      <c r="FH92" s="1">
        <f t="shared" si="275"/>
        <v>0</v>
      </c>
      <c r="FI92" s="1">
        <f t="shared" si="276"/>
        <v>0</v>
      </c>
      <c r="FJ92" s="1">
        <f t="shared" si="277"/>
        <v>0</v>
      </c>
      <c r="FK92" s="1">
        <f t="shared" si="278"/>
        <v>0</v>
      </c>
      <c r="FL92" s="1">
        <f t="shared" si="279"/>
        <v>0</v>
      </c>
      <c r="FM92" s="1">
        <f t="shared" si="280"/>
        <v>0</v>
      </c>
      <c r="FN92" s="1">
        <f t="shared" si="281"/>
        <v>0</v>
      </c>
      <c r="FO92" s="1">
        <f t="shared" si="282"/>
        <v>0</v>
      </c>
      <c r="FP92" s="1">
        <f t="shared" si="283"/>
        <v>0</v>
      </c>
      <c r="FQ92" s="1">
        <f t="shared" si="284"/>
        <v>0</v>
      </c>
      <c r="FS92" s="1">
        <f t="shared" si="285"/>
        <v>0</v>
      </c>
      <c r="FT92" s="1">
        <f t="shared" si="286"/>
        <v>0</v>
      </c>
      <c r="FU92" s="38">
        <f t="shared" si="195"/>
        <v>0</v>
      </c>
      <c r="FV92" s="38">
        <f t="shared" si="196"/>
        <v>0</v>
      </c>
      <c r="FW92" s="38">
        <f t="shared" si="197"/>
        <v>0</v>
      </c>
      <c r="FX92" s="38">
        <f t="shared" si="198"/>
        <v>0</v>
      </c>
      <c r="FY92" s="38">
        <f t="shared" si="199"/>
        <v>0</v>
      </c>
      <c r="FZ92" s="38">
        <f t="shared" si="200"/>
        <v>0</v>
      </c>
      <c r="GA92" s="38">
        <f t="shared" si="201"/>
        <v>0</v>
      </c>
      <c r="GB92" s="38">
        <f t="shared" si="202"/>
        <v>0</v>
      </c>
      <c r="GC92" s="38">
        <f t="shared" si="203"/>
        <v>0</v>
      </c>
      <c r="GD92" s="38">
        <f t="shared" si="204"/>
        <v>0</v>
      </c>
      <c r="GE92" s="38">
        <f t="shared" si="205"/>
        <v>0</v>
      </c>
      <c r="GF92" s="38">
        <f t="shared" si="206"/>
        <v>0</v>
      </c>
      <c r="GG92" s="38">
        <f t="shared" si="207"/>
        <v>0</v>
      </c>
      <c r="GH92" s="38">
        <f t="shared" si="208"/>
        <v>0</v>
      </c>
      <c r="GI92" s="38">
        <f t="shared" si="209"/>
        <v>0</v>
      </c>
      <c r="GJ92" s="38">
        <f t="shared" si="210"/>
        <v>0</v>
      </c>
      <c r="GL92" s="38">
        <f t="shared" si="211"/>
        <v>0</v>
      </c>
      <c r="GM92" s="38">
        <f t="shared" si="212"/>
        <v>0</v>
      </c>
      <c r="GN92" s="1" t="s">
        <v>2</v>
      </c>
      <c r="GO92" s="14">
        <f t="shared" si="294"/>
        <v>166.31499999999997</v>
      </c>
      <c r="GP92" s="13">
        <f t="shared" si="295"/>
        <v>0.84490899798575025</v>
      </c>
      <c r="GQ92" s="43">
        <f t="shared" si="296"/>
        <v>1405.2104000000004</v>
      </c>
      <c r="GR92" s="41">
        <f t="shared" si="297"/>
        <v>46495.618605376403</v>
      </c>
      <c r="GS92" s="14">
        <f t="shared" si="298"/>
        <v>279.56359080886517</v>
      </c>
      <c r="GT92" s="1">
        <f t="shared" si="287"/>
        <v>0</v>
      </c>
      <c r="GU92" s="1">
        <f t="shared" si="288"/>
        <v>0</v>
      </c>
      <c r="GV92" s="1">
        <f t="shared" si="289"/>
        <v>1405.2104000000004</v>
      </c>
      <c r="GW92" s="37">
        <f t="shared" si="299"/>
        <v>0</v>
      </c>
      <c r="GX92" s="37"/>
      <c r="GY92" s="37"/>
      <c r="GZ92" s="37"/>
      <c r="HB92" s="1">
        <f t="shared" si="290"/>
        <v>0</v>
      </c>
      <c r="HC92" s="1">
        <f t="shared" si="291"/>
        <v>0</v>
      </c>
      <c r="HD92" s="37" t="s">
        <v>2</v>
      </c>
      <c r="HE92" s="1" t="s">
        <v>31</v>
      </c>
      <c r="HF92" s="1" t="s">
        <v>894</v>
      </c>
      <c r="HG92" s="1" t="s">
        <v>894</v>
      </c>
      <c r="HI92" s="1" t="s">
        <v>163</v>
      </c>
      <c r="HJ92" s="37" t="s">
        <v>2</v>
      </c>
      <c r="JH92" s="58" t="s">
        <v>2</v>
      </c>
    </row>
    <row r="93" spans="1:268" ht="16.25" customHeight="1" x14ac:dyDescent="0.2">
      <c r="A93" s="21" t="s">
        <v>610</v>
      </c>
      <c r="B93" s="1" t="s">
        <v>64</v>
      </c>
      <c r="F93" s="1" t="s">
        <v>611</v>
      </c>
      <c r="I93" s="1">
        <f>13.9+0.5</f>
        <v>14.4</v>
      </c>
      <c r="Q93" s="13">
        <f>(1.42*13.9+1.18*0.5)/I93</f>
        <v>1.4116666666666666</v>
      </c>
      <c r="AD93" s="1">
        <f>38.1+7.5+4</f>
        <v>49.6</v>
      </c>
      <c r="AL93" s="13">
        <f>(1.27*38.1+1.11*7.5+1.21*4)/AD93</f>
        <v>1.2409677419354839</v>
      </c>
      <c r="AY93" s="1">
        <f>9.2+8.3</f>
        <v>17.5</v>
      </c>
      <c r="BG93" s="13">
        <f>(1.34*9.2+1.19*8.3)/AY93</f>
        <v>1.2688571428571427</v>
      </c>
      <c r="BT93" s="1">
        <v>13.9</v>
      </c>
      <c r="CB93" s="1">
        <v>1.42</v>
      </c>
      <c r="CO93" s="1">
        <v>38.1</v>
      </c>
      <c r="CW93" s="1">
        <v>1.27</v>
      </c>
      <c r="DJ93" s="1" t="s">
        <v>96</v>
      </c>
      <c r="DL93" s="1">
        <f t="shared" si="292"/>
        <v>1.2771165644171778</v>
      </c>
      <c r="DM93" s="1">
        <f t="shared" si="293"/>
        <v>0</v>
      </c>
      <c r="DN93" s="1" t="s">
        <v>73</v>
      </c>
      <c r="DO93" s="1" t="s">
        <v>2</v>
      </c>
      <c r="DP93" s="38">
        <f t="shared" si="251"/>
        <v>0</v>
      </c>
      <c r="DQ93" s="38">
        <f t="shared" si="252"/>
        <v>0</v>
      </c>
      <c r="DR93" s="38">
        <f t="shared" si="253"/>
        <v>0</v>
      </c>
      <c r="DS93" s="38">
        <f t="shared" si="254"/>
        <v>0</v>
      </c>
      <c r="DT93" s="38">
        <f t="shared" si="255"/>
        <v>0</v>
      </c>
      <c r="DU93" s="38">
        <f t="shared" si="256"/>
        <v>0</v>
      </c>
      <c r="DV93" s="38">
        <f t="shared" si="257"/>
        <v>0</v>
      </c>
      <c r="DW93" s="38">
        <f t="shared" si="258"/>
        <v>1.0408499999999998</v>
      </c>
      <c r="DX93" s="38">
        <f t="shared" si="259"/>
        <v>0</v>
      </c>
      <c r="DY93" s="38">
        <f t="shared" si="260"/>
        <v>0</v>
      </c>
      <c r="DZ93" s="38">
        <f t="shared" si="261"/>
        <v>0</v>
      </c>
      <c r="EA93" s="38">
        <f t="shared" si="262"/>
        <v>0</v>
      </c>
      <c r="EB93" s="38">
        <f t="shared" si="263"/>
        <v>0</v>
      </c>
      <c r="EC93" s="38">
        <f t="shared" si="264"/>
        <v>0</v>
      </c>
      <c r="ED93" s="38">
        <f t="shared" si="265"/>
        <v>0</v>
      </c>
      <c r="EE93" s="38">
        <f t="shared" si="266"/>
        <v>0</v>
      </c>
      <c r="EG93" s="38">
        <f t="shared" si="267"/>
        <v>0</v>
      </c>
      <c r="EH93" s="38">
        <f t="shared" si="268"/>
        <v>0</v>
      </c>
      <c r="EI93" s="38">
        <f t="shared" si="159"/>
        <v>0</v>
      </c>
      <c r="EJ93" s="38">
        <f t="shared" si="160"/>
        <v>0</v>
      </c>
      <c r="EK93" s="38">
        <f t="shared" si="161"/>
        <v>0</v>
      </c>
      <c r="EL93" s="38">
        <f t="shared" si="162"/>
        <v>0</v>
      </c>
      <c r="EM93" s="38">
        <f t="shared" si="163"/>
        <v>0</v>
      </c>
      <c r="EN93" s="38">
        <f t="shared" si="164"/>
        <v>0</v>
      </c>
      <c r="EO93" s="38">
        <f t="shared" si="165"/>
        <v>0</v>
      </c>
      <c r="EP93" s="38">
        <f t="shared" si="166"/>
        <v>13649.706899999997</v>
      </c>
      <c r="EQ93" s="38">
        <f t="shared" si="167"/>
        <v>0</v>
      </c>
      <c r="ER93" s="38">
        <f t="shared" si="168"/>
        <v>0</v>
      </c>
      <c r="ES93" s="38">
        <f t="shared" si="169"/>
        <v>0</v>
      </c>
      <c r="ET93" s="38">
        <f t="shared" si="170"/>
        <v>0</v>
      </c>
      <c r="EU93" s="38">
        <f t="shared" si="171"/>
        <v>0</v>
      </c>
      <c r="EV93" s="38">
        <f t="shared" si="172"/>
        <v>0</v>
      </c>
      <c r="EW93" s="38">
        <f t="shared" si="173"/>
        <v>0</v>
      </c>
      <c r="EX93" s="38">
        <f t="shared" si="174"/>
        <v>0</v>
      </c>
      <c r="EZ93" s="38">
        <f t="shared" si="175"/>
        <v>0</v>
      </c>
      <c r="FA93" s="38">
        <f t="shared" si="176"/>
        <v>0</v>
      </c>
      <c r="FB93" s="1">
        <f t="shared" si="269"/>
        <v>0</v>
      </c>
      <c r="FC93" s="1">
        <f t="shared" si="270"/>
        <v>0</v>
      </c>
      <c r="FD93" s="1">
        <f t="shared" si="271"/>
        <v>0</v>
      </c>
      <c r="FE93" s="1">
        <f t="shared" si="272"/>
        <v>0</v>
      </c>
      <c r="FF93" s="1">
        <f t="shared" si="273"/>
        <v>0</v>
      </c>
      <c r="FG93" s="1">
        <f t="shared" si="274"/>
        <v>0</v>
      </c>
      <c r="FH93" s="1">
        <f t="shared" si="275"/>
        <v>0</v>
      </c>
      <c r="FI93" s="1">
        <f t="shared" si="276"/>
        <v>0.68125000000000002</v>
      </c>
      <c r="FJ93" s="1">
        <f t="shared" si="277"/>
        <v>0</v>
      </c>
      <c r="FK93" s="1">
        <f t="shared" si="278"/>
        <v>0</v>
      </c>
      <c r="FL93" s="1">
        <f t="shared" si="279"/>
        <v>0</v>
      </c>
      <c r="FM93" s="1">
        <f t="shared" si="280"/>
        <v>0</v>
      </c>
      <c r="FN93" s="1">
        <f t="shared" si="281"/>
        <v>0</v>
      </c>
      <c r="FO93" s="1">
        <f t="shared" si="282"/>
        <v>0</v>
      </c>
      <c r="FP93" s="1">
        <f t="shared" si="283"/>
        <v>0</v>
      </c>
      <c r="FQ93" s="1">
        <f t="shared" si="284"/>
        <v>0</v>
      </c>
      <c r="FS93" s="1">
        <f t="shared" si="285"/>
        <v>0</v>
      </c>
      <c r="FT93" s="1">
        <f t="shared" si="286"/>
        <v>0</v>
      </c>
      <c r="FU93" s="38">
        <f t="shared" si="195"/>
        <v>0</v>
      </c>
      <c r="FV93" s="38">
        <f t="shared" si="196"/>
        <v>0</v>
      </c>
      <c r="FW93" s="38">
        <f t="shared" si="197"/>
        <v>0</v>
      </c>
      <c r="FX93" s="38">
        <f t="shared" si="198"/>
        <v>0</v>
      </c>
      <c r="FY93" s="38">
        <f t="shared" si="199"/>
        <v>0</v>
      </c>
      <c r="FZ93" s="38">
        <f t="shared" si="200"/>
        <v>0</v>
      </c>
      <c r="GA93" s="38">
        <f t="shared" si="201"/>
        <v>0</v>
      </c>
      <c r="GB93" s="38">
        <f t="shared" si="202"/>
        <v>8933.9125000000004</v>
      </c>
      <c r="GC93" s="38">
        <f t="shared" si="203"/>
        <v>0</v>
      </c>
      <c r="GD93" s="38">
        <f t="shared" si="204"/>
        <v>0</v>
      </c>
      <c r="GE93" s="38">
        <f t="shared" si="205"/>
        <v>0</v>
      </c>
      <c r="GF93" s="38">
        <f t="shared" si="206"/>
        <v>0</v>
      </c>
      <c r="GG93" s="38">
        <f t="shared" si="207"/>
        <v>0</v>
      </c>
      <c r="GH93" s="38">
        <f t="shared" si="208"/>
        <v>0</v>
      </c>
      <c r="GI93" s="38">
        <f t="shared" si="209"/>
        <v>0</v>
      </c>
      <c r="GJ93" s="38">
        <f t="shared" si="210"/>
        <v>0</v>
      </c>
      <c r="GL93" s="38">
        <f t="shared" si="211"/>
        <v>0</v>
      </c>
      <c r="GM93" s="38">
        <f t="shared" si="212"/>
        <v>0</v>
      </c>
      <c r="GN93" s="1" t="s">
        <v>2</v>
      </c>
      <c r="GO93" s="1">
        <f t="shared" si="294"/>
        <v>81.5</v>
      </c>
      <c r="GP93" s="13">
        <f t="shared" si="295"/>
        <v>1.2771165644171778</v>
      </c>
      <c r="GQ93" s="43">
        <f t="shared" si="296"/>
        <v>1040.8499999999999</v>
      </c>
      <c r="GR93" s="41">
        <f t="shared" si="297"/>
        <v>13649.706899999997</v>
      </c>
      <c r="GS93" s="14">
        <f t="shared" si="298"/>
        <v>167.48106625766869</v>
      </c>
      <c r="GT93" s="1">
        <f t="shared" si="287"/>
        <v>203.28</v>
      </c>
      <c r="GU93" s="1">
        <f t="shared" si="288"/>
        <v>615.52</v>
      </c>
      <c r="GV93" s="1">
        <f t="shared" si="289"/>
        <v>222.05</v>
      </c>
      <c r="GW93" s="37">
        <f t="shared" si="299"/>
        <v>52</v>
      </c>
      <c r="GX93" s="44">
        <f>(BT93*CB93+CO93*CW93)/GW93</f>
        <v>1.3100961538461537</v>
      </c>
      <c r="GY93" s="41">
        <f>1000*GW93*GX93/100</f>
        <v>681.25</v>
      </c>
      <c r="GZ93" s="41">
        <f>SUM(FU93:GM93)</f>
        <v>8933.9125000000004</v>
      </c>
      <c r="HA93" s="14">
        <f>GZ93/GW93</f>
        <v>171.80600961538462</v>
      </c>
      <c r="HB93" s="1">
        <f t="shared" si="290"/>
        <v>197.38</v>
      </c>
      <c r="HC93" s="1">
        <f t="shared" si="291"/>
        <v>483.87</v>
      </c>
      <c r="HD93" s="37" t="s">
        <v>2</v>
      </c>
      <c r="HE93" s="1" t="s">
        <v>31</v>
      </c>
      <c r="HF93" s="1" t="s">
        <v>612</v>
      </c>
      <c r="HG93" s="1" t="s">
        <v>612</v>
      </c>
      <c r="HI93" s="1" t="s">
        <v>96</v>
      </c>
      <c r="HJ93" s="37" t="s">
        <v>2</v>
      </c>
      <c r="JH93" s="58" t="s">
        <v>2</v>
      </c>
    </row>
    <row r="94" spans="1:268" ht="16.25" customHeight="1" x14ac:dyDescent="0.2">
      <c r="A94" s="21" t="s">
        <v>1095</v>
      </c>
      <c r="B94" s="1" t="s">
        <v>69</v>
      </c>
      <c r="F94" s="1" t="s">
        <v>1096</v>
      </c>
      <c r="I94" s="1">
        <v>0</v>
      </c>
      <c r="AD94" s="1">
        <v>4.67</v>
      </c>
      <c r="AL94" s="1">
        <v>0.39</v>
      </c>
      <c r="AM94" s="1">
        <v>0.03</v>
      </c>
      <c r="AS94" s="1">
        <v>0.56999999999999995</v>
      </c>
      <c r="AY94" s="1">
        <v>3.883</v>
      </c>
      <c r="BG94" s="1">
        <v>0.33</v>
      </c>
      <c r="BH94" s="1">
        <v>0.03</v>
      </c>
      <c r="BN94" s="1">
        <v>0.47</v>
      </c>
      <c r="BT94" s="1">
        <v>0</v>
      </c>
      <c r="CO94" s="1">
        <v>0</v>
      </c>
      <c r="DJ94" s="1" t="s">
        <v>96</v>
      </c>
      <c r="DK94" s="1" t="s">
        <v>96</v>
      </c>
      <c r="DL94" s="1">
        <f t="shared" si="292"/>
        <v>0.36276043493511045</v>
      </c>
      <c r="DM94" s="1">
        <f t="shared" si="293"/>
        <v>2.9999999999999995E-2</v>
      </c>
      <c r="DN94" s="1" t="s">
        <v>1097</v>
      </c>
      <c r="DO94" s="1" t="s">
        <v>2</v>
      </c>
      <c r="DP94" s="38">
        <f t="shared" si="251"/>
        <v>0</v>
      </c>
      <c r="DQ94" s="38">
        <f t="shared" si="252"/>
        <v>0</v>
      </c>
      <c r="DR94" s="38">
        <f t="shared" si="253"/>
        <v>0</v>
      </c>
      <c r="DS94" s="38">
        <f t="shared" si="254"/>
        <v>0</v>
      </c>
      <c r="DT94" s="38">
        <f t="shared" si="255"/>
        <v>0</v>
      </c>
      <c r="DU94" s="38">
        <f t="shared" si="256"/>
        <v>0</v>
      </c>
      <c r="DV94" s="38">
        <f t="shared" si="257"/>
        <v>0</v>
      </c>
      <c r="DW94" s="38">
        <f t="shared" si="258"/>
        <v>3.10269E-2</v>
      </c>
      <c r="DX94" s="38">
        <f t="shared" si="259"/>
        <v>2.5658999999999999E-3</v>
      </c>
      <c r="DY94" s="38">
        <f t="shared" si="260"/>
        <v>0</v>
      </c>
      <c r="DZ94" s="38">
        <f t="shared" si="261"/>
        <v>0</v>
      </c>
      <c r="EA94" s="38">
        <f t="shared" si="262"/>
        <v>0</v>
      </c>
      <c r="EB94" s="38">
        <f t="shared" si="263"/>
        <v>0</v>
      </c>
      <c r="EC94" s="38">
        <f t="shared" si="264"/>
        <v>0</v>
      </c>
      <c r="ED94" s="38">
        <f t="shared" si="265"/>
        <v>4.4869100000000002E-2</v>
      </c>
      <c r="EE94" s="38">
        <f t="shared" si="266"/>
        <v>0</v>
      </c>
      <c r="EG94" s="38">
        <f t="shared" si="267"/>
        <v>0</v>
      </c>
      <c r="EH94" s="38">
        <f t="shared" si="268"/>
        <v>0</v>
      </c>
      <c r="EI94" s="38">
        <f t="shared" si="159"/>
        <v>0</v>
      </c>
      <c r="EJ94" s="38">
        <f t="shared" si="160"/>
        <v>0</v>
      </c>
      <c r="EK94" s="38">
        <f t="shared" si="161"/>
        <v>0</v>
      </c>
      <c r="EL94" s="38">
        <f t="shared" si="162"/>
        <v>0</v>
      </c>
      <c r="EM94" s="38">
        <f t="shared" si="163"/>
        <v>0</v>
      </c>
      <c r="EN94" s="38">
        <f t="shared" si="164"/>
        <v>0</v>
      </c>
      <c r="EO94" s="38">
        <f t="shared" si="165"/>
        <v>0</v>
      </c>
      <c r="EP94" s="38">
        <f t="shared" si="166"/>
        <v>406.88676659999999</v>
      </c>
      <c r="EQ94" s="38">
        <f t="shared" si="167"/>
        <v>186.33443663159997</v>
      </c>
      <c r="ER94" s="38">
        <f t="shared" si="168"/>
        <v>0</v>
      </c>
      <c r="ES94" s="38">
        <f t="shared" si="169"/>
        <v>0</v>
      </c>
      <c r="ET94" s="38">
        <f t="shared" si="170"/>
        <v>0</v>
      </c>
      <c r="EU94" s="38">
        <f t="shared" si="171"/>
        <v>0</v>
      </c>
      <c r="EV94" s="38">
        <f t="shared" si="172"/>
        <v>0</v>
      </c>
      <c r="EW94" s="38">
        <f t="shared" si="173"/>
        <v>12.5184789</v>
      </c>
      <c r="EX94" s="38">
        <f t="shared" si="174"/>
        <v>0</v>
      </c>
      <c r="EZ94" s="38">
        <f t="shared" si="175"/>
        <v>0</v>
      </c>
      <c r="FA94" s="38">
        <f t="shared" si="176"/>
        <v>0</v>
      </c>
      <c r="FB94" s="1">
        <f t="shared" si="269"/>
        <v>0</v>
      </c>
      <c r="FC94" s="1">
        <f t="shared" si="270"/>
        <v>0</v>
      </c>
      <c r="FD94" s="1">
        <f t="shared" si="271"/>
        <v>0</v>
      </c>
      <c r="FE94" s="1">
        <f t="shared" si="272"/>
        <v>0</v>
      </c>
      <c r="FF94" s="1">
        <f t="shared" si="273"/>
        <v>0</v>
      </c>
      <c r="FG94" s="1">
        <f t="shared" si="274"/>
        <v>0</v>
      </c>
      <c r="FH94" s="1">
        <f t="shared" si="275"/>
        <v>0</v>
      </c>
      <c r="FI94" s="1">
        <f t="shared" si="276"/>
        <v>0</v>
      </c>
      <c r="FJ94" s="1">
        <f t="shared" si="277"/>
        <v>0</v>
      </c>
      <c r="FK94" s="1">
        <f t="shared" si="278"/>
        <v>0</v>
      </c>
      <c r="FL94" s="1">
        <f t="shared" si="279"/>
        <v>0</v>
      </c>
      <c r="FM94" s="1">
        <f t="shared" si="280"/>
        <v>0</v>
      </c>
      <c r="FN94" s="1">
        <f t="shared" si="281"/>
        <v>0</v>
      </c>
      <c r="FO94" s="1">
        <f t="shared" si="282"/>
        <v>0</v>
      </c>
      <c r="FP94" s="1">
        <f t="shared" si="283"/>
        <v>0</v>
      </c>
      <c r="FQ94" s="1">
        <f t="shared" si="284"/>
        <v>0</v>
      </c>
      <c r="FS94" s="1">
        <f t="shared" si="285"/>
        <v>0</v>
      </c>
      <c r="FT94" s="1">
        <f t="shared" si="286"/>
        <v>0</v>
      </c>
      <c r="FU94" s="38">
        <f t="shared" si="195"/>
        <v>0</v>
      </c>
      <c r="FV94" s="38">
        <f t="shared" si="196"/>
        <v>0</v>
      </c>
      <c r="FW94" s="38">
        <f t="shared" si="197"/>
        <v>0</v>
      </c>
      <c r="FX94" s="38">
        <f t="shared" si="198"/>
        <v>0</v>
      </c>
      <c r="FY94" s="38">
        <f t="shared" si="199"/>
        <v>0</v>
      </c>
      <c r="FZ94" s="38">
        <f t="shared" si="200"/>
        <v>0</v>
      </c>
      <c r="GA94" s="38">
        <f t="shared" si="201"/>
        <v>0</v>
      </c>
      <c r="GB94" s="38">
        <f t="shared" si="202"/>
        <v>0</v>
      </c>
      <c r="GC94" s="38">
        <f t="shared" si="203"/>
        <v>0</v>
      </c>
      <c r="GD94" s="38">
        <f t="shared" si="204"/>
        <v>0</v>
      </c>
      <c r="GE94" s="38">
        <f t="shared" si="205"/>
        <v>0</v>
      </c>
      <c r="GF94" s="38">
        <f t="shared" si="206"/>
        <v>0</v>
      </c>
      <c r="GG94" s="38">
        <f t="shared" si="207"/>
        <v>0</v>
      </c>
      <c r="GH94" s="38">
        <f t="shared" si="208"/>
        <v>0</v>
      </c>
      <c r="GI94" s="38">
        <f t="shared" si="209"/>
        <v>0</v>
      </c>
      <c r="GJ94" s="38">
        <f t="shared" si="210"/>
        <v>0</v>
      </c>
      <c r="GL94" s="38">
        <f t="shared" si="211"/>
        <v>0</v>
      </c>
      <c r="GM94" s="38">
        <f t="shared" si="212"/>
        <v>0</v>
      </c>
      <c r="GN94" s="1" t="s">
        <v>2</v>
      </c>
      <c r="GO94" s="1">
        <f t="shared" si="294"/>
        <v>8.5530000000000008</v>
      </c>
      <c r="GP94" s="13">
        <f t="shared" si="295"/>
        <v>0.36276043493511045</v>
      </c>
      <c r="GQ94" s="41">
        <f t="shared" si="296"/>
        <v>31.026899999999998</v>
      </c>
      <c r="GR94" s="41">
        <f t="shared" si="297"/>
        <v>605.73968213159992</v>
      </c>
      <c r="GS94" s="14">
        <f t="shared" si="298"/>
        <v>70.821896659838643</v>
      </c>
      <c r="GT94" s="1">
        <f t="shared" si="287"/>
        <v>0</v>
      </c>
      <c r="GU94" s="1">
        <f t="shared" si="288"/>
        <v>18.213000000000001</v>
      </c>
      <c r="GV94" s="1">
        <f t="shared" si="289"/>
        <v>12.8139</v>
      </c>
      <c r="GW94" s="37">
        <f t="shared" si="299"/>
        <v>0</v>
      </c>
      <c r="GX94" s="37"/>
      <c r="GY94" s="37"/>
      <c r="GZ94" s="37"/>
      <c r="HB94" s="1">
        <f t="shared" si="290"/>
        <v>0</v>
      </c>
      <c r="HC94" s="1">
        <f t="shared" si="291"/>
        <v>0</v>
      </c>
      <c r="HD94" s="37" t="s">
        <v>2</v>
      </c>
      <c r="HE94" s="1" t="s">
        <v>31</v>
      </c>
      <c r="HF94" s="1" t="s">
        <v>867</v>
      </c>
      <c r="HG94" s="1" t="s">
        <v>867</v>
      </c>
      <c r="HI94" s="1" t="s">
        <v>96</v>
      </c>
      <c r="HJ94" s="37" t="s">
        <v>2</v>
      </c>
      <c r="JH94" s="58" t="s">
        <v>2</v>
      </c>
    </row>
    <row r="95" spans="1:268" ht="16.25" customHeight="1" x14ac:dyDescent="0.2">
      <c r="A95" s="21" t="s">
        <v>907</v>
      </c>
      <c r="B95" s="1" t="s">
        <v>69</v>
      </c>
      <c r="F95" s="1" t="s">
        <v>131</v>
      </c>
      <c r="I95" s="1">
        <v>0</v>
      </c>
      <c r="AD95" s="1">
        <v>0</v>
      </c>
      <c r="AY95" s="1">
        <v>16.8</v>
      </c>
      <c r="BG95" s="1">
        <v>0.6</v>
      </c>
      <c r="BT95" s="1">
        <v>0</v>
      </c>
      <c r="CO95" s="1">
        <v>0</v>
      </c>
      <c r="DJ95" s="1" t="s">
        <v>96</v>
      </c>
      <c r="DL95" s="1">
        <f t="shared" si="292"/>
        <v>0.6</v>
      </c>
      <c r="DM95" s="1">
        <f t="shared" si="293"/>
        <v>0</v>
      </c>
      <c r="DN95" s="1" t="s">
        <v>156</v>
      </c>
      <c r="DO95" s="1" t="s">
        <v>2</v>
      </c>
      <c r="DP95" s="38">
        <f t="shared" ref="DP95:DP158" si="300">(J95*$I95+AE95*$AD95+AZ95*$AY95)/100</f>
        <v>0</v>
      </c>
      <c r="DQ95" s="38">
        <f t="shared" ref="DQ95:DQ158" si="301">K95*$I95+AF95*$AD95+BA95*$AY95</f>
        <v>0</v>
      </c>
      <c r="DR95" s="38">
        <f t="shared" ref="DR95:DR158" si="302">L95*$I95+AG95*$AD95+BB95*$AY95</f>
        <v>0</v>
      </c>
      <c r="DS95" s="38">
        <f t="shared" ref="DS95:DS158" si="303">(M95*$I95+AH95*$AD95+BC95*$AY95)/100</f>
        <v>0</v>
      </c>
      <c r="DT95" s="38">
        <f t="shared" ref="DT95:DT158" si="304">(N95*$I95+AI95*$AD95+BD95*$AY95)/100</f>
        <v>0</v>
      </c>
      <c r="DU95" s="38">
        <f t="shared" ref="DU95:DU158" si="305">(O95*$I95+AJ95*$AD95+BE95*$AY95)/100</f>
        <v>0</v>
      </c>
      <c r="DV95" s="38">
        <f t="shared" ref="DV95:DV158" si="306">(P95*$I95+AK95*$AD95+BF95*$AY95)/100</f>
        <v>0</v>
      </c>
      <c r="DW95" s="38">
        <f t="shared" ref="DW95:DW158" si="307">(Q95*$I95+AL95*$AD95+BG95*$AY95)/100</f>
        <v>0.1008</v>
      </c>
      <c r="DX95" s="38">
        <f t="shared" ref="DX95:DX158" si="308">(R95*$I95+AM95*$AD95+BH95*$AY95)/100</f>
        <v>0</v>
      </c>
      <c r="DY95" s="38">
        <f t="shared" ref="DY95:DY158" si="309">S95*$I95+AN95*$AD95+BI95*$AY95</f>
        <v>0</v>
      </c>
      <c r="DZ95" s="38">
        <f t="shared" ref="DZ95:DZ158" si="310">T95*$I95+AO95*$AD95+BJ95*$AY95</f>
        <v>0</v>
      </c>
      <c r="EA95" s="38">
        <f t="shared" ref="EA95:EA158" si="311">U95*$I95+AP95*$AD95+BK95*$AY95</f>
        <v>0</v>
      </c>
      <c r="EB95" s="38">
        <f t="shared" ref="EB95:EB158" si="312">V95*$I95+AQ95*$AD95+BL95*$AY95</f>
        <v>0</v>
      </c>
      <c r="EC95" s="38">
        <f t="shared" ref="EC95:EC158" si="313">W95*$I95+AR95*$AD95+BM95*$AY95</f>
        <v>0</v>
      </c>
      <c r="ED95" s="38">
        <f t="shared" ref="ED95:ED158" si="314">(X95*$I95+AS95*$AD95+BN95*$AY95)/100</f>
        <v>0</v>
      </c>
      <c r="EE95" s="38">
        <f t="shared" ref="EE95:EE158" si="315">(Y95*$I95+AT95*$AD95+BO95*$AY95)/100</f>
        <v>0</v>
      </c>
      <c r="EG95" s="38">
        <f t="shared" ref="EG95:EG158" si="316">AA95*$I95+AV95*$AD95+BQ95*$AY95</f>
        <v>0</v>
      </c>
      <c r="EH95" s="38">
        <f t="shared" ref="EH95:EH158" si="317">(AB95*$I95+AW95*$AD95+BR95*$AY95)/100</f>
        <v>0</v>
      </c>
      <c r="EI95" s="38">
        <f t="shared" ref="EI95:EI158" si="318">EI$1*DP95</f>
        <v>0</v>
      </c>
      <c r="EJ95" s="38">
        <f t="shared" ref="EJ95:EJ158" si="319">EJ$1*DQ95/1000000</f>
        <v>0</v>
      </c>
      <c r="EK95" s="38">
        <f t="shared" ref="EK95:EK158" si="320">EK$1*DR95/1000000</f>
        <v>0</v>
      </c>
      <c r="EL95" s="38">
        <f t="shared" ref="EL95:EL158" si="321">EL$1*DS95</f>
        <v>0</v>
      </c>
      <c r="EM95" s="38">
        <f t="shared" ref="EM95:EM158" si="322">EM$1*DT95</f>
        <v>0</v>
      </c>
      <c r="EN95" s="38">
        <f t="shared" ref="EN95:EN158" si="323">EN$1*DU95</f>
        <v>0</v>
      </c>
      <c r="EO95" s="38">
        <f t="shared" ref="EO95:EO158" si="324">EO$1*DV95</f>
        <v>0</v>
      </c>
      <c r="EP95" s="38">
        <f t="shared" ref="EP95:EP158" si="325">EP$1*DW95</f>
        <v>1321.8912</v>
      </c>
      <c r="EQ95" s="38">
        <f t="shared" ref="EQ95:EQ158" si="326">EQ$1*DX95</f>
        <v>0</v>
      </c>
      <c r="ER95" s="38">
        <f t="shared" ref="ER95:ER158" si="327">ER$1*DY95/1000000</f>
        <v>0</v>
      </c>
      <c r="ES95" s="38">
        <f t="shared" ref="ES95:ES158" si="328">ES$1*DZ95/1000000</f>
        <v>0</v>
      </c>
      <c r="ET95" s="38">
        <f t="shared" ref="ET95:ET158" si="329">ET$1*EA95/1000000</f>
        <v>0</v>
      </c>
      <c r="EU95" s="38">
        <f t="shared" ref="EU95:EU158" si="330">EU$1*EB95/1000000</f>
        <v>0</v>
      </c>
      <c r="EV95" s="38">
        <f t="shared" ref="EV95:EV158" si="331">EV$1*EC95/1000000</f>
        <v>0</v>
      </c>
      <c r="EW95" s="38">
        <f t="shared" ref="EW95:EW158" si="332">EW$1*ED95</f>
        <v>0</v>
      </c>
      <c r="EX95" s="38">
        <f t="shared" ref="EX95:EX158" si="333">EX$1*EE95</f>
        <v>0</v>
      </c>
      <c r="EZ95" s="38">
        <f t="shared" ref="EZ95:EZ158" si="334">EZ$1*EG95/1000000</f>
        <v>0</v>
      </c>
      <c r="FA95" s="38">
        <f t="shared" ref="FA95:FA158" si="335">FA$1*EH95</f>
        <v>0</v>
      </c>
      <c r="FB95" s="1">
        <f t="shared" ref="FB95:FB158" si="336">(BU95*$BT95+CP95*$CO95)/100</f>
        <v>0</v>
      </c>
      <c r="FC95" s="1">
        <f t="shared" ref="FC95:FC158" si="337">BV95*$BT95+CQ95*$CO95</f>
        <v>0</v>
      </c>
      <c r="FD95" s="1">
        <f t="shared" ref="FD95:FD158" si="338">BW95*$BT95+CR95*$CO95</f>
        <v>0</v>
      </c>
      <c r="FE95" s="1">
        <f t="shared" ref="FE95:FE158" si="339">(BX95*$BT95+CS95*$CO95)/100</f>
        <v>0</v>
      </c>
      <c r="FF95" s="1">
        <f t="shared" ref="FF95:FF158" si="340">(BY95*$BT95+CT95*$CO95)/100</f>
        <v>0</v>
      </c>
      <c r="FG95" s="1">
        <f t="shared" ref="FG95:FG158" si="341">(BZ95*$BT95+CU95*$CO95)/100</f>
        <v>0</v>
      </c>
      <c r="FH95" s="1">
        <f t="shared" ref="FH95:FH158" si="342">(CA95*$BT95+CV95*$CO95)/100</f>
        <v>0</v>
      </c>
      <c r="FI95" s="1">
        <f t="shared" ref="FI95:FI158" si="343">(CB95*$BT95+CW95*$CO95)/100</f>
        <v>0</v>
      </c>
      <c r="FJ95" s="1">
        <f t="shared" ref="FJ95:FJ158" si="344">(CC95*$BT95+CX95*$CO95)/100</f>
        <v>0</v>
      </c>
      <c r="FK95" s="1">
        <f t="shared" ref="FK95:FK158" si="345">CD95*$BT95+CY95*$CO95</f>
        <v>0</v>
      </c>
      <c r="FL95" s="1">
        <f t="shared" ref="FL95:FL158" si="346">CE95*$BT95+CZ95*$CO95</f>
        <v>0</v>
      </c>
      <c r="FM95" s="1">
        <f t="shared" ref="FM95:FM158" si="347">CF95*$BT95+DA95*$CO95</f>
        <v>0</v>
      </c>
      <c r="FN95" s="1">
        <f t="shared" ref="FN95:FN158" si="348">CG95*$BT95+DB95*$CO95</f>
        <v>0</v>
      </c>
      <c r="FO95" s="1">
        <f t="shared" ref="FO95:FO158" si="349">CH95*$BT95+DC95*$CO95</f>
        <v>0</v>
      </c>
      <c r="FP95" s="1">
        <f t="shared" ref="FP95:FP158" si="350">(CI95*$BT95+DD95*$CO95)/100</f>
        <v>0</v>
      </c>
      <c r="FQ95" s="1">
        <f t="shared" ref="FQ95:FQ158" si="351">(CJ95*$BT95+DE95*$CO95)/100</f>
        <v>0</v>
      </c>
      <c r="FS95" s="1">
        <f t="shared" ref="FS95:FS158" si="352">CL95*$BT95+DG95*$CO95</f>
        <v>0</v>
      </c>
      <c r="FT95" s="1">
        <f t="shared" ref="FT95:FT158" si="353">(CM95*$BT95+DH95*$CO95)/100</f>
        <v>0</v>
      </c>
      <c r="FU95" s="38">
        <f t="shared" ref="FU95:FU158" si="354">FU$1*FB95</f>
        <v>0</v>
      </c>
      <c r="FV95" s="38">
        <f t="shared" ref="FV95:FV158" si="355">FV$1*FC95/1000000</f>
        <v>0</v>
      </c>
      <c r="FW95" s="38">
        <f t="shared" ref="FW95:FW158" si="356">FW$1*FD95/1000000</f>
        <v>0</v>
      </c>
      <c r="FX95" s="38">
        <f t="shared" ref="FX95:FX158" si="357">FX$1*FE95</f>
        <v>0</v>
      </c>
      <c r="FY95" s="38">
        <f t="shared" ref="FY95:FY158" si="358">FY$1*FF95</f>
        <v>0</v>
      </c>
      <c r="FZ95" s="38">
        <f t="shared" ref="FZ95:FZ158" si="359">FZ$1*FG95</f>
        <v>0</v>
      </c>
      <c r="GA95" s="38">
        <f t="shared" ref="GA95:GA158" si="360">GA$1*FH95</f>
        <v>0</v>
      </c>
      <c r="GB95" s="38">
        <f t="shared" ref="GB95:GB158" si="361">GB$1*FI95</f>
        <v>0</v>
      </c>
      <c r="GC95" s="38">
        <f t="shared" ref="GC95:GC158" si="362">GC$1*FJ95</f>
        <v>0</v>
      </c>
      <c r="GD95" s="38">
        <f t="shared" ref="GD95:GD158" si="363">GD$1*FK95/1000000</f>
        <v>0</v>
      </c>
      <c r="GE95" s="38">
        <f t="shared" ref="GE95:GE158" si="364">GE$1*FL95/1000000</f>
        <v>0</v>
      </c>
      <c r="GF95" s="38">
        <f t="shared" ref="GF95:GF158" si="365">GF$1*FM95/1000000</f>
        <v>0</v>
      </c>
      <c r="GG95" s="38">
        <f t="shared" ref="GG95:GG158" si="366">GG$1*FN95/1000000</f>
        <v>0</v>
      </c>
      <c r="GH95" s="38">
        <f t="shared" ref="GH95:GH158" si="367">GH$1*FO95/1000000</f>
        <v>0</v>
      </c>
      <c r="GI95" s="38">
        <f t="shared" ref="GI95:GI158" si="368">GI$1*FP95</f>
        <v>0</v>
      </c>
      <c r="GJ95" s="38">
        <f t="shared" ref="GJ95:GJ158" si="369">GJ$1*FQ95</f>
        <v>0</v>
      </c>
      <c r="GL95" s="38">
        <f t="shared" ref="GL95:GL158" si="370">GL$1*FS95/1000000</f>
        <v>0</v>
      </c>
      <c r="GM95" s="38">
        <f t="shared" ref="GM95:GM158" si="371">GM$1*FT95</f>
        <v>0</v>
      </c>
      <c r="GN95" s="1" t="s">
        <v>2</v>
      </c>
      <c r="GO95" s="1">
        <f t="shared" si="294"/>
        <v>16.8</v>
      </c>
      <c r="GP95" s="1">
        <f t="shared" si="295"/>
        <v>0.6</v>
      </c>
      <c r="GQ95" s="41">
        <f t="shared" si="296"/>
        <v>100.8</v>
      </c>
      <c r="GR95" s="41">
        <f t="shared" si="297"/>
        <v>1321.8912</v>
      </c>
      <c r="GS95" s="14">
        <f t="shared" si="298"/>
        <v>78.683999999999997</v>
      </c>
      <c r="GT95" s="1">
        <f t="shared" ref="GT95:GT158" si="372">1000*(Q95*$I95)/100</f>
        <v>0</v>
      </c>
      <c r="GU95" s="1">
        <f t="shared" ref="GU95:GU158" si="373">1000*(AL95*$AD95)/100</f>
        <v>0</v>
      </c>
      <c r="GV95" s="1">
        <f t="shared" ref="GV95:GV158" si="374">1000*(BG95*$AY95)/100</f>
        <v>100.8</v>
      </c>
      <c r="GW95" s="37">
        <f t="shared" si="299"/>
        <v>0</v>
      </c>
      <c r="GX95" s="37"/>
      <c r="GY95" s="37"/>
      <c r="GZ95" s="37"/>
      <c r="HB95" s="1">
        <f t="shared" ref="HB95:HB158" si="375">1000*(CB95*$BT95)/100</f>
        <v>0</v>
      </c>
      <c r="HC95" s="1">
        <f t="shared" ref="HC95:HC158" si="376">1000*(CW95*$CO95)/100</f>
        <v>0</v>
      </c>
      <c r="HD95" s="37" t="s">
        <v>2</v>
      </c>
      <c r="HE95" s="1" t="s">
        <v>31</v>
      </c>
      <c r="HF95" s="1" t="s">
        <v>867</v>
      </c>
      <c r="HI95" s="1" t="s">
        <v>96</v>
      </c>
      <c r="HJ95" s="37" t="s">
        <v>2</v>
      </c>
      <c r="JH95" s="58" t="s">
        <v>2</v>
      </c>
    </row>
    <row r="96" spans="1:268" ht="16.25" customHeight="1" x14ac:dyDescent="0.2">
      <c r="A96" s="21" t="s">
        <v>613</v>
      </c>
      <c r="B96" s="1" t="s">
        <v>64</v>
      </c>
      <c r="F96" s="1" t="s">
        <v>611</v>
      </c>
      <c r="I96" s="1">
        <v>0</v>
      </c>
      <c r="AD96" s="1">
        <f>8.3+1.6</f>
        <v>9.9</v>
      </c>
      <c r="AL96" s="13">
        <f>(1.26*8.3+1.27*1.6)/AD96</f>
        <v>1.2616161616161616</v>
      </c>
      <c r="AY96" s="1">
        <v>5.3</v>
      </c>
      <c r="BG96" s="1">
        <v>1.21</v>
      </c>
      <c r="BT96" s="1">
        <v>0</v>
      </c>
      <c r="CO96" s="1">
        <v>8.3000000000000007</v>
      </c>
      <c r="CW96" s="1">
        <v>1.26</v>
      </c>
      <c r="DJ96" s="1" t="s">
        <v>96</v>
      </c>
      <c r="DL96" s="1">
        <f t="shared" si="292"/>
        <v>1.2436184210526315</v>
      </c>
      <c r="DM96" s="1">
        <f t="shared" si="293"/>
        <v>0</v>
      </c>
      <c r="DN96" s="1" t="s">
        <v>73</v>
      </c>
      <c r="DO96" s="1" t="s">
        <v>2</v>
      </c>
      <c r="DP96" s="38">
        <f t="shared" si="300"/>
        <v>0</v>
      </c>
      <c r="DQ96" s="38">
        <f t="shared" si="301"/>
        <v>0</v>
      </c>
      <c r="DR96" s="38">
        <f t="shared" si="302"/>
        <v>0</v>
      </c>
      <c r="DS96" s="38">
        <f t="shared" si="303"/>
        <v>0</v>
      </c>
      <c r="DT96" s="38">
        <f t="shared" si="304"/>
        <v>0</v>
      </c>
      <c r="DU96" s="38">
        <f t="shared" si="305"/>
        <v>0</v>
      </c>
      <c r="DV96" s="38">
        <f t="shared" si="306"/>
        <v>0</v>
      </c>
      <c r="DW96" s="38">
        <f t="shared" si="307"/>
        <v>0.18902999999999998</v>
      </c>
      <c r="DX96" s="38">
        <f t="shared" si="308"/>
        <v>0</v>
      </c>
      <c r="DY96" s="38">
        <f t="shared" si="309"/>
        <v>0</v>
      </c>
      <c r="DZ96" s="38">
        <f t="shared" si="310"/>
        <v>0</v>
      </c>
      <c r="EA96" s="38">
        <f t="shared" si="311"/>
        <v>0</v>
      </c>
      <c r="EB96" s="38">
        <f t="shared" si="312"/>
        <v>0</v>
      </c>
      <c r="EC96" s="38">
        <f t="shared" si="313"/>
        <v>0</v>
      </c>
      <c r="ED96" s="38">
        <f t="shared" si="314"/>
        <v>0</v>
      </c>
      <c r="EE96" s="38">
        <f t="shared" si="315"/>
        <v>0</v>
      </c>
      <c r="EG96" s="38">
        <f t="shared" si="316"/>
        <v>0</v>
      </c>
      <c r="EH96" s="38">
        <f t="shared" si="317"/>
        <v>0</v>
      </c>
      <c r="EI96" s="38">
        <f t="shared" si="318"/>
        <v>0</v>
      </c>
      <c r="EJ96" s="38">
        <f t="shared" si="319"/>
        <v>0</v>
      </c>
      <c r="EK96" s="38">
        <f t="shared" si="320"/>
        <v>0</v>
      </c>
      <c r="EL96" s="38">
        <f t="shared" si="321"/>
        <v>0</v>
      </c>
      <c r="EM96" s="38">
        <f t="shared" si="322"/>
        <v>0</v>
      </c>
      <c r="EN96" s="38">
        <f t="shared" si="323"/>
        <v>0</v>
      </c>
      <c r="EO96" s="38">
        <f t="shared" si="324"/>
        <v>0</v>
      </c>
      <c r="EP96" s="38">
        <f t="shared" si="325"/>
        <v>2478.9394199999997</v>
      </c>
      <c r="EQ96" s="38">
        <f t="shared" si="326"/>
        <v>0</v>
      </c>
      <c r="ER96" s="38">
        <f t="shared" si="327"/>
        <v>0</v>
      </c>
      <c r="ES96" s="38">
        <f t="shared" si="328"/>
        <v>0</v>
      </c>
      <c r="ET96" s="38">
        <f t="shared" si="329"/>
        <v>0</v>
      </c>
      <c r="EU96" s="38">
        <f t="shared" si="330"/>
        <v>0</v>
      </c>
      <c r="EV96" s="38">
        <f t="shared" si="331"/>
        <v>0</v>
      </c>
      <c r="EW96" s="38">
        <f t="shared" si="332"/>
        <v>0</v>
      </c>
      <c r="EX96" s="38">
        <f t="shared" si="333"/>
        <v>0</v>
      </c>
      <c r="EZ96" s="38">
        <f t="shared" si="334"/>
        <v>0</v>
      </c>
      <c r="FA96" s="38">
        <f t="shared" si="335"/>
        <v>0</v>
      </c>
      <c r="FB96" s="1">
        <f t="shared" si="336"/>
        <v>0</v>
      </c>
      <c r="FC96" s="1">
        <f t="shared" si="337"/>
        <v>0</v>
      </c>
      <c r="FD96" s="1">
        <f t="shared" si="338"/>
        <v>0</v>
      </c>
      <c r="FE96" s="1">
        <f t="shared" si="339"/>
        <v>0</v>
      </c>
      <c r="FF96" s="1">
        <f t="shared" si="340"/>
        <v>0</v>
      </c>
      <c r="FG96" s="1">
        <f t="shared" si="341"/>
        <v>0</v>
      </c>
      <c r="FH96" s="1">
        <f t="shared" si="342"/>
        <v>0</v>
      </c>
      <c r="FI96" s="1">
        <f t="shared" si="343"/>
        <v>0.10458000000000001</v>
      </c>
      <c r="FJ96" s="1">
        <f t="shared" si="344"/>
        <v>0</v>
      </c>
      <c r="FK96" s="1">
        <f t="shared" si="345"/>
        <v>0</v>
      </c>
      <c r="FL96" s="1">
        <f t="shared" si="346"/>
        <v>0</v>
      </c>
      <c r="FM96" s="1">
        <f t="shared" si="347"/>
        <v>0</v>
      </c>
      <c r="FN96" s="1">
        <f t="shared" si="348"/>
        <v>0</v>
      </c>
      <c r="FO96" s="1">
        <f t="shared" si="349"/>
        <v>0</v>
      </c>
      <c r="FP96" s="1">
        <f t="shared" si="350"/>
        <v>0</v>
      </c>
      <c r="FQ96" s="1">
        <f t="shared" si="351"/>
        <v>0</v>
      </c>
      <c r="FS96" s="1">
        <f t="shared" si="352"/>
        <v>0</v>
      </c>
      <c r="FT96" s="1">
        <f t="shared" si="353"/>
        <v>0</v>
      </c>
      <c r="FU96" s="38">
        <f t="shared" si="354"/>
        <v>0</v>
      </c>
      <c r="FV96" s="38">
        <f t="shared" si="355"/>
        <v>0</v>
      </c>
      <c r="FW96" s="38">
        <f t="shared" si="356"/>
        <v>0</v>
      </c>
      <c r="FX96" s="38">
        <f t="shared" si="357"/>
        <v>0</v>
      </c>
      <c r="FY96" s="38">
        <f t="shared" si="358"/>
        <v>0</v>
      </c>
      <c r="FZ96" s="38">
        <f t="shared" si="359"/>
        <v>0</v>
      </c>
      <c r="GA96" s="38">
        <f t="shared" si="360"/>
        <v>0</v>
      </c>
      <c r="GB96" s="38">
        <f t="shared" si="361"/>
        <v>1371.4621200000001</v>
      </c>
      <c r="GC96" s="38">
        <f t="shared" si="362"/>
        <v>0</v>
      </c>
      <c r="GD96" s="38">
        <f t="shared" si="363"/>
        <v>0</v>
      </c>
      <c r="GE96" s="38">
        <f t="shared" si="364"/>
        <v>0</v>
      </c>
      <c r="GF96" s="38">
        <f t="shared" si="365"/>
        <v>0</v>
      </c>
      <c r="GG96" s="38">
        <f t="shared" si="366"/>
        <v>0</v>
      </c>
      <c r="GH96" s="38">
        <f t="shared" si="367"/>
        <v>0</v>
      </c>
      <c r="GI96" s="38">
        <f t="shared" si="368"/>
        <v>0</v>
      </c>
      <c r="GJ96" s="38">
        <f t="shared" si="369"/>
        <v>0</v>
      </c>
      <c r="GL96" s="38">
        <f t="shared" si="370"/>
        <v>0</v>
      </c>
      <c r="GM96" s="38">
        <f t="shared" si="371"/>
        <v>0</v>
      </c>
      <c r="GN96" s="1" t="s">
        <v>2</v>
      </c>
      <c r="GO96" s="1">
        <f t="shared" si="294"/>
        <v>15.2</v>
      </c>
      <c r="GP96" s="13">
        <f t="shared" si="295"/>
        <v>1.2436184210526315</v>
      </c>
      <c r="GQ96" s="41">
        <f t="shared" si="296"/>
        <v>189.03</v>
      </c>
      <c r="GR96" s="41">
        <f t="shared" si="297"/>
        <v>2478.9394199999997</v>
      </c>
      <c r="GS96" s="14">
        <f t="shared" si="298"/>
        <v>163.08811973684209</v>
      </c>
      <c r="GT96" s="1">
        <f t="shared" si="372"/>
        <v>0</v>
      </c>
      <c r="GU96" s="1">
        <f t="shared" si="373"/>
        <v>124.9</v>
      </c>
      <c r="GV96" s="1">
        <f t="shared" si="374"/>
        <v>64.13</v>
      </c>
      <c r="GW96" s="37">
        <f t="shared" si="299"/>
        <v>8.3000000000000007</v>
      </c>
      <c r="GX96" s="44">
        <f>(BT96*CB96+CO96*CW96)/GW96</f>
        <v>1.26</v>
      </c>
      <c r="GY96" s="41">
        <f>1000*GW96*GX96/100</f>
        <v>104.58</v>
      </c>
      <c r="GZ96" s="41">
        <f>SUM(FU96:GM96)</f>
        <v>1371.4621200000001</v>
      </c>
      <c r="HA96" s="14">
        <f>GZ96/GW96</f>
        <v>165.2364</v>
      </c>
      <c r="HB96" s="1">
        <f t="shared" si="375"/>
        <v>0</v>
      </c>
      <c r="HC96" s="1">
        <f t="shared" si="376"/>
        <v>104.58</v>
      </c>
      <c r="HD96" s="37" t="s">
        <v>2</v>
      </c>
      <c r="HE96" s="1" t="s">
        <v>31</v>
      </c>
      <c r="HF96" s="1" t="s">
        <v>614</v>
      </c>
      <c r="HG96" s="1" t="s">
        <v>614</v>
      </c>
      <c r="HI96" s="1" t="s">
        <v>96</v>
      </c>
      <c r="HJ96" s="37" t="s">
        <v>2</v>
      </c>
      <c r="JH96" s="58" t="s">
        <v>2</v>
      </c>
    </row>
    <row r="97" spans="1:268" ht="16.25" customHeight="1" x14ac:dyDescent="0.2">
      <c r="A97" s="21" t="s">
        <v>1120</v>
      </c>
      <c r="B97" s="1" t="s">
        <v>69</v>
      </c>
      <c r="F97" s="1" t="s">
        <v>1121</v>
      </c>
      <c r="I97" s="1">
        <v>0</v>
      </c>
      <c r="AD97" s="14">
        <v>3</v>
      </c>
      <c r="AL97" s="1">
        <v>1.49</v>
      </c>
      <c r="AY97" s="1">
        <v>3.2</v>
      </c>
      <c r="BG97" s="1">
        <v>1.5</v>
      </c>
      <c r="BT97" s="1">
        <v>0</v>
      </c>
      <c r="CO97" s="1">
        <v>0</v>
      </c>
      <c r="DJ97" s="1" t="s">
        <v>96</v>
      </c>
      <c r="DL97" s="1">
        <f t="shared" si="292"/>
        <v>1.4951612903225806</v>
      </c>
      <c r="DM97" s="1">
        <f t="shared" si="293"/>
        <v>0</v>
      </c>
      <c r="DN97" s="1" t="s">
        <v>67</v>
      </c>
      <c r="DO97" s="1" t="s">
        <v>2</v>
      </c>
      <c r="DP97" s="38">
        <f t="shared" si="300"/>
        <v>0</v>
      </c>
      <c r="DQ97" s="38">
        <f t="shared" si="301"/>
        <v>0</v>
      </c>
      <c r="DR97" s="38">
        <f t="shared" si="302"/>
        <v>0</v>
      </c>
      <c r="DS97" s="38">
        <f t="shared" si="303"/>
        <v>0</v>
      </c>
      <c r="DT97" s="38">
        <f t="shared" si="304"/>
        <v>0</v>
      </c>
      <c r="DU97" s="38">
        <f t="shared" si="305"/>
        <v>0</v>
      </c>
      <c r="DV97" s="38">
        <f t="shared" si="306"/>
        <v>0</v>
      </c>
      <c r="DW97" s="38">
        <f t="shared" si="307"/>
        <v>9.2699999999999991E-2</v>
      </c>
      <c r="DX97" s="38">
        <f t="shared" si="308"/>
        <v>0</v>
      </c>
      <c r="DY97" s="38">
        <f t="shared" si="309"/>
        <v>0</v>
      </c>
      <c r="DZ97" s="38">
        <f t="shared" si="310"/>
        <v>0</v>
      </c>
      <c r="EA97" s="38">
        <f t="shared" si="311"/>
        <v>0</v>
      </c>
      <c r="EB97" s="38">
        <f t="shared" si="312"/>
        <v>0</v>
      </c>
      <c r="EC97" s="38">
        <f t="shared" si="313"/>
        <v>0</v>
      </c>
      <c r="ED97" s="38">
        <f t="shared" si="314"/>
        <v>0</v>
      </c>
      <c r="EE97" s="38">
        <f t="shared" si="315"/>
        <v>0</v>
      </c>
      <c r="EG97" s="38">
        <f t="shared" si="316"/>
        <v>0</v>
      </c>
      <c r="EH97" s="38">
        <f t="shared" si="317"/>
        <v>0</v>
      </c>
      <c r="EI97" s="38">
        <f t="shared" si="318"/>
        <v>0</v>
      </c>
      <c r="EJ97" s="38">
        <f t="shared" si="319"/>
        <v>0</v>
      </c>
      <c r="EK97" s="38">
        <f t="shared" si="320"/>
        <v>0</v>
      </c>
      <c r="EL97" s="38">
        <f t="shared" si="321"/>
        <v>0</v>
      </c>
      <c r="EM97" s="38">
        <f t="shared" si="322"/>
        <v>0</v>
      </c>
      <c r="EN97" s="38">
        <f t="shared" si="323"/>
        <v>0</v>
      </c>
      <c r="EO97" s="38">
        <f t="shared" si="324"/>
        <v>0</v>
      </c>
      <c r="EP97" s="38">
        <f t="shared" si="325"/>
        <v>1215.6677999999999</v>
      </c>
      <c r="EQ97" s="38">
        <f t="shared" si="326"/>
        <v>0</v>
      </c>
      <c r="ER97" s="38">
        <f t="shared" si="327"/>
        <v>0</v>
      </c>
      <c r="ES97" s="38">
        <f t="shared" si="328"/>
        <v>0</v>
      </c>
      <c r="ET97" s="38">
        <f t="shared" si="329"/>
        <v>0</v>
      </c>
      <c r="EU97" s="38">
        <f t="shared" si="330"/>
        <v>0</v>
      </c>
      <c r="EV97" s="38">
        <f t="shared" si="331"/>
        <v>0</v>
      </c>
      <c r="EW97" s="38">
        <f t="shared" si="332"/>
        <v>0</v>
      </c>
      <c r="EX97" s="38">
        <f t="shared" si="333"/>
        <v>0</v>
      </c>
      <c r="EZ97" s="38">
        <f t="shared" si="334"/>
        <v>0</v>
      </c>
      <c r="FA97" s="38">
        <f t="shared" si="335"/>
        <v>0</v>
      </c>
      <c r="FB97" s="1">
        <f t="shared" si="336"/>
        <v>0</v>
      </c>
      <c r="FC97" s="1">
        <f t="shared" si="337"/>
        <v>0</v>
      </c>
      <c r="FD97" s="1">
        <f t="shared" si="338"/>
        <v>0</v>
      </c>
      <c r="FE97" s="1">
        <f t="shared" si="339"/>
        <v>0</v>
      </c>
      <c r="FF97" s="1">
        <f t="shared" si="340"/>
        <v>0</v>
      </c>
      <c r="FG97" s="1">
        <f t="shared" si="341"/>
        <v>0</v>
      </c>
      <c r="FH97" s="1">
        <f t="shared" si="342"/>
        <v>0</v>
      </c>
      <c r="FI97" s="1">
        <f t="shared" si="343"/>
        <v>0</v>
      </c>
      <c r="FJ97" s="1">
        <f t="shared" si="344"/>
        <v>0</v>
      </c>
      <c r="FK97" s="1">
        <f t="shared" si="345"/>
        <v>0</v>
      </c>
      <c r="FL97" s="1">
        <f t="shared" si="346"/>
        <v>0</v>
      </c>
      <c r="FM97" s="1">
        <f t="shared" si="347"/>
        <v>0</v>
      </c>
      <c r="FN97" s="1">
        <f t="shared" si="348"/>
        <v>0</v>
      </c>
      <c r="FO97" s="1">
        <f t="shared" si="349"/>
        <v>0</v>
      </c>
      <c r="FP97" s="1">
        <f t="shared" si="350"/>
        <v>0</v>
      </c>
      <c r="FQ97" s="1">
        <f t="shared" si="351"/>
        <v>0</v>
      </c>
      <c r="FS97" s="1">
        <f t="shared" si="352"/>
        <v>0</v>
      </c>
      <c r="FT97" s="1">
        <f t="shared" si="353"/>
        <v>0</v>
      </c>
      <c r="FU97" s="38">
        <f t="shared" si="354"/>
        <v>0</v>
      </c>
      <c r="FV97" s="38">
        <f t="shared" si="355"/>
        <v>0</v>
      </c>
      <c r="FW97" s="38">
        <f t="shared" si="356"/>
        <v>0</v>
      </c>
      <c r="FX97" s="38">
        <f t="shared" si="357"/>
        <v>0</v>
      </c>
      <c r="FY97" s="38">
        <f t="shared" si="358"/>
        <v>0</v>
      </c>
      <c r="FZ97" s="38">
        <f t="shared" si="359"/>
        <v>0</v>
      </c>
      <c r="GA97" s="38">
        <f t="shared" si="360"/>
        <v>0</v>
      </c>
      <c r="GB97" s="38">
        <f t="shared" si="361"/>
        <v>0</v>
      </c>
      <c r="GC97" s="38">
        <f t="shared" si="362"/>
        <v>0</v>
      </c>
      <c r="GD97" s="38">
        <f t="shared" si="363"/>
        <v>0</v>
      </c>
      <c r="GE97" s="38">
        <f t="shared" si="364"/>
        <v>0</v>
      </c>
      <c r="GF97" s="38">
        <f t="shared" si="365"/>
        <v>0</v>
      </c>
      <c r="GG97" s="38">
        <f t="shared" si="366"/>
        <v>0</v>
      </c>
      <c r="GH97" s="38">
        <f t="shared" si="367"/>
        <v>0</v>
      </c>
      <c r="GI97" s="38">
        <f t="shared" si="368"/>
        <v>0</v>
      </c>
      <c r="GJ97" s="38">
        <f t="shared" si="369"/>
        <v>0</v>
      </c>
      <c r="GL97" s="38">
        <f t="shared" si="370"/>
        <v>0</v>
      </c>
      <c r="GM97" s="38">
        <f t="shared" si="371"/>
        <v>0</v>
      </c>
      <c r="GN97" s="1" t="s">
        <v>2</v>
      </c>
      <c r="GO97" s="1">
        <f t="shared" si="294"/>
        <v>6.2</v>
      </c>
      <c r="GP97" s="13">
        <f t="shared" si="295"/>
        <v>1.4951612903225806</v>
      </c>
      <c r="GQ97" s="41">
        <f t="shared" si="296"/>
        <v>92.7</v>
      </c>
      <c r="GR97" s="41">
        <f t="shared" si="297"/>
        <v>1215.6677999999999</v>
      </c>
      <c r="GS97" s="14">
        <f t="shared" si="298"/>
        <v>196.07545161290321</v>
      </c>
      <c r="GT97" s="1">
        <f t="shared" si="372"/>
        <v>0</v>
      </c>
      <c r="GU97" s="1">
        <f t="shared" si="373"/>
        <v>44.7</v>
      </c>
      <c r="GV97" s="1">
        <f t="shared" si="374"/>
        <v>48.000000000000007</v>
      </c>
      <c r="GW97" s="37">
        <f t="shared" si="299"/>
        <v>0</v>
      </c>
      <c r="GX97" s="37"/>
      <c r="GY97" s="37"/>
      <c r="GZ97" s="37"/>
      <c r="HB97" s="1">
        <f t="shared" si="375"/>
        <v>0</v>
      </c>
      <c r="HC97" s="1">
        <f t="shared" si="376"/>
        <v>0</v>
      </c>
      <c r="HD97" s="37" t="s">
        <v>2</v>
      </c>
      <c r="HE97" s="1" t="s">
        <v>31</v>
      </c>
      <c r="HF97" s="1" t="s">
        <v>614</v>
      </c>
      <c r="HG97" s="1" t="s">
        <v>614</v>
      </c>
      <c r="HI97" s="1" t="s">
        <v>96</v>
      </c>
      <c r="HJ97" s="37" t="s">
        <v>2</v>
      </c>
      <c r="JH97" s="58" t="s">
        <v>2</v>
      </c>
    </row>
    <row r="98" spans="1:268" ht="16.25" customHeight="1" x14ac:dyDescent="0.2">
      <c r="A98" s="21" t="s">
        <v>581</v>
      </c>
      <c r="B98" s="1" t="s">
        <v>69</v>
      </c>
      <c r="F98" s="1" t="s">
        <v>582</v>
      </c>
      <c r="I98" s="1">
        <v>18.167999999999999</v>
      </c>
      <c r="Q98" s="1">
        <v>1.44</v>
      </c>
      <c r="R98" s="1">
        <v>0.05</v>
      </c>
      <c r="Y98" s="1">
        <v>16.260000000000002</v>
      </c>
      <c r="AD98" s="14">
        <v>101.169</v>
      </c>
      <c r="AL98" s="1">
        <v>1.25</v>
      </c>
      <c r="AM98" s="1">
        <v>0.06</v>
      </c>
      <c r="AT98" s="1">
        <v>19.39</v>
      </c>
      <c r="AY98" s="1">
        <v>12.92</v>
      </c>
      <c r="BG98" s="1">
        <v>1.19</v>
      </c>
      <c r="BH98" s="1">
        <v>0.06</v>
      </c>
      <c r="BO98" s="1">
        <v>20.21</v>
      </c>
      <c r="BT98" s="1">
        <v>0</v>
      </c>
      <c r="CO98" s="1">
        <v>0</v>
      </c>
      <c r="DJ98" s="1" t="s">
        <v>96</v>
      </c>
      <c r="DK98" s="1" t="s">
        <v>96</v>
      </c>
      <c r="DL98" s="1">
        <f t="shared" si="292"/>
        <v>1.2702387775316242</v>
      </c>
      <c r="DM98" s="1">
        <f t="shared" si="293"/>
        <v>5.8626310894697456E-2</v>
      </c>
      <c r="DN98" s="1" t="s">
        <v>583</v>
      </c>
      <c r="DO98" s="1" t="s">
        <v>2</v>
      </c>
      <c r="DP98" s="38">
        <f t="shared" si="300"/>
        <v>0</v>
      </c>
      <c r="DQ98" s="38">
        <f t="shared" si="301"/>
        <v>0</v>
      </c>
      <c r="DR98" s="38">
        <f t="shared" si="302"/>
        <v>0</v>
      </c>
      <c r="DS98" s="38">
        <f t="shared" si="303"/>
        <v>0</v>
      </c>
      <c r="DT98" s="38">
        <f t="shared" si="304"/>
        <v>0</v>
      </c>
      <c r="DU98" s="38">
        <f t="shared" si="305"/>
        <v>0</v>
      </c>
      <c r="DV98" s="38">
        <f t="shared" si="306"/>
        <v>0</v>
      </c>
      <c r="DW98" s="38">
        <f t="shared" si="307"/>
        <v>1.6799796999999999</v>
      </c>
      <c r="DX98" s="38">
        <f t="shared" si="308"/>
        <v>7.7537399999999992E-2</v>
      </c>
      <c r="DY98" s="38">
        <f t="shared" si="309"/>
        <v>0</v>
      </c>
      <c r="DZ98" s="38">
        <f t="shared" si="310"/>
        <v>0</v>
      </c>
      <c r="EA98" s="38">
        <f t="shared" si="311"/>
        <v>0</v>
      </c>
      <c r="EB98" s="38">
        <f t="shared" si="312"/>
        <v>0</v>
      </c>
      <c r="EC98" s="38">
        <f t="shared" si="313"/>
        <v>0</v>
      </c>
      <c r="ED98" s="38">
        <f t="shared" si="314"/>
        <v>0</v>
      </c>
      <c r="EE98" s="38">
        <f t="shared" si="315"/>
        <v>25.181917899999998</v>
      </c>
      <c r="EG98" s="38">
        <f t="shared" si="316"/>
        <v>0</v>
      </c>
      <c r="EH98" s="38">
        <f t="shared" si="317"/>
        <v>0</v>
      </c>
      <c r="EI98" s="38">
        <f t="shared" si="318"/>
        <v>0</v>
      </c>
      <c r="EJ98" s="38">
        <f t="shared" si="319"/>
        <v>0</v>
      </c>
      <c r="EK98" s="38">
        <f t="shared" si="320"/>
        <v>0</v>
      </c>
      <c r="EL98" s="38">
        <f t="shared" si="321"/>
        <v>0</v>
      </c>
      <c r="EM98" s="38">
        <f t="shared" si="322"/>
        <v>0</v>
      </c>
      <c r="EN98" s="38">
        <f t="shared" si="323"/>
        <v>0</v>
      </c>
      <c r="EO98" s="38">
        <f t="shared" si="324"/>
        <v>0</v>
      </c>
      <c r="EP98" s="38">
        <f t="shared" si="325"/>
        <v>22031.2537858</v>
      </c>
      <c r="EQ98" s="38">
        <f t="shared" si="326"/>
        <v>5630.7290801975987</v>
      </c>
      <c r="ER98" s="38">
        <f t="shared" si="327"/>
        <v>0</v>
      </c>
      <c r="ES98" s="38">
        <f t="shared" si="328"/>
        <v>0</v>
      </c>
      <c r="ET98" s="38">
        <f t="shared" si="329"/>
        <v>0</v>
      </c>
      <c r="EU98" s="38">
        <f t="shared" si="330"/>
        <v>0</v>
      </c>
      <c r="EV98" s="38">
        <f t="shared" si="331"/>
        <v>0</v>
      </c>
      <c r="EW98" s="38">
        <f t="shared" si="332"/>
        <v>0</v>
      </c>
      <c r="EX98" s="38">
        <f t="shared" si="333"/>
        <v>2341.9183647</v>
      </c>
      <c r="EZ98" s="38">
        <f t="shared" si="334"/>
        <v>0</v>
      </c>
      <c r="FA98" s="38">
        <f t="shared" si="335"/>
        <v>0</v>
      </c>
      <c r="FB98" s="1">
        <f t="shared" si="336"/>
        <v>0</v>
      </c>
      <c r="FC98" s="1">
        <f t="shared" si="337"/>
        <v>0</v>
      </c>
      <c r="FD98" s="1">
        <f t="shared" si="338"/>
        <v>0</v>
      </c>
      <c r="FE98" s="1">
        <f t="shared" si="339"/>
        <v>0</v>
      </c>
      <c r="FF98" s="1">
        <f t="shared" si="340"/>
        <v>0</v>
      </c>
      <c r="FG98" s="1">
        <f t="shared" si="341"/>
        <v>0</v>
      </c>
      <c r="FH98" s="1">
        <f t="shared" si="342"/>
        <v>0</v>
      </c>
      <c r="FI98" s="1">
        <f t="shared" si="343"/>
        <v>0</v>
      </c>
      <c r="FJ98" s="1">
        <f t="shared" si="344"/>
        <v>0</v>
      </c>
      <c r="FK98" s="1">
        <f t="shared" si="345"/>
        <v>0</v>
      </c>
      <c r="FL98" s="1">
        <f t="shared" si="346"/>
        <v>0</v>
      </c>
      <c r="FM98" s="1">
        <f t="shared" si="347"/>
        <v>0</v>
      </c>
      <c r="FN98" s="1">
        <f t="shared" si="348"/>
        <v>0</v>
      </c>
      <c r="FO98" s="1">
        <f t="shared" si="349"/>
        <v>0</v>
      </c>
      <c r="FP98" s="1">
        <f t="shared" si="350"/>
        <v>0</v>
      </c>
      <c r="FQ98" s="1">
        <f t="shared" si="351"/>
        <v>0</v>
      </c>
      <c r="FS98" s="1">
        <f t="shared" si="352"/>
        <v>0</v>
      </c>
      <c r="FT98" s="1">
        <f t="shared" si="353"/>
        <v>0</v>
      </c>
      <c r="FU98" s="38">
        <f t="shared" si="354"/>
        <v>0</v>
      </c>
      <c r="FV98" s="38">
        <f t="shared" si="355"/>
        <v>0</v>
      </c>
      <c r="FW98" s="38">
        <f t="shared" si="356"/>
        <v>0</v>
      </c>
      <c r="FX98" s="38">
        <f t="shared" si="357"/>
        <v>0</v>
      </c>
      <c r="FY98" s="38">
        <f t="shared" si="358"/>
        <v>0</v>
      </c>
      <c r="FZ98" s="38">
        <f t="shared" si="359"/>
        <v>0</v>
      </c>
      <c r="GA98" s="38">
        <f t="shared" si="360"/>
        <v>0</v>
      </c>
      <c r="GB98" s="38">
        <f t="shared" si="361"/>
        <v>0</v>
      </c>
      <c r="GC98" s="38">
        <f t="shared" si="362"/>
        <v>0</v>
      </c>
      <c r="GD98" s="38">
        <f t="shared" si="363"/>
        <v>0</v>
      </c>
      <c r="GE98" s="38">
        <f t="shared" si="364"/>
        <v>0</v>
      </c>
      <c r="GF98" s="38">
        <f t="shared" si="365"/>
        <v>0</v>
      </c>
      <c r="GG98" s="38">
        <f t="shared" si="366"/>
        <v>0</v>
      </c>
      <c r="GH98" s="38">
        <f t="shared" si="367"/>
        <v>0</v>
      </c>
      <c r="GI98" s="38">
        <f t="shared" si="368"/>
        <v>0</v>
      </c>
      <c r="GJ98" s="38">
        <f t="shared" si="369"/>
        <v>0</v>
      </c>
      <c r="GL98" s="38">
        <f t="shared" si="370"/>
        <v>0</v>
      </c>
      <c r="GM98" s="38">
        <f t="shared" si="371"/>
        <v>0</v>
      </c>
      <c r="GN98" s="1" t="s">
        <v>2</v>
      </c>
      <c r="GO98" s="14">
        <f t="shared" si="294"/>
        <v>132.25699999999998</v>
      </c>
      <c r="GP98" s="13">
        <f t="shared" si="295"/>
        <v>1.2702387775316242</v>
      </c>
      <c r="GQ98" s="43">
        <f t="shared" si="296"/>
        <v>1679.9796999999996</v>
      </c>
      <c r="GR98" s="41">
        <f t="shared" si="297"/>
        <v>30003.901230697596</v>
      </c>
      <c r="GS98" s="14">
        <f t="shared" si="298"/>
        <v>226.86059135393666</v>
      </c>
      <c r="GT98" s="1">
        <f t="shared" si="372"/>
        <v>261.61919999999998</v>
      </c>
      <c r="GU98" s="1">
        <f t="shared" si="373"/>
        <v>1264.6125</v>
      </c>
      <c r="GV98" s="1">
        <f t="shared" si="374"/>
        <v>153.74799999999999</v>
      </c>
      <c r="GW98" s="37">
        <f t="shared" si="299"/>
        <v>0</v>
      </c>
      <c r="GX98" s="37"/>
      <c r="GY98" s="37"/>
      <c r="GZ98" s="37"/>
      <c r="HB98" s="1">
        <f t="shared" si="375"/>
        <v>0</v>
      </c>
      <c r="HC98" s="1">
        <f t="shared" si="376"/>
        <v>0</v>
      </c>
      <c r="HD98" s="37" t="s">
        <v>2</v>
      </c>
      <c r="HE98" s="1" t="s">
        <v>31</v>
      </c>
      <c r="HF98" s="1" t="s">
        <v>469</v>
      </c>
      <c r="HG98" s="1" t="s">
        <v>469</v>
      </c>
      <c r="HI98" s="1" t="s">
        <v>96</v>
      </c>
      <c r="HJ98" s="37" t="s">
        <v>2</v>
      </c>
      <c r="JH98" s="58" t="s">
        <v>2</v>
      </c>
    </row>
    <row r="99" spans="1:268" ht="16.25" customHeight="1" x14ac:dyDescent="0.2">
      <c r="A99" s="21" t="s">
        <v>605</v>
      </c>
      <c r="B99" s="1" t="s">
        <v>64</v>
      </c>
      <c r="F99" s="1" t="s">
        <v>466</v>
      </c>
      <c r="I99" s="1">
        <v>60.7</v>
      </c>
      <c r="Q99" s="1">
        <v>1.66</v>
      </c>
      <c r="AD99" s="1">
        <v>53.1</v>
      </c>
      <c r="AL99" s="1">
        <v>1.38</v>
      </c>
      <c r="AY99" s="1">
        <v>0</v>
      </c>
      <c r="BT99" s="1">
        <v>60.7</v>
      </c>
      <c r="CB99" s="1">
        <v>1.66</v>
      </c>
      <c r="CO99" s="1">
        <v>53.1</v>
      </c>
      <c r="CW99" s="1">
        <v>1.38</v>
      </c>
      <c r="DJ99" s="1" t="s">
        <v>96</v>
      </c>
      <c r="DL99" s="1">
        <f t="shared" si="292"/>
        <v>1.5293497363796131</v>
      </c>
      <c r="DM99" s="1">
        <f t="shared" si="293"/>
        <v>0</v>
      </c>
      <c r="DN99" s="1" t="s">
        <v>606</v>
      </c>
      <c r="DO99" s="1" t="s">
        <v>2</v>
      </c>
      <c r="DP99" s="38">
        <f t="shared" si="300"/>
        <v>0</v>
      </c>
      <c r="DQ99" s="38">
        <f t="shared" si="301"/>
        <v>0</v>
      </c>
      <c r="DR99" s="38">
        <f t="shared" si="302"/>
        <v>0</v>
      </c>
      <c r="DS99" s="38">
        <f t="shared" si="303"/>
        <v>0</v>
      </c>
      <c r="DT99" s="38">
        <f t="shared" si="304"/>
        <v>0</v>
      </c>
      <c r="DU99" s="38">
        <f t="shared" si="305"/>
        <v>0</v>
      </c>
      <c r="DV99" s="38">
        <f t="shared" si="306"/>
        <v>0</v>
      </c>
      <c r="DW99" s="38">
        <f t="shared" si="307"/>
        <v>1.7403999999999999</v>
      </c>
      <c r="DX99" s="38">
        <f t="shared" si="308"/>
        <v>0</v>
      </c>
      <c r="DY99" s="38">
        <f t="shared" si="309"/>
        <v>0</v>
      </c>
      <c r="DZ99" s="38">
        <f t="shared" si="310"/>
        <v>0</v>
      </c>
      <c r="EA99" s="38">
        <f t="shared" si="311"/>
        <v>0</v>
      </c>
      <c r="EB99" s="38">
        <f t="shared" si="312"/>
        <v>0</v>
      </c>
      <c r="EC99" s="38">
        <f t="shared" si="313"/>
        <v>0</v>
      </c>
      <c r="ED99" s="38">
        <f t="shared" si="314"/>
        <v>0</v>
      </c>
      <c r="EE99" s="38">
        <f t="shared" si="315"/>
        <v>0</v>
      </c>
      <c r="EG99" s="38">
        <f t="shared" si="316"/>
        <v>0</v>
      </c>
      <c r="EH99" s="38">
        <f t="shared" si="317"/>
        <v>0</v>
      </c>
      <c r="EI99" s="38">
        <f t="shared" si="318"/>
        <v>0</v>
      </c>
      <c r="EJ99" s="38">
        <f t="shared" si="319"/>
        <v>0</v>
      </c>
      <c r="EK99" s="38">
        <f t="shared" si="320"/>
        <v>0</v>
      </c>
      <c r="EL99" s="38">
        <f t="shared" si="321"/>
        <v>0</v>
      </c>
      <c r="EM99" s="38">
        <f t="shared" si="322"/>
        <v>0</v>
      </c>
      <c r="EN99" s="38">
        <f t="shared" si="323"/>
        <v>0</v>
      </c>
      <c r="EO99" s="38">
        <f t="shared" si="324"/>
        <v>0</v>
      </c>
      <c r="EP99" s="38">
        <f t="shared" si="325"/>
        <v>22823.605599999999</v>
      </c>
      <c r="EQ99" s="38">
        <f t="shared" si="326"/>
        <v>0</v>
      </c>
      <c r="ER99" s="38">
        <f t="shared" si="327"/>
        <v>0</v>
      </c>
      <c r="ES99" s="38">
        <f t="shared" si="328"/>
        <v>0</v>
      </c>
      <c r="ET99" s="38">
        <f t="shared" si="329"/>
        <v>0</v>
      </c>
      <c r="EU99" s="38">
        <f t="shared" si="330"/>
        <v>0</v>
      </c>
      <c r="EV99" s="38">
        <f t="shared" si="331"/>
        <v>0</v>
      </c>
      <c r="EW99" s="38">
        <f t="shared" si="332"/>
        <v>0</v>
      </c>
      <c r="EX99" s="38">
        <f t="shared" si="333"/>
        <v>0</v>
      </c>
      <c r="EZ99" s="38">
        <f t="shared" si="334"/>
        <v>0</v>
      </c>
      <c r="FA99" s="38">
        <f t="shared" si="335"/>
        <v>0</v>
      </c>
      <c r="FB99" s="1">
        <f t="shared" si="336"/>
        <v>0</v>
      </c>
      <c r="FC99" s="1">
        <f t="shared" si="337"/>
        <v>0</v>
      </c>
      <c r="FD99" s="1">
        <f t="shared" si="338"/>
        <v>0</v>
      </c>
      <c r="FE99" s="1">
        <f t="shared" si="339"/>
        <v>0</v>
      </c>
      <c r="FF99" s="1">
        <f t="shared" si="340"/>
        <v>0</v>
      </c>
      <c r="FG99" s="1">
        <f t="shared" si="341"/>
        <v>0</v>
      </c>
      <c r="FH99" s="1">
        <f t="shared" si="342"/>
        <v>0</v>
      </c>
      <c r="FI99" s="1">
        <f t="shared" si="343"/>
        <v>1.7403999999999999</v>
      </c>
      <c r="FJ99" s="1">
        <f t="shared" si="344"/>
        <v>0</v>
      </c>
      <c r="FK99" s="1">
        <f t="shared" si="345"/>
        <v>0</v>
      </c>
      <c r="FL99" s="1">
        <f t="shared" si="346"/>
        <v>0</v>
      </c>
      <c r="FM99" s="1">
        <f t="shared" si="347"/>
        <v>0</v>
      </c>
      <c r="FN99" s="1">
        <f t="shared" si="348"/>
        <v>0</v>
      </c>
      <c r="FO99" s="1">
        <f t="shared" si="349"/>
        <v>0</v>
      </c>
      <c r="FP99" s="1">
        <f t="shared" si="350"/>
        <v>0</v>
      </c>
      <c r="FQ99" s="1">
        <f t="shared" si="351"/>
        <v>0</v>
      </c>
      <c r="FS99" s="1">
        <f t="shared" si="352"/>
        <v>0</v>
      </c>
      <c r="FT99" s="1">
        <f t="shared" si="353"/>
        <v>0</v>
      </c>
      <c r="FU99" s="38">
        <f t="shared" si="354"/>
        <v>0</v>
      </c>
      <c r="FV99" s="38">
        <f t="shared" si="355"/>
        <v>0</v>
      </c>
      <c r="FW99" s="38">
        <f t="shared" si="356"/>
        <v>0</v>
      </c>
      <c r="FX99" s="38">
        <f t="shared" si="357"/>
        <v>0</v>
      </c>
      <c r="FY99" s="38">
        <f t="shared" si="358"/>
        <v>0</v>
      </c>
      <c r="FZ99" s="38">
        <f t="shared" si="359"/>
        <v>0</v>
      </c>
      <c r="GA99" s="38">
        <f t="shared" si="360"/>
        <v>0</v>
      </c>
      <c r="GB99" s="38">
        <f t="shared" si="361"/>
        <v>22823.605599999999</v>
      </c>
      <c r="GC99" s="38">
        <f t="shared" si="362"/>
        <v>0</v>
      </c>
      <c r="GD99" s="38">
        <f t="shared" si="363"/>
        <v>0</v>
      </c>
      <c r="GE99" s="38">
        <f t="shared" si="364"/>
        <v>0</v>
      </c>
      <c r="GF99" s="38">
        <f t="shared" si="365"/>
        <v>0</v>
      </c>
      <c r="GG99" s="38">
        <f t="shared" si="366"/>
        <v>0</v>
      </c>
      <c r="GH99" s="38">
        <f t="shared" si="367"/>
        <v>0</v>
      </c>
      <c r="GI99" s="38">
        <f t="shared" si="368"/>
        <v>0</v>
      </c>
      <c r="GJ99" s="38">
        <f t="shared" si="369"/>
        <v>0</v>
      </c>
      <c r="GL99" s="38">
        <f t="shared" si="370"/>
        <v>0</v>
      </c>
      <c r="GM99" s="38">
        <f t="shared" si="371"/>
        <v>0</v>
      </c>
      <c r="GN99" s="1" t="s">
        <v>2</v>
      </c>
      <c r="GO99" s="1">
        <f t="shared" si="294"/>
        <v>113.80000000000001</v>
      </c>
      <c r="GP99" s="13">
        <f t="shared" si="295"/>
        <v>1.5293497363796131</v>
      </c>
      <c r="GQ99" s="43">
        <f t="shared" si="296"/>
        <v>1740.4</v>
      </c>
      <c r="GR99" s="41">
        <f t="shared" si="297"/>
        <v>22823.605599999999</v>
      </c>
      <c r="GS99" s="14">
        <f t="shared" si="298"/>
        <v>200.55892442882248</v>
      </c>
      <c r="GT99" s="1">
        <f t="shared" si="372"/>
        <v>1007.62</v>
      </c>
      <c r="GU99" s="1">
        <f t="shared" si="373"/>
        <v>732.77999999999986</v>
      </c>
      <c r="GV99" s="1">
        <f t="shared" si="374"/>
        <v>0</v>
      </c>
      <c r="GW99" s="37">
        <f t="shared" si="299"/>
        <v>113.80000000000001</v>
      </c>
      <c r="GX99" s="44">
        <f>(BT99*CB99+CO99*CW99)/GW99</f>
        <v>1.5293497363796131</v>
      </c>
      <c r="GY99" s="43">
        <f>1000*GW99*GX99/100</f>
        <v>1740.4</v>
      </c>
      <c r="GZ99" s="41">
        <f>SUM(FU99:GM99)</f>
        <v>22823.605599999999</v>
      </c>
      <c r="HA99" s="14">
        <f>GZ99/GW99</f>
        <v>200.55892442882248</v>
      </c>
      <c r="HB99" s="1">
        <f t="shared" si="375"/>
        <v>1007.62</v>
      </c>
      <c r="HC99" s="1">
        <f t="shared" si="376"/>
        <v>732.77999999999986</v>
      </c>
      <c r="HD99" s="37" t="s">
        <v>2</v>
      </c>
      <c r="HE99" s="1" t="s">
        <v>31</v>
      </c>
      <c r="HF99" s="1" t="s">
        <v>469</v>
      </c>
      <c r="HG99" s="1" t="s">
        <v>469</v>
      </c>
      <c r="HI99" s="1" t="s">
        <v>96</v>
      </c>
      <c r="HJ99" s="37" t="s">
        <v>2</v>
      </c>
      <c r="JH99" s="58" t="s">
        <v>2</v>
      </c>
    </row>
    <row r="100" spans="1:268" ht="16.25" customHeight="1" x14ac:dyDescent="0.2">
      <c r="A100" s="21" t="s">
        <v>1029</v>
      </c>
      <c r="B100" s="1" t="s">
        <v>69</v>
      </c>
      <c r="F100" s="1" t="s">
        <v>131</v>
      </c>
      <c r="I100" s="1">
        <v>0</v>
      </c>
      <c r="AD100" s="1">
        <v>0</v>
      </c>
      <c r="AY100" s="1">
        <v>46</v>
      </c>
      <c r="BG100" s="1">
        <v>1.45</v>
      </c>
      <c r="BH100" s="1">
        <v>0.03</v>
      </c>
      <c r="BT100" s="1">
        <v>0</v>
      </c>
      <c r="CO100" s="1">
        <v>0</v>
      </c>
      <c r="DJ100" s="1" t="s">
        <v>96</v>
      </c>
      <c r="DK100" s="1" t="s">
        <v>96</v>
      </c>
      <c r="DL100" s="1">
        <f t="shared" si="292"/>
        <v>1.45</v>
      </c>
      <c r="DM100" s="1">
        <f t="shared" si="293"/>
        <v>0.03</v>
      </c>
      <c r="DN100" s="1" t="s">
        <v>1030</v>
      </c>
      <c r="DO100" s="1" t="s">
        <v>2</v>
      </c>
      <c r="DP100" s="38">
        <f t="shared" si="300"/>
        <v>0</v>
      </c>
      <c r="DQ100" s="38">
        <f t="shared" si="301"/>
        <v>0</v>
      </c>
      <c r="DR100" s="38">
        <f t="shared" si="302"/>
        <v>0</v>
      </c>
      <c r="DS100" s="38">
        <f t="shared" si="303"/>
        <v>0</v>
      </c>
      <c r="DT100" s="38">
        <f t="shared" si="304"/>
        <v>0</v>
      </c>
      <c r="DU100" s="38">
        <f t="shared" si="305"/>
        <v>0</v>
      </c>
      <c r="DV100" s="38">
        <f t="shared" si="306"/>
        <v>0</v>
      </c>
      <c r="DW100" s="38">
        <f t="shared" si="307"/>
        <v>0.66700000000000004</v>
      </c>
      <c r="DX100" s="38">
        <f t="shared" si="308"/>
        <v>1.38E-2</v>
      </c>
      <c r="DY100" s="38">
        <f t="shared" si="309"/>
        <v>0</v>
      </c>
      <c r="DZ100" s="38">
        <f t="shared" si="310"/>
        <v>0</v>
      </c>
      <c r="EA100" s="38">
        <f t="shared" si="311"/>
        <v>0</v>
      </c>
      <c r="EB100" s="38">
        <f t="shared" si="312"/>
        <v>0</v>
      </c>
      <c r="EC100" s="38">
        <f t="shared" si="313"/>
        <v>0</v>
      </c>
      <c r="ED100" s="38">
        <f t="shared" si="314"/>
        <v>0</v>
      </c>
      <c r="EE100" s="38">
        <f t="shared" si="315"/>
        <v>0</v>
      </c>
      <c r="EG100" s="38">
        <f t="shared" si="316"/>
        <v>0</v>
      </c>
      <c r="EH100" s="38">
        <f t="shared" si="317"/>
        <v>0</v>
      </c>
      <c r="EI100" s="38">
        <f t="shared" si="318"/>
        <v>0</v>
      </c>
      <c r="EJ100" s="38">
        <f t="shared" si="319"/>
        <v>0</v>
      </c>
      <c r="EK100" s="38">
        <f t="shared" si="320"/>
        <v>0</v>
      </c>
      <c r="EL100" s="38">
        <f t="shared" si="321"/>
        <v>0</v>
      </c>
      <c r="EM100" s="38">
        <f t="shared" si="322"/>
        <v>0</v>
      </c>
      <c r="EN100" s="38">
        <f t="shared" si="323"/>
        <v>0</v>
      </c>
      <c r="EO100" s="38">
        <f t="shared" si="324"/>
        <v>0</v>
      </c>
      <c r="EP100" s="38">
        <f t="shared" si="325"/>
        <v>8747.0380000000005</v>
      </c>
      <c r="EQ100" s="38">
        <f t="shared" si="326"/>
        <v>1002.1494311999999</v>
      </c>
      <c r="ER100" s="38">
        <f t="shared" si="327"/>
        <v>0</v>
      </c>
      <c r="ES100" s="38">
        <f t="shared" si="328"/>
        <v>0</v>
      </c>
      <c r="ET100" s="38">
        <f t="shared" si="329"/>
        <v>0</v>
      </c>
      <c r="EU100" s="38">
        <f t="shared" si="330"/>
        <v>0</v>
      </c>
      <c r="EV100" s="38">
        <f t="shared" si="331"/>
        <v>0</v>
      </c>
      <c r="EW100" s="38">
        <f t="shared" si="332"/>
        <v>0</v>
      </c>
      <c r="EX100" s="38">
        <f t="shared" si="333"/>
        <v>0</v>
      </c>
      <c r="EZ100" s="38">
        <f t="shared" si="334"/>
        <v>0</v>
      </c>
      <c r="FA100" s="38">
        <f t="shared" si="335"/>
        <v>0</v>
      </c>
      <c r="FB100" s="1">
        <f t="shared" si="336"/>
        <v>0</v>
      </c>
      <c r="FC100" s="1">
        <f t="shared" si="337"/>
        <v>0</v>
      </c>
      <c r="FD100" s="1">
        <f t="shared" si="338"/>
        <v>0</v>
      </c>
      <c r="FE100" s="1">
        <f t="shared" si="339"/>
        <v>0</v>
      </c>
      <c r="FF100" s="1">
        <f t="shared" si="340"/>
        <v>0</v>
      </c>
      <c r="FG100" s="1">
        <f t="shared" si="341"/>
        <v>0</v>
      </c>
      <c r="FH100" s="1">
        <f t="shared" si="342"/>
        <v>0</v>
      </c>
      <c r="FI100" s="1">
        <f t="shared" si="343"/>
        <v>0</v>
      </c>
      <c r="FJ100" s="1">
        <f t="shared" si="344"/>
        <v>0</v>
      </c>
      <c r="FK100" s="1">
        <f t="shared" si="345"/>
        <v>0</v>
      </c>
      <c r="FL100" s="1">
        <f t="shared" si="346"/>
        <v>0</v>
      </c>
      <c r="FM100" s="1">
        <f t="shared" si="347"/>
        <v>0</v>
      </c>
      <c r="FN100" s="1">
        <f t="shared" si="348"/>
        <v>0</v>
      </c>
      <c r="FO100" s="1">
        <f t="shared" si="349"/>
        <v>0</v>
      </c>
      <c r="FP100" s="1">
        <f t="shared" si="350"/>
        <v>0</v>
      </c>
      <c r="FQ100" s="1">
        <f t="shared" si="351"/>
        <v>0</v>
      </c>
      <c r="FS100" s="1">
        <f t="shared" si="352"/>
        <v>0</v>
      </c>
      <c r="FT100" s="1">
        <f t="shared" si="353"/>
        <v>0</v>
      </c>
      <c r="FU100" s="38">
        <f t="shared" si="354"/>
        <v>0</v>
      </c>
      <c r="FV100" s="38">
        <f t="shared" si="355"/>
        <v>0</v>
      </c>
      <c r="FW100" s="38">
        <f t="shared" si="356"/>
        <v>0</v>
      </c>
      <c r="FX100" s="38">
        <f t="shared" si="357"/>
        <v>0</v>
      </c>
      <c r="FY100" s="38">
        <f t="shared" si="358"/>
        <v>0</v>
      </c>
      <c r="FZ100" s="38">
        <f t="shared" si="359"/>
        <v>0</v>
      </c>
      <c r="GA100" s="38">
        <f t="shared" si="360"/>
        <v>0</v>
      </c>
      <c r="GB100" s="38">
        <f t="shared" si="361"/>
        <v>0</v>
      </c>
      <c r="GC100" s="38">
        <f t="shared" si="362"/>
        <v>0</v>
      </c>
      <c r="GD100" s="38">
        <f t="shared" si="363"/>
        <v>0</v>
      </c>
      <c r="GE100" s="38">
        <f t="shared" si="364"/>
        <v>0</v>
      </c>
      <c r="GF100" s="38">
        <f t="shared" si="365"/>
        <v>0</v>
      </c>
      <c r="GG100" s="38">
        <f t="shared" si="366"/>
        <v>0</v>
      </c>
      <c r="GH100" s="38">
        <f t="shared" si="367"/>
        <v>0</v>
      </c>
      <c r="GI100" s="38">
        <f t="shared" si="368"/>
        <v>0</v>
      </c>
      <c r="GJ100" s="38">
        <f t="shared" si="369"/>
        <v>0</v>
      </c>
      <c r="GL100" s="38">
        <f t="shared" si="370"/>
        <v>0</v>
      </c>
      <c r="GM100" s="38">
        <f t="shared" si="371"/>
        <v>0</v>
      </c>
      <c r="GN100" s="1" t="s">
        <v>2</v>
      </c>
      <c r="GO100" s="1">
        <f t="shared" si="294"/>
        <v>46</v>
      </c>
      <c r="GP100" s="1">
        <f t="shared" si="295"/>
        <v>1.45</v>
      </c>
      <c r="GQ100" s="41">
        <f t="shared" si="296"/>
        <v>667</v>
      </c>
      <c r="GR100" s="41">
        <f t="shared" si="297"/>
        <v>9749.1874312</v>
      </c>
      <c r="GS100" s="14">
        <f t="shared" si="298"/>
        <v>211.9388572</v>
      </c>
      <c r="GT100" s="1">
        <f t="shared" si="372"/>
        <v>0</v>
      </c>
      <c r="GU100" s="1">
        <f t="shared" si="373"/>
        <v>0</v>
      </c>
      <c r="GV100" s="1">
        <f t="shared" si="374"/>
        <v>667</v>
      </c>
      <c r="GW100" s="37">
        <f t="shared" si="299"/>
        <v>0</v>
      </c>
      <c r="GX100" s="37"/>
      <c r="GY100" s="37"/>
      <c r="GZ100" s="37"/>
      <c r="HB100" s="1">
        <f t="shared" si="375"/>
        <v>0</v>
      </c>
      <c r="HC100" s="1">
        <f t="shared" si="376"/>
        <v>0</v>
      </c>
      <c r="HD100" s="37" t="s">
        <v>2</v>
      </c>
      <c r="HE100" s="1" t="s">
        <v>31</v>
      </c>
      <c r="HF100" s="1" t="s">
        <v>469</v>
      </c>
      <c r="HG100" s="1" t="s">
        <v>469</v>
      </c>
      <c r="HI100" s="1" t="s">
        <v>96</v>
      </c>
      <c r="HJ100" s="37" t="s">
        <v>2</v>
      </c>
      <c r="JH100" s="58" t="s">
        <v>2</v>
      </c>
    </row>
    <row r="101" spans="1:268" ht="16.25" customHeight="1" x14ac:dyDescent="0.2">
      <c r="A101" s="21" t="s">
        <v>1031</v>
      </c>
      <c r="B101" s="1" t="s">
        <v>69</v>
      </c>
      <c r="F101" s="1" t="s">
        <v>131</v>
      </c>
      <c r="I101" s="1">
        <v>0</v>
      </c>
      <c r="AD101" s="1">
        <v>0</v>
      </c>
      <c r="AY101" s="1">
        <v>38</v>
      </c>
      <c r="BG101" s="1">
        <v>1.38</v>
      </c>
      <c r="BH101" s="1">
        <v>0.04</v>
      </c>
      <c r="BT101" s="1">
        <v>0</v>
      </c>
      <c r="CO101" s="1">
        <v>0</v>
      </c>
      <c r="DJ101" s="1" t="s">
        <v>96</v>
      </c>
      <c r="DK101" s="1" t="s">
        <v>96</v>
      </c>
      <c r="DL101" s="1">
        <f t="shared" si="292"/>
        <v>1.38</v>
      </c>
      <c r="DM101" s="1">
        <f t="shared" si="293"/>
        <v>0.04</v>
      </c>
      <c r="DN101" s="1" t="s">
        <v>1030</v>
      </c>
      <c r="DO101" s="1" t="s">
        <v>2</v>
      </c>
      <c r="DP101" s="38">
        <f t="shared" si="300"/>
        <v>0</v>
      </c>
      <c r="DQ101" s="38">
        <f t="shared" si="301"/>
        <v>0</v>
      </c>
      <c r="DR101" s="38">
        <f t="shared" si="302"/>
        <v>0</v>
      </c>
      <c r="DS101" s="38">
        <f t="shared" si="303"/>
        <v>0</v>
      </c>
      <c r="DT101" s="38">
        <f t="shared" si="304"/>
        <v>0</v>
      </c>
      <c r="DU101" s="38">
        <f t="shared" si="305"/>
        <v>0</v>
      </c>
      <c r="DV101" s="38">
        <f t="shared" si="306"/>
        <v>0</v>
      </c>
      <c r="DW101" s="38">
        <f t="shared" si="307"/>
        <v>0.52439999999999998</v>
      </c>
      <c r="DX101" s="38">
        <f t="shared" si="308"/>
        <v>1.52E-2</v>
      </c>
      <c r="DY101" s="38">
        <f t="shared" si="309"/>
        <v>0</v>
      </c>
      <c r="DZ101" s="38">
        <f t="shared" si="310"/>
        <v>0</v>
      </c>
      <c r="EA101" s="38">
        <f t="shared" si="311"/>
        <v>0</v>
      </c>
      <c r="EB101" s="38">
        <f t="shared" si="312"/>
        <v>0</v>
      </c>
      <c r="EC101" s="38">
        <f t="shared" si="313"/>
        <v>0</v>
      </c>
      <c r="ED101" s="38">
        <f t="shared" si="314"/>
        <v>0</v>
      </c>
      <c r="EE101" s="38">
        <f t="shared" si="315"/>
        <v>0</v>
      </c>
      <c r="EG101" s="38">
        <f t="shared" si="316"/>
        <v>0</v>
      </c>
      <c r="EH101" s="38">
        <f t="shared" si="317"/>
        <v>0</v>
      </c>
      <c r="EI101" s="38">
        <f t="shared" si="318"/>
        <v>0</v>
      </c>
      <c r="EJ101" s="38">
        <f t="shared" si="319"/>
        <v>0</v>
      </c>
      <c r="EK101" s="38">
        <f t="shared" si="320"/>
        <v>0</v>
      </c>
      <c r="EL101" s="38">
        <f t="shared" si="321"/>
        <v>0</v>
      </c>
      <c r="EM101" s="38">
        <f t="shared" si="322"/>
        <v>0</v>
      </c>
      <c r="EN101" s="38">
        <f t="shared" si="323"/>
        <v>0</v>
      </c>
      <c r="EO101" s="38">
        <f t="shared" si="324"/>
        <v>0</v>
      </c>
      <c r="EP101" s="38">
        <f t="shared" si="325"/>
        <v>6876.9816000000001</v>
      </c>
      <c r="EQ101" s="38">
        <f t="shared" si="326"/>
        <v>1103.8167647999999</v>
      </c>
      <c r="ER101" s="38">
        <f t="shared" si="327"/>
        <v>0</v>
      </c>
      <c r="ES101" s="38">
        <f t="shared" si="328"/>
        <v>0</v>
      </c>
      <c r="ET101" s="38">
        <f t="shared" si="329"/>
        <v>0</v>
      </c>
      <c r="EU101" s="38">
        <f t="shared" si="330"/>
        <v>0</v>
      </c>
      <c r="EV101" s="38">
        <f t="shared" si="331"/>
        <v>0</v>
      </c>
      <c r="EW101" s="38">
        <f t="shared" si="332"/>
        <v>0</v>
      </c>
      <c r="EX101" s="38">
        <f t="shared" si="333"/>
        <v>0</v>
      </c>
      <c r="EZ101" s="38">
        <f t="shared" si="334"/>
        <v>0</v>
      </c>
      <c r="FA101" s="38">
        <f t="shared" si="335"/>
        <v>0</v>
      </c>
      <c r="FB101" s="1">
        <f t="shared" si="336"/>
        <v>0</v>
      </c>
      <c r="FC101" s="1">
        <f t="shared" si="337"/>
        <v>0</v>
      </c>
      <c r="FD101" s="1">
        <f t="shared" si="338"/>
        <v>0</v>
      </c>
      <c r="FE101" s="1">
        <f t="shared" si="339"/>
        <v>0</v>
      </c>
      <c r="FF101" s="1">
        <f t="shared" si="340"/>
        <v>0</v>
      </c>
      <c r="FG101" s="1">
        <f t="shared" si="341"/>
        <v>0</v>
      </c>
      <c r="FH101" s="1">
        <f t="shared" si="342"/>
        <v>0</v>
      </c>
      <c r="FI101" s="1">
        <f t="shared" si="343"/>
        <v>0</v>
      </c>
      <c r="FJ101" s="1">
        <f t="shared" si="344"/>
        <v>0</v>
      </c>
      <c r="FK101" s="1">
        <f t="shared" si="345"/>
        <v>0</v>
      </c>
      <c r="FL101" s="1">
        <f t="shared" si="346"/>
        <v>0</v>
      </c>
      <c r="FM101" s="1">
        <f t="shared" si="347"/>
        <v>0</v>
      </c>
      <c r="FN101" s="1">
        <f t="shared" si="348"/>
        <v>0</v>
      </c>
      <c r="FO101" s="1">
        <f t="shared" si="349"/>
        <v>0</v>
      </c>
      <c r="FP101" s="1">
        <f t="shared" si="350"/>
        <v>0</v>
      </c>
      <c r="FQ101" s="1">
        <f t="shared" si="351"/>
        <v>0</v>
      </c>
      <c r="FS101" s="1">
        <f t="shared" si="352"/>
        <v>0</v>
      </c>
      <c r="FT101" s="1">
        <f t="shared" si="353"/>
        <v>0</v>
      </c>
      <c r="FU101" s="38">
        <f t="shared" si="354"/>
        <v>0</v>
      </c>
      <c r="FV101" s="38">
        <f t="shared" si="355"/>
        <v>0</v>
      </c>
      <c r="FW101" s="38">
        <f t="shared" si="356"/>
        <v>0</v>
      </c>
      <c r="FX101" s="38">
        <f t="shared" si="357"/>
        <v>0</v>
      </c>
      <c r="FY101" s="38">
        <f t="shared" si="358"/>
        <v>0</v>
      </c>
      <c r="FZ101" s="38">
        <f t="shared" si="359"/>
        <v>0</v>
      </c>
      <c r="GA101" s="38">
        <f t="shared" si="360"/>
        <v>0</v>
      </c>
      <c r="GB101" s="38">
        <f t="shared" si="361"/>
        <v>0</v>
      </c>
      <c r="GC101" s="38">
        <f t="shared" si="362"/>
        <v>0</v>
      </c>
      <c r="GD101" s="38">
        <f t="shared" si="363"/>
        <v>0</v>
      </c>
      <c r="GE101" s="38">
        <f t="shared" si="364"/>
        <v>0</v>
      </c>
      <c r="GF101" s="38">
        <f t="shared" si="365"/>
        <v>0</v>
      </c>
      <c r="GG101" s="38">
        <f t="shared" si="366"/>
        <v>0</v>
      </c>
      <c r="GH101" s="38">
        <f t="shared" si="367"/>
        <v>0</v>
      </c>
      <c r="GI101" s="38">
        <f t="shared" si="368"/>
        <v>0</v>
      </c>
      <c r="GJ101" s="38">
        <f t="shared" si="369"/>
        <v>0</v>
      </c>
      <c r="GL101" s="38">
        <f t="shared" si="370"/>
        <v>0</v>
      </c>
      <c r="GM101" s="38">
        <f t="shared" si="371"/>
        <v>0</v>
      </c>
      <c r="GN101" s="1" t="s">
        <v>2</v>
      </c>
      <c r="GO101" s="1">
        <f t="shared" si="294"/>
        <v>38</v>
      </c>
      <c r="GP101" s="1">
        <f t="shared" si="295"/>
        <v>1.38</v>
      </c>
      <c r="GQ101" s="41">
        <f t="shared" si="296"/>
        <v>524.4</v>
      </c>
      <c r="GR101" s="41">
        <f t="shared" si="297"/>
        <v>7980.7983647999999</v>
      </c>
      <c r="GS101" s="14">
        <f t="shared" si="298"/>
        <v>210.02100959999999</v>
      </c>
      <c r="GT101" s="1">
        <f t="shared" si="372"/>
        <v>0</v>
      </c>
      <c r="GU101" s="1">
        <f t="shared" si="373"/>
        <v>0</v>
      </c>
      <c r="GV101" s="1">
        <f t="shared" si="374"/>
        <v>524.4</v>
      </c>
      <c r="GW101" s="37">
        <f t="shared" si="299"/>
        <v>0</v>
      </c>
      <c r="GX101" s="37"/>
      <c r="GY101" s="37"/>
      <c r="GZ101" s="37"/>
      <c r="HB101" s="1">
        <f t="shared" si="375"/>
        <v>0</v>
      </c>
      <c r="HC101" s="1">
        <f t="shared" si="376"/>
        <v>0</v>
      </c>
      <c r="HD101" s="37" t="s">
        <v>2</v>
      </c>
      <c r="HE101" s="1" t="s">
        <v>31</v>
      </c>
      <c r="HF101" s="1" t="s">
        <v>469</v>
      </c>
      <c r="HG101" s="1" t="s">
        <v>469</v>
      </c>
      <c r="HI101" s="1" t="s">
        <v>96</v>
      </c>
      <c r="HJ101" s="37" t="s">
        <v>2</v>
      </c>
      <c r="JH101" s="58" t="s">
        <v>2</v>
      </c>
    </row>
    <row r="102" spans="1:268" ht="16.25" customHeight="1" x14ac:dyDescent="0.2">
      <c r="A102" s="21" t="s">
        <v>1118</v>
      </c>
      <c r="B102" s="1" t="s">
        <v>64</v>
      </c>
      <c r="F102" s="1" t="s">
        <v>1119</v>
      </c>
      <c r="I102" s="1">
        <v>40.5</v>
      </c>
      <c r="Q102" s="1">
        <v>1.42</v>
      </c>
      <c r="AD102" s="1">
        <v>31.1</v>
      </c>
      <c r="AL102" s="1">
        <v>1.53</v>
      </c>
      <c r="AY102" s="1">
        <v>4.9000000000000004</v>
      </c>
      <c r="BG102" s="13">
        <v>1.4</v>
      </c>
      <c r="BT102" s="1">
        <v>44.9</v>
      </c>
      <c r="CB102" s="1">
        <v>1.28</v>
      </c>
      <c r="CO102" s="1">
        <v>26.3</v>
      </c>
      <c r="CW102" s="1">
        <v>1.36</v>
      </c>
      <c r="DJ102" s="1" t="s">
        <v>96</v>
      </c>
      <c r="DL102" s="1">
        <f t="shared" si="292"/>
        <v>1.4634379084967322</v>
      </c>
      <c r="DM102" s="1">
        <f t="shared" si="293"/>
        <v>0</v>
      </c>
      <c r="DN102" s="1" t="s">
        <v>73</v>
      </c>
      <c r="DO102" s="1" t="s">
        <v>2</v>
      </c>
      <c r="DP102" s="38">
        <f t="shared" si="300"/>
        <v>0</v>
      </c>
      <c r="DQ102" s="38">
        <f t="shared" si="301"/>
        <v>0</v>
      </c>
      <c r="DR102" s="38">
        <f t="shared" si="302"/>
        <v>0</v>
      </c>
      <c r="DS102" s="38">
        <f t="shared" si="303"/>
        <v>0</v>
      </c>
      <c r="DT102" s="38">
        <f t="shared" si="304"/>
        <v>0</v>
      </c>
      <c r="DU102" s="38">
        <f t="shared" si="305"/>
        <v>0</v>
      </c>
      <c r="DV102" s="38">
        <f t="shared" si="306"/>
        <v>0</v>
      </c>
      <c r="DW102" s="38">
        <f t="shared" si="307"/>
        <v>1.1195300000000001</v>
      </c>
      <c r="DX102" s="38">
        <f t="shared" si="308"/>
        <v>0</v>
      </c>
      <c r="DY102" s="38">
        <f t="shared" si="309"/>
        <v>0</v>
      </c>
      <c r="DZ102" s="38">
        <f t="shared" si="310"/>
        <v>0</v>
      </c>
      <c r="EA102" s="38">
        <f t="shared" si="311"/>
        <v>0</v>
      </c>
      <c r="EB102" s="38">
        <f t="shared" si="312"/>
        <v>0</v>
      </c>
      <c r="EC102" s="38">
        <f t="shared" si="313"/>
        <v>0</v>
      </c>
      <c r="ED102" s="38">
        <f t="shared" si="314"/>
        <v>0</v>
      </c>
      <c r="EE102" s="38">
        <f t="shared" si="315"/>
        <v>0</v>
      </c>
      <c r="EG102" s="38">
        <f t="shared" si="316"/>
        <v>0</v>
      </c>
      <c r="EH102" s="38">
        <f t="shared" si="317"/>
        <v>0</v>
      </c>
      <c r="EI102" s="38">
        <f t="shared" si="318"/>
        <v>0</v>
      </c>
      <c r="EJ102" s="38">
        <f t="shared" si="319"/>
        <v>0</v>
      </c>
      <c r="EK102" s="38">
        <f t="shared" si="320"/>
        <v>0</v>
      </c>
      <c r="EL102" s="38">
        <f t="shared" si="321"/>
        <v>0</v>
      </c>
      <c r="EM102" s="38">
        <f t="shared" si="322"/>
        <v>0</v>
      </c>
      <c r="EN102" s="38">
        <f t="shared" si="323"/>
        <v>0</v>
      </c>
      <c r="EO102" s="38">
        <f t="shared" si="324"/>
        <v>0</v>
      </c>
      <c r="EP102" s="38">
        <f t="shared" si="325"/>
        <v>14681.516420000002</v>
      </c>
      <c r="EQ102" s="38">
        <f t="shared" si="326"/>
        <v>0</v>
      </c>
      <c r="ER102" s="38">
        <f t="shared" si="327"/>
        <v>0</v>
      </c>
      <c r="ES102" s="38">
        <f t="shared" si="328"/>
        <v>0</v>
      </c>
      <c r="ET102" s="38">
        <f t="shared" si="329"/>
        <v>0</v>
      </c>
      <c r="EU102" s="38">
        <f t="shared" si="330"/>
        <v>0</v>
      </c>
      <c r="EV102" s="38">
        <f t="shared" si="331"/>
        <v>0</v>
      </c>
      <c r="EW102" s="38">
        <f t="shared" si="332"/>
        <v>0</v>
      </c>
      <c r="EX102" s="38">
        <f t="shared" si="333"/>
        <v>0</v>
      </c>
      <c r="EZ102" s="38">
        <f t="shared" si="334"/>
        <v>0</v>
      </c>
      <c r="FA102" s="38">
        <f t="shared" si="335"/>
        <v>0</v>
      </c>
      <c r="FB102" s="1">
        <f t="shared" si="336"/>
        <v>0</v>
      </c>
      <c r="FC102" s="1">
        <f t="shared" si="337"/>
        <v>0</v>
      </c>
      <c r="FD102" s="1">
        <f t="shared" si="338"/>
        <v>0</v>
      </c>
      <c r="FE102" s="1">
        <f t="shared" si="339"/>
        <v>0</v>
      </c>
      <c r="FF102" s="1">
        <f t="shared" si="340"/>
        <v>0</v>
      </c>
      <c r="FG102" s="1">
        <f t="shared" si="341"/>
        <v>0</v>
      </c>
      <c r="FH102" s="1">
        <f t="shared" si="342"/>
        <v>0</v>
      </c>
      <c r="FI102" s="1">
        <f t="shared" si="343"/>
        <v>0.93240000000000012</v>
      </c>
      <c r="FJ102" s="1">
        <f t="shared" si="344"/>
        <v>0</v>
      </c>
      <c r="FK102" s="1">
        <f t="shared" si="345"/>
        <v>0</v>
      </c>
      <c r="FL102" s="1">
        <f t="shared" si="346"/>
        <v>0</v>
      </c>
      <c r="FM102" s="1">
        <f t="shared" si="347"/>
        <v>0</v>
      </c>
      <c r="FN102" s="1">
        <f t="shared" si="348"/>
        <v>0</v>
      </c>
      <c r="FO102" s="1">
        <f t="shared" si="349"/>
        <v>0</v>
      </c>
      <c r="FP102" s="1">
        <f t="shared" si="350"/>
        <v>0</v>
      </c>
      <c r="FQ102" s="1">
        <f t="shared" si="351"/>
        <v>0</v>
      </c>
      <c r="FS102" s="1">
        <f t="shared" si="352"/>
        <v>0</v>
      </c>
      <c r="FT102" s="1">
        <f t="shared" si="353"/>
        <v>0</v>
      </c>
      <c r="FU102" s="38">
        <f t="shared" si="354"/>
        <v>0</v>
      </c>
      <c r="FV102" s="38">
        <f t="shared" si="355"/>
        <v>0</v>
      </c>
      <c r="FW102" s="38">
        <f t="shared" si="356"/>
        <v>0</v>
      </c>
      <c r="FX102" s="38">
        <f t="shared" si="357"/>
        <v>0</v>
      </c>
      <c r="FY102" s="38">
        <f t="shared" si="358"/>
        <v>0</v>
      </c>
      <c r="FZ102" s="38">
        <f t="shared" si="359"/>
        <v>0</v>
      </c>
      <c r="GA102" s="38">
        <f t="shared" si="360"/>
        <v>0</v>
      </c>
      <c r="GB102" s="38">
        <f t="shared" si="361"/>
        <v>12227.493600000002</v>
      </c>
      <c r="GC102" s="38">
        <f t="shared" si="362"/>
        <v>0</v>
      </c>
      <c r="GD102" s="38">
        <f t="shared" si="363"/>
        <v>0</v>
      </c>
      <c r="GE102" s="38">
        <f t="shared" si="364"/>
        <v>0</v>
      </c>
      <c r="GF102" s="38">
        <f t="shared" si="365"/>
        <v>0</v>
      </c>
      <c r="GG102" s="38">
        <f t="shared" si="366"/>
        <v>0</v>
      </c>
      <c r="GH102" s="38">
        <f t="shared" si="367"/>
        <v>0</v>
      </c>
      <c r="GI102" s="38">
        <f t="shared" si="368"/>
        <v>0</v>
      </c>
      <c r="GJ102" s="38">
        <f t="shared" si="369"/>
        <v>0</v>
      </c>
      <c r="GL102" s="38">
        <f t="shared" si="370"/>
        <v>0</v>
      </c>
      <c r="GM102" s="38">
        <f t="shared" si="371"/>
        <v>0</v>
      </c>
      <c r="GN102" s="1" t="s">
        <v>2</v>
      </c>
      <c r="GO102" s="1">
        <f t="shared" si="294"/>
        <v>76.5</v>
      </c>
      <c r="GP102" s="13">
        <f t="shared" si="295"/>
        <v>1.4634379084967322</v>
      </c>
      <c r="GQ102" s="43">
        <f t="shared" si="296"/>
        <v>1119.5300000000002</v>
      </c>
      <c r="GR102" s="41">
        <f t="shared" si="297"/>
        <v>14681.516420000002</v>
      </c>
      <c r="GS102" s="14">
        <f t="shared" si="298"/>
        <v>191.91524732026147</v>
      </c>
      <c r="GT102" s="1">
        <f t="shared" si="372"/>
        <v>575.1</v>
      </c>
      <c r="GU102" s="1">
        <f t="shared" si="373"/>
        <v>475.8300000000001</v>
      </c>
      <c r="GV102" s="1">
        <f t="shared" si="374"/>
        <v>68.599999999999994</v>
      </c>
      <c r="GW102" s="37">
        <f t="shared" si="299"/>
        <v>71.2</v>
      </c>
      <c r="GX102" s="44">
        <f>(BT102*CB102+CO102*CW102)/GW102</f>
        <v>1.309550561797753</v>
      </c>
      <c r="GY102" s="41">
        <f>1000*GW102*GX102/100</f>
        <v>932.40000000000009</v>
      </c>
      <c r="GZ102" s="41">
        <f>SUM(FU102:GM102)</f>
        <v>12227.493600000002</v>
      </c>
      <c r="HA102" s="14">
        <f>GZ102/GW102</f>
        <v>171.73446067415733</v>
      </c>
      <c r="HB102" s="1">
        <f t="shared" si="375"/>
        <v>574.72</v>
      </c>
      <c r="HC102" s="1">
        <f t="shared" si="376"/>
        <v>357.68</v>
      </c>
      <c r="HD102" s="37" t="s">
        <v>2</v>
      </c>
      <c r="HE102" s="1" t="s">
        <v>31</v>
      </c>
      <c r="HF102" s="1" t="s">
        <v>469</v>
      </c>
      <c r="HG102" s="1" t="s">
        <v>469</v>
      </c>
      <c r="HI102" s="1" t="s">
        <v>96</v>
      </c>
      <c r="HJ102" s="37" t="s">
        <v>2</v>
      </c>
      <c r="JH102" s="58" t="s">
        <v>2</v>
      </c>
    </row>
    <row r="103" spans="1:268" ht="16.25" customHeight="1" x14ac:dyDescent="0.2">
      <c r="A103" s="21" t="s">
        <v>487</v>
      </c>
      <c r="B103" s="1" t="s">
        <v>64</v>
      </c>
      <c r="E103" s="1" t="s">
        <v>72</v>
      </c>
      <c r="F103" s="1" t="s">
        <v>466</v>
      </c>
      <c r="H103" s="1" t="s">
        <v>467</v>
      </c>
      <c r="I103" s="1">
        <v>101.8</v>
      </c>
      <c r="Q103" s="1">
        <v>1.76</v>
      </c>
      <c r="AD103" s="1">
        <v>14.7</v>
      </c>
      <c r="AL103" s="1">
        <v>1.64</v>
      </c>
      <c r="AY103" s="1">
        <v>0</v>
      </c>
      <c r="BT103" s="1">
        <v>101.8</v>
      </c>
      <c r="CB103" s="1">
        <v>1.76</v>
      </c>
      <c r="CO103" s="1">
        <v>14.7</v>
      </c>
      <c r="CW103" s="1">
        <v>1.64</v>
      </c>
      <c r="DJ103" s="1" t="s">
        <v>96</v>
      </c>
      <c r="DL103" s="1">
        <f t="shared" si="292"/>
        <v>1.7448583690987125</v>
      </c>
      <c r="DM103" s="1">
        <f t="shared" si="293"/>
        <v>0</v>
      </c>
      <c r="DN103" s="1" t="s">
        <v>67</v>
      </c>
      <c r="DO103" s="1" t="s">
        <v>2</v>
      </c>
      <c r="DP103" s="38">
        <f t="shared" si="300"/>
        <v>0</v>
      </c>
      <c r="DQ103" s="38">
        <f t="shared" si="301"/>
        <v>0</v>
      </c>
      <c r="DR103" s="38">
        <f t="shared" si="302"/>
        <v>0</v>
      </c>
      <c r="DS103" s="38">
        <f t="shared" si="303"/>
        <v>0</v>
      </c>
      <c r="DT103" s="38">
        <f t="shared" si="304"/>
        <v>0</v>
      </c>
      <c r="DU103" s="38">
        <f t="shared" si="305"/>
        <v>0</v>
      </c>
      <c r="DV103" s="38">
        <f t="shared" si="306"/>
        <v>0</v>
      </c>
      <c r="DW103" s="38">
        <f t="shared" si="307"/>
        <v>2.0327600000000001</v>
      </c>
      <c r="DX103" s="38">
        <f t="shared" si="308"/>
        <v>0</v>
      </c>
      <c r="DY103" s="38">
        <f t="shared" si="309"/>
        <v>0</v>
      </c>
      <c r="DZ103" s="38">
        <f t="shared" si="310"/>
        <v>0</v>
      </c>
      <c r="EA103" s="38">
        <f t="shared" si="311"/>
        <v>0</v>
      </c>
      <c r="EB103" s="38">
        <f t="shared" si="312"/>
        <v>0</v>
      </c>
      <c r="EC103" s="38">
        <f t="shared" si="313"/>
        <v>0</v>
      </c>
      <c r="ED103" s="38">
        <f t="shared" si="314"/>
        <v>0</v>
      </c>
      <c r="EE103" s="38">
        <f t="shared" si="315"/>
        <v>0</v>
      </c>
      <c r="EG103" s="38">
        <f t="shared" si="316"/>
        <v>0</v>
      </c>
      <c r="EH103" s="38">
        <f t="shared" si="317"/>
        <v>0</v>
      </c>
      <c r="EI103" s="38">
        <f t="shared" si="318"/>
        <v>0</v>
      </c>
      <c r="EJ103" s="38">
        <f t="shared" si="319"/>
        <v>0</v>
      </c>
      <c r="EK103" s="38">
        <f t="shared" si="320"/>
        <v>0</v>
      </c>
      <c r="EL103" s="38">
        <f t="shared" si="321"/>
        <v>0</v>
      </c>
      <c r="EM103" s="38">
        <f t="shared" si="322"/>
        <v>0</v>
      </c>
      <c r="EN103" s="38">
        <f t="shared" si="323"/>
        <v>0</v>
      </c>
      <c r="EO103" s="38">
        <f t="shared" si="324"/>
        <v>0</v>
      </c>
      <c r="EP103" s="38">
        <f t="shared" si="325"/>
        <v>26657.614640000003</v>
      </c>
      <c r="EQ103" s="38">
        <f t="shared" si="326"/>
        <v>0</v>
      </c>
      <c r="ER103" s="38">
        <f t="shared" si="327"/>
        <v>0</v>
      </c>
      <c r="ES103" s="38">
        <f t="shared" si="328"/>
        <v>0</v>
      </c>
      <c r="ET103" s="38">
        <f t="shared" si="329"/>
        <v>0</v>
      </c>
      <c r="EU103" s="38">
        <f t="shared" si="330"/>
        <v>0</v>
      </c>
      <c r="EV103" s="38">
        <f t="shared" si="331"/>
        <v>0</v>
      </c>
      <c r="EW103" s="38">
        <f t="shared" si="332"/>
        <v>0</v>
      </c>
      <c r="EX103" s="38">
        <f t="shared" si="333"/>
        <v>0</v>
      </c>
      <c r="EZ103" s="38">
        <f t="shared" si="334"/>
        <v>0</v>
      </c>
      <c r="FA103" s="38">
        <f t="shared" si="335"/>
        <v>0</v>
      </c>
      <c r="FB103" s="1">
        <f t="shared" si="336"/>
        <v>0</v>
      </c>
      <c r="FC103" s="1">
        <f t="shared" si="337"/>
        <v>0</v>
      </c>
      <c r="FD103" s="1">
        <f t="shared" si="338"/>
        <v>0</v>
      </c>
      <c r="FE103" s="1">
        <f t="shared" si="339"/>
        <v>0</v>
      </c>
      <c r="FF103" s="1">
        <f t="shared" si="340"/>
        <v>0</v>
      </c>
      <c r="FG103" s="1">
        <f t="shared" si="341"/>
        <v>0</v>
      </c>
      <c r="FH103" s="1">
        <f t="shared" si="342"/>
        <v>0</v>
      </c>
      <c r="FI103" s="1">
        <f t="shared" si="343"/>
        <v>2.0327600000000001</v>
      </c>
      <c r="FJ103" s="1">
        <f t="shared" si="344"/>
        <v>0</v>
      </c>
      <c r="FK103" s="1">
        <f t="shared" si="345"/>
        <v>0</v>
      </c>
      <c r="FL103" s="1">
        <f t="shared" si="346"/>
        <v>0</v>
      </c>
      <c r="FM103" s="1">
        <f t="shared" si="347"/>
        <v>0</v>
      </c>
      <c r="FN103" s="1">
        <f t="shared" si="348"/>
        <v>0</v>
      </c>
      <c r="FO103" s="1">
        <f t="shared" si="349"/>
        <v>0</v>
      </c>
      <c r="FP103" s="1">
        <f t="shared" si="350"/>
        <v>0</v>
      </c>
      <c r="FQ103" s="1">
        <f t="shared" si="351"/>
        <v>0</v>
      </c>
      <c r="FS103" s="1">
        <f t="shared" si="352"/>
        <v>0</v>
      </c>
      <c r="FT103" s="1">
        <f t="shared" si="353"/>
        <v>0</v>
      </c>
      <c r="FU103" s="38">
        <f t="shared" si="354"/>
        <v>0</v>
      </c>
      <c r="FV103" s="38">
        <f t="shared" si="355"/>
        <v>0</v>
      </c>
      <c r="FW103" s="38">
        <f t="shared" si="356"/>
        <v>0</v>
      </c>
      <c r="FX103" s="38">
        <f t="shared" si="357"/>
        <v>0</v>
      </c>
      <c r="FY103" s="38">
        <f t="shared" si="358"/>
        <v>0</v>
      </c>
      <c r="FZ103" s="38">
        <f t="shared" si="359"/>
        <v>0</v>
      </c>
      <c r="GA103" s="38">
        <f t="shared" si="360"/>
        <v>0</v>
      </c>
      <c r="GB103" s="38">
        <f t="shared" si="361"/>
        <v>26657.614640000003</v>
      </c>
      <c r="GC103" s="38">
        <f t="shared" si="362"/>
        <v>0</v>
      </c>
      <c r="GD103" s="38">
        <f t="shared" si="363"/>
        <v>0</v>
      </c>
      <c r="GE103" s="38">
        <f t="shared" si="364"/>
        <v>0</v>
      </c>
      <c r="GF103" s="38">
        <f t="shared" si="365"/>
        <v>0</v>
      </c>
      <c r="GG103" s="38">
        <f t="shared" si="366"/>
        <v>0</v>
      </c>
      <c r="GH103" s="38">
        <f t="shared" si="367"/>
        <v>0</v>
      </c>
      <c r="GI103" s="38">
        <f t="shared" si="368"/>
        <v>0</v>
      </c>
      <c r="GJ103" s="38">
        <f t="shared" si="369"/>
        <v>0</v>
      </c>
      <c r="GL103" s="38">
        <f t="shared" si="370"/>
        <v>0</v>
      </c>
      <c r="GM103" s="38">
        <f t="shared" si="371"/>
        <v>0</v>
      </c>
      <c r="GN103" s="1" t="s">
        <v>2</v>
      </c>
      <c r="GO103" s="1">
        <f t="shared" si="294"/>
        <v>116.5</v>
      </c>
      <c r="GP103" s="13">
        <f t="shared" si="295"/>
        <v>1.7448583690987125</v>
      </c>
      <c r="GQ103" s="43">
        <f t="shared" si="296"/>
        <v>2032.76</v>
      </c>
      <c r="GR103" s="41">
        <f t="shared" si="297"/>
        <v>26657.614640000003</v>
      </c>
      <c r="GS103" s="14">
        <f t="shared" si="298"/>
        <v>228.82072652360517</v>
      </c>
      <c r="GT103" s="1">
        <f t="shared" si="372"/>
        <v>1791.68</v>
      </c>
      <c r="GU103" s="1">
        <f t="shared" si="373"/>
        <v>241.07999999999996</v>
      </c>
      <c r="GV103" s="1">
        <f t="shared" si="374"/>
        <v>0</v>
      </c>
      <c r="GW103" s="37">
        <f t="shared" si="299"/>
        <v>116.5</v>
      </c>
      <c r="GX103" s="44">
        <f>(BT103*CB103+CO103*CW103)/GW103</f>
        <v>1.7448583690987125</v>
      </c>
      <c r="GY103" s="43">
        <f>1000*GW103*GX103/100</f>
        <v>2032.76</v>
      </c>
      <c r="GZ103" s="41">
        <f>SUM(FU103:GM103)</f>
        <v>26657.614640000003</v>
      </c>
      <c r="HA103" s="14">
        <f>GZ103/GW103</f>
        <v>228.82072652360517</v>
      </c>
      <c r="HB103" s="1">
        <f t="shared" si="375"/>
        <v>1791.68</v>
      </c>
      <c r="HC103" s="1">
        <f t="shared" si="376"/>
        <v>241.07999999999996</v>
      </c>
      <c r="HD103" s="37" t="s">
        <v>2</v>
      </c>
      <c r="HE103" s="1" t="s">
        <v>31</v>
      </c>
      <c r="HF103" s="1" t="s">
        <v>469</v>
      </c>
      <c r="HG103" s="1" t="s">
        <v>469</v>
      </c>
      <c r="HI103" s="1" t="s">
        <v>96</v>
      </c>
      <c r="HJ103" s="37" t="s">
        <v>2</v>
      </c>
      <c r="JH103" s="58" t="s">
        <v>2</v>
      </c>
    </row>
    <row r="104" spans="1:268" ht="16.25" customHeight="1" x14ac:dyDescent="0.2">
      <c r="A104" s="21" t="s">
        <v>573</v>
      </c>
      <c r="B104" s="1" t="s">
        <v>64</v>
      </c>
      <c r="E104" s="1" t="s">
        <v>72</v>
      </c>
      <c r="F104" s="1" t="s">
        <v>574</v>
      </c>
      <c r="H104" s="1" t="s">
        <v>467</v>
      </c>
      <c r="I104" s="1">
        <v>12.8</v>
      </c>
      <c r="Q104" s="1">
        <v>2.48</v>
      </c>
      <c r="AD104" s="1">
        <v>43.6</v>
      </c>
      <c r="AL104" s="13">
        <v>2.4</v>
      </c>
      <c r="AY104" s="1">
        <v>83</v>
      </c>
      <c r="BG104" s="1">
        <v>2.5</v>
      </c>
      <c r="BT104" s="1">
        <v>11.7</v>
      </c>
      <c r="CB104" s="1">
        <v>2.27</v>
      </c>
      <c r="CO104" s="1">
        <v>30.1</v>
      </c>
      <c r="CW104" s="13">
        <v>2.2000000000000002</v>
      </c>
      <c r="DJ104" s="1" t="s">
        <v>96</v>
      </c>
      <c r="DL104" s="1">
        <f t="shared" si="292"/>
        <v>2.4668866571018651</v>
      </c>
      <c r="DM104" s="1">
        <f t="shared" si="293"/>
        <v>0</v>
      </c>
      <c r="DN104" s="1" t="s">
        <v>67</v>
      </c>
      <c r="DO104" s="1" t="s">
        <v>2</v>
      </c>
      <c r="DP104" s="38">
        <f t="shared" si="300"/>
        <v>0</v>
      </c>
      <c r="DQ104" s="38">
        <f t="shared" si="301"/>
        <v>0</v>
      </c>
      <c r="DR104" s="38">
        <f t="shared" si="302"/>
        <v>0</v>
      </c>
      <c r="DS104" s="38">
        <f t="shared" si="303"/>
        <v>0</v>
      </c>
      <c r="DT104" s="38">
        <f t="shared" si="304"/>
        <v>0</v>
      </c>
      <c r="DU104" s="38">
        <f t="shared" si="305"/>
        <v>0</v>
      </c>
      <c r="DV104" s="38">
        <f t="shared" si="306"/>
        <v>0</v>
      </c>
      <c r="DW104" s="38">
        <f t="shared" si="307"/>
        <v>3.4388400000000003</v>
      </c>
      <c r="DX104" s="38">
        <f t="shared" si="308"/>
        <v>0</v>
      </c>
      <c r="DY104" s="38">
        <f t="shared" si="309"/>
        <v>0</v>
      </c>
      <c r="DZ104" s="38">
        <f t="shared" si="310"/>
        <v>0</v>
      </c>
      <c r="EA104" s="38">
        <f t="shared" si="311"/>
        <v>0</v>
      </c>
      <c r="EB104" s="38">
        <f t="shared" si="312"/>
        <v>0</v>
      </c>
      <c r="EC104" s="38">
        <f t="shared" si="313"/>
        <v>0</v>
      </c>
      <c r="ED104" s="38">
        <f t="shared" si="314"/>
        <v>0</v>
      </c>
      <c r="EE104" s="38">
        <f t="shared" si="315"/>
        <v>0</v>
      </c>
      <c r="EG104" s="38">
        <f t="shared" si="316"/>
        <v>0</v>
      </c>
      <c r="EH104" s="38">
        <f t="shared" si="317"/>
        <v>0</v>
      </c>
      <c r="EI104" s="38">
        <f t="shared" si="318"/>
        <v>0</v>
      </c>
      <c r="EJ104" s="38">
        <f t="shared" si="319"/>
        <v>0</v>
      </c>
      <c r="EK104" s="38">
        <f t="shared" si="320"/>
        <v>0</v>
      </c>
      <c r="EL104" s="38">
        <f t="shared" si="321"/>
        <v>0</v>
      </c>
      <c r="EM104" s="38">
        <f t="shared" si="322"/>
        <v>0</v>
      </c>
      <c r="EN104" s="38">
        <f t="shared" si="323"/>
        <v>0</v>
      </c>
      <c r="EO104" s="38">
        <f t="shared" si="324"/>
        <v>0</v>
      </c>
      <c r="EP104" s="38">
        <f t="shared" si="325"/>
        <v>45096.947760000003</v>
      </c>
      <c r="EQ104" s="38">
        <f t="shared" si="326"/>
        <v>0</v>
      </c>
      <c r="ER104" s="38">
        <f t="shared" si="327"/>
        <v>0</v>
      </c>
      <c r="ES104" s="38">
        <f t="shared" si="328"/>
        <v>0</v>
      </c>
      <c r="ET104" s="38">
        <f t="shared" si="329"/>
        <v>0</v>
      </c>
      <c r="EU104" s="38">
        <f t="shared" si="330"/>
        <v>0</v>
      </c>
      <c r="EV104" s="38">
        <f t="shared" si="331"/>
        <v>0</v>
      </c>
      <c r="EW104" s="38">
        <f t="shared" si="332"/>
        <v>0</v>
      </c>
      <c r="EX104" s="38">
        <f t="shared" si="333"/>
        <v>0</v>
      </c>
      <c r="EZ104" s="38">
        <f t="shared" si="334"/>
        <v>0</v>
      </c>
      <c r="FA104" s="38">
        <f t="shared" si="335"/>
        <v>0</v>
      </c>
      <c r="FB104" s="1">
        <f t="shared" si="336"/>
        <v>0</v>
      </c>
      <c r="FC104" s="1">
        <f t="shared" si="337"/>
        <v>0</v>
      </c>
      <c r="FD104" s="1">
        <f t="shared" si="338"/>
        <v>0</v>
      </c>
      <c r="FE104" s="1">
        <f t="shared" si="339"/>
        <v>0</v>
      </c>
      <c r="FF104" s="1">
        <f t="shared" si="340"/>
        <v>0</v>
      </c>
      <c r="FG104" s="1">
        <f t="shared" si="341"/>
        <v>0</v>
      </c>
      <c r="FH104" s="1">
        <f t="shared" si="342"/>
        <v>0</v>
      </c>
      <c r="FI104" s="1">
        <f t="shared" si="343"/>
        <v>0.92779000000000011</v>
      </c>
      <c r="FJ104" s="1">
        <f t="shared" si="344"/>
        <v>0</v>
      </c>
      <c r="FK104" s="1">
        <f t="shared" si="345"/>
        <v>0</v>
      </c>
      <c r="FL104" s="1">
        <f t="shared" si="346"/>
        <v>0</v>
      </c>
      <c r="FM104" s="1">
        <f t="shared" si="347"/>
        <v>0</v>
      </c>
      <c r="FN104" s="1">
        <f t="shared" si="348"/>
        <v>0</v>
      </c>
      <c r="FO104" s="1">
        <f t="shared" si="349"/>
        <v>0</v>
      </c>
      <c r="FP104" s="1">
        <f t="shared" si="350"/>
        <v>0</v>
      </c>
      <c r="FQ104" s="1">
        <f t="shared" si="351"/>
        <v>0</v>
      </c>
      <c r="FS104" s="1">
        <f t="shared" si="352"/>
        <v>0</v>
      </c>
      <c r="FT104" s="1">
        <f t="shared" si="353"/>
        <v>0</v>
      </c>
      <c r="FU104" s="38">
        <f t="shared" si="354"/>
        <v>0</v>
      </c>
      <c r="FV104" s="38">
        <f t="shared" si="355"/>
        <v>0</v>
      </c>
      <c r="FW104" s="38">
        <f t="shared" si="356"/>
        <v>0</v>
      </c>
      <c r="FX104" s="38">
        <f t="shared" si="357"/>
        <v>0</v>
      </c>
      <c r="FY104" s="38">
        <f t="shared" si="358"/>
        <v>0</v>
      </c>
      <c r="FZ104" s="38">
        <f t="shared" si="359"/>
        <v>0</v>
      </c>
      <c r="GA104" s="38">
        <f t="shared" si="360"/>
        <v>0</v>
      </c>
      <c r="GB104" s="38">
        <f t="shared" si="361"/>
        <v>12167.038060000001</v>
      </c>
      <c r="GC104" s="38">
        <f t="shared" si="362"/>
        <v>0</v>
      </c>
      <c r="GD104" s="38">
        <f t="shared" si="363"/>
        <v>0</v>
      </c>
      <c r="GE104" s="38">
        <f t="shared" si="364"/>
        <v>0</v>
      </c>
      <c r="GF104" s="38">
        <f t="shared" si="365"/>
        <v>0</v>
      </c>
      <c r="GG104" s="38">
        <f t="shared" si="366"/>
        <v>0</v>
      </c>
      <c r="GH104" s="38">
        <f t="shared" si="367"/>
        <v>0</v>
      </c>
      <c r="GI104" s="38">
        <f t="shared" si="368"/>
        <v>0</v>
      </c>
      <c r="GJ104" s="38">
        <f t="shared" si="369"/>
        <v>0</v>
      </c>
      <c r="GL104" s="38">
        <f t="shared" si="370"/>
        <v>0</v>
      </c>
      <c r="GM104" s="38">
        <f t="shared" si="371"/>
        <v>0</v>
      </c>
      <c r="GN104" s="1" t="s">
        <v>2</v>
      </c>
      <c r="GO104" s="1">
        <f t="shared" si="294"/>
        <v>139.4</v>
      </c>
      <c r="GP104" s="13">
        <f t="shared" si="295"/>
        <v>2.4668866571018651</v>
      </c>
      <c r="GQ104" s="43">
        <f t="shared" si="296"/>
        <v>3438.84</v>
      </c>
      <c r="GR104" s="41">
        <f t="shared" si="297"/>
        <v>45096.947760000003</v>
      </c>
      <c r="GS104" s="14">
        <f t="shared" si="298"/>
        <v>323.5075162123386</v>
      </c>
      <c r="GT104" s="1">
        <f t="shared" si="372"/>
        <v>317.44</v>
      </c>
      <c r="GU104" s="1">
        <f t="shared" si="373"/>
        <v>1046.4000000000001</v>
      </c>
      <c r="GV104" s="1">
        <f t="shared" si="374"/>
        <v>2075</v>
      </c>
      <c r="GW104" s="37">
        <f t="shared" si="299"/>
        <v>41.8</v>
      </c>
      <c r="GX104" s="44">
        <f>(BT104*CB104+CO104*CW104)/GW104</f>
        <v>2.219593301435407</v>
      </c>
      <c r="GY104" s="41">
        <f>1000*GW104*GX104/100</f>
        <v>927.79000000000019</v>
      </c>
      <c r="GZ104" s="41">
        <f>SUM(FU104:GM104)</f>
        <v>12167.038060000001</v>
      </c>
      <c r="HA104" s="14">
        <f>GZ104/GW104</f>
        <v>291.07746555023925</v>
      </c>
      <c r="HB104" s="1">
        <f t="shared" si="375"/>
        <v>265.58999999999997</v>
      </c>
      <c r="HC104" s="1">
        <f t="shared" si="376"/>
        <v>662.20000000000016</v>
      </c>
      <c r="HD104" s="37" t="s">
        <v>2</v>
      </c>
      <c r="HE104" s="1" t="s">
        <v>31</v>
      </c>
      <c r="HF104" s="1" t="s">
        <v>469</v>
      </c>
      <c r="HG104" s="1" t="s">
        <v>469</v>
      </c>
      <c r="HI104" s="1" t="s">
        <v>96</v>
      </c>
      <c r="HJ104" s="37" t="s">
        <v>2</v>
      </c>
      <c r="JH104" s="58" t="s">
        <v>2</v>
      </c>
    </row>
    <row r="105" spans="1:268" ht="16.25" customHeight="1" x14ac:dyDescent="0.2">
      <c r="A105" s="21" t="s">
        <v>575</v>
      </c>
      <c r="B105" s="1" t="s">
        <v>64</v>
      </c>
      <c r="E105" s="1" t="s">
        <v>72</v>
      </c>
      <c r="F105" s="1" t="s">
        <v>576</v>
      </c>
      <c r="H105" s="1" t="s">
        <v>467</v>
      </c>
      <c r="I105" s="1">
        <v>39.4</v>
      </c>
      <c r="Q105" s="1">
        <v>2.39</v>
      </c>
      <c r="AD105" s="1">
        <v>65.7</v>
      </c>
      <c r="AL105" s="1">
        <v>2.42</v>
      </c>
      <c r="AY105" s="1">
        <v>84.5</v>
      </c>
      <c r="BG105" s="1">
        <v>2.4300000000000002</v>
      </c>
      <c r="BT105" s="1">
        <v>17.100000000000001</v>
      </c>
      <c r="CB105" s="1">
        <v>2.61</v>
      </c>
      <c r="CO105" s="1">
        <v>19.2</v>
      </c>
      <c r="CW105" s="1">
        <v>2.46</v>
      </c>
      <c r="DJ105" s="1" t="s">
        <v>96</v>
      </c>
      <c r="DL105" s="1">
        <f t="shared" si="292"/>
        <v>2.4182225738396625</v>
      </c>
      <c r="DM105" s="1">
        <f t="shared" si="293"/>
        <v>0</v>
      </c>
      <c r="DN105" s="1" t="s">
        <v>67</v>
      </c>
      <c r="DO105" s="1" t="s">
        <v>2</v>
      </c>
      <c r="DP105" s="38">
        <f t="shared" si="300"/>
        <v>0</v>
      </c>
      <c r="DQ105" s="38">
        <f t="shared" si="301"/>
        <v>0</v>
      </c>
      <c r="DR105" s="38">
        <f t="shared" si="302"/>
        <v>0</v>
      </c>
      <c r="DS105" s="38">
        <f t="shared" si="303"/>
        <v>0</v>
      </c>
      <c r="DT105" s="38">
        <f t="shared" si="304"/>
        <v>0</v>
      </c>
      <c r="DU105" s="38">
        <f t="shared" si="305"/>
        <v>0</v>
      </c>
      <c r="DV105" s="38">
        <f t="shared" si="306"/>
        <v>0</v>
      </c>
      <c r="DW105" s="38">
        <f t="shared" si="307"/>
        <v>4.5849500000000001</v>
      </c>
      <c r="DX105" s="38">
        <f t="shared" si="308"/>
        <v>0</v>
      </c>
      <c r="DY105" s="38">
        <f t="shared" si="309"/>
        <v>0</v>
      </c>
      <c r="DZ105" s="38">
        <f t="shared" si="310"/>
        <v>0</v>
      </c>
      <c r="EA105" s="38">
        <f t="shared" si="311"/>
        <v>0</v>
      </c>
      <c r="EB105" s="38">
        <f t="shared" si="312"/>
        <v>0</v>
      </c>
      <c r="EC105" s="38">
        <f t="shared" si="313"/>
        <v>0</v>
      </c>
      <c r="ED105" s="38">
        <f t="shared" si="314"/>
        <v>0</v>
      </c>
      <c r="EE105" s="38">
        <f t="shared" si="315"/>
        <v>0</v>
      </c>
      <c r="EG105" s="38">
        <f t="shared" si="316"/>
        <v>0</v>
      </c>
      <c r="EH105" s="38">
        <f t="shared" si="317"/>
        <v>0</v>
      </c>
      <c r="EI105" s="38">
        <f t="shared" si="318"/>
        <v>0</v>
      </c>
      <c r="EJ105" s="38">
        <f t="shared" si="319"/>
        <v>0</v>
      </c>
      <c r="EK105" s="38">
        <f t="shared" si="320"/>
        <v>0</v>
      </c>
      <c r="EL105" s="38">
        <f t="shared" si="321"/>
        <v>0</v>
      </c>
      <c r="EM105" s="38">
        <f t="shared" si="322"/>
        <v>0</v>
      </c>
      <c r="EN105" s="38">
        <f t="shared" si="323"/>
        <v>0</v>
      </c>
      <c r="EO105" s="38">
        <f t="shared" si="324"/>
        <v>0</v>
      </c>
      <c r="EP105" s="38">
        <f t="shared" si="325"/>
        <v>60127.034299999999</v>
      </c>
      <c r="EQ105" s="38">
        <f t="shared" si="326"/>
        <v>0</v>
      </c>
      <c r="ER105" s="38">
        <f t="shared" si="327"/>
        <v>0</v>
      </c>
      <c r="ES105" s="38">
        <f t="shared" si="328"/>
        <v>0</v>
      </c>
      <c r="ET105" s="38">
        <f t="shared" si="329"/>
        <v>0</v>
      </c>
      <c r="EU105" s="38">
        <f t="shared" si="330"/>
        <v>0</v>
      </c>
      <c r="EV105" s="38">
        <f t="shared" si="331"/>
        <v>0</v>
      </c>
      <c r="EW105" s="38">
        <f t="shared" si="332"/>
        <v>0</v>
      </c>
      <c r="EX105" s="38">
        <f t="shared" si="333"/>
        <v>0</v>
      </c>
      <c r="EZ105" s="38">
        <f t="shared" si="334"/>
        <v>0</v>
      </c>
      <c r="FA105" s="38">
        <f t="shared" si="335"/>
        <v>0</v>
      </c>
      <c r="FB105" s="1">
        <f t="shared" si="336"/>
        <v>0</v>
      </c>
      <c r="FC105" s="1">
        <f t="shared" si="337"/>
        <v>0</v>
      </c>
      <c r="FD105" s="1">
        <f t="shared" si="338"/>
        <v>0</v>
      </c>
      <c r="FE105" s="1">
        <f t="shared" si="339"/>
        <v>0</v>
      </c>
      <c r="FF105" s="1">
        <f t="shared" si="340"/>
        <v>0</v>
      </c>
      <c r="FG105" s="1">
        <f t="shared" si="341"/>
        <v>0</v>
      </c>
      <c r="FH105" s="1">
        <f t="shared" si="342"/>
        <v>0</v>
      </c>
      <c r="FI105" s="1">
        <f t="shared" si="343"/>
        <v>0.91862999999999995</v>
      </c>
      <c r="FJ105" s="1">
        <f t="shared" si="344"/>
        <v>0</v>
      </c>
      <c r="FK105" s="1">
        <f t="shared" si="345"/>
        <v>0</v>
      </c>
      <c r="FL105" s="1">
        <f t="shared" si="346"/>
        <v>0</v>
      </c>
      <c r="FM105" s="1">
        <f t="shared" si="347"/>
        <v>0</v>
      </c>
      <c r="FN105" s="1">
        <f t="shared" si="348"/>
        <v>0</v>
      </c>
      <c r="FO105" s="1">
        <f t="shared" si="349"/>
        <v>0</v>
      </c>
      <c r="FP105" s="1">
        <f t="shared" si="350"/>
        <v>0</v>
      </c>
      <c r="FQ105" s="1">
        <f t="shared" si="351"/>
        <v>0</v>
      </c>
      <c r="FS105" s="1">
        <f t="shared" si="352"/>
        <v>0</v>
      </c>
      <c r="FT105" s="1">
        <f t="shared" si="353"/>
        <v>0</v>
      </c>
      <c r="FU105" s="38">
        <f t="shared" si="354"/>
        <v>0</v>
      </c>
      <c r="FV105" s="38">
        <f t="shared" si="355"/>
        <v>0</v>
      </c>
      <c r="FW105" s="38">
        <f t="shared" si="356"/>
        <v>0</v>
      </c>
      <c r="FX105" s="38">
        <f t="shared" si="357"/>
        <v>0</v>
      </c>
      <c r="FY105" s="38">
        <f t="shared" si="358"/>
        <v>0</v>
      </c>
      <c r="FZ105" s="38">
        <f t="shared" si="359"/>
        <v>0</v>
      </c>
      <c r="GA105" s="38">
        <f t="shared" si="360"/>
        <v>0</v>
      </c>
      <c r="GB105" s="38">
        <f t="shared" si="361"/>
        <v>12046.91382</v>
      </c>
      <c r="GC105" s="38">
        <f t="shared" si="362"/>
        <v>0</v>
      </c>
      <c r="GD105" s="38">
        <f t="shared" si="363"/>
        <v>0</v>
      </c>
      <c r="GE105" s="38">
        <f t="shared" si="364"/>
        <v>0</v>
      </c>
      <c r="GF105" s="38">
        <f t="shared" si="365"/>
        <v>0</v>
      </c>
      <c r="GG105" s="38">
        <f t="shared" si="366"/>
        <v>0</v>
      </c>
      <c r="GH105" s="38">
        <f t="shared" si="367"/>
        <v>0</v>
      </c>
      <c r="GI105" s="38">
        <f t="shared" si="368"/>
        <v>0</v>
      </c>
      <c r="GJ105" s="38">
        <f t="shared" si="369"/>
        <v>0</v>
      </c>
      <c r="GL105" s="38">
        <f t="shared" si="370"/>
        <v>0</v>
      </c>
      <c r="GM105" s="38">
        <f t="shared" si="371"/>
        <v>0</v>
      </c>
      <c r="GN105" s="1" t="s">
        <v>2</v>
      </c>
      <c r="GO105" s="1">
        <f t="shared" si="294"/>
        <v>189.6</v>
      </c>
      <c r="GP105" s="13">
        <f t="shared" si="295"/>
        <v>2.4182225738396625</v>
      </c>
      <c r="GQ105" s="43">
        <f t="shared" si="296"/>
        <v>4584.95</v>
      </c>
      <c r="GR105" s="41">
        <f t="shared" si="297"/>
        <v>60127.034299999999</v>
      </c>
      <c r="GS105" s="14">
        <f t="shared" si="298"/>
        <v>317.12570833333336</v>
      </c>
      <c r="GT105" s="1">
        <f t="shared" si="372"/>
        <v>941.66</v>
      </c>
      <c r="GU105" s="1">
        <f t="shared" si="373"/>
        <v>1589.94</v>
      </c>
      <c r="GV105" s="1">
        <f t="shared" si="374"/>
        <v>2053.35</v>
      </c>
      <c r="GW105" s="37">
        <f t="shared" si="299"/>
        <v>36.299999999999997</v>
      </c>
      <c r="GX105" s="44">
        <f>(BT105*CB105+CO105*CW105)/GW105</f>
        <v>2.5306611570247934</v>
      </c>
      <c r="GY105" s="41">
        <f>1000*GW105*GX105/100</f>
        <v>918.63</v>
      </c>
      <c r="GZ105" s="41">
        <f>SUM(FU105:GM105)</f>
        <v>12046.91382</v>
      </c>
      <c r="HA105" s="14">
        <f>GZ105/GW105</f>
        <v>331.87090413223143</v>
      </c>
      <c r="HB105" s="1">
        <f t="shared" si="375"/>
        <v>446.31</v>
      </c>
      <c r="HC105" s="1">
        <f t="shared" si="376"/>
        <v>472.32</v>
      </c>
      <c r="HD105" s="37" t="s">
        <v>2</v>
      </c>
      <c r="HE105" s="1" t="s">
        <v>31</v>
      </c>
      <c r="HF105" s="1" t="s">
        <v>469</v>
      </c>
      <c r="HG105" s="1" t="s">
        <v>469</v>
      </c>
      <c r="HI105" s="1" t="s">
        <v>96</v>
      </c>
      <c r="HJ105" s="37" t="s">
        <v>2</v>
      </c>
      <c r="JH105" s="58" t="s">
        <v>2</v>
      </c>
    </row>
    <row r="106" spans="1:268" ht="16.25" customHeight="1" x14ac:dyDescent="0.2">
      <c r="A106" s="21" t="s">
        <v>498</v>
      </c>
      <c r="B106" s="1" t="s">
        <v>64</v>
      </c>
      <c r="E106" s="1" t="s">
        <v>72</v>
      </c>
      <c r="F106" s="1" t="s">
        <v>499</v>
      </c>
      <c r="H106" s="1" t="s">
        <v>187</v>
      </c>
      <c r="I106" s="1">
        <v>0</v>
      </c>
      <c r="AD106" s="1">
        <v>0</v>
      </c>
      <c r="AY106" s="1">
        <v>9.1300000000000008</v>
      </c>
      <c r="BG106" s="1">
        <v>1.55</v>
      </c>
      <c r="BH106" s="1">
        <v>0.08</v>
      </c>
      <c r="BT106" s="1">
        <v>0</v>
      </c>
      <c r="CO106" s="1">
        <v>0</v>
      </c>
      <c r="DJ106" s="1" t="s">
        <v>96</v>
      </c>
      <c r="DL106" s="1">
        <f t="shared" si="292"/>
        <v>1.55</v>
      </c>
      <c r="DM106" s="1">
        <f t="shared" si="293"/>
        <v>0.08</v>
      </c>
      <c r="DN106" s="1" t="s">
        <v>156</v>
      </c>
      <c r="DO106" s="1" t="s">
        <v>2</v>
      </c>
      <c r="DP106" s="38">
        <f t="shared" si="300"/>
        <v>0</v>
      </c>
      <c r="DQ106" s="38">
        <f t="shared" si="301"/>
        <v>0</v>
      </c>
      <c r="DR106" s="38">
        <f t="shared" si="302"/>
        <v>0</v>
      </c>
      <c r="DS106" s="38">
        <f t="shared" si="303"/>
        <v>0</v>
      </c>
      <c r="DT106" s="38">
        <f t="shared" si="304"/>
        <v>0</v>
      </c>
      <c r="DU106" s="38">
        <f t="shared" si="305"/>
        <v>0</v>
      </c>
      <c r="DV106" s="38">
        <f t="shared" si="306"/>
        <v>0</v>
      </c>
      <c r="DW106" s="38">
        <f t="shared" si="307"/>
        <v>0.14151500000000003</v>
      </c>
      <c r="DX106" s="38">
        <f t="shared" si="308"/>
        <v>7.3040000000000006E-3</v>
      </c>
      <c r="DY106" s="38">
        <f t="shared" si="309"/>
        <v>0</v>
      </c>
      <c r="DZ106" s="38">
        <f t="shared" si="310"/>
        <v>0</v>
      </c>
      <c r="EA106" s="38">
        <f t="shared" si="311"/>
        <v>0</v>
      </c>
      <c r="EB106" s="38">
        <f t="shared" si="312"/>
        <v>0</v>
      </c>
      <c r="EC106" s="38">
        <f t="shared" si="313"/>
        <v>0</v>
      </c>
      <c r="ED106" s="38">
        <f t="shared" si="314"/>
        <v>0</v>
      </c>
      <c r="EE106" s="38">
        <f t="shared" si="315"/>
        <v>0</v>
      </c>
      <c r="EG106" s="38">
        <f t="shared" si="316"/>
        <v>0</v>
      </c>
      <c r="EH106" s="38">
        <f t="shared" si="317"/>
        <v>0</v>
      </c>
      <c r="EI106" s="38">
        <f t="shared" si="318"/>
        <v>0</v>
      </c>
      <c r="EJ106" s="38">
        <f t="shared" si="319"/>
        <v>0</v>
      </c>
      <c r="EK106" s="38">
        <f t="shared" si="320"/>
        <v>0</v>
      </c>
      <c r="EL106" s="38">
        <f t="shared" si="321"/>
        <v>0</v>
      </c>
      <c r="EM106" s="38">
        <f t="shared" si="322"/>
        <v>0</v>
      </c>
      <c r="EN106" s="38">
        <f t="shared" si="323"/>
        <v>0</v>
      </c>
      <c r="EO106" s="38">
        <f t="shared" si="324"/>
        <v>0</v>
      </c>
      <c r="EP106" s="38">
        <f t="shared" si="325"/>
        <v>1855.8277100000005</v>
      </c>
      <c r="EQ106" s="38">
        <f t="shared" si="326"/>
        <v>530.41300329599994</v>
      </c>
      <c r="ER106" s="38">
        <f t="shared" si="327"/>
        <v>0</v>
      </c>
      <c r="ES106" s="38">
        <f t="shared" si="328"/>
        <v>0</v>
      </c>
      <c r="ET106" s="38">
        <f t="shared" si="329"/>
        <v>0</v>
      </c>
      <c r="EU106" s="38">
        <f t="shared" si="330"/>
        <v>0</v>
      </c>
      <c r="EV106" s="38">
        <f t="shared" si="331"/>
        <v>0</v>
      </c>
      <c r="EW106" s="38">
        <f t="shared" si="332"/>
        <v>0</v>
      </c>
      <c r="EX106" s="38">
        <f t="shared" si="333"/>
        <v>0</v>
      </c>
      <c r="EZ106" s="38">
        <f t="shared" si="334"/>
        <v>0</v>
      </c>
      <c r="FA106" s="38">
        <f t="shared" si="335"/>
        <v>0</v>
      </c>
      <c r="FB106" s="1">
        <f t="shared" si="336"/>
        <v>0</v>
      </c>
      <c r="FC106" s="1">
        <f t="shared" si="337"/>
        <v>0</v>
      </c>
      <c r="FD106" s="1">
        <f t="shared" si="338"/>
        <v>0</v>
      </c>
      <c r="FE106" s="1">
        <f t="shared" si="339"/>
        <v>0</v>
      </c>
      <c r="FF106" s="1">
        <f t="shared" si="340"/>
        <v>0</v>
      </c>
      <c r="FG106" s="1">
        <f t="shared" si="341"/>
        <v>0</v>
      </c>
      <c r="FH106" s="1">
        <f t="shared" si="342"/>
        <v>0</v>
      </c>
      <c r="FI106" s="1">
        <f t="shared" si="343"/>
        <v>0</v>
      </c>
      <c r="FJ106" s="1">
        <f t="shared" si="344"/>
        <v>0</v>
      </c>
      <c r="FK106" s="1">
        <f t="shared" si="345"/>
        <v>0</v>
      </c>
      <c r="FL106" s="1">
        <f t="shared" si="346"/>
        <v>0</v>
      </c>
      <c r="FM106" s="1">
        <f t="shared" si="347"/>
        <v>0</v>
      </c>
      <c r="FN106" s="1">
        <f t="shared" si="348"/>
        <v>0</v>
      </c>
      <c r="FO106" s="1">
        <f t="shared" si="349"/>
        <v>0</v>
      </c>
      <c r="FP106" s="1">
        <f t="shared" si="350"/>
        <v>0</v>
      </c>
      <c r="FQ106" s="1">
        <f t="shared" si="351"/>
        <v>0</v>
      </c>
      <c r="FS106" s="1">
        <f t="shared" si="352"/>
        <v>0</v>
      </c>
      <c r="FT106" s="1">
        <f t="shared" si="353"/>
        <v>0</v>
      </c>
      <c r="FU106" s="38">
        <f t="shared" si="354"/>
        <v>0</v>
      </c>
      <c r="FV106" s="38">
        <f t="shared" si="355"/>
        <v>0</v>
      </c>
      <c r="FW106" s="38">
        <f t="shared" si="356"/>
        <v>0</v>
      </c>
      <c r="FX106" s="38">
        <f t="shared" si="357"/>
        <v>0</v>
      </c>
      <c r="FY106" s="38">
        <f t="shared" si="358"/>
        <v>0</v>
      </c>
      <c r="FZ106" s="38">
        <f t="shared" si="359"/>
        <v>0</v>
      </c>
      <c r="GA106" s="38">
        <f t="shared" si="360"/>
        <v>0</v>
      </c>
      <c r="GB106" s="38">
        <f t="shared" si="361"/>
        <v>0</v>
      </c>
      <c r="GC106" s="38">
        <f t="shared" si="362"/>
        <v>0</v>
      </c>
      <c r="GD106" s="38">
        <f t="shared" si="363"/>
        <v>0</v>
      </c>
      <c r="GE106" s="38">
        <f t="shared" si="364"/>
        <v>0</v>
      </c>
      <c r="GF106" s="38">
        <f t="shared" si="365"/>
        <v>0</v>
      </c>
      <c r="GG106" s="38">
        <f t="shared" si="366"/>
        <v>0</v>
      </c>
      <c r="GH106" s="38">
        <f t="shared" si="367"/>
        <v>0</v>
      </c>
      <c r="GI106" s="38">
        <f t="shared" si="368"/>
        <v>0</v>
      </c>
      <c r="GJ106" s="38">
        <f t="shared" si="369"/>
        <v>0</v>
      </c>
      <c r="GL106" s="38">
        <f t="shared" si="370"/>
        <v>0</v>
      </c>
      <c r="GM106" s="38">
        <f t="shared" si="371"/>
        <v>0</v>
      </c>
      <c r="GN106" s="1" t="s">
        <v>2</v>
      </c>
      <c r="GO106" s="1">
        <f t="shared" si="294"/>
        <v>9.1300000000000008</v>
      </c>
      <c r="GP106" s="13">
        <f t="shared" si="295"/>
        <v>1.55</v>
      </c>
      <c r="GQ106" s="41">
        <f t="shared" si="296"/>
        <v>141.51499999999999</v>
      </c>
      <c r="GR106" s="41">
        <f t="shared" si="297"/>
        <v>2386.2407132960006</v>
      </c>
      <c r="GS106" s="14">
        <f t="shared" si="298"/>
        <v>261.36261920000004</v>
      </c>
      <c r="GT106" s="1">
        <f t="shared" si="372"/>
        <v>0</v>
      </c>
      <c r="GU106" s="1">
        <f t="shared" si="373"/>
        <v>0</v>
      </c>
      <c r="GV106" s="1">
        <f t="shared" si="374"/>
        <v>141.51500000000001</v>
      </c>
      <c r="GW106" s="37">
        <f t="shared" si="299"/>
        <v>0</v>
      </c>
      <c r="GX106" s="37"/>
      <c r="GY106" s="37"/>
      <c r="GZ106" s="37"/>
      <c r="HB106" s="1">
        <f t="shared" si="375"/>
        <v>0</v>
      </c>
      <c r="HC106" s="1">
        <f t="shared" si="376"/>
        <v>0</v>
      </c>
      <c r="HD106" s="37" t="s">
        <v>2</v>
      </c>
      <c r="HE106" s="1" t="s">
        <v>31</v>
      </c>
      <c r="HF106" s="1" t="s">
        <v>500</v>
      </c>
      <c r="HG106" s="1" t="s">
        <v>469</v>
      </c>
      <c r="HI106" s="1" t="s">
        <v>96</v>
      </c>
      <c r="HJ106" s="37" t="s">
        <v>2</v>
      </c>
      <c r="JH106" s="58" t="s">
        <v>2</v>
      </c>
    </row>
    <row r="107" spans="1:268" ht="16.25" customHeight="1" x14ac:dyDescent="0.2">
      <c r="A107" s="21" t="s">
        <v>507</v>
      </c>
      <c r="B107" s="1" t="s">
        <v>69</v>
      </c>
      <c r="E107" s="1" t="s">
        <v>72</v>
      </c>
      <c r="F107" s="1" t="s">
        <v>499</v>
      </c>
      <c r="H107" s="1" t="s">
        <v>187</v>
      </c>
      <c r="I107" s="1">
        <v>0</v>
      </c>
      <c r="AD107" s="1">
        <v>0</v>
      </c>
      <c r="AY107" s="1">
        <v>43</v>
      </c>
      <c r="BG107" s="1">
        <v>0.8</v>
      </c>
      <c r="BT107" s="1">
        <v>0</v>
      </c>
      <c r="CO107" s="1">
        <v>0</v>
      </c>
      <c r="DJ107" s="1" t="s">
        <v>96</v>
      </c>
      <c r="DL107" s="1">
        <f t="shared" si="292"/>
        <v>0.79999999999999993</v>
      </c>
      <c r="DM107" s="1">
        <f t="shared" si="293"/>
        <v>0</v>
      </c>
      <c r="DN107" s="1" t="s">
        <v>156</v>
      </c>
      <c r="DO107" s="1" t="s">
        <v>2</v>
      </c>
      <c r="DP107" s="38">
        <f t="shared" si="300"/>
        <v>0</v>
      </c>
      <c r="DQ107" s="38">
        <f t="shared" si="301"/>
        <v>0</v>
      </c>
      <c r="DR107" s="38">
        <f t="shared" si="302"/>
        <v>0</v>
      </c>
      <c r="DS107" s="38">
        <f t="shared" si="303"/>
        <v>0</v>
      </c>
      <c r="DT107" s="38">
        <f t="shared" si="304"/>
        <v>0</v>
      </c>
      <c r="DU107" s="38">
        <f t="shared" si="305"/>
        <v>0</v>
      </c>
      <c r="DV107" s="38">
        <f t="shared" si="306"/>
        <v>0</v>
      </c>
      <c r="DW107" s="38">
        <f t="shared" si="307"/>
        <v>0.34399999999999997</v>
      </c>
      <c r="DX107" s="38">
        <f t="shared" si="308"/>
        <v>0</v>
      </c>
      <c r="DY107" s="38">
        <f t="shared" si="309"/>
        <v>0</v>
      </c>
      <c r="DZ107" s="38">
        <f t="shared" si="310"/>
        <v>0</v>
      </c>
      <c r="EA107" s="38">
        <f t="shared" si="311"/>
        <v>0</v>
      </c>
      <c r="EB107" s="38">
        <f t="shared" si="312"/>
        <v>0</v>
      </c>
      <c r="EC107" s="38">
        <f t="shared" si="313"/>
        <v>0</v>
      </c>
      <c r="ED107" s="38">
        <f t="shared" si="314"/>
        <v>0</v>
      </c>
      <c r="EE107" s="38">
        <f t="shared" si="315"/>
        <v>0</v>
      </c>
      <c r="EG107" s="38">
        <f t="shared" si="316"/>
        <v>0</v>
      </c>
      <c r="EH107" s="38">
        <f t="shared" si="317"/>
        <v>0</v>
      </c>
      <c r="EI107" s="38">
        <f t="shared" si="318"/>
        <v>0</v>
      </c>
      <c r="EJ107" s="38">
        <f t="shared" si="319"/>
        <v>0</v>
      </c>
      <c r="EK107" s="38">
        <f t="shared" si="320"/>
        <v>0</v>
      </c>
      <c r="EL107" s="38">
        <f t="shared" si="321"/>
        <v>0</v>
      </c>
      <c r="EM107" s="38">
        <f t="shared" si="322"/>
        <v>0</v>
      </c>
      <c r="EN107" s="38">
        <f t="shared" si="323"/>
        <v>0</v>
      </c>
      <c r="EO107" s="38">
        <f t="shared" si="324"/>
        <v>0</v>
      </c>
      <c r="EP107" s="38">
        <f t="shared" si="325"/>
        <v>4511.2159999999994</v>
      </c>
      <c r="EQ107" s="38">
        <f t="shared" si="326"/>
        <v>0</v>
      </c>
      <c r="ER107" s="38">
        <f t="shared" si="327"/>
        <v>0</v>
      </c>
      <c r="ES107" s="38">
        <f t="shared" si="328"/>
        <v>0</v>
      </c>
      <c r="ET107" s="38">
        <f t="shared" si="329"/>
        <v>0</v>
      </c>
      <c r="EU107" s="38">
        <f t="shared" si="330"/>
        <v>0</v>
      </c>
      <c r="EV107" s="38">
        <f t="shared" si="331"/>
        <v>0</v>
      </c>
      <c r="EW107" s="38">
        <f t="shared" si="332"/>
        <v>0</v>
      </c>
      <c r="EX107" s="38">
        <f t="shared" si="333"/>
        <v>0</v>
      </c>
      <c r="EZ107" s="38">
        <f t="shared" si="334"/>
        <v>0</v>
      </c>
      <c r="FA107" s="38">
        <f t="shared" si="335"/>
        <v>0</v>
      </c>
      <c r="FB107" s="1">
        <f t="shared" si="336"/>
        <v>0</v>
      </c>
      <c r="FC107" s="1">
        <f t="shared" si="337"/>
        <v>0</v>
      </c>
      <c r="FD107" s="1">
        <f t="shared" si="338"/>
        <v>0</v>
      </c>
      <c r="FE107" s="1">
        <f t="shared" si="339"/>
        <v>0</v>
      </c>
      <c r="FF107" s="1">
        <f t="shared" si="340"/>
        <v>0</v>
      </c>
      <c r="FG107" s="1">
        <f t="shared" si="341"/>
        <v>0</v>
      </c>
      <c r="FH107" s="1">
        <f t="shared" si="342"/>
        <v>0</v>
      </c>
      <c r="FI107" s="1">
        <f t="shared" si="343"/>
        <v>0</v>
      </c>
      <c r="FJ107" s="1">
        <f t="shared" si="344"/>
        <v>0</v>
      </c>
      <c r="FK107" s="1">
        <f t="shared" si="345"/>
        <v>0</v>
      </c>
      <c r="FL107" s="1">
        <f t="shared" si="346"/>
        <v>0</v>
      </c>
      <c r="FM107" s="1">
        <f t="shared" si="347"/>
        <v>0</v>
      </c>
      <c r="FN107" s="1">
        <f t="shared" si="348"/>
        <v>0</v>
      </c>
      <c r="FO107" s="1">
        <f t="shared" si="349"/>
        <v>0</v>
      </c>
      <c r="FP107" s="1">
        <f t="shared" si="350"/>
        <v>0</v>
      </c>
      <c r="FQ107" s="1">
        <f t="shared" si="351"/>
        <v>0</v>
      </c>
      <c r="FS107" s="1">
        <f t="shared" si="352"/>
        <v>0</v>
      </c>
      <c r="FT107" s="1">
        <f t="shared" si="353"/>
        <v>0</v>
      </c>
      <c r="FU107" s="38">
        <f t="shared" si="354"/>
        <v>0</v>
      </c>
      <c r="FV107" s="38">
        <f t="shared" si="355"/>
        <v>0</v>
      </c>
      <c r="FW107" s="38">
        <f t="shared" si="356"/>
        <v>0</v>
      </c>
      <c r="FX107" s="38">
        <f t="shared" si="357"/>
        <v>0</v>
      </c>
      <c r="FY107" s="38">
        <f t="shared" si="358"/>
        <v>0</v>
      </c>
      <c r="FZ107" s="38">
        <f t="shared" si="359"/>
        <v>0</v>
      </c>
      <c r="GA107" s="38">
        <f t="shared" si="360"/>
        <v>0</v>
      </c>
      <c r="GB107" s="38">
        <f t="shared" si="361"/>
        <v>0</v>
      </c>
      <c r="GC107" s="38">
        <f t="shared" si="362"/>
        <v>0</v>
      </c>
      <c r="GD107" s="38">
        <f t="shared" si="363"/>
        <v>0</v>
      </c>
      <c r="GE107" s="38">
        <f t="shared" si="364"/>
        <v>0</v>
      </c>
      <c r="GF107" s="38">
        <f t="shared" si="365"/>
        <v>0</v>
      </c>
      <c r="GG107" s="38">
        <f t="shared" si="366"/>
        <v>0</v>
      </c>
      <c r="GH107" s="38">
        <f t="shared" si="367"/>
        <v>0</v>
      </c>
      <c r="GI107" s="38">
        <f t="shared" si="368"/>
        <v>0</v>
      </c>
      <c r="GJ107" s="38">
        <f t="shared" si="369"/>
        <v>0</v>
      </c>
      <c r="GL107" s="38">
        <f t="shared" si="370"/>
        <v>0</v>
      </c>
      <c r="GM107" s="38">
        <f t="shared" si="371"/>
        <v>0</v>
      </c>
      <c r="GN107" s="1" t="s">
        <v>2</v>
      </c>
      <c r="GO107" s="1">
        <f t="shared" si="294"/>
        <v>43</v>
      </c>
      <c r="GP107" s="13">
        <f t="shared" si="295"/>
        <v>0.79999999999999993</v>
      </c>
      <c r="GQ107" s="41">
        <f t="shared" si="296"/>
        <v>344</v>
      </c>
      <c r="GR107" s="41">
        <f t="shared" si="297"/>
        <v>4511.2159999999994</v>
      </c>
      <c r="GS107" s="14">
        <f t="shared" si="298"/>
        <v>104.91199999999999</v>
      </c>
      <c r="GT107" s="1">
        <f t="shared" si="372"/>
        <v>0</v>
      </c>
      <c r="GU107" s="1">
        <f t="shared" si="373"/>
        <v>0</v>
      </c>
      <c r="GV107" s="1">
        <f t="shared" si="374"/>
        <v>344</v>
      </c>
      <c r="GW107" s="37">
        <f t="shared" si="299"/>
        <v>0</v>
      </c>
      <c r="GX107" s="37"/>
      <c r="GY107" s="37"/>
      <c r="GZ107" s="37"/>
      <c r="HB107" s="1">
        <f t="shared" si="375"/>
        <v>0</v>
      </c>
      <c r="HC107" s="1">
        <f t="shared" si="376"/>
        <v>0</v>
      </c>
      <c r="HD107" s="37" t="s">
        <v>2</v>
      </c>
      <c r="HE107" s="1" t="s">
        <v>31</v>
      </c>
      <c r="HF107" s="1" t="s">
        <v>500</v>
      </c>
      <c r="HG107" s="1" t="s">
        <v>469</v>
      </c>
      <c r="HI107" s="1" t="s">
        <v>96</v>
      </c>
      <c r="HJ107" s="37" t="s">
        <v>2</v>
      </c>
      <c r="JH107" s="58" t="s">
        <v>2</v>
      </c>
    </row>
    <row r="108" spans="1:268" ht="16.25" customHeight="1" x14ac:dyDescent="0.2">
      <c r="A108" s="21" t="s">
        <v>512</v>
      </c>
      <c r="B108" s="1" t="s">
        <v>64</v>
      </c>
      <c r="E108" s="1" t="s">
        <v>72</v>
      </c>
      <c r="F108" s="1" t="s">
        <v>511</v>
      </c>
      <c r="H108" s="1" t="s">
        <v>187</v>
      </c>
      <c r="I108" s="1">
        <v>0</v>
      </c>
      <c r="AD108" s="13">
        <f>7.617+9.108</f>
        <v>16.725000000000001</v>
      </c>
      <c r="AL108" s="13">
        <f>(1.28*7.617+1.06*9.108)/AD108</f>
        <v>1.1601937219730942</v>
      </c>
      <c r="AT108" s="13">
        <f>(12.43*7.617+40.46*9.108)/AD108</f>
        <v>27.694408968609864</v>
      </c>
      <c r="AX108" s="13">
        <f>100*((11.55+13.965)-(7.617+9.108))/(11.55+13.965)</f>
        <v>34.450323339212225</v>
      </c>
      <c r="AY108" s="13">
        <f>1.879+0.933</f>
        <v>2.8120000000000003</v>
      </c>
      <c r="BG108" s="13">
        <f>(1.24*1.879+1.13*0.933)/AY108</f>
        <v>1.2035028449502132</v>
      </c>
      <c r="BO108" s="13">
        <f>(12.15*1.879+37.74*0.933)/AY108</f>
        <v>20.640565433854906</v>
      </c>
      <c r="BS108" s="13">
        <f>100*((2.891+1.436)-(1.879+0.933))/(2.891+1.436)</f>
        <v>35.012710885139811</v>
      </c>
      <c r="BT108" s="1">
        <v>0</v>
      </c>
      <c r="CO108" s="13">
        <f>0.938+2.02</f>
        <v>2.9580000000000002</v>
      </c>
      <c r="CW108" s="13">
        <f>(1.5*0.938+1.09*2.02)/CO108</f>
        <v>1.2200135226504394</v>
      </c>
      <c r="DE108" s="13">
        <f>(12.9*0.938+41.62*2.02)/CO108</f>
        <v>32.512711291413119</v>
      </c>
      <c r="DI108" s="13">
        <f>100*((1.437+3.072)-(0.938+2.02))/(1.437+3.072)</f>
        <v>34.397870924817035</v>
      </c>
      <c r="DJ108" s="1" t="s">
        <v>96</v>
      </c>
      <c r="DL108" s="1">
        <f t="shared" si="292"/>
        <v>1.1664272918052925</v>
      </c>
      <c r="DM108" s="1">
        <f t="shared" si="293"/>
        <v>0</v>
      </c>
      <c r="DN108" s="1" t="s">
        <v>67</v>
      </c>
      <c r="DO108" s="1" t="s">
        <v>2</v>
      </c>
      <c r="DP108" s="38">
        <f t="shared" si="300"/>
        <v>0</v>
      </c>
      <c r="DQ108" s="38">
        <f t="shared" si="301"/>
        <v>0</v>
      </c>
      <c r="DR108" s="38">
        <f t="shared" si="302"/>
        <v>0</v>
      </c>
      <c r="DS108" s="38">
        <f t="shared" si="303"/>
        <v>0</v>
      </c>
      <c r="DT108" s="38">
        <f t="shared" si="304"/>
        <v>0</v>
      </c>
      <c r="DU108" s="38">
        <f t="shared" si="305"/>
        <v>0</v>
      </c>
      <c r="DV108" s="38">
        <f t="shared" si="306"/>
        <v>0</v>
      </c>
      <c r="DW108" s="38">
        <f t="shared" si="307"/>
        <v>0.22788490000000003</v>
      </c>
      <c r="DX108" s="38">
        <f t="shared" si="308"/>
        <v>0</v>
      </c>
      <c r="DY108" s="38">
        <f t="shared" si="309"/>
        <v>0</v>
      </c>
      <c r="DZ108" s="38">
        <f t="shared" si="310"/>
        <v>0</v>
      </c>
      <c r="EA108" s="38">
        <f t="shared" si="311"/>
        <v>0</v>
      </c>
      <c r="EB108" s="38">
        <f t="shared" si="312"/>
        <v>0</v>
      </c>
      <c r="EC108" s="38">
        <f t="shared" si="313"/>
        <v>0</v>
      </c>
      <c r="ED108" s="38">
        <f t="shared" si="314"/>
        <v>0</v>
      </c>
      <c r="EE108" s="38">
        <f t="shared" si="315"/>
        <v>5.2123026000000001</v>
      </c>
      <c r="EG108" s="38">
        <f t="shared" si="316"/>
        <v>0</v>
      </c>
      <c r="EH108" s="38">
        <f t="shared" si="317"/>
        <v>0</v>
      </c>
      <c r="EI108" s="38">
        <f t="shared" si="318"/>
        <v>0</v>
      </c>
      <c r="EJ108" s="38">
        <f t="shared" si="319"/>
        <v>0</v>
      </c>
      <c r="EK108" s="38">
        <f t="shared" si="320"/>
        <v>0</v>
      </c>
      <c r="EL108" s="38">
        <f t="shared" si="321"/>
        <v>0</v>
      </c>
      <c r="EM108" s="38">
        <f t="shared" si="322"/>
        <v>0</v>
      </c>
      <c r="EN108" s="38">
        <f t="shared" si="323"/>
        <v>0</v>
      </c>
      <c r="EO108" s="38">
        <f t="shared" si="324"/>
        <v>0</v>
      </c>
      <c r="EP108" s="38">
        <f t="shared" si="325"/>
        <v>2988.4825786000006</v>
      </c>
      <c r="EQ108" s="38">
        <f t="shared" si="326"/>
        <v>0</v>
      </c>
      <c r="ER108" s="38">
        <f t="shared" si="327"/>
        <v>0</v>
      </c>
      <c r="ES108" s="38">
        <f t="shared" si="328"/>
        <v>0</v>
      </c>
      <c r="ET108" s="38">
        <f t="shared" si="329"/>
        <v>0</v>
      </c>
      <c r="EU108" s="38">
        <f t="shared" si="330"/>
        <v>0</v>
      </c>
      <c r="EV108" s="38">
        <f t="shared" si="331"/>
        <v>0</v>
      </c>
      <c r="EW108" s="38">
        <f t="shared" si="332"/>
        <v>0</v>
      </c>
      <c r="EX108" s="38">
        <f t="shared" si="333"/>
        <v>484.74414180000002</v>
      </c>
      <c r="EZ108" s="38">
        <f t="shared" si="334"/>
        <v>0</v>
      </c>
      <c r="FA108" s="38">
        <f t="shared" si="335"/>
        <v>0</v>
      </c>
      <c r="FB108" s="1">
        <f t="shared" si="336"/>
        <v>0</v>
      </c>
      <c r="FC108" s="1">
        <f t="shared" si="337"/>
        <v>0</v>
      </c>
      <c r="FD108" s="1">
        <f t="shared" si="338"/>
        <v>0</v>
      </c>
      <c r="FE108" s="1">
        <f t="shared" si="339"/>
        <v>0</v>
      </c>
      <c r="FF108" s="1">
        <f t="shared" si="340"/>
        <v>0</v>
      </c>
      <c r="FG108" s="1">
        <f t="shared" si="341"/>
        <v>0</v>
      </c>
      <c r="FH108" s="1">
        <f t="shared" si="342"/>
        <v>0</v>
      </c>
      <c r="FI108" s="1">
        <f t="shared" si="343"/>
        <v>3.6088000000000002E-2</v>
      </c>
      <c r="FJ108" s="1">
        <f t="shared" si="344"/>
        <v>0</v>
      </c>
      <c r="FK108" s="1">
        <f t="shared" si="345"/>
        <v>0</v>
      </c>
      <c r="FL108" s="1">
        <f t="shared" si="346"/>
        <v>0</v>
      </c>
      <c r="FM108" s="1">
        <f t="shared" si="347"/>
        <v>0</v>
      </c>
      <c r="FN108" s="1">
        <f t="shared" si="348"/>
        <v>0</v>
      </c>
      <c r="FO108" s="1">
        <f t="shared" si="349"/>
        <v>0</v>
      </c>
      <c r="FP108" s="1">
        <f t="shared" si="350"/>
        <v>0</v>
      </c>
      <c r="FQ108" s="1">
        <f t="shared" si="351"/>
        <v>0.96172600000000019</v>
      </c>
      <c r="FS108" s="1">
        <f t="shared" si="352"/>
        <v>0</v>
      </c>
      <c r="FT108" s="1">
        <f t="shared" si="353"/>
        <v>0</v>
      </c>
      <c r="FU108" s="38">
        <f t="shared" si="354"/>
        <v>0</v>
      </c>
      <c r="FV108" s="38">
        <f t="shared" si="355"/>
        <v>0</v>
      </c>
      <c r="FW108" s="38">
        <f t="shared" si="356"/>
        <v>0</v>
      </c>
      <c r="FX108" s="38">
        <f t="shared" si="357"/>
        <v>0</v>
      </c>
      <c r="FY108" s="38">
        <f t="shared" si="358"/>
        <v>0</v>
      </c>
      <c r="FZ108" s="38">
        <f t="shared" si="359"/>
        <v>0</v>
      </c>
      <c r="GA108" s="38">
        <f t="shared" si="360"/>
        <v>0</v>
      </c>
      <c r="GB108" s="38">
        <f t="shared" si="361"/>
        <v>473.25803200000001</v>
      </c>
      <c r="GC108" s="38">
        <f t="shared" si="362"/>
        <v>0</v>
      </c>
      <c r="GD108" s="38">
        <f t="shared" si="363"/>
        <v>0</v>
      </c>
      <c r="GE108" s="38">
        <f t="shared" si="364"/>
        <v>0</v>
      </c>
      <c r="GF108" s="38">
        <f t="shared" si="365"/>
        <v>0</v>
      </c>
      <c r="GG108" s="38">
        <f t="shared" si="366"/>
        <v>0</v>
      </c>
      <c r="GH108" s="38">
        <f t="shared" si="367"/>
        <v>0</v>
      </c>
      <c r="GI108" s="38">
        <f t="shared" si="368"/>
        <v>0</v>
      </c>
      <c r="GJ108" s="38">
        <f t="shared" si="369"/>
        <v>89.440518000000012</v>
      </c>
      <c r="GL108" s="38">
        <f t="shared" si="370"/>
        <v>0</v>
      </c>
      <c r="GM108" s="38">
        <f t="shared" si="371"/>
        <v>0</v>
      </c>
      <c r="GN108" s="1" t="s">
        <v>2</v>
      </c>
      <c r="GO108" s="1">
        <f t="shared" si="294"/>
        <v>19.537000000000003</v>
      </c>
      <c r="GP108" s="13">
        <f t="shared" si="295"/>
        <v>1.1664272918052925</v>
      </c>
      <c r="GQ108" s="41">
        <f t="shared" si="296"/>
        <v>227.88490000000002</v>
      </c>
      <c r="GR108" s="41">
        <f t="shared" si="297"/>
        <v>3473.2267204000004</v>
      </c>
      <c r="GS108" s="14">
        <f t="shared" si="298"/>
        <v>177.77687057378307</v>
      </c>
      <c r="GT108" s="1">
        <f t="shared" si="372"/>
        <v>0</v>
      </c>
      <c r="GU108" s="1">
        <f t="shared" si="373"/>
        <v>194.04240000000001</v>
      </c>
      <c r="GV108" s="1">
        <f t="shared" si="374"/>
        <v>33.842499999999994</v>
      </c>
      <c r="GW108" s="37">
        <f t="shared" si="299"/>
        <v>2.9580000000000002</v>
      </c>
      <c r="GX108" s="44">
        <f>(BT108*CB108+CO108*CW108)/GW108</f>
        <v>1.2200135226504394</v>
      </c>
      <c r="GY108" s="41">
        <f>1000*GW108*GX108/100</f>
        <v>36.087999999999994</v>
      </c>
      <c r="GZ108" s="41">
        <f>SUM(FU108:GM108)</f>
        <v>562.69855000000007</v>
      </c>
      <c r="HA108" s="14">
        <f>GZ108/GW108</f>
        <v>190.22939486139285</v>
      </c>
      <c r="HB108" s="1">
        <f t="shared" si="375"/>
        <v>0</v>
      </c>
      <c r="HC108" s="1">
        <f t="shared" si="376"/>
        <v>36.088000000000001</v>
      </c>
      <c r="HD108" s="37" t="s">
        <v>2</v>
      </c>
      <c r="HE108" s="1" t="s">
        <v>31</v>
      </c>
      <c r="HF108" s="1" t="s">
        <v>500</v>
      </c>
      <c r="HG108" s="1" t="s">
        <v>469</v>
      </c>
      <c r="HI108" s="1" t="s">
        <v>96</v>
      </c>
      <c r="HJ108" s="37" t="s">
        <v>2</v>
      </c>
      <c r="JH108" s="58" t="s">
        <v>2</v>
      </c>
    </row>
    <row r="109" spans="1:268" ht="16.25" customHeight="1" x14ac:dyDescent="0.2">
      <c r="A109" s="21" t="s">
        <v>540</v>
      </c>
      <c r="B109" s="1" t="s">
        <v>69</v>
      </c>
      <c r="E109" s="1" t="s">
        <v>72</v>
      </c>
      <c r="F109" s="1" t="s">
        <v>541</v>
      </c>
      <c r="H109" s="1" t="s">
        <v>204</v>
      </c>
      <c r="I109" s="1">
        <v>0.78</v>
      </c>
      <c r="Q109" s="1">
        <v>1.1000000000000001</v>
      </c>
      <c r="R109" s="1">
        <v>0.06</v>
      </c>
      <c r="Y109" s="1">
        <v>23</v>
      </c>
      <c r="Z109" s="1">
        <v>30</v>
      </c>
      <c r="AD109" s="1">
        <v>42</v>
      </c>
      <c r="AL109" s="14">
        <v>1</v>
      </c>
      <c r="AM109" s="1">
        <v>0.05</v>
      </c>
      <c r="AT109" s="1">
        <v>22</v>
      </c>
      <c r="AU109" s="1">
        <v>29</v>
      </c>
      <c r="AY109" s="1">
        <v>2.4</v>
      </c>
      <c r="BG109" s="14">
        <v>1</v>
      </c>
      <c r="BH109" s="1">
        <v>0.04</v>
      </c>
      <c r="BO109" s="1">
        <v>20</v>
      </c>
      <c r="BP109" s="1">
        <v>33</v>
      </c>
      <c r="BT109" s="1">
        <v>0</v>
      </c>
      <c r="CO109" s="1">
        <v>0</v>
      </c>
      <c r="DJ109" s="1" t="s">
        <v>96</v>
      </c>
      <c r="DK109" s="1" t="s">
        <v>96</v>
      </c>
      <c r="DL109" s="1">
        <f t="shared" si="292"/>
        <v>1.0017264276228419</v>
      </c>
      <c r="DM109" s="1">
        <f t="shared" si="293"/>
        <v>4.9641434262948217E-2</v>
      </c>
      <c r="DN109" s="1" t="s">
        <v>542</v>
      </c>
      <c r="DO109" s="1" t="s">
        <v>2</v>
      </c>
      <c r="DP109" s="38">
        <f t="shared" si="300"/>
        <v>0</v>
      </c>
      <c r="DQ109" s="38">
        <f t="shared" si="301"/>
        <v>0</v>
      </c>
      <c r="DR109" s="38">
        <f t="shared" si="302"/>
        <v>0</v>
      </c>
      <c r="DS109" s="38">
        <f t="shared" si="303"/>
        <v>0</v>
      </c>
      <c r="DT109" s="38">
        <f t="shared" si="304"/>
        <v>0</v>
      </c>
      <c r="DU109" s="38">
        <f t="shared" si="305"/>
        <v>0</v>
      </c>
      <c r="DV109" s="38">
        <f t="shared" si="306"/>
        <v>0</v>
      </c>
      <c r="DW109" s="38">
        <f t="shared" si="307"/>
        <v>0.45257999999999998</v>
      </c>
      <c r="DX109" s="38">
        <f t="shared" si="308"/>
        <v>2.2428000000000003E-2</v>
      </c>
      <c r="DY109" s="38">
        <f t="shared" si="309"/>
        <v>0</v>
      </c>
      <c r="DZ109" s="38">
        <f t="shared" si="310"/>
        <v>0</v>
      </c>
      <c r="EA109" s="38">
        <f t="shared" si="311"/>
        <v>0</v>
      </c>
      <c r="EB109" s="38">
        <f t="shared" si="312"/>
        <v>0</v>
      </c>
      <c r="EC109" s="38">
        <f t="shared" si="313"/>
        <v>0</v>
      </c>
      <c r="ED109" s="38">
        <f t="shared" si="314"/>
        <v>0</v>
      </c>
      <c r="EE109" s="38">
        <f t="shared" si="315"/>
        <v>9.8994</v>
      </c>
      <c r="EG109" s="38">
        <f t="shared" si="316"/>
        <v>0</v>
      </c>
      <c r="EH109" s="38">
        <f t="shared" si="317"/>
        <v>0</v>
      </c>
      <c r="EI109" s="38">
        <f t="shared" si="318"/>
        <v>0</v>
      </c>
      <c r="EJ109" s="38">
        <f t="shared" si="319"/>
        <v>0</v>
      </c>
      <c r="EK109" s="38">
        <f t="shared" si="320"/>
        <v>0</v>
      </c>
      <c r="EL109" s="38">
        <f t="shared" si="321"/>
        <v>0</v>
      </c>
      <c r="EM109" s="38">
        <f t="shared" si="322"/>
        <v>0</v>
      </c>
      <c r="EN109" s="38">
        <f t="shared" si="323"/>
        <v>0</v>
      </c>
      <c r="EO109" s="38">
        <f t="shared" si="324"/>
        <v>0</v>
      </c>
      <c r="EP109" s="38">
        <f t="shared" si="325"/>
        <v>5935.1341199999997</v>
      </c>
      <c r="EQ109" s="38">
        <f t="shared" si="326"/>
        <v>1628.710684272</v>
      </c>
      <c r="ER109" s="38">
        <f t="shared" si="327"/>
        <v>0</v>
      </c>
      <c r="ES109" s="38">
        <f t="shared" si="328"/>
        <v>0</v>
      </c>
      <c r="ET109" s="38">
        <f t="shared" si="329"/>
        <v>0</v>
      </c>
      <c r="EU109" s="38">
        <f t="shared" si="330"/>
        <v>0</v>
      </c>
      <c r="EV109" s="38">
        <f t="shared" si="331"/>
        <v>0</v>
      </c>
      <c r="EW109" s="38">
        <f t="shared" si="332"/>
        <v>0</v>
      </c>
      <c r="EX109" s="38">
        <f t="shared" si="333"/>
        <v>920.64419999999996</v>
      </c>
      <c r="EZ109" s="38">
        <f t="shared" si="334"/>
        <v>0</v>
      </c>
      <c r="FA109" s="38">
        <f t="shared" si="335"/>
        <v>0</v>
      </c>
      <c r="FB109" s="1">
        <f t="shared" si="336"/>
        <v>0</v>
      </c>
      <c r="FC109" s="1">
        <f t="shared" si="337"/>
        <v>0</v>
      </c>
      <c r="FD109" s="1">
        <f t="shared" si="338"/>
        <v>0</v>
      </c>
      <c r="FE109" s="1">
        <f t="shared" si="339"/>
        <v>0</v>
      </c>
      <c r="FF109" s="1">
        <f t="shared" si="340"/>
        <v>0</v>
      </c>
      <c r="FG109" s="1">
        <f t="shared" si="341"/>
        <v>0</v>
      </c>
      <c r="FH109" s="1">
        <f t="shared" si="342"/>
        <v>0</v>
      </c>
      <c r="FI109" s="1">
        <f t="shared" si="343"/>
        <v>0</v>
      </c>
      <c r="FJ109" s="1">
        <f t="shared" si="344"/>
        <v>0</v>
      </c>
      <c r="FK109" s="1">
        <f t="shared" si="345"/>
        <v>0</v>
      </c>
      <c r="FL109" s="1">
        <f t="shared" si="346"/>
        <v>0</v>
      </c>
      <c r="FM109" s="1">
        <f t="shared" si="347"/>
        <v>0</v>
      </c>
      <c r="FN109" s="1">
        <f t="shared" si="348"/>
        <v>0</v>
      </c>
      <c r="FO109" s="1">
        <f t="shared" si="349"/>
        <v>0</v>
      </c>
      <c r="FP109" s="1">
        <f t="shared" si="350"/>
        <v>0</v>
      </c>
      <c r="FQ109" s="1">
        <f t="shared" si="351"/>
        <v>0</v>
      </c>
      <c r="FS109" s="1">
        <f t="shared" si="352"/>
        <v>0</v>
      </c>
      <c r="FT109" s="1">
        <f t="shared" si="353"/>
        <v>0</v>
      </c>
      <c r="FU109" s="38">
        <f t="shared" si="354"/>
        <v>0</v>
      </c>
      <c r="FV109" s="38">
        <f t="shared" si="355"/>
        <v>0</v>
      </c>
      <c r="FW109" s="38">
        <f t="shared" si="356"/>
        <v>0</v>
      </c>
      <c r="FX109" s="38">
        <f t="shared" si="357"/>
        <v>0</v>
      </c>
      <c r="FY109" s="38">
        <f t="shared" si="358"/>
        <v>0</v>
      </c>
      <c r="FZ109" s="38">
        <f t="shared" si="359"/>
        <v>0</v>
      </c>
      <c r="GA109" s="38">
        <f t="shared" si="360"/>
        <v>0</v>
      </c>
      <c r="GB109" s="38">
        <f t="shared" si="361"/>
        <v>0</v>
      </c>
      <c r="GC109" s="38">
        <f t="shared" si="362"/>
        <v>0</v>
      </c>
      <c r="GD109" s="38">
        <f t="shared" si="363"/>
        <v>0</v>
      </c>
      <c r="GE109" s="38">
        <f t="shared" si="364"/>
        <v>0</v>
      </c>
      <c r="GF109" s="38">
        <f t="shared" si="365"/>
        <v>0</v>
      </c>
      <c r="GG109" s="38">
        <f t="shared" si="366"/>
        <v>0</v>
      </c>
      <c r="GH109" s="38">
        <f t="shared" si="367"/>
        <v>0</v>
      </c>
      <c r="GI109" s="38">
        <f t="shared" si="368"/>
        <v>0</v>
      </c>
      <c r="GJ109" s="38">
        <f t="shared" si="369"/>
        <v>0</v>
      </c>
      <c r="GL109" s="38">
        <f t="shared" si="370"/>
        <v>0</v>
      </c>
      <c r="GM109" s="38">
        <f t="shared" si="371"/>
        <v>0</v>
      </c>
      <c r="GN109" s="1" t="s">
        <v>2</v>
      </c>
      <c r="GO109" s="1">
        <f t="shared" si="294"/>
        <v>45.18</v>
      </c>
      <c r="GP109" s="13">
        <f t="shared" si="295"/>
        <v>1.0017264276228419</v>
      </c>
      <c r="GQ109" s="41">
        <f t="shared" si="296"/>
        <v>452.58</v>
      </c>
      <c r="GR109" s="41">
        <f t="shared" si="297"/>
        <v>8484.4890042719999</v>
      </c>
      <c r="GS109" s="14">
        <f t="shared" si="298"/>
        <v>187.79302798300134</v>
      </c>
      <c r="GT109" s="1">
        <f t="shared" si="372"/>
        <v>8.5800000000000018</v>
      </c>
      <c r="GU109" s="1">
        <f t="shared" si="373"/>
        <v>420</v>
      </c>
      <c r="GV109" s="1">
        <f t="shared" si="374"/>
        <v>24</v>
      </c>
      <c r="GW109" s="37">
        <f t="shared" si="299"/>
        <v>0</v>
      </c>
      <c r="GX109" s="37"/>
      <c r="GY109" s="37"/>
      <c r="GZ109" s="37"/>
      <c r="HB109" s="1">
        <f t="shared" si="375"/>
        <v>0</v>
      </c>
      <c r="HC109" s="1">
        <f t="shared" si="376"/>
        <v>0</v>
      </c>
      <c r="HD109" s="37" t="s">
        <v>2</v>
      </c>
      <c r="HE109" s="1" t="s">
        <v>31</v>
      </c>
      <c r="HF109" s="1" t="s">
        <v>469</v>
      </c>
      <c r="HG109" s="1" t="s">
        <v>469</v>
      </c>
      <c r="HI109" s="1" t="s">
        <v>96</v>
      </c>
      <c r="HJ109" s="37" t="s">
        <v>2</v>
      </c>
      <c r="JH109" s="58" t="s">
        <v>2</v>
      </c>
    </row>
    <row r="110" spans="1:268" ht="16.25" customHeight="1" x14ac:dyDescent="0.2">
      <c r="A110" s="21" t="s">
        <v>543</v>
      </c>
      <c r="B110" s="1" t="s">
        <v>518</v>
      </c>
      <c r="E110" s="1" t="s">
        <v>72</v>
      </c>
      <c r="F110" s="1" t="s">
        <v>544</v>
      </c>
      <c r="H110" s="1" t="s">
        <v>187</v>
      </c>
      <c r="I110" s="1">
        <v>1.782</v>
      </c>
      <c r="Q110" s="1">
        <v>1.34</v>
      </c>
      <c r="R110" s="1">
        <v>3.1E-2</v>
      </c>
      <c r="Y110" s="1">
        <v>13.7</v>
      </c>
      <c r="AD110" s="1">
        <v>0.64600000000000002</v>
      </c>
      <c r="AL110" s="1">
        <v>1.22</v>
      </c>
      <c r="AM110" s="1">
        <v>3.9E-2</v>
      </c>
      <c r="AT110" s="1">
        <v>17.600000000000001</v>
      </c>
      <c r="AY110" s="1">
        <v>0.29299999999999998</v>
      </c>
      <c r="BG110" s="1">
        <v>1.23</v>
      </c>
      <c r="BH110" s="1">
        <v>4.3999999999999997E-2</v>
      </c>
      <c r="BO110" s="1">
        <v>19.100000000000001</v>
      </c>
      <c r="BT110" s="1">
        <v>0</v>
      </c>
      <c r="CO110" s="1">
        <v>0</v>
      </c>
      <c r="DJ110" s="1" t="s">
        <v>96</v>
      </c>
      <c r="DK110" s="1" t="s">
        <v>96</v>
      </c>
      <c r="DL110" s="1">
        <f t="shared" si="292"/>
        <v>1.2996655641308341</v>
      </c>
      <c r="DM110" s="1">
        <f t="shared" si="293"/>
        <v>3.4299154722528487E-2</v>
      </c>
      <c r="DN110" s="1" t="s">
        <v>545</v>
      </c>
      <c r="DO110" s="1" t="s">
        <v>2</v>
      </c>
      <c r="DP110" s="38">
        <f t="shared" si="300"/>
        <v>0</v>
      </c>
      <c r="DQ110" s="38">
        <f t="shared" si="301"/>
        <v>0</v>
      </c>
      <c r="DR110" s="38">
        <f t="shared" si="302"/>
        <v>0</v>
      </c>
      <c r="DS110" s="38">
        <f t="shared" si="303"/>
        <v>0</v>
      </c>
      <c r="DT110" s="38">
        <f t="shared" si="304"/>
        <v>0</v>
      </c>
      <c r="DU110" s="38">
        <f t="shared" si="305"/>
        <v>0</v>
      </c>
      <c r="DV110" s="38">
        <f t="shared" si="306"/>
        <v>0</v>
      </c>
      <c r="DW110" s="38">
        <f t="shared" si="307"/>
        <v>3.5363899999999997E-2</v>
      </c>
      <c r="DX110" s="38">
        <f t="shared" si="308"/>
        <v>9.3328000000000009E-4</v>
      </c>
      <c r="DY110" s="38">
        <f t="shared" si="309"/>
        <v>0</v>
      </c>
      <c r="DZ110" s="38">
        <f t="shared" si="310"/>
        <v>0</v>
      </c>
      <c r="EA110" s="38">
        <f t="shared" si="311"/>
        <v>0</v>
      </c>
      <c r="EB110" s="38">
        <f t="shared" si="312"/>
        <v>0</v>
      </c>
      <c r="EC110" s="38">
        <f t="shared" si="313"/>
        <v>0</v>
      </c>
      <c r="ED110" s="38">
        <f t="shared" si="314"/>
        <v>0</v>
      </c>
      <c r="EE110" s="38">
        <f t="shared" si="315"/>
        <v>0.41379300000000002</v>
      </c>
      <c r="EG110" s="38">
        <f t="shared" si="316"/>
        <v>0</v>
      </c>
      <c r="EH110" s="38">
        <f t="shared" si="317"/>
        <v>0</v>
      </c>
      <c r="EI110" s="38">
        <f t="shared" si="318"/>
        <v>0</v>
      </c>
      <c r="EJ110" s="38">
        <f t="shared" si="319"/>
        <v>0</v>
      </c>
      <c r="EK110" s="38">
        <f t="shared" si="320"/>
        <v>0</v>
      </c>
      <c r="EL110" s="38">
        <f t="shared" si="321"/>
        <v>0</v>
      </c>
      <c r="EM110" s="38">
        <f t="shared" si="322"/>
        <v>0</v>
      </c>
      <c r="EN110" s="38">
        <f t="shared" si="323"/>
        <v>0</v>
      </c>
      <c r="EO110" s="38">
        <f t="shared" si="324"/>
        <v>0</v>
      </c>
      <c r="EP110" s="38">
        <f t="shared" si="325"/>
        <v>463.76218459999996</v>
      </c>
      <c r="EQ110" s="38">
        <f t="shared" si="326"/>
        <v>67.774349358720002</v>
      </c>
      <c r="ER110" s="38">
        <f t="shared" si="327"/>
        <v>0</v>
      </c>
      <c r="ES110" s="38">
        <f t="shared" si="328"/>
        <v>0</v>
      </c>
      <c r="ET110" s="38">
        <f t="shared" si="329"/>
        <v>0</v>
      </c>
      <c r="EU110" s="38">
        <f t="shared" si="330"/>
        <v>0</v>
      </c>
      <c r="EV110" s="38">
        <f t="shared" si="331"/>
        <v>0</v>
      </c>
      <c r="EW110" s="38">
        <f t="shared" si="332"/>
        <v>0</v>
      </c>
      <c r="EX110" s="38">
        <f t="shared" si="333"/>
        <v>38.482749000000005</v>
      </c>
      <c r="EZ110" s="38">
        <f t="shared" si="334"/>
        <v>0</v>
      </c>
      <c r="FA110" s="38">
        <f t="shared" si="335"/>
        <v>0</v>
      </c>
      <c r="FB110" s="1">
        <f t="shared" si="336"/>
        <v>0</v>
      </c>
      <c r="FC110" s="1">
        <f t="shared" si="337"/>
        <v>0</v>
      </c>
      <c r="FD110" s="1">
        <f t="shared" si="338"/>
        <v>0</v>
      </c>
      <c r="FE110" s="1">
        <f t="shared" si="339"/>
        <v>0</v>
      </c>
      <c r="FF110" s="1">
        <f t="shared" si="340"/>
        <v>0</v>
      </c>
      <c r="FG110" s="1">
        <f t="shared" si="341"/>
        <v>0</v>
      </c>
      <c r="FH110" s="1">
        <f t="shared" si="342"/>
        <v>0</v>
      </c>
      <c r="FI110" s="1">
        <f t="shared" si="343"/>
        <v>0</v>
      </c>
      <c r="FJ110" s="1">
        <f t="shared" si="344"/>
        <v>0</v>
      </c>
      <c r="FK110" s="1">
        <f t="shared" si="345"/>
        <v>0</v>
      </c>
      <c r="FL110" s="1">
        <f t="shared" si="346"/>
        <v>0</v>
      </c>
      <c r="FM110" s="1">
        <f t="shared" si="347"/>
        <v>0</v>
      </c>
      <c r="FN110" s="1">
        <f t="shared" si="348"/>
        <v>0</v>
      </c>
      <c r="FO110" s="1">
        <f t="shared" si="349"/>
        <v>0</v>
      </c>
      <c r="FP110" s="1">
        <f t="shared" si="350"/>
        <v>0</v>
      </c>
      <c r="FQ110" s="1">
        <f t="shared" si="351"/>
        <v>0</v>
      </c>
      <c r="FS110" s="1">
        <f t="shared" si="352"/>
        <v>0</v>
      </c>
      <c r="FT110" s="1">
        <f t="shared" si="353"/>
        <v>0</v>
      </c>
      <c r="FU110" s="38">
        <f t="shared" si="354"/>
        <v>0</v>
      </c>
      <c r="FV110" s="38">
        <f t="shared" si="355"/>
        <v>0</v>
      </c>
      <c r="FW110" s="38">
        <f t="shared" si="356"/>
        <v>0</v>
      </c>
      <c r="FX110" s="38">
        <f t="shared" si="357"/>
        <v>0</v>
      </c>
      <c r="FY110" s="38">
        <f t="shared" si="358"/>
        <v>0</v>
      </c>
      <c r="FZ110" s="38">
        <f t="shared" si="359"/>
        <v>0</v>
      </c>
      <c r="GA110" s="38">
        <f t="shared" si="360"/>
        <v>0</v>
      </c>
      <c r="GB110" s="38">
        <f t="shared" si="361"/>
        <v>0</v>
      </c>
      <c r="GC110" s="38">
        <f t="shared" si="362"/>
        <v>0</v>
      </c>
      <c r="GD110" s="38">
        <f t="shared" si="363"/>
        <v>0</v>
      </c>
      <c r="GE110" s="38">
        <f t="shared" si="364"/>
        <v>0</v>
      </c>
      <c r="GF110" s="38">
        <f t="shared" si="365"/>
        <v>0</v>
      </c>
      <c r="GG110" s="38">
        <f t="shared" si="366"/>
        <v>0</v>
      </c>
      <c r="GH110" s="38">
        <f t="shared" si="367"/>
        <v>0</v>
      </c>
      <c r="GI110" s="38">
        <f t="shared" si="368"/>
        <v>0</v>
      </c>
      <c r="GJ110" s="38">
        <f t="shared" si="369"/>
        <v>0</v>
      </c>
      <c r="GL110" s="38">
        <f t="shared" si="370"/>
        <v>0</v>
      </c>
      <c r="GM110" s="38">
        <f t="shared" si="371"/>
        <v>0</v>
      </c>
      <c r="GN110" s="1" t="s">
        <v>2</v>
      </c>
      <c r="GO110" s="1">
        <f t="shared" si="294"/>
        <v>2.7210000000000001</v>
      </c>
      <c r="GP110" s="13">
        <f t="shared" si="295"/>
        <v>1.2996655641308341</v>
      </c>
      <c r="GQ110" s="41">
        <f t="shared" si="296"/>
        <v>35.363899999999994</v>
      </c>
      <c r="GR110" s="41">
        <f t="shared" si="297"/>
        <v>570.01928295871994</v>
      </c>
      <c r="GS110" s="14">
        <f t="shared" si="298"/>
        <v>209.48889487641304</v>
      </c>
      <c r="GT110" s="1">
        <f t="shared" si="372"/>
        <v>23.878800000000002</v>
      </c>
      <c r="GU110" s="1">
        <f t="shared" si="373"/>
        <v>7.8811999999999998</v>
      </c>
      <c r="GV110" s="1">
        <f t="shared" si="374"/>
        <v>3.6038999999999999</v>
      </c>
      <c r="GW110" s="37">
        <f t="shared" si="299"/>
        <v>0</v>
      </c>
      <c r="GX110" s="37"/>
      <c r="GY110" s="37"/>
      <c r="GZ110" s="37"/>
      <c r="HB110" s="1">
        <f t="shared" si="375"/>
        <v>0</v>
      </c>
      <c r="HC110" s="1">
        <f t="shared" si="376"/>
        <v>0</v>
      </c>
      <c r="HD110" s="37" t="s">
        <v>2</v>
      </c>
      <c r="HE110" s="1" t="s">
        <v>31</v>
      </c>
      <c r="HF110" s="1" t="s">
        <v>469</v>
      </c>
      <c r="HG110" s="1" t="s">
        <v>469</v>
      </c>
      <c r="HI110" s="1" t="s">
        <v>96</v>
      </c>
      <c r="HJ110" s="37" t="s">
        <v>2</v>
      </c>
      <c r="JH110" s="58" t="s">
        <v>2</v>
      </c>
    </row>
    <row r="111" spans="1:268" ht="16.25" customHeight="1" x14ac:dyDescent="0.2">
      <c r="A111" s="21" t="s">
        <v>516</v>
      </c>
      <c r="B111" s="1" t="s">
        <v>69</v>
      </c>
      <c r="E111" s="1" t="s">
        <v>72</v>
      </c>
      <c r="F111" s="1" t="s">
        <v>515</v>
      </c>
      <c r="H111" s="1" t="s">
        <v>187</v>
      </c>
      <c r="I111" s="1">
        <v>0</v>
      </c>
      <c r="AD111" s="1">
        <v>9.0670000000000002</v>
      </c>
      <c r="AL111" s="1">
        <v>1.07</v>
      </c>
      <c r="AT111" s="14">
        <f>100*3.8/9.067</f>
        <v>41.910223888827616</v>
      </c>
      <c r="AY111" s="1">
        <v>0</v>
      </c>
      <c r="BT111" s="1">
        <v>0</v>
      </c>
      <c r="CO111" s="1">
        <v>0</v>
      </c>
      <c r="DJ111" s="1" t="s">
        <v>96</v>
      </c>
      <c r="DL111" s="1">
        <f t="shared" si="292"/>
        <v>1.07</v>
      </c>
      <c r="DM111" s="1">
        <f t="shared" si="293"/>
        <v>0</v>
      </c>
      <c r="DN111" s="1" t="s">
        <v>154</v>
      </c>
      <c r="DO111" s="1" t="s">
        <v>2</v>
      </c>
      <c r="DP111" s="38">
        <f t="shared" si="300"/>
        <v>0</v>
      </c>
      <c r="DQ111" s="38">
        <f t="shared" si="301"/>
        <v>0</v>
      </c>
      <c r="DR111" s="38">
        <f t="shared" si="302"/>
        <v>0</v>
      </c>
      <c r="DS111" s="38">
        <f t="shared" si="303"/>
        <v>0</v>
      </c>
      <c r="DT111" s="38">
        <f t="shared" si="304"/>
        <v>0</v>
      </c>
      <c r="DU111" s="38">
        <f t="shared" si="305"/>
        <v>0</v>
      </c>
      <c r="DV111" s="38">
        <f t="shared" si="306"/>
        <v>0</v>
      </c>
      <c r="DW111" s="38">
        <f t="shared" si="307"/>
        <v>9.7016900000000017E-2</v>
      </c>
      <c r="DX111" s="38">
        <f t="shared" si="308"/>
        <v>0</v>
      </c>
      <c r="DY111" s="38">
        <f t="shared" si="309"/>
        <v>0</v>
      </c>
      <c r="DZ111" s="38">
        <f t="shared" si="310"/>
        <v>0</v>
      </c>
      <c r="EA111" s="38">
        <f t="shared" si="311"/>
        <v>0</v>
      </c>
      <c r="EB111" s="38">
        <f t="shared" si="312"/>
        <v>0</v>
      </c>
      <c r="EC111" s="38">
        <f t="shared" si="313"/>
        <v>0</v>
      </c>
      <c r="ED111" s="38">
        <f t="shared" si="314"/>
        <v>0</v>
      </c>
      <c r="EE111" s="38">
        <f t="shared" si="315"/>
        <v>3.8</v>
      </c>
      <c r="EG111" s="38">
        <f t="shared" si="316"/>
        <v>0</v>
      </c>
      <c r="EH111" s="38">
        <f t="shared" si="317"/>
        <v>0</v>
      </c>
      <c r="EI111" s="38">
        <f t="shared" si="318"/>
        <v>0</v>
      </c>
      <c r="EJ111" s="38">
        <f t="shared" si="319"/>
        <v>0</v>
      </c>
      <c r="EK111" s="38">
        <f t="shared" si="320"/>
        <v>0</v>
      </c>
      <c r="EL111" s="38">
        <f t="shared" si="321"/>
        <v>0</v>
      </c>
      <c r="EM111" s="38">
        <f t="shared" si="322"/>
        <v>0</v>
      </c>
      <c r="EN111" s="38">
        <f t="shared" si="323"/>
        <v>0</v>
      </c>
      <c r="EO111" s="38">
        <f t="shared" si="324"/>
        <v>0</v>
      </c>
      <c r="EP111" s="38">
        <f t="shared" si="325"/>
        <v>1272.2796266000003</v>
      </c>
      <c r="EQ111" s="38">
        <f t="shared" si="326"/>
        <v>0</v>
      </c>
      <c r="ER111" s="38">
        <f t="shared" si="327"/>
        <v>0</v>
      </c>
      <c r="ES111" s="38">
        <f t="shared" si="328"/>
        <v>0</v>
      </c>
      <c r="ET111" s="38">
        <f t="shared" si="329"/>
        <v>0</v>
      </c>
      <c r="EU111" s="38">
        <f t="shared" si="330"/>
        <v>0</v>
      </c>
      <c r="EV111" s="38">
        <f t="shared" si="331"/>
        <v>0</v>
      </c>
      <c r="EW111" s="38">
        <f t="shared" si="332"/>
        <v>0</v>
      </c>
      <c r="EX111" s="38">
        <f t="shared" si="333"/>
        <v>353.4</v>
      </c>
      <c r="EZ111" s="38">
        <f t="shared" si="334"/>
        <v>0</v>
      </c>
      <c r="FA111" s="38">
        <f t="shared" si="335"/>
        <v>0</v>
      </c>
      <c r="FB111" s="1">
        <f t="shared" si="336"/>
        <v>0</v>
      </c>
      <c r="FC111" s="1">
        <f t="shared" si="337"/>
        <v>0</v>
      </c>
      <c r="FD111" s="1">
        <f t="shared" si="338"/>
        <v>0</v>
      </c>
      <c r="FE111" s="1">
        <f t="shared" si="339"/>
        <v>0</v>
      </c>
      <c r="FF111" s="1">
        <f t="shared" si="340"/>
        <v>0</v>
      </c>
      <c r="FG111" s="1">
        <f t="shared" si="341"/>
        <v>0</v>
      </c>
      <c r="FH111" s="1">
        <f t="shared" si="342"/>
        <v>0</v>
      </c>
      <c r="FI111" s="1">
        <f t="shared" si="343"/>
        <v>0</v>
      </c>
      <c r="FJ111" s="1">
        <f t="shared" si="344"/>
        <v>0</v>
      </c>
      <c r="FK111" s="1">
        <f t="shared" si="345"/>
        <v>0</v>
      </c>
      <c r="FL111" s="1">
        <f t="shared" si="346"/>
        <v>0</v>
      </c>
      <c r="FM111" s="1">
        <f t="shared" si="347"/>
        <v>0</v>
      </c>
      <c r="FN111" s="1">
        <f t="shared" si="348"/>
        <v>0</v>
      </c>
      <c r="FO111" s="1">
        <f t="shared" si="349"/>
        <v>0</v>
      </c>
      <c r="FP111" s="1">
        <f t="shared" si="350"/>
        <v>0</v>
      </c>
      <c r="FQ111" s="1">
        <f t="shared" si="351"/>
        <v>0</v>
      </c>
      <c r="FS111" s="1">
        <f t="shared" si="352"/>
        <v>0</v>
      </c>
      <c r="FT111" s="1">
        <f t="shared" si="353"/>
        <v>0</v>
      </c>
      <c r="FU111" s="38">
        <f t="shared" si="354"/>
        <v>0</v>
      </c>
      <c r="FV111" s="38">
        <f t="shared" si="355"/>
        <v>0</v>
      </c>
      <c r="FW111" s="38">
        <f t="shared" si="356"/>
        <v>0</v>
      </c>
      <c r="FX111" s="38">
        <f t="shared" si="357"/>
        <v>0</v>
      </c>
      <c r="FY111" s="38">
        <f t="shared" si="358"/>
        <v>0</v>
      </c>
      <c r="FZ111" s="38">
        <f t="shared" si="359"/>
        <v>0</v>
      </c>
      <c r="GA111" s="38">
        <f t="shared" si="360"/>
        <v>0</v>
      </c>
      <c r="GB111" s="38">
        <f t="shared" si="361"/>
        <v>0</v>
      </c>
      <c r="GC111" s="38">
        <f t="shared" si="362"/>
        <v>0</v>
      </c>
      <c r="GD111" s="38">
        <f t="shared" si="363"/>
        <v>0</v>
      </c>
      <c r="GE111" s="38">
        <f t="shared" si="364"/>
        <v>0</v>
      </c>
      <c r="GF111" s="38">
        <f t="shared" si="365"/>
        <v>0</v>
      </c>
      <c r="GG111" s="38">
        <f t="shared" si="366"/>
        <v>0</v>
      </c>
      <c r="GH111" s="38">
        <f t="shared" si="367"/>
        <v>0</v>
      </c>
      <c r="GI111" s="38">
        <f t="shared" si="368"/>
        <v>0</v>
      </c>
      <c r="GJ111" s="38">
        <f t="shared" si="369"/>
        <v>0</v>
      </c>
      <c r="GL111" s="38">
        <f t="shared" si="370"/>
        <v>0</v>
      </c>
      <c r="GM111" s="38">
        <f t="shared" si="371"/>
        <v>0</v>
      </c>
      <c r="GN111" s="1" t="s">
        <v>2</v>
      </c>
      <c r="GO111" s="1">
        <f t="shared" si="294"/>
        <v>9.0670000000000002</v>
      </c>
      <c r="GP111" s="13">
        <f t="shared" si="295"/>
        <v>1.07</v>
      </c>
      <c r="GQ111" s="41">
        <f t="shared" si="296"/>
        <v>97.016900000000007</v>
      </c>
      <c r="GR111" s="41">
        <f t="shared" si="297"/>
        <v>1625.6796266000001</v>
      </c>
      <c r="GS111" s="14">
        <f t="shared" si="298"/>
        <v>179.2963082166097</v>
      </c>
      <c r="GT111" s="1">
        <f t="shared" si="372"/>
        <v>0</v>
      </c>
      <c r="GU111" s="1">
        <f t="shared" si="373"/>
        <v>97.016900000000007</v>
      </c>
      <c r="GV111" s="1">
        <f t="shared" si="374"/>
        <v>0</v>
      </c>
      <c r="GW111" s="37">
        <f t="shared" si="299"/>
        <v>0</v>
      </c>
      <c r="GX111" s="37"/>
      <c r="GY111" s="37"/>
      <c r="GZ111" s="37"/>
      <c r="HB111" s="1">
        <f t="shared" si="375"/>
        <v>0</v>
      </c>
      <c r="HC111" s="1">
        <f t="shared" si="376"/>
        <v>0</v>
      </c>
      <c r="HD111" s="37" t="s">
        <v>2</v>
      </c>
      <c r="HE111" s="1" t="s">
        <v>31</v>
      </c>
      <c r="HF111" s="1" t="s">
        <v>500</v>
      </c>
      <c r="HG111" s="1" t="s">
        <v>469</v>
      </c>
      <c r="HI111" s="1" t="s">
        <v>96</v>
      </c>
      <c r="HJ111" s="37" t="s">
        <v>2</v>
      </c>
      <c r="JH111" s="58" t="s">
        <v>2</v>
      </c>
    </row>
    <row r="112" spans="1:268" ht="16.25" customHeight="1" x14ac:dyDescent="0.2">
      <c r="A112" s="21" t="s">
        <v>519</v>
      </c>
      <c r="B112" s="1" t="s">
        <v>64</v>
      </c>
      <c r="E112" s="1" t="s">
        <v>72</v>
      </c>
      <c r="F112" s="1" t="s">
        <v>520</v>
      </c>
      <c r="H112" s="1" t="s">
        <v>505</v>
      </c>
      <c r="I112" s="1">
        <v>0</v>
      </c>
      <c r="AD112" s="13">
        <f>15.685+36.073</f>
        <v>51.758000000000003</v>
      </c>
      <c r="AL112" s="13">
        <f>(1.62*15.685+1.11*36.073)/AD112</f>
        <v>1.2645529193554621</v>
      </c>
      <c r="AT112" s="13">
        <f>(13.5*15.685+35.9*36.073)/AD112</f>
        <v>29.11179334595618</v>
      </c>
      <c r="AX112" s="13">
        <f>100*((24.959+51.861)-(15.685+36.073))/(24.959+51.861)</f>
        <v>32.624316584222846</v>
      </c>
      <c r="AY112" s="13">
        <f>9.566+0.039</f>
        <v>9.6050000000000004</v>
      </c>
      <c r="BG112" s="13">
        <f>(1.64*9.566+1.26*0.039)/AY112</f>
        <v>1.6384570536179073</v>
      </c>
      <c r="BO112" s="13">
        <f>(11.97*9.566+38.57*0.039)/AY112</f>
        <v>12.078006246746488</v>
      </c>
      <c r="BS112" s="13">
        <f>100*((15.259+0.056)-(9.566+0.039))/(15.259+0.056)</f>
        <v>37.283708782239628</v>
      </c>
      <c r="BT112" s="1">
        <v>0</v>
      </c>
      <c r="CO112" s="13">
        <f>14.04+34.814</f>
        <v>48.853999999999999</v>
      </c>
      <c r="CW112" s="13">
        <f>(1.5*14.04+1.08*34.814)/CO112</f>
        <v>1.2007025013304951</v>
      </c>
      <c r="DE112" s="13">
        <f>(13.71*14.04+35.47*34.814)/CO112</f>
        <v>29.216460883448644</v>
      </c>
      <c r="DI112" s="13">
        <f>100*((21.103+49.876)-(14.04+34.814))/(21.103+49.876)</f>
        <v>31.171191479169895</v>
      </c>
      <c r="DJ112" s="1" t="s">
        <v>96</v>
      </c>
      <c r="DL112" s="1">
        <f t="shared" si="292"/>
        <v>1.3230792171178074</v>
      </c>
      <c r="DM112" s="1">
        <f t="shared" si="293"/>
        <v>0</v>
      </c>
      <c r="DN112" s="1" t="s">
        <v>67</v>
      </c>
      <c r="DO112" s="1" t="s">
        <v>2</v>
      </c>
      <c r="DP112" s="38">
        <f t="shared" si="300"/>
        <v>0</v>
      </c>
      <c r="DQ112" s="38">
        <f t="shared" si="301"/>
        <v>0</v>
      </c>
      <c r="DR112" s="38">
        <f t="shared" si="302"/>
        <v>0</v>
      </c>
      <c r="DS112" s="38">
        <f t="shared" si="303"/>
        <v>0</v>
      </c>
      <c r="DT112" s="38">
        <f t="shared" si="304"/>
        <v>0</v>
      </c>
      <c r="DU112" s="38">
        <f t="shared" si="305"/>
        <v>0</v>
      </c>
      <c r="DV112" s="38">
        <f t="shared" si="306"/>
        <v>0</v>
      </c>
      <c r="DW112" s="38">
        <f t="shared" si="307"/>
        <v>0.81188110000000013</v>
      </c>
      <c r="DX112" s="38">
        <f t="shared" si="308"/>
        <v>0</v>
      </c>
      <c r="DY112" s="38">
        <f t="shared" si="309"/>
        <v>0</v>
      </c>
      <c r="DZ112" s="38">
        <f t="shared" si="310"/>
        <v>0</v>
      </c>
      <c r="EA112" s="38">
        <f t="shared" si="311"/>
        <v>0</v>
      </c>
      <c r="EB112" s="38">
        <f t="shared" si="312"/>
        <v>0</v>
      </c>
      <c r="EC112" s="38">
        <f t="shared" si="313"/>
        <v>0</v>
      </c>
      <c r="ED112" s="38">
        <f t="shared" si="314"/>
        <v>0</v>
      </c>
      <c r="EE112" s="38">
        <f t="shared" si="315"/>
        <v>16.227774499999999</v>
      </c>
      <c r="EG112" s="38">
        <f t="shared" si="316"/>
        <v>0</v>
      </c>
      <c r="EH112" s="38">
        <f t="shared" si="317"/>
        <v>0</v>
      </c>
      <c r="EI112" s="38">
        <f t="shared" si="318"/>
        <v>0</v>
      </c>
      <c r="EJ112" s="38">
        <f t="shared" si="319"/>
        <v>0</v>
      </c>
      <c r="EK112" s="38">
        <f t="shared" si="320"/>
        <v>0</v>
      </c>
      <c r="EL112" s="38">
        <f t="shared" si="321"/>
        <v>0</v>
      </c>
      <c r="EM112" s="38">
        <f t="shared" si="322"/>
        <v>0</v>
      </c>
      <c r="EN112" s="38">
        <f t="shared" si="323"/>
        <v>0</v>
      </c>
      <c r="EO112" s="38">
        <f t="shared" si="324"/>
        <v>0</v>
      </c>
      <c r="EP112" s="38">
        <f t="shared" si="325"/>
        <v>10647.008745400002</v>
      </c>
      <c r="EQ112" s="38">
        <f t="shared" si="326"/>
        <v>0</v>
      </c>
      <c r="ER112" s="38">
        <f t="shared" si="327"/>
        <v>0</v>
      </c>
      <c r="ES112" s="38">
        <f t="shared" si="328"/>
        <v>0</v>
      </c>
      <c r="ET112" s="38">
        <f t="shared" si="329"/>
        <v>0</v>
      </c>
      <c r="EU112" s="38">
        <f t="shared" si="330"/>
        <v>0</v>
      </c>
      <c r="EV112" s="38">
        <f t="shared" si="331"/>
        <v>0</v>
      </c>
      <c r="EW112" s="38">
        <f t="shared" si="332"/>
        <v>0</v>
      </c>
      <c r="EX112" s="38">
        <f t="shared" si="333"/>
        <v>1509.1830284999999</v>
      </c>
      <c r="EZ112" s="38">
        <f t="shared" si="334"/>
        <v>0</v>
      </c>
      <c r="FA112" s="38">
        <f t="shared" si="335"/>
        <v>0</v>
      </c>
      <c r="FB112" s="1">
        <f t="shared" si="336"/>
        <v>0</v>
      </c>
      <c r="FC112" s="1">
        <f t="shared" si="337"/>
        <v>0</v>
      </c>
      <c r="FD112" s="1">
        <f t="shared" si="338"/>
        <v>0</v>
      </c>
      <c r="FE112" s="1">
        <f t="shared" si="339"/>
        <v>0</v>
      </c>
      <c r="FF112" s="1">
        <f t="shared" si="340"/>
        <v>0</v>
      </c>
      <c r="FG112" s="1">
        <f t="shared" si="341"/>
        <v>0</v>
      </c>
      <c r="FH112" s="1">
        <f t="shared" si="342"/>
        <v>0</v>
      </c>
      <c r="FI112" s="1">
        <f t="shared" si="343"/>
        <v>0.58659119999999998</v>
      </c>
      <c r="FJ112" s="1">
        <f t="shared" si="344"/>
        <v>0</v>
      </c>
      <c r="FK112" s="1">
        <f t="shared" si="345"/>
        <v>0</v>
      </c>
      <c r="FL112" s="1">
        <f t="shared" si="346"/>
        <v>0</v>
      </c>
      <c r="FM112" s="1">
        <f t="shared" si="347"/>
        <v>0</v>
      </c>
      <c r="FN112" s="1">
        <f t="shared" si="348"/>
        <v>0</v>
      </c>
      <c r="FO112" s="1">
        <f t="shared" si="349"/>
        <v>0</v>
      </c>
      <c r="FP112" s="1">
        <f t="shared" si="350"/>
        <v>0</v>
      </c>
      <c r="FQ112" s="1">
        <f t="shared" si="351"/>
        <v>14.2734098</v>
      </c>
      <c r="FS112" s="1">
        <f t="shared" si="352"/>
        <v>0</v>
      </c>
      <c r="FT112" s="1">
        <f t="shared" si="353"/>
        <v>0</v>
      </c>
      <c r="FU112" s="38">
        <f t="shared" si="354"/>
        <v>0</v>
      </c>
      <c r="FV112" s="38">
        <f t="shared" si="355"/>
        <v>0</v>
      </c>
      <c r="FW112" s="38">
        <f t="shared" si="356"/>
        <v>0</v>
      </c>
      <c r="FX112" s="38">
        <f t="shared" si="357"/>
        <v>0</v>
      </c>
      <c r="FY112" s="38">
        <f t="shared" si="358"/>
        <v>0</v>
      </c>
      <c r="FZ112" s="38">
        <f t="shared" si="359"/>
        <v>0</v>
      </c>
      <c r="GA112" s="38">
        <f t="shared" si="360"/>
        <v>0</v>
      </c>
      <c r="GB112" s="38">
        <f t="shared" si="361"/>
        <v>7692.5569968</v>
      </c>
      <c r="GC112" s="38">
        <f t="shared" si="362"/>
        <v>0</v>
      </c>
      <c r="GD112" s="38">
        <f t="shared" si="363"/>
        <v>0</v>
      </c>
      <c r="GE112" s="38">
        <f t="shared" si="364"/>
        <v>0</v>
      </c>
      <c r="GF112" s="38">
        <f t="shared" si="365"/>
        <v>0</v>
      </c>
      <c r="GG112" s="38">
        <f t="shared" si="366"/>
        <v>0</v>
      </c>
      <c r="GH112" s="38">
        <f t="shared" si="367"/>
        <v>0</v>
      </c>
      <c r="GI112" s="38">
        <f t="shared" si="368"/>
        <v>0</v>
      </c>
      <c r="GJ112" s="38">
        <f t="shared" si="369"/>
        <v>1327.4271114000001</v>
      </c>
      <c r="GL112" s="38">
        <f t="shared" si="370"/>
        <v>0</v>
      </c>
      <c r="GM112" s="38">
        <f t="shared" si="371"/>
        <v>0</v>
      </c>
      <c r="GN112" s="1" t="s">
        <v>2</v>
      </c>
      <c r="GO112" s="13">
        <f t="shared" si="294"/>
        <v>61.363</v>
      </c>
      <c r="GP112" s="13">
        <f t="shared" si="295"/>
        <v>1.3230792171178074</v>
      </c>
      <c r="GQ112" s="41">
        <f t="shared" si="296"/>
        <v>811.88110000000017</v>
      </c>
      <c r="GR112" s="41">
        <f t="shared" si="297"/>
        <v>12156.191773900002</v>
      </c>
      <c r="GS112" s="14">
        <f t="shared" si="298"/>
        <v>198.10295738311365</v>
      </c>
      <c r="GT112" s="1">
        <f t="shared" si="372"/>
        <v>0</v>
      </c>
      <c r="GU112" s="1">
        <f t="shared" si="373"/>
        <v>654.5073000000001</v>
      </c>
      <c r="GV112" s="1">
        <f t="shared" si="374"/>
        <v>157.37379999999999</v>
      </c>
      <c r="GW112" s="44">
        <f t="shared" si="299"/>
        <v>48.853999999999999</v>
      </c>
      <c r="GX112" s="44">
        <f>(BT112*CB112+CO112*CW112)/GW112</f>
        <v>1.2007025013304951</v>
      </c>
      <c r="GY112" s="41">
        <f>1000*GW112*GX112/100</f>
        <v>586.59120000000007</v>
      </c>
      <c r="GZ112" s="41">
        <f>SUM(FU112:GM112)</f>
        <v>9019.9841082000003</v>
      </c>
      <c r="HA112" s="14">
        <f>GZ112/GW112</f>
        <v>184.63143464608837</v>
      </c>
      <c r="HB112" s="1">
        <f t="shared" si="375"/>
        <v>0</v>
      </c>
      <c r="HC112" s="1">
        <f t="shared" si="376"/>
        <v>586.59120000000007</v>
      </c>
      <c r="HD112" s="37" t="s">
        <v>2</v>
      </c>
      <c r="HE112" s="1" t="s">
        <v>31</v>
      </c>
      <c r="HF112" s="1" t="s">
        <v>500</v>
      </c>
      <c r="HG112" s="1" t="s">
        <v>469</v>
      </c>
      <c r="HI112" s="1" t="s">
        <v>96</v>
      </c>
      <c r="HJ112" s="37" t="s">
        <v>2</v>
      </c>
      <c r="JH112" s="58" t="s">
        <v>2</v>
      </c>
    </row>
    <row r="113" spans="1:268" ht="16.25" customHeight="1" x14ac:dyDescent="0.2">
      <c r="A113" s="21" t="s">
        <v>549</v>
      </c>
      <c r="B113" s="1" t="s">
        <v>69</v>
      </c>
      <c r="E113" s="1" t="s">
        <v>72</v>
      </c>
      <c r="F113" s="1" t="s">
        <v>550</v>
      </c>
      <c r="H113" s="1" t="s">
        <v>187</v>
      </c>
      <c r="I113" s="2">
        <v>11.217919</v>
      </c>
      <c r="Q113" s="13">
        <v>1.6</v>
      </c>
      <c r="R113" s="1">
        <v>0.06</v>
      </c>
      <c r="Y113" s="1">
        <v>21.26</v>
      </c>
      <c r="AD113" s="2">
        <v>14.439299999999999</v>
      </c>
      <c r="AL113" s="1">
        <v>1.57</v>
      </c>
      <c r="AM113" s="1">
        <v>0.04</v>
      </c>
      <c r="AT113" s="1">
        <v>13.62</v>
      </c>
      <c r="AY113" s="2">
        <v>19.232123000000001</v>
      </c>
      <c r="BG113" s="1">
        <v>1.51</v>
      </c>
      <c r="BH113" s="1">
        <v>0.03</v>
      </c>
      <c r="BO113" s="1">
        <v>13.11</v>
      </c>
      <c r="BT113" s="1">
        <v>0</v>
      </c>
      <c r="CO113" s="1">
        <v>0</v>
      </c>
      <c r="DJ113" s="1" t="s">
        <v>96</v>
      </c>
      <c r="DK113" s="1" t="s">
        <v>96</v>
      </c>
      <c r="DL113" s="1">
        <f t="shared" si="292"/>
        <v>1.5517910048670351</v>
      </c>
      <c r="DM113" s="1">
        <f t="shared" si="293"/>
        <v>4.0713691682092372E-2</v>
      </c>
      <c r="DN113" s="1" t="s">
        <v>551</v>
      </c>
      <c r="DO113" s="1" t="s">
        <v>2</v>
      </c>
      <c r="DP113" s="38">
        <f t="shared" si="300"/>
        <v>0</v>
      </c>
      <c r="DQ113" s="38">
        <f t="shared" si="301"/>
        <v>0</v>
      </c>
      <c r="DR113" s="38">
        <f t="shared" si="302"/>
        <v>0</v>
      </c>
      <c r="DS113" s="38">
        <f t="shared" si="303"/>
        <v>0</v>
      </c>
      <c r="DT113" s="38">
        <f t="shared" si="304"/>
        <v>0</v>
      </c>
      <c r="DU113" s="38">
        <f t="shared" si="305"/>
        <v>0</v>
      </c>
      <c r="DV113" s="38">
        <f t="shared" si="306"/>
        <v>0</v>
      </c>
      <c r="DW113" s="38">
        <f t="shared" si="307"/>
        <v>0.69658877130000008</v>
      </c>
      <c r="DX113" s="38">
        <f t="shared" si="308"/>
        <v>1.8276108299999996E-2</v>
      </c>
      <c r="DY113" s="38">
        <f t="shared" si="309"/>
        <v>0</v>
      </c>
      <c r="DZ113" s="38">
        <f t="shared" si="310"/>
        <v>0</v>
      </c>
      <c r="EA113" s="38">
        <f t="shared" si="311"/>
        <v>0</v>
      </c>
      <c r="EB113" s="38">
        <f t="shared" si="312"/>
        <v>0</v>
      </c>
      <c r="EC113" s="38">
        <f t="shared" si="313"/>
        <v>0</v>
      </c>
      <c r="ED113" s="38">
        <f t="shared" si="314"/>
        <v>0</v>
      </c>
      <c r="EE113" s="38">
        <f t="shared" si="315"/>
        <v>6.8728935647</v>
      </c>
      <c r="EG113" s="38">
        <f t="shared" si="316"/>
        <v>0</v>
      </c>
      <c r="EH113" s="38">
        <f t="shared" si="317"/>
        <v>0</v>
      </c>
      <c r="EI113" s="38">
        <f t="shared" si="318"/>
        <v>0</v>
      </c>
      <c r="EJ113" s="38">
        <f t="shared" si="319"/>
        <v>0</v>
      </c>
      <c r="EK113" s="38">
        <f t="shared" si="320"/>
        <v>0</v>
      </c>
      <c r="EL113" s="38">
        <f t="shared" si="321"/>
        <v>0</v>
      </c>
      <c r="EM113" s="38">
        <f t="shared" si="322"/>
        <v>0</v>
      </c>
      <c r="EN113" s="38">
        <f t="shared" si="323"/>
        <v>0</v>
      </c>
      <c r="EO113" s="38">
        <f t="shared" si="324"/>
        <v>0</v>
      </c>
      <c r="EP113" s="38">
        <f t="shared" si="325"/>
        <v>9135.0651468282013</v>
      </c>
      <c r="EQ113" s="38">
        <f t="shared" si="326"/>
        <v>1327.2022853184487</v>
      </c>
      <c r="ER113" s="38">
        <f t="shared" si="327"/>
        <v>0</v>
      </c>
      <c r="ES113" s="38">
        <f t="shared" si="328"/>
        <v>0</v>
      </c>
      <c r="ET113" s="38">
        <f t="shared" si="329"/>
        <v>0</v>
      </c>
      <c r="EU113" s="38">
        <f t="shared" si="330"/>
        <v>0</v>
      </c>
      <c r="EV113" s="38">
        <f t="shared" si="331"/>
        <v>0</v>
      </c>
      <c r="EW113" s="38">
        <f t="shared" si="332"/>
        <v>0</v>
      </c>
      <c r="EX113" s="38">
        <f t="shared" si="333"/>
        <v>639.17910151709998</v>
      </c>
      <c r="EZ113" s="38">
        <f t="shared" si="334"/>
        <v>0</v>
      </c>
      <c r="FA113" s="38">
        <f t="shared" si="335"/>
        <v>0</v>
      </c>
      <c r="FB113" s="1">
        <f t="shared" si="336"/>
        <v>0</v>
      </c>
      <c r="FC113" s="1">
        <f t="shared" si="337"/>
        <v>0</v>
      </c>
      <c r="FD113" s="1">
        <f t="shared" si="338"/>
        <v>0</v>
      </c>
      <c r="FE113" s="1">
        <f t="shared" si="339"/>
        <v>0</v>
      </c>
      <c r="FF113" s="1">
        <f t="shared" si="340"/>
        <v>0</v>
      </c>
      <c r="FG113" s="1">
        <f t="shared" si="341"/>
        <v>0</v>
      </c>
      <c r="FH113" s="1">
        <f t="shared" si="342"/>
        <v>0</v>
      </c>
      <c r="FI113" s="1">
        <f t="shared" si="343"/>
        <v>0</v>
      </c>
      <c r="FJ113" s="1">
        <f t="shared" si="344"/>
        <v>0</v>
      </c>
      <c r="FK113" s="1">
        <f t="shared" si="345"/>
        <v>0</v>
      </c>
      <c r="FL113" s="1">
        <f t="shared" si="346"/>
        <v>0</v>
      </c>
      <c r="FM113" s="1">
        <f t="shared" si="347"/>
        <v>0</v>
      </c>
      <c r="FN113" s="1">
        <f t="shared" si="348"/>
        <v>0</v>
      </c>
      <c r="FO113" s="1">
        <f t="shared" si="349"/>
        <v>0</v>
      </c>
      <c r="FP113" s="1">
        <f t="shared" si="350"/>
        <v>0</v>
      </c>
      <c r="FQ113" s="1">
        <f t="shared" si="351"/>
        <v>0</v>
      </c>
      <c r="FS113" s="1">
        <f t="shared" si="352"/>
        <v>0</v>
      </c>
      <c r="FT113" s="1">
        <f t="shared" si="353"/>
        <v>0</v>
      </c>
      <c r="FU113" s="38">
        <f t="shared" si="354"/>
        <v>0</v>
      </c>
      <c r="FV113" s="38">
        <f t="shared" si="355"/>
        <v>0</v>
      </c>
      <c r="FW113" s="38">
        <f t="shared" si="356"/>
        <v>0</v>
      </c>
      <c r="FX113" s="38">
        <f t="shared" si="357"/>
        <v>0</v>
      </c>
      <c r="FY113" s="38">
        <f t="shared" si="358"/>
        <v>0</v>
      </c>
      <c r="FZ113" s="38">
        <f t="shared" si="359"/>
        <v>0</v>
      </c>
      <c r="GA113" s="38">
        <f t="shared" si="360"/>
        <v>0</v>
      </c>
      <c r="GB113" s="38">
        <f t="shared" si="361"/>
        <v>0</v>
      </c>
      <c r="GC113" s="38">
        <f t="shared" si="362"/>
        <v>0</v>
      </c>
      <c r="GD113" s="38">
        <f t="shared" si="363"/>
        <v>0</v>
      </c>
      <c r="GE113" s="38">
        <f t="shared" si="364"/>
        <v>0</v>
      </c>
      <c r="GF113" s="38">
        <f t="shared" si="365"/>
        <v>0</v>
      </c>
      <c r="GG113" s="38">
        <f t="shared" si="366"/>
        <v>0</v>
      </c>
      <c r="GH113" s="38">
        <f t="shared" si="367"/>
        <v>0</v>
      </c>
      <c r="GI113" s="38">
        <f t="shared" si="368"/>
        <v>0</v>
      </c>
      <c r="GJ113" s="38">
        <f t="shared" si="369"/>
        <v>0</v>
      </c>
      <c r="GL113" s="38">
        <f t="shared" si="370"/>
        <v>0</v>
      </c>
      <c r="GM113" s="38">
        <f t="shared" si="371"/>
        <v>0</v>
      </c>
      <c r="GN113" s="1" t="s">
        <v>2</v>
      </c>
      <c r="GO113" s="13">
        <f t="shared" si="294"/>
        <v>44.889341999999999</v>
      </c>
      <c r="GP113" s="13">
        <f t="shared" si="295"/>
        <v>1.5517910048670351</v>
      </c>
      <c r="GQ113" s="41">
        <f t="shared" si="296"/>
        <v>696.58877129999996</v>
      </c>
      <c r="GR113" s="41">
        <f t="shared" si="297"/>
        <v>11101.44653366375</v>
      </c>
      <c r="GS113" s="14">
        <f t="shared" si="298"/>
        <v>247.3069561515014</v>
      </c>
      <c r="GT113" s="1">
        <f t="shared" si="372"/>
        <v>179.48670400000003</v>
      </c>
      <c r="GU113" s="1">
        <f t="shared" si="373"/>
        <v>226.69701000000001</v>
      </c>
      <c r="GV113" s="1">
        <f t="shared" si="374"/>
        <v>290.40505730000007</v>
      </c>
      <c r="GW113" s="37">
        <f t="shared" si="299"/>
        <v>0</v>
      </c>
      <c r="GX113" s="37"/>
      <c r="GY113" s="37"/>
      <c r="GZ113" s="37"/>
      <c r="HB113" s="1">
        <f t="shared" si="375"/>
        <v>0</v>
      </c>
      <c r="HC113" s="1">
        <f t="shared" si="376"/>
        <v>0</v>
      </c>
      <c r="HD113" s="37" t="s">
        <v>2</v>
      </c>
      <c r="HE113" s="1" t="s">
        <v>31</v>
      </c>
      <c r="HF113" s="1" t="s">
        <v>500</v>
      </c>
      <c r="HG113" s="1" t="s">
        <v>500</v>
      </c>
      <c r="HI113" s="1" t="s">
        <v>96</v>
      </c>
      <c r="HJ113" s="37" t="s">
        <v>2</v>
      </c>
      <c r="JH113" s="58" t="s">
        <v>2</v>
      </c>
    </row>
    <row r="114" spans="1:268" ht="16.25" customHeight="1" x14ac:dyDescent="0.2">
      <c r="A114" s="21" t="s">
        <v>552</v>
      </c>
      <c r="B114" s="1" t="s">
        <v>69</v>
      </c>
      <c r="E114" s="1" t="s">
        <v>72</v>
      </c>
      <c r="F114" s="1" t="s">
        <v>550</v>
      </c>
      <c r="H114" s="1" t="s">
        <v>187</v>
      </c>
      <c r="I114" s="2">
        <v>4.6422860000000004</v>
      </c>
      <c r="Q114" s="1">
        <v>1.43</v>
      </c>
      <c r="R114" s="1">
        <v>0.08</v>
      </c>
      <c r="Y114" s="1">
        <v>34.299999999999997</v>
      </c>
      <c r="AD114" s="2">
        <v>3.1234989999999998</v>
      </c>
      <c r="AL114" s="1">
        <v>1.58</v>
      </c>
      <c r="AM114" s="1">
        <v>0.06</v>
      </c>
      <c r="AT114" s="1">
        <v>21.86</v>
      </c>
      <c r="AY114" s="2">
        <v>1.8940399999999999</v>
      </c>
      <c r="BG114" s="1">
        <v>1.59</v>
      </c>
      <c r="BH114" s="1">
        <v>0.06</v>
      </c>
      <c r="BO114" s="1">
        <v>19.75</v>
      </c>
      <c r="BT114" s="1">
        <v>0</v>
      </c>
      <c r="CO114" s="1">
        <v>0</v>
      </c>
      <c r="DJ114" s="1" t="s">
        <v>96</v>
      </c>
      <c r="DK114" s="1" t="s">
        <v>96</v>
      </c>
      <c r="DL114" s="1">
        <f t="shared" si="292"/>
        <v>1.5098742472042714</v>
      </c>
      <c r="DM114" s="1">
        <f t="shared" si="293"/>
        <v>6.9611532300015794E-2</v>
      </c>
      <c r="DN114" s="1" t="s">
        <v>551</v>
      </c>
      <c r="DO114" s="1" t="s">
        <v>2</v>
      </c>
      <c r="DP114" s="38">
        <f t="shared" si="300"/>
        <v>0</v>
      </c>
      <c r="DQ114" s="38">
        <f t="shared" si="301"/>
        <v>0</v>
      </c>
      <c r="DR114" s="38">
        <f t="shared" si="302"/>
        <v>0</v>
      </c>
      <c r="DS114" s="38">
        <f t="shared" si="303"/>
        <v>0</v>
      </c>
      <c r="DT114" s="38">
        <f t="shared" si="304"/>
        <v>0</v>
      </c>
      <c r="DU114" s="38">
        <f t="shared" si="305"/>
        <v>0</v>
      </c>
      <c r="DV114" s="38">
        <f t="shared" si="306"/>
        <v>0</v>
      </c>
      <c r="DW114" s="38">
        <f t="shared" si="307"/>
        <v>0.14585121000000001</v>
      </c>
      <c r="DX114" s="38">
        <f t="shared" si="308"/>
        <v>6.7243522000000003E-3</v>
      </c>
      <c r="DY114" s="38">
        <f t="shared" si="309"/>
        <v>0</v>
      </c>
      <c r="DZ114" s="38">
        <f t="shared" si="310"/>
        <v>0</v>
      </c>
      <c r="EA114" s="38">
        <f t="shared" si="311"/>
        <v>0</v>
      </c>
      <c r="EB114" s="38">
        <f t="shared" si="312"/>
        <v>0</v>
      </c>
      <c r="EC114" s="38">
        <f t="shared" si="313"/>
        <v>0</v>
      </c>
      <c r="ED114" s="38">
        <f t="shared" si="314"/>
        <v>0</v>
      </c>
      <c r="EE114" s="38">
        <f t="shared" si="315"/>
        <v>2.6491738793999997</v>
      </c>
      <c r="EG114" s="38">
        <f t="shared" si="316"/>
        <v>0</v>
      </c>
      <c r="EH114" s="38">
        <f t="shared" si="317"/>
        <v>0</v>
      </c>
      <c r="EI114" s="38">
        <f t="shared" si="318"/>
        <v>0</v>
      </c>
      <c r="EJ114" s="38">
        <f t="shared" si="319"/>
        <v>0</v>
      </c>
      <c r="EK114" s="38">
        <f t="shared" si="320"/>
        <v>0</v>
      </c>
      <c r="EL114" s="38">
        <f t="shared" si="321"/>
        <v>0</v>
      </c>
      <c r="EM114" s="38">
        <f t="shared" si="322"/>
        <v>0</v>
      </c>
      <c r="EN114" s="38">
        <f t="shared" si="323"/>
        <v>0</v>
      </c>
      <c r="EO114" s="38">
        <f t="shared" si="324"/>
        <v>0</v>
      </c>
      <c r="EP114" s="38">
        <f t="shared" si="325"/>
        <v>1912.6927679400001</v>
      </c>
      <c r="EQ114" s="38">
        <f t="shared" si="326"/>
        <v>488.31925597235278</v>
      </c>
      <c r="ER114" s="38">
        <f t="shared" si="327"/>
        <v>0</v>
      </c>
      <c r="ES114" s="38">
        <f t="shared" si="328"/>
        <v>0</v>
      </c>
      <c r="ET114" s="38">
        <f t="shared" si="329"/>
        <v>0</v>
      </c>
      <c r="EU114" s="38">
        <f t="shared" si="330"/>
        <v>0</v>
      </c>
      <c r="EV114" s="38">
        <f t="shared" si="331"/>
        <v>0</v>
      </c>
      <c r="EW114" s="38">
        <f t="shared" si="332"/>
        <v>0</v>
      </c>
      <c r="EX114" s="38">
        <f t="shared" si="333"/>
        <v>246.37317078419997</v>
      </c>
      <c r="EZ114" s="38">
        <f t="shared" si="334"/>
        <v>0</v>
      </c>
      <c r="FA114" s="38">
        <f t="shared" si="335"/>
        <v>0</v>
      </c>
      <c r="FB114" s="1">
        <f t="shared" si="336"/>
        <v>0</v>
      </c>
      <c r="FC114" s="1">
        <f t="shared" si="337"/>
        <v>0</v>
      </c>
      <c r="FD114" s="1">
        <f t="shared" si="338"/>
        <v>0</v>
      </c>
      <c r="FE114" s="1">
        <f t="shared" si="339"/>
        <v>0</v>
      </c>
      <c r="FF114" s="1">
        <f t="shared" si="340"/>
        <v>0</v>
      </c>
      <c r="FG114" s="1">
        <f t="shared" si="341"/>
        <v>0</v>
      </c>
      <c r="FH114" s="1">
        <f t="shared" si="342"/>
        <v>0</v>
      </c>
      <c r="FI114" s="1">
        <f t="shared" si="343"/>
        <v>0</v>
      </c>
      <c r="FJ114" s="1">
        <f t="shared" si="344"/>
        <v>0</v>
      </c>
      <c r="FK114" s="1">
        <f t="shared" si="345"/>
        <v>0</v>
      </c>
      <c r="FL114" s="1">
        <f t="shared" si="346"/>
        <v>0</v>
      </c>
      <c r="FM114" s="1">
        <f t="shared" si="347"/>
        <v>0</v>
      </c>
      <c r="FN114" s="1">
        <f t="shared" si="348"/>
        <v>0</v>
      </c>
      <c r="FO114" s="1">
        <f t="shared" si="349"/>
        <v>0</v>
      </c>
      <c r="FP114" s="1">
        <f t="shared" si="350"/>
        <v>0</v>
      </c>
      <c r="FQ114" s="1">
        <f t="shared" si="351"/>
        <v>0</v>
      </c>
      <c r="FS114" s="1">
        <f t="shared" si="352"/>
        <v>0</v>
      </c>
      <c r="FT114" s="1">
        <f t="shared" si="353"/>
        <v>0</v>
      </c>
      <c r="FU114" s="38">
        <f t="shared" si="354"/>
        <v>0</v>
      </c>
      <c r="FV114" s="38">
        <f t="shared" si="355"/>
        <v>0</v>
      </c>
      <c r="FW114" s="38">
        <f t="shared" si="356"/>
        <v>0</v>
      </c>
      <c r="FX114" s="38">
        <f t="shared" si="357"/>
        <v>0</v>
      </c>
      <c r="FY114" s="38">
        <f t="shared" si="358"/>
        <v>0</v>
      </c>
      <c r="FZ114" s="38">
        <f t="shared" si="359"/>
        <v>0</v>
      </c>
      <c r="GA114" s="38">
        <f t="shared" si="360"/>
        <v>0</v>
      </c>
      <c r="GB114" s="38">
        <f t="shared" si="361"/>
        <v>0</v>
      </c>
      <c r="GC114" s="38">
        <f t="shared" si="362"/>
        <v>0</v>
      </c>
      <c r="GD114" s="38">
        <f t="shared" si="363"/>
        <v>0</v>
      </c>
      <c r="GE114" s="38">
        <f t="shared" si="364"/>
        <v>0</v>
      </c>
      <c r="GF114" s="38">
        <f t="shared" si="365"/>
        <v>0</v>
      </c>
      <c r="GG114" s="38">
        <f t="shared" si="366"/>
        <v>0</v>
      </c>
      <c r="GH114" s="38">
        <f t="shared" si="367"/>
        <v>0</v>
      </c>
      <c r="GI114" s="38">
        <f t="shared" si="368"/>
        <v>0</v>
      </c>
      <c r="GJ114" s="38">
        <f t="shared" si="369"/>
        <v>0</v>
      </c>
      <c r="GL114" s="38">
        <f t="shared" si="370"/>
        <v>0</v>
      </c>
      <c r="GM114" s="38">
        <f t="shared" si="371"/>
        <v>0</v>
      </c>
      <c r="GN114" s="1" t="s">
        <v>2</v>
      </c>
      <c r="GO114" s="2">
        <f t="shared" si="294"/>
        <v>9.6598249999999997</v>
      </c>
      <c r="GP114" s="13">
        <f t="shared" si="295"/>
        <v>1.5098742472042714</v>
      </c>
      <c r="GQ114" s="41">
        <f t="shared" si="296"/>
        <v>145.85120999999998</v>
      </c>
      <c r="GR114" s="41">
        <f t="shared" si="297"/>
        <v>2647.3851946965528</v>
      </c>
      <c r="GS114" s="14">
        <f t="shared" si="298"/>
        <v>274.06140325487809</v>
      </c>
      <c r="GT114" s="1">
        <f t="shared" si="372"/>
        <v>66.38468979999999</v>
      </c>
      <c r="GU114" s="1">
        <f t="shared" si="373"/>
        <v>49.351284200000002</v>
      </c>
      <c r="GV114" s="1">
        <f t="shared" si="374"/>
        <v>30.115235999999999</v>
      </c>
      <c r="GW114" s="37">
        <f t="shared" si="299"/>
        <v>0</v>
      </c>
      <c r="GX114" s="37"/>
      <c r="GY114" s="37"/>
      <c r="GZ114" s="37"/>
      <c r="HB114" s="1">
        <f t="shared" si="375"/>
        <v>0</v>
      </c>
      <c r="HC114" s="1">
        <f t="shared" si="376"/>
        <v>0</v>
      </c>
      <c r="HD114" s="37" t="s">
        <v>2</v>
      </c>
      <c r="HE114" s="1" t="s">
        <v>31</v>
      </c>
      <c r="HF114" s="1" t="s">
        <v>500</v>
      </c>
      <c r="HG114" s="1" t="s">
        <v>500</v>
      </c>
      <c r="HI114" s="1" t="s">
        <v>96</v>
      </c>
      <c r="HJ114" s="37" t="s">
        <v>2</v>
      </c>
      <c r="JH114" s="58" t="s">
        <v>2</v>
      </c>
    </row>
    <row r="115" spans="1:268" ht="16.25" customHeight="1" x14ac:dyDescent="0.2">
      <c r="A115" s="21" t="s">
        <v>584</v>
      </c>
      <c r="B115" s="1" t="s">
        <v>69</v>
      </c>
      <c r="F115" s="1" t="s">
        <v>582</v>
      </c>
      <c r="I115" s="1">
        <v>14.295999999999999</v>
      </c>
      <c r="Q115" s="1">
        <v>1.31</v>
      </c>
      <c r="R115" s="1">
        <v>0.05</v>
      </c>
      <c r="Y115" s="1">
        <v>16.420000000000002</v>
      </c>
      <c r="Z115" s="1">
        <v>41.27</v>
      </c>
      <c r="AD115" s="1">
        <v>55.970999999999997</v>
      </c>
      <c r="AL115" s="13">
        <v>1.2</v>
      </c>
      <c r="AM115" s="1">
        <v>0.05</v>
      </c>
      <c r="AT115" s="1">
        <v>17.02</v>
      </c>
      <c r="AU115" s="1">
        <v>40.619999999999997</v>
      </c>
      <c r="AY115" s="1">
        <v>2.68</v>
      </c>
      <c r="BG115" s="1">
        <v>1.1399999999999999</v>
      </c>
      <c r="BH115" s="1">
        <v>0.06</v>
      </c>
      <c r="BO115" s="1">
        <v>22.32</v>
      </c>
      <c r="BP115" s="1">
        <v>35.869999999999997</v>
      </c>
      <c r="BT115" s="1">
        <v>0</v>
      </c>
      <c r="CO115" s="1">
        <v>0</v>
      </c>
      <c r="DJ115" s="1" t="s">
        <v>96</v>
      </c>
      <c r="DK115" s="1" t="s">
        <v>96</v>
      </c>
      <c r="DL115" s="1">
        <f t="shared" si="292"/>
        <v>1.2193532290567124</v>
      </c>
      <c r="DM115" s="1">
        <f t="shared" si="293"/>
        <v>5.0367390022893331E-2</v>
      </c>
      <c r="DN115" s="1" t="s">
        <v>585</v>
      </c>
      <c r="DO115" s="1" t="s">
        <v>2</v>
      </c>
      <c r="DP115" s="38">
        <f t="shared" si="300"/>
        <v>0</v>
      </c>
      <c r="DQ115" s="38">
        <f t="shared" si="301"/>
        <v>0</v>
      </c>
      <c r="DR115" s="38">
        <f t="shared" si="302"/>
        <v>0</v>
      </c>
      <c r="DS115" s="38">
        <f t="shared" si="303"/>
        <v>0</v>
      </c>
      <c r="DT115" s="38">
        <f t="shared" si="304"/>
        <v>0</v>
      </c>
      <c r="DU115" s="38">
        <f t="shared" si="305"/>
        <v>0</v>
      </c>
      <c r="DV115" s="38">
        <f t="shared" si="306"/>
        <v>0</v>
      </c>
      <c r="DW115" s="38">
        <f t="shared" si="307"/>
        <v>0.88948159999999998</v>
      </c>
      <c r="DX115" s="38">
        <f t="shared" si="308"/>
        <v>3.6741500000000003E-2</v>
      </c>
      <c r="DY115" s="38">
        <f t="shared" si="309"/>
        <v>0</v>
      </c>
      <c r="DZ115" s="38">
        <f t="shared" si="310"/>
        <v>0</v>
      </c>
      <c r="EA115" s="38">
        <f t="shared" si="311"/>
        <v>0</v>
      </c>
      <c r="EB115" s="38">
        <f t="shared" si="312"/>
        <v>0</v>
      </c>
      <c r="EC115" s="38">
        <f t="shared" si="313"/>
        <v>0</v>
      </c>
      <c r="ED115" s="38">
        <f t="shared" si="314"/>
        <v>0</v>
      </c>
      <c r="EE115" s="38">
        <f t="shared" si="315"/>
        <v>12.471843400000001</v>
      </c>
      <c r="EG115" s="38">
        <f t="shared" si="316"/>
        <v>0</v>
      </c>
      <c r="EH115" s="38">
        <f t="shared" si="317"/>
        <v>0</v>
      </c>
      <c r="EI115" s="38">
        <f t="shared" si="318"/>
        <v>0</v>
      </c>
      <c r="EJ115" s="38">
        <f t="shared" si="319"/>
        <v>0</v>
      </c>
      <c r="EK115" s="38">
        <f t="shared" si="320"/>
        <v>0</v>
      </c>
      <c r="EL115" s="38">
        <f t="shared" si="321"/>
        <v>0</v>
      </c>
      <c r="EM115" s="38">
        <f t="shared" si="322"/>
        <v>0</v>
      </c>
      <c r="EN115" s="38">
        <f t="shared" si="323"/>
        <v>0</v>
      </c>
      <c r="EO115" s="38">
        <f t="shared" si="324"/>
        <v>0</v>
      </c>
      <c r="EP115" s="38">
        <f t="shared" si="325"/>
        <v>11664.661702400001</v>
      </c>
      <c r="EQ115" s="38">
        <f t="shared" si="326"/>
        <v>2668.1502410459998</v>
      </c>
      <c r="ER115" s="38">
        <f t="shared" si="327"/>
        <v>0</v>
      </c>
      <c r="ES115" s="38">
        <f t="shared" si="328"/>
        <v>0</v>
      </c>
      <c r="ET115" s="38">
        <f t="shared" si="329"/>
        <v>0</v>
      </c>
      <c r="EU115" s="38">
        <f t="shared" si="330"/>
        <v>0</v>
      </c>
      <c r="EV115" s="38">
        <f t="shared" si="331"/>
        <v>0</v>
      </c>
      <c r="EW115" s="38">
        <f t="shared" si="332"/>
        <v>0</v>
      </c>
      <c r="EX115" s="38">
        <f t="shared" si="333"/>
        <v>1159.8814362000001</v>
      </c>
      <c r="EZ115" s="38">
        <f t="shared" si="334"/>
        <v>0</v>
      </c>
      <c r="FA115" s="38">
        <f t="shared" si="335"/>
        <v>0</v>
      </c>
      <c r="FB115" s="1">
        <f t="shared" si="336"/>
        <v>0</v>
      </c>
      <c r="FC115" s="1">
        <f t="shared" si="337"/>
        <v>0</v>
      </c>
      <c r="FD115" s="1">
        <f t="shared" si="338"/>
        <v>0</v>
      </c>
      <c r="FE115" s="1">
        <f t="shared" si="339"/>
        <v>0</v>
      </c>
      <c r="FF115" s="1">
        <f t="shared" si="340"/>
        <v>0</v>
      </c>
      <c r="FG115" s="1">
        <f t="shared" si="341"/>
        <v>0</v>
      </c>
      <c r="FH115" s="1">
        <f t="shared" si="342"/>
        <v>0</v>
      </c>
      <c r="FI115" s="1">
        <f t="shared" si="343"/>
        <v>0</v>
      </c>
      <c r="FJ115" s="1">
        <f t="shared" si="344"/>
        <v>0</v>
      </c>
      <c r="FK115" s="1">
        <f t="shared" si="345"/>
        <v>0</v>
      </c>
      <c r="FL115" s="1">
        <f t="shared" si="346"/>
        <v>0</v>
      </c>
      <c r="FM115" s="1">
        <f t="shared" si="347"/>
        <v>0</v>
      </c>
      <c r="FN115" s="1">
        <f t="shared" si="348"/>
        <v>0</v>
      </c>
      <c r="FO115" s="1">
        <f t="shared" si="349"/>
        <v>0</v>
      </c>
      <c r="FP115" s="1">
        <f t="shared" si="350"/>
        <v>0</v>
      </c>
      <c r="FQ115" s="1">
        <f t="shared" si="351"/>
        <v>0</v>
      </c>
      <c r="FS115" s="1">
        <f t="shared" si="352"/>
        <v>0</v>
      </c>
      <c r="FT115" s="1">
        <f t="shared" si="353"/>
        <v>0</v>
      </c>
      <c r="FU115" s="38">
        <f t="shared" si="354"/>
        <v>0</v>
      </c>
      <c r="FV115" s="38">
        <f t="shared" si="355"/>
        <v>0</v>
      </c>
      <c r="FW115" s="38">
        <f t="shared" si="356"/>
        <v>0</v>
      </c>
      <c r="FX115" s="38">
        <f t="shared" si="357"/>
        <v>0</v>
      </c>
      <c r="FY115" s="38">
        <f t="shared" si="358"/>
        <v>0</v>
      </c>
      <c r="FZ115" s="38">
        <f t="shared" si="359"/>
        <v>0</v>
      </c>
      <c r="GA115" s="38">
        <f t="shared" si="360"/>
        <v>0</v>
      </c>
      <c r="GB115" s="38">
        <f t="shared" si="361"/>
        <v>0</v>
      </c>
      <c r="GC115" s="38">
        <f t="shared" si="362"/>
        <v>0</v>
      </c>
      <c r="GD115" s="38">
        <f t="shared" si="363"/>
        <v>0</v>
      </c>
      <c r="GE115" s="38">
        <f t="shared" si="364"/>
        <v>0</v>
      </c>
      <c r="GF115" s="38">
        <f t="shared" si="365"/>
        <v>0</v>
      </c>
      <c r="GG115" s="38">
        <f t="shared" si="366"/>
        <v>0</v>
      </c>
      <c r="GH115" s="38">
        <f t="shared" si="367"/>
        <v>0</v>
      </c>
      <c r="GI115" s="38">
        <f t="shared" si="368"/>
        <v>0</v>
      </c>
      <c r="GJ115" s="38">
        <f t="shared" si="369"/>
        <v>0</v>
      </c>
      <c r="GL115" s="38">
        <f t="shared" si="370"/>
        <v>0</v>
      </c>
      <c r="GM115" s="38">
        <f t="shared" si="371"/>
        <v>0</v>
      </c>
      <c r="GN115" s="1" t="s">
        <v>2</v>
      </c>
      <c r="GO115" s="13">
        <f t="shared" si="294"/>
        <v>72.947000000000003</v>
      </c>
      <c r="GP115" s="13">
        <f t="shared" si="295"/>
        <v>1.2193532290567124</v>
      </c>
      <c r="GQ115" s="41">
        <f t="shared" si="296"/>
        <v>889.48160000000007</v>
      </c>
      <c r="GR115" s="41">
        <f t="shared" si="297"/>
        <v>15492.693379646</v>
      </c>
      <c r="GS115" s="14">
        <f t="shared" si="298"/>
        <v>212.38287221744554</v>
      </c>
      <c r="GT115" s="1">
        <f t="shared" si="372"/>
        <v>187.27759999999998</v>
      </c>
      <c r="GU115" s="1">
        <f t="shared" si="373"/>
        <v>671.65199999999993</v>
      </c>
      <c r="GV115" s="1">
        <f t="shared" si="374"/>
        <v>30.552000000000003</v>
      </c>
      <c r="GW115" s="37">
        <f t="shared" si="299"/>
        <v>0</v>
      </c>
      <c r="GX115" s="37"/>
      <c r="GY115" s="37"/>
      <c r="GZ115" s="37"/>
      <c r="HB115" s="1">
        <f t="shared" si="375"/>
        <v>0</v>
      </c>
      <c r="HC115" s="1">
        <f t="shared" si="376"/>
        <v>0</v>
      </c>
      <c r="HD115" s="37" t="s">
        <v>2</v>
      </c>
      <c r="HE115" s="1" t="s">
        <v>31</v>
      </c>
      <c r="HF115" s="1" t="s">
        <v>469</v>
      </c>
      <c r="HI115" s="1" t="s">
        <v>96</v>
      </c>
      <c r="HJ115" s="37" t="s">
        <v>2</v>
      </c>
      <c r="JH115" s="58" t="s">
        <v>2</v>
      </c>
    </row>
    <row r="116" spans="1:268" ht="16.25" customHeight="1" x14ac:dyDescent="0.2">
      <c r="A116" s="21" t="s">
        <v>475</v>
      </c>
      <c r="B116" s="1" t="s">
        <v>64</v>
      </c>
      <c r="F116" s="1" t="s">
        <v>474</v>
      </c>
      <c r="H116" s="1" t="s">
        <v>467</v>
      </c>
      <c r="I116" s="1">
        <f>14.76+8.91+33.3+25.06</f>
        <v>82.03</v>
      </c>
      <c r="Q116" s="13">
        <f>(2.11*14.76+1.94*8.91+2.07*33.3+1.81*25.06)/I116</f>
        <v>1.9836474460563207</v>
      </c>
      <c r="R116" s="13">
        <f>(0.05*14.76+0.03*8.91+0.03*33.3+0.03*25.06)/I116</f>
        <v>3.3598683408509078E-2</v>
      </c>
      <c r="Y116" s="13">
        <f>(15.47*14.76+12.4*8.91+10.74*33.3+11.55*25.06)/I116</f>
        <v>12.018849201511641</v>
      </c>
      <c r="Z116" s="13">
        <f>(37.22*14.76+41.42*8.91+42.06*33.3+41.31*25.06)/I116</f>
        <v>40.890479093014747</v>
      </c>
      <c r="AD116" s="1">
        <f>0.95+6.09+16.49+69.71</f>
        <v>93.24</v>
      </c>
      <c r="AL116" s="13">
        <f>(2.04*0.95+1.98*6.09+1.98*16.49+1.81*69.71)/AD116</f>
        <v>1.8535124410124411</v>
      </c>
      <c r="AM116" s="13">
        <f>(0.05*0.95+0.03*6.09+0.03*16.49+0.03*69.71)/AD116</f>
        <v>3.0203775203775204E-2</v>
      </c>
      <c r="AT116" s="13">
        <f>(14.78*0.95+11.18*6.09+11.19*16.49+11.96*69.71)/AD116</f>
        <v>11.801607679107677</v>
      </c>
      <c r="AU116" s="13">
        <f>(39.84*0.95+41.49*6.09+43.13*16.49+41.09*69.71)/AD116</f>
        <v>41.464175246675246</v>
      </c>
      <c r="AY116" s="1">
        <f>0.42+14.76+0.16+95.99</f>
        <v>111.33</v>
      </c>
      <c r="BG116" s="13">
        <f>(2*0.42+1.97*14.76+2.15*0.16+1.82*95.99)/AY116</f>
        <v>1.8410401509027217</v>
      </c>
      <c r="BH116" s="13">
        <f>(0.05*0.42+0.03*14.76+0.03*0.16+0.04*95.99)/AY116</f>
        <v>3.8697565795383096E-2</v>
      </c>
      <c r="BO116" s="13">
        <f>(14.33*0.42+11.17*14.76+11.38*0.16+12.67*95.99)/AY116</f>
        <v>12.475540285637294</v>
      </c>
      <c r="BP116" s="13">
        <f>(38.47*0.42+41.89*14.76+42.08*0.16+40.61*95.99)/AY116</f>
        <v>40.773740231743467</v>
      </c>
      <c r="BT116" s="1">
        <f>8.92+6.3+29.92+19.1</f>
        <v>64.240000000000009</v>
      </c>
      <c r="CB116" s="13">
        <f>(2.04*8.92+1.88*6.3+2.02*29.92+1.78*19.1)/BT116</f>
        <v>1.9376899128268987</v>
      </c>
      <c r="CC116" s="13">
        <f>(0.05*8.92+0.05*6.3+0.03*29.92+0.03*19.1)/BT116</f>
        <v>3.4738480697384805E-2</v>
      </c>
      <c r="CJ116" s="13">
        <f>(15.69*8.92+14.31*6.3+10.76*29.92+11.41*19.1)/BT116</f>
        <v>11.985958904109589</v>
      </c>
      <c r="CK116" s="13">
        <f>(36.66*8.92+39.68*6.3+42.03*29.92+41.36*19.1)/BT116</f>
        <v>40.854682440846823</v>
      </c>
      <c r="CO116" s="1">
        <f>0.27+2.23+13.73+54.03</f>
        <v>70.260000000000005</v>
      </c>
      <c r="CW116" s="13">
        <f>(1.84*0.27+1.86*2.23+1.93*13.73+1.77*54.03)/CO116</f>
        <v>1.8043922573299174</v>
      </c>
      <c r="CX116" s="13">
        <f>(0.05*0.27+0.04*2.23+0.03*13.73+0.03*54.03)/CO116</f>
        <v>3.039424992883575E-2</v>
      </c>
      <c r="DE116" s="13">
        <f>(13.88*0.27+13.04*2.23+11.21*13.73+11.71*54.03)/CO116</f>
        <v>11.662843723313408</v>
      </c>
      <c r="DF116" s="13">
        <f>(40.99*0.27+40.57*2.23+43.05*13.73+41.25*54.03)/CO116</f>
        <v>41.579168801594079</v>
      </c>
      <c r="DJ116" s="1" t="s">
        <v>96</v>
      </c>
      <c r="DK116" s="1" t="s">
        <v>96</v>
      </c>
      <c r="DL116" s="1">
        <f t="shared" si="292"/>
        <v>1.8859145150034891</v>
      </c>
      <c r="DM116" s="1">
        <f t="shared" si="293"/>
        <v>3.4474877878576414E-2</v>
      </c>
      <c r="DN116" s="1" t="s">
        <v>67</v>
      </c>
      <c r="DO116" s="1" t="s">
        <v>2</v>
      </c>
      <c r="DP116" s="38">
        <f t="shared" si="300"/>
        <v>0</v>
      </c>
      <c r="DQ116" s="38">
        <f t="shared" si="301"/>
        <v>0</v>
      </c>
      <c r="DR116" s="38">
        <f t="shared" si="302"/>
        <v>0</v>
      </c>
      <c r="DS116" s="38">
        <f t="shared" si="303"/>
        <v>0</v>
      </c>
      <c r="DT116" s="38">
        <f t="shared" si="304"/>
        <v>0</v>
      </c>
      <c r="DU116" s="38">
        <f t="shared" si="305"/>
        <v>0</v>
      </c>
      <c r="DV116" s="38">
        <f t="shared" si="306"/>
        <v>0</v>
      </c>
      <c r="DW116" s="38">
        <f t="shared" si="307"/>
        <v>5.4050309999999993</v>
      </c>
      <c r="DX116" s="38">
        <f t="shared" si="308"/>
        <v>9.880499999999999E-2</v>
      </c>
      <c r="DY116" s="38">
        <f t="shared" si="309"/>
        <v>0</v>
      </c>
      <c r="DZ116" s="38">
        <f t="shared" si="310"/>
        <v>0</v>
      </c>
      <c r="EA116" s="38">
        <f t="shared" si="311"/>
        <v>0</v>
      </c>
      <c r="EB116" s="38">
        <f t="shared" si="312"/>
        <v>0</v>
      </c>
      <c r="EC116" s="38">
        <f t="shared" si="313"/>
        <v>0</v>
      </c>
      <c r="ED116" s="38">
        <f t="shared" si="314"/>
        <v>0</v>
      </c>
      <c r="EE116" s="38">
        <f t="shared" si="315"/>
        <v>34.751899999999999</v>
      </c>
      <c r="EG116" s="38">
        <f t="shared" si="316"/>
        <v>0</v>
      </c>
      <c r="EH116" s="38">
        <f t="shared" si="317"/>
        <v>0</v>
      </c>
      <c r="EI116" s="38">
        <f t="shared" si="318"/>
        <v>0</v>
      </c>
      <c r="EJ116" s="38">
        <f t="shared" si="319"/>
        <v>0</v>
      </c>
      <c r="EK116" s="38">
        <f t="shared" si="320"/>
        <v>0</v>
      </c>
      <c r="EL116" s="38">
        <f t="shared" si="321"/>
        <v>0</v>
      </c>
      <c r="EM116" s="38">
        <f t="shared" si="322"/>
        <v>0</v>
      </c>
      <c r="EN116" s="38">
        <f t="shared" si="323"/>
        <v>0</v>
      </c>
      <c r="EO116" s="38">
        <f t="shared" si="324"/>
        <v>0</v>
      </c>
      <c r="EP116" s="38">
        <f t="shared" si="325"/>
        <v>70881.576533999993</v>
      </c>
      <c r="EQ116" s="38">
        <f t="shared" si="326"/>
        <v>7175.1720688199985</v>
      </c>
      <c r="ER116" s="38">
        <f t="shared" si="327"/>
        <v>0</v>
      </c>
      <c r="ES116" s="38">
        <f t="shared" si="328"/>
        <v>0</v>
      </c>
      <c r="ET116" s="38">
        <f t="shared" si="329"/>
        <v>0</v>
      </c>
      <c r="EU116" s="38">
        <f t="shared" si="330"/>
        <v>0</v>
      </c>
      <c r="EV116" s="38">
        <f t="shared" si="331"/>
        <v>0</v>
      </c>
      <c r="EW116" s="38">
        <f t="shared" si="332"/>
        <v>0</v>
      </c>
      <c r="EX116" s="38">
        <f t="shared" si="333"/>
        <v>3231.9267</v>
      </c>
      <c r="EZ116" s="38">
        <f t="shared" si="334"/>
        <v>0</v>
      </c>
      <c r="FA116" s="38">
        <f t="shared" si="335"/>
        <v>0</v>
      </c>
      <c r="FB116" s="1">
        <f t="shared" si="336"/>
        <v>0</v>
      </c>
      <c r="FC116" s="1">
        <f t="shared" si="337"/>
        <v>0</v>
      </c>
      <c r="FD116" s="1">
        <f t="shared" si="338"/>
        <v>0</v>
      </c>
      <c r="FE116" s="1">
        <f t="shared" si="339"/>
        <v>0</v>
      </c>
      <c r="FF116" s="1">
        <f t="shared" si="340"/>
        <v>0</v>
      </c>
      <c r="FG116" s="1">
        <f t="shared" si="341"/>
        <v>0</v>
      </c>
      <c r="FH116" s="1">
        <f t="shared" si="342"/>
        <v>0</v>
      </c>
      <c r="FI116" s="1">
        <f t="shared" si="343"/>
        <v>2.5125380000000002</v>
      </c>
      <c r="FJ116" s="1">
        <f t="shared" si="344"/>
        <v>4.3671000000000008E-2</v>
      </c>
      <c r="FK116" s="1">
        <f t="shared" si="345"/>
        <v>0</v>
      </c>
      <c r="FL116" s="1">
        <f t="shared" si="346"/>
        <v>0</v>
      </c>
      <c r="FM116" s="1">
        <f t="shared" si="347"/>
        <v>0</v>
      </c>
      <c r="FN116" s="1">
        <f t="shared" si="348"/>
        <v>0</v>
      </c>
      <c r="FO116" s="1">
        <f t="shared" si="349"/>
        <v>0</v>
      </c>
      <c r="FP116" s="1">
        <f t="shared" si="350"/>
        <v>0</v>
      </c>
      <c r="FQ116" s="1">
        <f t="shared" si="351"/>
        <v>15.894094000000001</v>
      </c>
      <c r="FS116" s="1">
        <f t="shared" si="352"/>
        <v>0</v>
      </c>
      <c r="FT116" s="1">
        <f t="shared" si="353"/>
        <v>0</v>
      </c>
      <c r="FU116" s="38">
        <f t="shared" si="354"/>
        <v>0</v>
      </c>
      <c r="FV116" s="38">
        <f t="shared" si="355"/>
        <v>0</v>
      </c>
      <c r="FW116" s="38">
        <f t="shared" si="356"/>
        <v>0</v>
      </c>
      <c r="FX116" s="38">
        <f t="shared" si="357"/>
        <v>0</v>
      </c>
      <c r="FY116" s="38">
        <f t="shared" si="358"/>
        <v>0</v>
      </c>
      <c r="FZ116" s="38">
        <f t="shared" si="359"/>
        <v>0</v>
      </c>
      <c r="GA116" s="38">
        <f t="shared" si="360"/>
        <v>0</v>
      </c>
      <c r="GB116" s="38">
        <f t="shared" si="361"/>
        <v>32949.423331999998</v>
      </c>
      <c r="GC116" s="38">
        <f t="shared" si="362"/>
        <v>3171.367232604</v>
      </c>
      <c r="GD116" s="38">
        <f t="shared" si="363"/>
        <v>0</v>
      </c>
      <c r="GE116" s="38">
        <f t="shared" si="364"/>
        <v>0</v>
      </c>
      <c r="GF116" s="38">
        <f t="shared" si="365"/>
        <v>0</v>
      </c>
      <c r="GG116" s="38">
        <f t="shared" si="366"/>
        <v>0</v>
      </c>
      <c r="GH116" s="38">
        <f t="shared" si="367"/>
        <v>0</v>
      </c>
      <c r="GI116" s="38">
        <f t="shared" si="368"/>
        <v>0</v>
      </c>
      <c r="GJ116" s="38">
        <f t="shared" si="369"/>
        <v>1478.150742</v>
      </c>
      <c r="GL116" s="38">
        <f t="shared" si="370"/>
        <v>0</v>
      </c>
      <c r="GM116" s="38">
        <f t="shared" si="371"/>
        <v>0</v>
      </c>
      <c r="GN116" s="1" t="s">
        <v>2</v>
      </c>
      <c r="GO116" s="1">
        <f t="shared" si="294"/>
        <v>286.59999999999997</v>
      </c>
      <c r="GP116" s="13">
        <f t="shared" si="295"/>
        <v>1.8859145150034891</v>
      </c>
      <c r="GQ116" s="43">
        <f t="shared" si="296"/>
        <v>5405.030999999999</v>
      </c>
      <c r="GR116" s="41">
        <f t="shared" si="297"/>
        <v>81288.675302819989</v>
      </c>
      <c r="GS116" s="14">
        <f t="shared" si="298"/>
        <v>283.63110712777387</v>
      </c>
      <c r="GT116" s="1">
        <f t="shared" si="372"/>
        <v>1627.1859999999997</v>
      </c>
      <c r="GU116" s="1">
        <f t="shared" si="373"/>
        <v>1728.2149999999999</v>
      </c>
      <c r="GV116" s="1">
        <f t="shared" si="374"/>
        <v>2049.63</v>
      </c>
      <c r="GW116" s="37">
        <f t="shared" si="299"/>
        <v>134.5</v>
      </c>
      <c r="GX116" s="44">
        <f>(BT116*CB116+CO116*CW116)/GW116</f>
        <v>1.8680579925650558</v>
      </c>
      <c r="GY116" s="43">
        <f>1000*GW116*GX116/100</f>
        <v>2512.538</v>
      </c>
      <c r="GZ116" s="41">
        <f>SUM(FU116:GM116)</f>
        <v>37598.941306604</v>
      </c>
      <c r="HA116" s="14">
        <f>GZ116/GW116</f>
        <v>279.54603201936061</v>
      </c>
      <c r="HB116" s="1">
        <f t="shared" si="375"/>
        <v>1244.7719999999999</v>
      </c>
      <c r="HC116" s="1">
        <f t="shared" si="376"/>
        <v>1267.7660000000001</v>
      </c>
      <c r="HD116" s="37" t="s">
        <v>2</v>
      </c>
      <c r="HE116" s="1" t="s">
        <v>31</v>
      </c>
      <c r="HF116" s="1" t="s">
        <v>469</v>
      </c>
      <c r="HI116" s="1" t="s">
        <v>96</v>
      </c>
      <c r="HJ116" s="37" t="s">
        <v>2</v>
      </c>
      <c r="JH116" s="58" t="s">
        <v>2</v>
      </c>
    </row>
    <row r="117" spans="1:268" ht="16.25" customHeight="1" x14ac:dyDescent="0.2">
      <c r="A117" s="21" t="s">
        <v>478</v>
      </c>
      <c r="B117" s="1" t="s">
        <v>64</v>
      </c>
      <c r="F117" s="1" t="s">
        <v>474</v>
      </c>
      <c r="H117" s="1" t="s">
        <v>467</v>
      </c>
      <c r="I117" s="1">
        <f>0.25+12.49+9.16+8.52</f>
        <v>30.419999999999998</v>
      </c>
      <c r="Q117" s="13">
        <f>(1.79*0.25+1.69*12.49+1.7*9.16+1.72*8.52)/I117</f>
        <v>1.7022353714661407</v>
      </c>
      <c r="R117" s="13">
        <f>(0.03*0.25+0.04*12.49+0.04*9.16+0.06*8.52)/I117</f>
        <v>4.5519395134779754E-2</v>
      </c>
      <c r="Y117" s="13">
        <f>(14.8*0.25+14.51*12.49+13.51*9.16+22*8.52)/I117</f>
        <v>16.309056541748848</v>
      </c>
      <c r="Z117" s="13">
        <f>(37.69*0.25+36.97*12.49+39.83*9.16+31.25*8.52)/I117</f>
        <v>36.235062458908615</v>
      </c>
      <c r="AD117" s="1">
        <f>5.17+9.57+32.72+9.01</f>
        <v>56.47</v>
      </c>
      <c r="AL117" s="13">
        <f>(1.76*5.17+1.64*9.57+1.76*32.72+1.78*9.01)/AD117</f>
        <v>1.742854613068886</v>
      </c>
      <c r="AM117" s="13">
        <f>(0.04*5.17+0.04*9.57+0.03*32.72+0.05*9.01)/AD117</f>
        <v>3.5801310430316986E-2</v>
      </c>
      <c r="AT117" s="13">
        <f>(14.44*5.17+14.55*9.57+14.98*32.72+21.14*9.01)/AD117</f>
        <v>15.84054010979281</v>
      </c>
      <c r="AU117" s="13">
        <f>(37.41*5.17+36.97*9.57+37.8*32.72+32.16*9.01)/AD117</f>
        <v>36.723750664069414</v>
      </c>
      <c r="AY117" s="1">
        <f>2.35+7.03+57.97+12.48</f>
        <v>79.83</v>
      </c>
      <c r="BG117" s="13">
        <f>(1.7*2.35+1.47*7.03+1.51*57.97+1.83*12.48)/AY117</f>
        <v>1.5620969560315672</v>
      </c>
      <c r="BH117" s="13">
        <f>(0.03*2.35+0.04*7.03+0.04*57.97+0.04*12.48)/AY117</f>
        <v>3.9705624451960422E-2</v>
      </c>
      <c r="BO117" s="13">
        <f>(14.47*2.35+14.14*7.03+14.96*57.97+17.48*12.48)/AY117</f>
        <v>15.267321808843795</v>
      </c>
      <c r="BP117" s="13">
        <f>(35.87*2.35+37.49*7.03+38.34*57.97+33.32*12.48)/AY117</f>
        <v>37.407648753601407</v>
      </c>
      <c r="BT117" s="1">
        <f>7.94+10.1</f>
        <v>18.04</v>
      </c>
      <c r="CB117" s="13">
        <f>(1.67*7.94+1.67*10.1)/BT117</f>
        <v>1.67</v>
      </c>
      <c r="CC117" s="13">
        <f>(0.04*7.94+0.04*10.1)/BT117</f>
        <v>0.04</v>
      </c>
      <c r="CJ117" s="13">
        <f>(13.53*7.94+13.57*10.1)/BT117</f>
        <v>13.55239467849224</v>
      </c>
      <c r="CK117" s="13">
        <f>(39.74*7.94+36.96*10.1)/BT117</f>
        <v>38.183569844789361</v>
      </c>
      <c r="CO117" s="1">
        <f>28.39+7.53</f>
        <v>35.92</v>
      </c>
      <c r="CW117" s="13">
        <f>(1.61*28.39+1.57*7.53)/CO117</f>
        <v>1.6016146993318485</v>
      </c>
      <c r="CX117" s="13">
        <f>(0.04*28.39+0.04*7.53)/CO117</f>
        <v>3.9999999999999994E-2</v>
      </c>
      <c r="DE117" s="13">
        <f>(15*28.39+14.51*7.53)/CO117</f>
        <v>14.897280066815146</v>
      </c>
      <c r="DF117" s="13">
        <f>(37.71*28.39+36.98*7.53)/CO117</f>
        <v>37.556968262806237</v>
      </c>
      <c r="DJ117" s="1" t="s">
        <v>96</v>
      </c>
      <c r="DK117" s="1" t="s">
        <v>96</v>
      </c>
      <c r="DL117" s="1">
        <f t="shared" si="292"/>
        <v>1.6488915547024949</v>
      </c>
      <c r="DM117" s="1">
        <f t="shared" si="293"/>
        <v>3.9443977927063341E-2</v>
      </c>
      <c r="DN117" s="1" t="s">
        <v>67</v>
      </c>
      <c r="DO117" s="1" t="s">
        <v>2</v>
      </c>
      <c r="DP117" s="38">
        <f t="shared" si="300"/>
        <v>0</v>
      </c>
      <c r="DQ117" s="38">
        <f t="shared" si="301"/>
        <v>0</v>
      </c>
      <c r="DR117" s="38">
        <f t="shared" si="302"/>
        <v>0</v>
      </c>
      <c r="DS117" s="38">
        <f t="shared" si="303"/>
        <v>0</v>
      </c>
      <c r="DT117" s="38">
        <f t="shared" si="304"/>
        <v>0</v>
      </c>
      <c r="DU117" s="38">
        <f t="shared" si="305"/>
        <v>0</v>
      </c>
      <c r="DV117" s="38">
        <f t="shared" si="306"/>
        <v>0</v>
      </c>
      <c r="DW117" s="38">
        <f t="shared" si="307"/>
        <v>2.7490319999999997</v>
      </c>
      <c r="DX117" s="38">
        <f t="shared" si="308"/>
        <v>6.5761E-2</v>
      </c>
      <c r="DY117" s="38">
        <f t="shared" si="309"/>
        <v>0</v>
      </c>
      <c r="DZ117" s="38">
        <f t="shared" si="310"/>
        <v>0</v>
      </c>
      <c r="EA117" s="38">
        <f t="shared" si="311"/>
        <v>0</v>
      </c>
      <c r="EB117" s="38">
        <f t="shared" si="312"/>
        <v>0</v>
      </c>
      <c r="EC117" s="38">
        <f t="shared" si="313"/>
        <v>0</v>
      </c>
      <c r="ED117" s="38">
        <f t="shared" si="314"/>
        <v>0</v>
      </c>
      <c r="EE117" s="38">
        <f t="shared" si="315"/>
        <v>26.094270999999999</v>
      </c>
      <c r="EG117" s="38">
        <f t="shared" si="316"/>
        <v>0</v>
      </c>
      <c r="EH117" s="38">
        <f t="shared" si="317"/>
        <v>0</v>
      </c>
      <c r="EI117" s="38">
        <f t="shared" si="318"/>
        <v>0</v>
      </c>
      <c r="EJ117" s="38">
        <f t="shared" si="319"/>
        <v>0</v>
      </c>
      <c r="EK117" s="38">
        <f t="shared" si="320"/>
        <v>0</v>
      </c>
      <c r="EL117" s="38">
        <f t="shared" si="321"/>
        <v>0</v>
      </c>
      <c r="EM117" s="38">
        <f t="shared" si="322"/>
        <v>0</v>
      </c>
      <c r="EN117" s="38">
        <f t="shared" si="323"/>
        <v>0</v>
      </c>
      <c r="EO117" s="38">
        <f t="shared" si="324"/>
        <v>0</v>
      </c>
      <c r="EP117" s="38">
        <f t="shared" si="325"/>
        <v>36050.805647999994</v>
      </c>
      <c r="EQ117" s="38">
        <f t="shared" si="326"/>
        <v>4775.5325177639997</v>
      </c>
      <c r="ER117" s="38">
        <f t="shared" si="327"/>
        <v>0</v>
      </c>
      <c r="ES117" s="38">
        <f t="shared" si="328"/>
        <v>0</v>
      </c>
      <c r="ET117" s="38">
        <f t="shared" si="329"/>
        <v>0</v>
      </c>
      <c r="EU117" s="38">
        <f t="shared" si="330"/>
        <v>0</v>
      </c>
      <c r="EV117" s="38">
        <f t="shared" si="331"/>
        <v>0</v>
      </c>
      <c r="EW117" s="38">
        <f t="shared" si="332"/>
        <v>0</v>
      </c>
      <c r="EX117" s="38">
        <f t="shared" si="333"/>
        <v>2426.7672029999999</v>
      </c>
      <c r="EZ117" s="38">
        <f t="shared" si="334"/>
        <v>0</v>
      </c>
      <c r="FA117" s="38">
        <f t="shared" si="335"/>
        <v>0</v>
      </c>
      <c r="FB117" s="1">
        <f t="shared" si="336"/>
        <v>0</v>
      </c>
      <c r="FC117" s="1">
        <f t="shared" si="337"/>
        <v>0</v>
      </c>
      <c r="FD117" s="1">
        <f t="shared" si="338"/>
        <v>0</v>
      </c>
      <c r="FE117" s="1">
        <f t="shared" si="339"/>
        <v>0</v>
      </c>
      <c r="FF117" s="1">
        <f t="shared" si="340"/>
        <v>0</v>
      </c>
      <c r="FG117" s="1">
        <f t="shared" si="341"/>
        <v>0</v>
      </c>
      <c r="FH117" s="1">
        <f t="shared" si="342"/>
        <v>0</v>
      </c>
      <c r="FI117" s="1">
        <f t="shared" si="343"/>
        <v>0.87656800000000001</v>
      </c>
      <c r="FJ117" s="1">
        <f t="shared" si="344"/>
        <v>2.1583999999999999E-2</v>
      </c>
      <c r="FK117" s="1">
        <f t="shared" si="345"/>
        <v>0</v>
      </c>
      <c r="FL117" s="1">
        <f t="shared" si="346"/>
        <v>0</v>
      </c>
      <c r="FM117" s="1">
        <f t="shared" si="347"/>
        <v>0</v>
      </c>
      <c r="FN117" s="1">
        <f t="shared" si="348"/>
        <v>0</v>
      </c>
      <c r="FO117" s="1">
        <f t="shared" si="349"/>
        <v>0</v>
      </c>
      <c r="FP117" s="1">
        <f t="shared" si="350"/>
        <v>0</v>
      </c>
      <c r="FQ117" s="1">
        <f t="shared" si="351"/>
        <v>7.7959550000000002</v>
      </c>
      <c r="FS117" s="1">
        <f t="shared" si="352"/>
        <v>0</v>
      </c>
      <c r="FT117" s="1">
        <f t="shared" si="353"/>
        <v>0</v>
      </c>
      <c r="FU117" s="38">
        <f t="shared" si="354"/>
        <v>0</v>
      </c>
      <c r="FV117" s="38">
        <f t="shared" si="355"/>
        <v>0</v>
      </c>
      <c r="FW117" s="38">
        <f t="shared" si="356"/>
        <v>0</v>
      </c>
      <c r="FX117" s="38">
        <f t="shared" si="357"/>
        <v>0</v>
      </c>
      <c r="FY117" s="38">
        <f t="shared" si="358"/>
        <v>0</v>
      </c>
      <c r="FZ117" s="38">
        <f t="shared" si="359"/>
        <v>0</v>
      </c>
      <c r="GA117" s="38">
        <f t="shared" si="360"/>
        <v>0</v>
      </c>
      <c r="GB117" s="38">
        <f t="shared" si="361"/>
        <v>11495.312752</v>
      </c>
      <c r="GC117" s="38">
        <f t="shared" si="362"/>
        <v>1567.4198060159997</v>
      </c>
      <c r="GD117" s="38">
        <f t="shared" si="363"/>
        <v>0</v>
      </c>
      <c r="GE117" s="38">
        <f t="shared" si="364"/>
        <v>0</v>
      </c>
      <c r="GF117" s="38">
        <f t="shared" si="365"/>
        <v>0</v>
      </c>
      <c r="GG117" s="38">
        <f t="shared" si="366"/>
        <v>0</v>
      </c>
      <c r="GH117" s="38">
        <f t="shared" si="367"/>
        <v>0</v>
      </c>
      <c r="GI117" s="38">
        <f t="shared" si="368"/>
        <v>0</v>
      </c>
      <c r="GJ117" s="38">
        <f t="shared" si="369"/>
        <v>725.02381500000001</v>
      </c>
      <c r="GL117" s="38">
        <f t="shared" si="370"/>
        <v>0</v>
      </c>
      <c r="GM117" s="38">
        <f t="shared" si="371"/>
        <v>0</v>
      </c>
      <c r="GN117" s="1" t="s">
        <v>2</v>
      </c>
      <c r="GO117" s="14">
        <f t="shared" si="294"/>
        <v>166.72</v>
      </c>
      <c r="GP117" s="13">
        <f t="shared" si="295"/>
        <v>1.6488915547024949</v>
      </c>
      <c r="GQ117" s="43">
        <f t="shared" si="296"/>
        <v>2749.0319999999997</v>
      </c>
      <c r="GR117" s="41">
        <f t="shared" si="297"/>
        <v>43253.105368763994</v>
      </c>
      <c r="GS117" s="14">
        <f t="shared" si="298"/>
        <v>259.43561281648272</v>
      </c>
      <c r="GT117" s="1">
        <f t="shared" si="372"/>
        <v>517.82000000000005</v>
      </c>
      <c r="GU117" s="1">
        <f t="shared" si="373"/>
        <v>984.19</v>
      </c>
      <c r="GV117" s="1">
        <f t="shared" si="374"/>
        <v>1247.0220000000002</v>
      </c>
      <c r="GW117" s="37">
        <f t="shared" si="299"/>
        <v>53.96</v>
      </c>
      <c r="GX117" s="44">
        <f>(BT117*CB117+CO117*CW117)/GW117</f>
        <v>1.6244773906597481</v>
      </c>
      <c r="GY117" s="41">
        <f>1000*GW117*GX117/100</f>
        <v>876.56799999999998</v>
      </c>
      <c r="GZ117" s="41">
        <f>SUM(FU117:GM117)</f>
        <v>13787.756373016</v>
      </c>
      <c r="HA117" s="14">
        <f>GZ117/GW117</f>
        <v>255.51809438502593</v>
      </c>
      <c r="HB117" s="1">
        <f t="shared" si="375"/>
        <v>301.26799999999997</v>
      </c>
      <c r="HC117" s="1">
        <f t="shared" si="376"/>
        <v>575.29999999999995</v>
      </c>
      <c r="HD117" s="37" t="s">
        <v>2</v>
      </c>
      <c r="HE117" s="1" t="s">
        <v>31</v>
      </c>
      <c r="HF117" s="1" t="s">
        <v>469</v>
      </c>
      <c r="HI117" s="1" t="s">
        <v>96</v>
      </c>
      <c r="HJ117" s="37" t="s">
        <v>2</v>
      </c>
      <c r="JH117" s="58" t="s">
        <v>2</v>
      </c>
    </row>
    <row r="118" spans="1:268" ht="16.25" customHeight="1" x14ac:dyDescent="0.2">
      <c r="A118" s="21" t="s">
        <v>484</v>
      </c>
      <c r="B118" s="1" t="s">
        <v>64</v>
      </c>
      <c r="F118" s="1" t="s">
        <v>474</v>
      </c>
      <c r="H118" s="1" t="s">
        <v>467</v>
      </c>
      <c r="I118" s="1">
        <v>8.99</v>
      </c>
      <c r="Q118" s="1">
        <v>1.93</v>
      </c>
      <c r="R118" s="1">
        <v>0.03</v>
      </c>
      <c r="Y118" s="1">
        <v>13.81</v>
      </c>
      <c r="Z118" s="1">
        <v>42.84</v>
      </c>
      <c r="AD118" s="1">
        <v>12.63</v>
      </c>
      <c r="AL118" s="1">
        <v>1.79</v>
      </c>
      <c r="AM118" s="1">
        <v>0.03</v>
      </c>
      <c r="AT118" s="1">
        <v>13.04</v>
      </c>
      <c r="AU118" s="1">
        <v>42.59</v>
      </c>
      <c r="AY118" s="1">
        <v>9.1300000000000008</v>
      </c>
      <c r="BG118" s="1">
        <v>1.73</v>
      </c>
      <c r="BH118" s="1">
        <v>0.03</v>
      </c>
      <c r="BO118" s="1">
        <v>12.38</v>
      </c>
      <c r="BP118" s="1">
        <v>42.76</v>
      </c>
      <c r="BT118" s="1">
        <v>7.67</v>
      </c>
      <c r="CB118" s="1">
        <v>1.89</v>
      </c>
      <c r="CC118" s="1">
        <v>0.03</v>
      </c>
      <c r="CJ118" s="1">
        <v>13.53</v>
      </c>
      <c r="CK118" s="1">
        <v>43.16</v>
      </c>
      <c r="CO118" s="1">
        <v>11.14</v>
      </c>
      <c r="CW118" s="1">
        <v>1.75</v>
      </c>
      <c r="CX118" s="1">
        <v>0.03</v>
      </c>
      <c r="DE118" s="1">
        <v>12.85</v>
      </c>
      <c r="DF118" s="1">
        <v>42.68</v>
      </c>
      <c r="DJ118" s="1" t="s">
        <v>96</v>
      </c>
      <c r="DK118" s="1" t="s">
        <v>96</v>
      </c>
      <c r="DL118" s="1">
        <f t="shared" si="292"/>
        <v>1.8131154471544715</v>
      </c>
      <c r="DM118" s="1">
        <f t="shared" si="293"/>
        <v>3.0000000000000002E-2</v>
      </c>
      <c r="DN118" s="1" t="s">
        <v>67</v>
      </c>
      <c r="DO118" s="1" t="s">
        <v>2</v>
      </c>
      <c r="DP118" s="38">
        <f t="shared" si="300"/>
        <v>0</v>
      </c>
      <c r="DQ118" s="38">
        <f t="shared" si="301"/>
        <v>0</v>
      </c>
      <c r="DR118" s="38">
        <f t="shared" si="302"/>
        <v>0</v>
      </c>
      <c r="DS118" s="38">
        <f t="shared" si="303"/>
        <v>0</v>
      </c>
      <c r="DT118" s="38">
        <f t="shared" si="304"/>
        <v>0</v>
      </c>
      <c r="DU118" s="38">
        <f t="shared" si="305"/>
        <v>0</v>
      </c>
      <c r="DV118" s="38">
        <f t="shared" si="306"/>
        <v>0</v>
      </c>
      <c r="DW118" s="38">
        <f t="shared" si="307"/>
        <v>0.55753299999999995</v>
      </c>
      <c r="DX118" s="38">
        <f t="shared" si="308"/>
        <v>9.2250000000000006E-3</v>
      </c>
      <c r="DY118" s="38">
        <f t="shared" si="309"/>
        <v>0</v>
      </c>
      <c r="DZ118" s="38">
        <f t="shared" si="310"/>
        <v>0</v>
      </c>
      <c r="EA118" s="38">
        <f t="shared" si="311"/>
        <v>0</v>
      </c>
      <c r="EB118" s="38">
        <f t="shared" si="312"/>
        <v>0</v>
      </c>
      <c r="EC118" s="38">
        <f t="shared" si="313"/>
        <v>0</v>
      </c>
      <c r="ED118" s="38">
        <f t="shared" si="314"/>
        <v>0</v>
      </c>
      <c r="EE118" s="38">
        <f t="shared" si="315"/>
        <v>4.0187650000000001</v>
      </c>
      <c r="EG118" s="38">
        <f t="shared" si="316"/>
        <v>0</v>
      </c>
      <c r="EH118" s="38">
        <f t="shared" si="317"/>
        <v>0</v>
      </c>
      <c r="EI118" s="38">
        <f t="shared" si="318"/>
        <v>0</v>
      </c>
      <c r="EJ118" s="38">
        <f t="shared" si="319"/>
        <v>0</v>
      </c>
      <c r="EK118" s="38">
        <f t="shared" si="320"/>
        <v>0</v>
      </c>
      <c r="EL118" s="38">
        <f t="shared" si="321"/>
        <v>0</v>
      </c>
      <c r="EM118" s="38">
        <f t="shared" si="322"/>
        <v>0</v>
      </c>
      <c r="EN118" s="38">
        <f t="shared" si="323"/>
        <v>0</v>
      </c>
      <c r="EO118" s="38">
        <f t="shared" si="324"/>
        <v>0</v>
      </c>
      <c r="EP118" s="38">
        <f t="shared" si="325"/>
        <v>7311.4877619999988</v>
      </c>
      <c r="EQ118" s="38">
        <f t="shared" si="326"/>
        <v>669.91510889999995</v>
      </c>
      <c r="ER118" s="38">
        <f t="shared" si="327"/>
        <v>0</v>
      </c>
      <c r="ES118" s="38">
        <f t="shared" si="328"/>
        <v>0</v>
      </c>
      <c r="ET118" s="38">
        <f t="shared" si="329"/>
        <v>0</v>
      </c>
      <c r="EU118" s="38">
        <f t="shared" si="330"/>
        <v>0</v>
      </c>
      <c r="EV118" s="38">
        <f t="shared" si="331"/>
        <v>0</v>
      </c>
      <c r="EW118" s="38">
        <f t="shared" si="332"/>
        <v>0</v>
      </c>
      <c r="EX118" s="38">
        <f t="shared" si="333"/>
        <v>373.74514500000004</v>
      </c>
      <c r="EZ118" s="38">
        <f t="shared" si="334"/>
        <v>0</v>
      </c>
      <c r="FA118" s="38">
        <f t="shared" si="335"/>
        <v>0</v>
      </c>
      <c r="FB118" s="1">
        <f t="shared" si="336"/>
        <v>0</v>
      </c>
      <c r="FC118" s="1">
        <f t="shared" si="337"/>
        <v>0</v>
      </c>
      <c r="FD118" s="1">
        <f t="shared" si="338"/>
        <v>0</v>
      </c>
      <c r="FE118" s="1">
        <f t="shared" si="339"/>
        <v>0</v>
      </c>
      <c r="FF118" s="1">
        <f t="shared" si="340"/>
        <v>0</v>
      </c>
      <c r="FG118" s="1">
        <f t="shared" si="341"/>
        <v>0</v>
      </c>
      <c r="FH118" s="1">
        <f t="shared" si="342"/>
        <v>0</v>
      </c>
      <c r="FI118" s="1">
        <f t="shared" si="343"/>
        <v>0.33991300000000002</v>
      </c>
      <c r="FJ118" s="1">
        <f t="shared" si="344"/>
        <v>5.6430000000000004E-3</v>
      </c>
      <c r="FK118" s="1">
        <f t="shared" si="345"/>
        <v>0</v>
      </c>
      <c r="FL118" s="1">
        <f t="shared" si="346"/>
        <v>0</v>
      </c>
      <c r="FM118" s="1">
        <f t="shared" si="347"/>
        <v>0</v>
      </c>
      <c r="FN118" s="1">
        <f t="shared" si="348"/>
        <v>0</v>
      </c>
      <c r="FO118" s="1">
        <f t="shared" si="349"/>
        <v>0</v>
      </c>
      <c r="FP118" s="1">
        <f t="shared" si="350"/>
        <v>0</v>
      </c>
      <c r="FQ118" s="1">
        <f t="shared" si="351"/>
        <v>2.4692410000000002</v>
      </c>
      <c r="FS118" s="1">
        <f t="shared" si="352"/>
        <v>0</v>
      </c>
      <c r="FT118" s="1">
        <f t="shared" si="353"/>
        <v>0</v>
      </c>
      <c r="FU118" s="38">
        <f t="shared" si="354"/>
        <v>0</v>
      </c>
      <c r="FV118" s="38">
        <f t="shared" si="355"/>
        <v>0</v>
      </c>
      <c r="FW118" s="38">
        <f t="shared" si="356"/>
        <v>0</v>
      </c>
      <c r="FX118" s="38">
        <f t="shared" si="357"/>
        <v>0</v>
      </c>
      <c r="FY118" s="38">
        <f t="shared" si="358"/>
        <v>0</v>
      </c>
      <c r="FZ118" s="38">
        <f t="shared" si="359"/>
        <v>0</v>
      </c>
      <c r="GA118" s="38">
        <f t="shared" si="360"/>
        <v>0</v>
      </c>
      <c r="GB118" s="38">
        <f t="shared" si="361"/>
        <v>4457.6190820000002</v>
      </c>
      <c r="GC118" s="38">
        <f t="shared" si="362"/>
        <v>409.79197393199996</v>
      </c>
      <c r="GD118" s="38">
        <f t="shared" si="363"/>
        <v>0</v>
      </c>
      <c r="GE118" s="38">
        <f t="shared" si="364"/>
        <v>0</v>
      </c>
      <c r="GF118" s="38">
        <f t="shared" si="365"/>
        <v>0</v>
      </c>
      <c r="GG118" s="38">
        <f t="shared" si="366"/>
        <v>0</v>
      </c>
      <c r="GH118" s="38">
        <f t="shared" si="367"/>
        <v>0</v>
      </c>
      <c r="GI118" s="38">
        <f t="shared" si="368"/>
        <v>0</v>
      </c>
      <c r="GJ118" s="38">
        <f t="shared" si="369"/>
        <v>229.63941300000002</v>
      </c>
      <c r="GL118" s="38">
        <f t="shared" si="370"/>
        <v>0</v>
      </c>
      <c r="GM118" s="38">
        <f t="shared" si="371"/>
        <v>0</v>
      </c>
      <c r="GN118" s="1" t="s">
        <v>2</v>
      </c>
      <c r="GO118" s="1">
        <f t="shared" si="294"/>
        <v>30.75</v>
      </c>
      <c r="GP118" s="13">
        <f t="shared" si="295"/>
        <v>1.8131154471544715</v>
      </c>
      <c r="GQ118" s="41">
        <f t="shared" si="296"/>
        <v>557.5329999999999</v>
      </c>
      <c r="GR118" s="41">
        <f t="shared" si="297"/>
        <v>8355.1480158999984</v>
      </c>
      <c r="GS118" s="14">
        <f t="shared" si="298"/>
        <v>271.71213059837396</v>
      </c>
      <c r="GT118" s="1">
        <f t="shared" si="372"/>
        <v>173.50700000000001</v>
      </c>
      <c r="GU118" s="1">
        <f t="shared" si="373"/>
        <v>226.077</v>
      </c>
      <c r="GV118" s="1">
        <f t="shared" si="374"/>
        <v>157.94900000000001</v>
      </c>
      <c r="GW118" s="37">
        <f t="shared" si="299"/>
        <v>18.810000000000002</v>
      </c>
      <c r="GX118" s="44">
        <f>(BT118*CB118+CO118*CW118)/GW118</f>
        <v>1.8070866560340244</v>
      </c>
      <c r="GY118" s="41">
        <f>1000*GW118*GX118/100</f>
        <v>339.91300000000001</v>
      </c>
      <c r="GZ118" s="41">
        <f>SUM(FU118:GM118)</f>
        <v>5097.0504689319996</v>
      </c>
      <c r="HA118" s="14">
        <f>GZ118/GW118</f>
        <v>270.97556985284416</v>
      </c>
      <c r="HB118" s="1">
        <f t="shared" si="375"/>
        <v>144.96299999999999</v>
      </c>
      <c r="HC118" s="1">
        <f t="shared" si="376"/>
        <v>194.95</v>
      </c>
      <c r="HD118" s="37" t="s">
        <v>2</v>
      </c>
      <c r="HE118" s="1" t="s">
        <v>31</v>
      </c>
      <c r="HF118" s="1" t="s">
        <v>469</v>
      </c>
      <c r="HI118" s="1" t="s">
        <v>96</v>
      </c>
      <c r="HJ118" s="37" t="s">
        <v>2</v>
      </c>
      <c r="JH118" s="58" t="s">
        <v>2</v>
      </c>
    </row>
    <row r="119" spans="1:268" ht="16.25" customHeight="1" x14ac:dyDescent="0.2">
      <c r="A119" s="21" t="s">
        <v>486</v>
      </c>
      <c r="B119" s="1" t="s">
        <v>69</v>
      </c>
      <c r="F119" s="1" t="s">
        <v>474</v>
      </c>
      <c r="H119" s="1" t="s">
        <v>467</v>
      </c>
      <c r="I119" s="1">
        <v>8.68</v>
      </c>
      <c r="Q119" s="1">
        <v>2.06</v>
      </c>
      <c r="R119" s="1">
        <v>0.05</v>
      </c>
      <c r="Y119" s="1">
        <v>16.25</v>
      </c>
      <c r="Z119" s="1">
        <v>36.46</v>
      </c>
      <c r="AD119" s="1">
        <v>31.42</v>
      </c>
      <c r="AL119" s="1">
        <v>1.97</v>
      </c>
      <c r="AM119" s="1">
        <v>0.04</v>
      </c>
      <c r="AT119" s="1">
        <v>15.34</v>
      </c>
      <c r="AU119" s="1">
        <v>38.83</v>
      </c>
      <c r="AY119" s="1">
        <v>76.760000000000005</v>
      </c>
      <c r="BG119" s="1">
        <v>1.88</v>
      </c>
      <c r="BH119" s="1">
        <v>0.04</v>
      </c>
      <c r="BO119" s="1">
        <v>16.260000000000002</v>
      </c>
      <c r="BP119" s="1">
        <v>37.6</v>
      </c>
      <c r="BT119" s="1">
        <v>6.48</v>
      </c>
      <c r="CB119" s="1">
        <v>1.96</v>
      </c>
      <c r="CC119" s="1">
        <v>0.05</v>
      </c>
      <c r="CJ119" s="1">
        <v>16.2</v>
      </c>
      <c r="CK119" s="1">
        <v>36.32</v>
      </c>
      <c r="CO119" s="1">
        <v>22.39</v>
      </c>
      <c r="CW119" s="1">
        <v>1.87</v>
      </c>
      <c r="CX119" s="1">
        <v>0.04</v>
      </c>
      <c r="DE119" s="1">
        <v>15.4</v>
      </c>
      <c r="DF119" s="1">
        <v>38.9</v>
      </c>
      <c r="DJ119" s="1" t="s">
        <v>96</v>
      </c>
      <c r="DK119" s="1" t="s">
        <v>96</v>
      </c>
      <c r="DL119" s="1">
        <f t="shared" si="292"/>
        <v>1.9175680301215126</v>
      </c>
      <c r="DM119" s="1">
        <f t="shared" si="293"/>
        <v>4.0742769125449253E-2</v>
      </c>
      <c r="DN119" s="1" t="s">
        <v>67</v>
      </c>
      <c r="DO119" s="1" t="s">
        <v>2</v>
      </c>
      <c r="DP119" s="38">
        <f t="shared" si="300"/>
        <v>0</v>
      </c>
      <c r="DQ119" s="38">
        <f t="shared" si="301"/>
        <v>0</v>
      </c>
      <c r="DR119" s="38">
        <f t="shared" si="302"/>
        <v>0</v>
      </c>
      <c r="DS119" s="38">
        <f t="shared" si="303"/>
        <v>0</v>
      </c>
      <c r="DT119" s="38">
        <f t="shared" si="304"/>
        <v>0</v>
      </c>
      <c r="DU119" s="38">
        <f t="shared" si="305"/>
        <v>0</v>
      </c>
      <c r="DV119" s="38">
        <f t="shared" si="306"/>
        <v>0</v>
      </c>
      <c r="DW119" s="38">
        <f t="shared" si="307"/>
        <v>2.2408699999999997</v>
      </c>
      <c r="DX119" s="38">
        <f t="shared" si="308"/>
        <v>4.7612000000000008E-2</v>
      </c>
      <c r="DY119" s="38">
        <f t="shared" si="309"/>
        <v>0</v>
      </c>
      <c r="DZ119" s="38">
        <f t="shared" si="310"/>
        <v>0</v>
      </c>
      <c r="EA119" s="38">
        <f t="shared" si="311"/>
        <v>0</v>
      </c>
      <c r="EB119" s="38">
        <f t="shared" si="312"/>
        <v>0</v>
      </c>
      <c r="EC119" s="38">
        <f t="shared" si="313"/>
        <v>0</v>
      </c>
      <c r="ED119" s="38">
        <f t="shared" si="314"/>
        <v>0</v>
      </c>
      <c r="EE119" s="38">
        <f t="shared" si="315"/>
        <v>18.711504000000001</v>
      </c>
      <c r="EG119" s="38">
        <f t="shared" si="316"/>
        <v>0</v>
      </c>
      <c r="EH119" s="38">
        <f t="shared" si="317"/>
        <v>0</v>
      </c>
      <c r="EI119" s="38">
        <f t="shared" si="318"/>
        <v>0</v>
      </c>
      <c r="EJ119" s="38">
        <f t="shared" si="319"/>
        <v>0</v>
      </c>
      <c r="EK119" s="38">
        <f t="shared" si="320"/>
        <v>0</v>
      </c>
      <c r="EL119" s="38">
        <f t="shared" si="321"/>
        <v>0</v>
      </c>
      <c r="EM119" s="38">
        <f t="shared" si="322"/>
        <v>0</v>
      </c>
      <c r="EN119" s="38">
        <f t="shared" si="323"/>
        <v>0</v>
      </c>
      <c r="EO119" s="38">
        <f t="shared" si="324"/>
        <v>0</v>
      </c>
      <c r="EP119" s="38">
        <f t="shared" si="325"/>
        <v>29386.769179999996</v>
      </c>
      <c r="EQ119" s="38">
        <f t="shared" si="326"/>
        <v>3457.5607766880003</v>
      </c>
      <c r="ER119" s="38">
        <f t="shared" si="327"/>
        <v>0</v>
      </c>
      <c r="ES119" s="38">
        <f t="shared" si="328"/>
        <v>0</v>
      </c>
      <c r="ET119" s="38">
        <f t="shared" si="329"/>
        <v>0</v>
      </c>
      <c r="EU119" s="38">
        <f t="shared" si="330"/>
        <v>0</v>
      </c>
      <c r="EV119" s="38">
        <f t="shared" si="331"/>
        <v>0</v>
      </c>
      <c r="EW119" s="38">
        <f t="shared" si="332"/>
        <v>0</v>
      </c>
      <c r="EX119" s="38">
        <f t="shared" si="333"/>
        <v>1740.1698720000002</v>
      </c>
      <c r="EZ119" s="38">
        <f t="shared" si="334"/>
        <v>0</v>
      </c>
      <c r="FA119" s="38">
        <f t="shared" si="335"/>
        <v>0</v>
      </c>
      <c r="FB119" s="1">
        <f t="shared" si="336"/>
        <v>0</v>
      </c>
      <c r="FC119" s="1">
        <f t="shared" si="337"/>
        <v>0</v>
      </c>
      <c r="FD119" s="1">
        <f t="shared" si="338"/>
        <v>0</v>
      </c>
      <c r="FE119" s="1">
        <f t="shared" si="339"/>
        <v>0</v>
      </c>
      <c r="FF119" s="1">
        <f t="shared" si="340"/>
        <v>0</v>
      </c>
      <c r="FG119" s="1">
        <f t="shared" si="341"/>
        <v>0</v>
      </c>
      <c r="FH119" s="1">
        <f t="shared" si="342"/>
        <v>0</v>
      </c>
      <c r="FI119" s="1">
        <f t="shared" si="343"/>
        <v>0.54570099999999999</v>
      </c>
      <c r="FJ119" s="1">
        <f t="shared" si="344"/>
        <v>1.2196000000000002E-2</v>
      </c>
      <c r="FK119" s="1">
        <f t="shared" si="345"/>
        <v>0</v>
      </c>
      <c r="FL119" s="1">
        <f t="shared" si="346"/>
        <v>0</v>
      </c>
      <c r="FM119" s="1">
        <f t="shared" si="347"/>
        <v>0</v>
      </c>
      <c r="FN119" s="1">
        <f t="shared" si="348"/>
        <v>0</v>
      </c>
      <c r="FO119" s="1">
        <f t="shared" si="349"/>
        <v>0</v>
      </c>
      <c r="FP119" s="1">
        <f t="shared" si="350"/>
        <v>0</v>
      </c>
      <c r="FQ119" s="1">
        <f t="shared" si="351"/>
        <v>4.4978200000000008</v>
      </c>
      <c r="FS119" s="1">
        <f t="shared" si="352"/>
        <v>0</v>
      </c>
      <c r="FT119" s="1">
        <f t="shared" si="353"/>
        <v>0</v>
      </c>
      <c r="FU119" s="38">
        <f t="shared" si="354"/>
        <v>0</v>
      </c>
      <c r="FV119" s="38">
        <f t="shared" si="355"/>
        <v>0</v>
      </c>
      <c r="FW119" s="38">
        <f t="shared" si="356"/>
        <v>0</v>
      </c>
      <c r="FX119" s="38">
        <f t="shared" si="357"/>
        <v>0</v>
      </c>
      <c r="FY119" s="38">
        <f t="shared" si="358"/>
        <v>0</v>
      </c>
      <c r="FZ119" s="38">
        <f t="shared" si="359"/>
        <v>0</v>
      </c>
      <c r="GA119" s="38">
        <f t="shared" si="360"/>
        <v>0</v>
      </c>
      <c r="GB119" s="38">
        <f t="shared" si="361"/>
        <v>7156.3229140000003</v>
      </c>
      <c r="GC119" s="38">
        <f t="shared" si="362"/>
        <v>885.66771470399999</v>
      </c>
      <c r="GD119" s="38">
        <f t="shared" si="363"/>
        <v>0</v>
      </c>
      <c r="GE119" s="38">
        <f t="shared" si="364"/>
        <v>0</v>
      </c>
      <c r="GF119" s="38">
        <f t="shared" si="365"/>
        <v>0</v>
      </c>
      <c r="GG119" s="38">
        <f t="shared" si="366"/>
        <v>0</v>
      </c>
      <c r="GH119" s="38">
        <f t="shared" si="367"/>
        <v>0</v>
      </c>
      <c r="GI119" s="38">
        <f t="shared" si="368"/>
        <v>0</v>
      </c>
      <c r="GJ119" s="38">
        <f t="shared" si="369"/>
        <v>418.29726000000005</v>
      </c>
      <c r="GL119" s="38">
        <f t="shared" si="370"/>
        <v>0</v>
      </c>
      <c r="GM119" s="38">
        <f t="shared" si="371"/>
        <v>0</v>
      </c>
      <c r="GN119" s="1" t="s">
        <v>2</v>
      </c>
      <c r="GO119" s="14">
        <f t="shared" si="294"/>
        <v>116.86000000000001</v>
      </c>
      <c r="GP119" s="13">
        <f t="shared" si="295"/>
        <v>1.9175680301215126</v>
      </c>
      <c r="GQ119" s="43">
        <f t="shared" si="296"/>
        <v>2240.87</v>
      </c>
      <c r="GR119" s="41">
        <f t="shared" si="297"/>
        <v>34584.499828687993</v>
      </c>
      <c r="GS119" s="14">
        <f t="shared" si="298"/>
        <v>295.94814161122702</v>
      </c>
      <c r="GT119" s="1">
        <f t="shared" si="372"/>
        <v>178.80799999999999</v>
      </c>
      <c r="GU119" s="1">
        <f t="shared" si="373"/>
        <v>618.97400000000005</v>
      </c>
      <c r="GV119" s="1">
        <f t="shared" si="374"/>
        <v>1443.088</v>
      </c>
      <c r="GW119" s="37">
        <f t="shared" si="299"/>
        <v>28.87</v>
      </c>
      <c r="GX119" s="44">
        <f>(BT119*CB119+CO119*CW119)/GW119</f>
        <v>1.8902009005888467</v>
      </c>
      <c r="GY119" s="41">
        <f>1000*GW119*GX119/100</f>
        <v>545.70100000000002</v>
      </c>
      <c r="GZ119" s="41">
        <f>SUM(FU119:GM119)</f>
        <v>8460.2878887040006</v>
      </c>
      <c r="HA119" s="14">
        <f>GZ119/GW119</f>
        <v>293.04772735379288</v>
      </c>
      <c r="HB119" s="1">
        <f t="shared" si="375"/>
        <v>127.00800000000001</v>
      </c>
      <c r="HC119" s="1">
        <f t="shared" si="376"/>
        <v>418.69300000000004</v>
      </c>
      <c r="HD119" s="37" t="s">
        <v>2</v>
      </c>
      <c r="HE119" s="1" t="s">
        <v>31</v>
      </c>
      <c r="HF119" s="1" t="s">
        <v>469</v>
      </c>
      <c r="HI119" s="1" t="s">
        <v>96</v>
      </c>
      <c r="HJ119" s="37" t="s">
        <v>2</v>
      </c>
      <c r="JH119" s="58" t="s">
        <v>2</v>
      </c>
    </row>
    <row r="120" spans="1:268" ht="16.25" customHeight="1" x14ac:dyDescent="0.2">
      <c r="A120" s="21" t="s">
        <v>563</v>
      </c>
      <c r="B120" s="1" t="s">
        <v>69</v>
      </c>
      <c r="E120" s="1" t="s">
        <v>72</v>
      </c>
      <c r="F120" s="1" t="s">
        <v>554</v>
      </c>
      <c r="H120" s="1" t="s">
        <v>187</v>
      </c>
      <c r="I120" s="1">
        <v>0</v>
      </c>
      <c r="AD120" s="2">
        <v>4.5858509999999999</v>
      </c>
      <c r="AL120" s="1">
        <v>1.05</v>
      </c>
      <c r="AM120" s="1">
        <v>0.04</v>
      </c>
      <c r="AT120" s="1">
        <v>18.329999999999998</v>
      </c>
      <c r="AY120" s="2">
        <f>1.033062+0.07425+0.124875</f>
        <v>1.2321869999999999</v>
      </c>
      <c r="BG120" s="13">
        <f>(1.1*1.033062+1.12*0.07425+1.01*0.124875)/AY120</f>
        <v>1.092084196635738</v>
      </c>
      <c r="BO120" s="13">
        <f>(24.99*1.033062+20.25*0.07425+18.88*0.124875)/AY120</f>
        <v>24.085160677721806</v>
      </c>
      <c r="BT120" s="1">
        <v>0</v>
      </c>
      <c r="CO120" s="1">
        <v>0</v>
      </c>
      <c r="DJ120" s="1" t="s">
        <v>96</v>
      </c>
      <c r="DK120" s="1" t="s">
        <v>96</v>
      </c>
      <c r="DL120" s="1">
        <f t="shared" si="292"/>
        <v>1.0589129015657857</v>
      </c>
      <c r="DM120" s="1">
        <f t="shared" si="293"/>
        <v>3.1528504970232234E-2</v>
      </c>
      <c r="DN120" s="1" t="s">
        <v>194</v>
      </c>
      <c r="DO120" s="1" t="s">
        <v>2</v>
      </c>
      <c r="DP120" s="38">
        <f t="shared" si="300"/>
        <v>0</v>
      </c>
      <c r="DQ120" s="38">
        <f t="shared" si="301"/>
        <v>0</v>
      </c>
      <c r="DR120" s="38">
        <f t="shared" si="302"/>
        <v>0</v>
      </c>
      <c r="DS120" s="38">
        <f t="shared" si="303"/>
        <v>0</v>
      </c>
      <c r="DT120" s="38">
        <f t="shared" si="304"/>
        <v>0</v>
      </c>
      <c r="DU120" s="38">
        <f t="shared" si="305"/>
        <v>0</v>
      </c>
      <c r="DV120" s="38">
        <f t="shared" si="306"/>
        <v>0</v>
      </c>
      <c r="DW120" s="38">
        <f t="shared" si="307"/>
        <v>6.1607954999999999E-2</v>
      </c>
      <c r="DX120" s="38">
        <f t="shared" si="308"/>
        <v>1.8343404E-3</v>
      </c>
      <c r="DY120" s="38">
        <f t="shared" si="309"/>
        <v>0</v>
      </c>
      <c r="DZ120" s="38">
        <f t="shared" si="310"/>
        <v>0</v>
      </c>
      <c r="EA120" s="38">
        <f t="shared" si="311"/>
        <v>0</v>
      </c>
      <c r="EB120" s="38">
        <f t="shared" si="312"/>
        <v>0</v>
      </c>
      <c r="EC120" s="38">
        <f t="shared" si="313"/>
        <v>0</v>
      </c>
      <c r="ED120" s="38">
        <f t="shared" si="314"/>
        <v>0</v>
      </c>
      <c r="EE120" s="38">
        <f t="shared" si="315"/>
        <v>1.1373607071</v>
      </c>
      <c r="EG120" s="38">
        <f t="shared" si="316"/>
        <v>0</v>
      </c>
      <c r="EH120" s="38">
        <f t="shared" si="317"/>
        <v>0</v>
      </c>
      <c r="EI120" s="38">
        <f t="shared" si="318"/>
        <v>0</v>
      </c>
      <c r="EJ120" s="38">
        <f t="shared" si="319"/>
        <v>0</v>
      </c>
      <c r="EK120" s="38">
        <f t="shared" si="320"/>
        <v>0</v>
      </c>
      <c r="EL120" s="38">
        <f t="shared" si="321"/>
        <v>0</v>
      </c>
      <c r="EM120" s="38">
        <f t="shared" si="322"/>
        <v>0</v>
      </c>
      <c r="EN120" s="38">
        <f t="shared" si="323"/>
        <v>0</v>
      </c>
      <c r="EO120" s="38">
        <f t="shared" si="324"/>
        <v>0</v>
      </c>
      <c r="EP120" s="38">
        <f t="shared" si="325"/>
        <v>807.92672186999994</v>
      </c>
      <c r="EQ120" s="38">
        <f t="shared" si="326"/>
        <v>133.20892670196957</v>
      </c>
      <c r="ER120" s="38">
        <f t="shared" si="327"/>
        <v>0</v>
      </c>
      <c r="ES120" s="38">
        <f t="shared" si="328"/>
        <v>0</v>
      </c>
      <c r="ET120" s="38">
        <f t="shared" si="329"/>
        <v>0</v>
      </c>
      <c r="EU120" s="38">
        <f t="shared" si="330"/>
        <v>0</v>
      </c>
      <c r="EV120" s="38">
        <f t="shared" si="331"/>
        <v>0</v>
      </c>
      <c r="EW120" s="38">
        <f t="shared" si="332"/>
        <v>0</v>
      </c>
      <c r="EX120" s="38">
        <f t="shared" si="333"/>
        <v>105.7745457603</v>
      </c>
      <c r="EZ120" s="38">
        <f t="shared" si="334"/>
        <v>0</v>
      </c>
      <c r="FA120" s="38">
        <f t="shared" si="335"/>
        <v>0</v>
      </c>
      <c r="FB120" s="1">
        <f t="shared" si="336"/>
        <v>0</v>
      </c>
      <c r="FC120" s="1">
        <f t="shared" si="337"/>
        <v>0</v>
      </c>
      <c r="FD120" s="1">
        <f t="shared" si="338"/>
        <v>0</v>
      </c>
      <c r="FE120" s="1">
        <f t="shared" si="339"/>
        <v>0</v>
      </c>
      <c r="FF120" s="1">
        <f t="shared" si="340"/>
        <v>0</v>
      </c>
      <c r="FG120" s="1">
        <f t="shared" si="341"/>
        <v>0</v>
      </c>
      <c r="FH120" s="1">
        <f t="shared" si="342"/>
        <v>0</v>
      </c>
      <c r="FI120" s="1">
        <f t="shared" si="343"/>
        <v>0</v>
      </c>
      <c r="FJ120" s="1">
        <f t="shared" si="344"/>
        <v>0</v>
      </c>
      <c r="FK120" s="1">
        <f t="shared" si="345"/>
        <v>0</v>
      </c>
      <c r="FL120" s="1">
        <f t="shared" si="346"/>
        <v>0</v>
      </c>
      <c r="FM120" s="1">
        <f t="shared" si="347"/>
        <v>0</v>
      </c>
      <c r="FN120" s="1">
        <f t="shared" si="348"/>
        <v>0</v>
      </c>
      <c r="FO120" s="1">
        <f t="shared" si="349"/>
        <v>0</v>
      </c>
      <c r="FP120" s="1">
        <f t="shared" si="350"/>
        <v>0</v>
      </c>
      <c r="FQ120" s="1">
        <f t="shared" si="351"/>
        <v>0</v>
      </c>
      <c r="FS120" s="1">
        <f t="shared" si="352"/>
        <v>0</v>
      </c>
      <c r="FT120" s="1">
        <f t="shared" si="353"/>
        <v>0</v>
      </c>
      <c r="FU120" s="38">
        <f t="shared" si="354"/>
        <v>0</v>
      </c>
      <c r="FV120" s="38">
        <f t="shared" si="355"/>
        <v>0</v>
      </c>
      <c r="FW120" s="38">
        <f t="shared" si="356"/>
        <v>0</v>
      </c>
      <c r="FX120" s="38">
        <f t="shared" si="357"/>
        <v>0</v>
      </c>
      <c r="FY120" s="38">
        <f t="shared" si="358"/>
        <v>0</v>
      </c>
      <c r="FZ120" s="38">
        <f t="shared" si="359"/>
        <v>0</v>
      </c>
      <c r="GA120" s="38">
        <f t="shared" si="360"/>
        <v>0</v>
      </c>
      <c r="GB120" s="38">
        <f t="shared" si="361"/>
        <v>0</v>
      </c>
      <c r="GC120" s="38">
        <f t="shared" si="362"/>
        <v>0</v>
      </c>
      <c r="GD120" s="38">
        <f t="shared" si="363"/>
        <v>0</v>
      </c>
      <c r="GE120" s="38">
        <f t="shared" si="364"/>
        <v>0</v>
      </c>
      <c r="GF120" s="38">
        <f t="shared" si="365"/>
        <v>0</v>
      </c>
      <c r="GG120" s="38">
        <f t="shared" si="366"/>
        <v>0</v>
      </c>
      <c r="GH120" s="38">
        <f t="shared" si="367"/>
        <v>0</v>
      </c>
      <c r="GI120" s="38">
        <f t="shared" si="368"/>
        <v>0</v>
      </c>
      <c r="GJ120" s="38">
        <f t="shared" si="369"/>
        <v>0</v>
      </c>
      <c r="GL120" s="38">
        <f t="shared" si="370"/>
        <v>0</v>
      </c>
      <c r="GM120" s="38">
        <f t="shared" si="371"/>
        <v>0</v>
      </c>
      <c r="GN120" s="1" t="s">
        <v>2</v>
      </c>
      <c r="GO120" s="2">
        <f t="shared" si="294"/>
        <v>5.8180379999999996</v>
      </c>
      <c r="GP120" s="13">
        <f t="shared" si="295"/>
        <v>1.0589129015657857</v>
      </c>
      <c r="GQ120" s="41">
        <f t="shared" si="296"/>
        <v>61.607955000000004</v>
      </c>
      <c r="GR120" s="41">
        <f t="shared" si="297"/>
        <v>1046.9101943322696</v>
      </c>
      <c r="GS120" s="14">
        <f t="shared" si="298"/>
        <v>179.94213759557255</v>
      </c>
      <c r="GT120" s="1">
        <f t="shared" si="372"/>
        <v>0</v>
      </c>
      <c r="GU120" s="1">
        <f t="shared" si="373"/>
        <v>48.151435499999998</v>
      </c>
      <c r="GV120" s="1">
        <f t="shared" si="374"/>
        <v>13.456519499999999</v>
      </c>
      <c r="GW120" s="37">
        <f t="shared" si="299"/>
        <v>0</v>
      </c>
      <c r="GX120" s="37"/>
      <c r="GY120" s="37"/>
      <c r="GZ120" s="37"/>
      <c r="HB120" s="1">
        <f t="shared" si="375"/>
        <v>0</v>
      </c>
      <c r="HC120" s="1">
        <f t="shared" si="376"/>
        <v>0</v>
      </c>
      <c r="HD120" s="37" t="s">
        <v>2</v>
      </c>
      <c r="HE120" s="1" t="s">
        <v>31</v>
      </c>
      <c r="HF120" s="1" t="s">
        <v>469</v>
      </c>
      <c r="HI120" s="1" t="s">
        <v>96</v>
      </c>
      <c r="HJ120" s="37" t="s">
        <v>2</v>
      </c>
      <c r="JH120" s="58" t="s">
        <v>2</v>
      </c>
    </row>
    <row r="121" spans="1:268" ht="16.25" customHeight="1" x14ac:dyDescent="0.2">
      <c r="A121" s="21" t="s">
        <v>564</v>
      </c>
      <c r="B121" s="1" t="s">
        <v>69</v>
      </c>
      <c r="E121" s="1" t="s">
        <v>72</v>
      </c>
      <c r="F121" s="1" t="s">
        <v>554</v>
      </c>
      <c r="H121" s="1" t="s">
        <v>187</v>
      </c>
      <c r="I121" s="2">
        <v>0.42720000000000002</v>
      </c>
      <c r="Q121" s="1">
        <v>1.1100000000000001</v>
      </c>
      <c r="R121" s="1">
        <v>0.05</v>
      </c>
      <c r="Y121" s="13">
        <v>23</v>
      </c>
      <c r="AD121" s="2">
        <v>0.63239999999999996</v>
      </c>
      <c r="AL121" s="13">
        <v>1</v>
      </c>
      <c r="AM121" s="1">
        <v>0.04</v>
      </c>
      <c r="AT121" s="1">
        <v>22.11</v>
      </c>
      <c r="AY121" s="1">
        <v>0</v>
      </c>
      <c r="BT121" s="1">
        <v>0</v>
      </c>
      <c r="CO121" s="1">
        <v>0</v>
      </c>
      <c r="DJ121" s="1" t="s">
        <v>96</v>
      </c>
      <c r="DK121" s="1" t="s">
        <v>96</v>
      </c>
      <c r="DL121" s="1">
        <f t="shared" si="292"/>
        <v>1.0443488108720271</v>
      </c>
      <c r="DM121" s="1">
        <f t="shared" si="293"/>
        <v>4.4031710079275199E-2</v>
      </c>
      <c r="DN121" s="1" t="s">
        <v>194</v>
      </c>
      <c r="DO121" s="1" t="s">
        <v>2</v>
      </c>
      <c r="DP121" s="38">
        <f t="shared" si="300"/>
        <v>0</v>
      </c>
      <c r="DQ121" s="38">
        <f t="shared" si="301"/>
        <v>0</v>
      </c>
      <c r="DR121" s="38">
        <f t="shared" si="302"/>
        <v>0</v>
      </c>
      <c r="DS121" s="38">
        <f t="shared" si="303"/>
        <v>0</v>
      </c>
      <c r="DT121" s="38">
        <f t="shared" si="304"/>
        <v>0</v>
      </c>
      <c r="DU121" s="38">
        <f t="shared" si="305"/>
        <v>0</v>
      </c>
      <c r="DV121" s="38">
        <f t="shared" si="306"/>
        <v>0</v>
      </c>
      <c r="DW121" s="38">
        <f t="shared" si="307"/>
        <v>1.106592E-2</v>
      </c>
      <c r="DX121" s="38">
        <f t="shared" si="308"/>
        <v>4.6656000000000003E-4</v>
      </c>
      <c r="DY121" s="38">
        <f t="shared" si="309"/>
        <v>0</v>
      </c>
      <c r="DZ121" s="38">
        <f t="shared" si="310"/>
        <v>0</v>
      </c>
      <c r="EA121" s="38">
        <f t="shared" si="311"/>
        <v>0</v>
      </c>
      <c r="EB121" s="38">
        <f t="shared" si="312"/>
        <v>0</v>
      </c>
      <c r="EC121" s="38">
        <f t="shared" si="313"/>
        <v>0</v>
      </c>
      <c r="ED121" s="38">
        <f t="shared" si="314"/>
        <v>0</v>
      </c>
      <c r="EE121" s="38">
        <f t="shared" si="315"/>
        <v>0.23807963999999998</v>
      </c>
      <c r="EG121" s="38">
        <f t="shared" si="316"/>
        <v>0</v>
      </c>
      <c r="EH121" s="38">
        <f t="shared" si="317"/>
        <v>0</v>
      </c>
      <c r="EI121" s="38">
        <f t="shared" si="318"/>
        <v>0</v>
      </c>
      <c r="EJ121" s="38">
        <f t="shared" si="319"/>
        <v>0</v>
      </c>
      <c r="EK121" s="38">
        <f t="shared" si="320"/>
        <v>0</v>
      </c>
      <c r="EL121" s="38">
        <f t="shared" si="321"/>
        <v>0</v>
      </c>
      <c r="EM121" s="38">
        <f t="shared" si="322"/>
        <v>0</v>
      </c>
      <c r="EN121" s="38">
        <f t="shared" si="323"/>
        <v>0</v>
      </c>
      <c r="EO121" s="38">
        <f t="shared" si="324"/>
        <v>0</v>
      </c>
      <c r="EP121" s="38">
        <f t="shared" si="325"/>
        <v>145.11847488000001</v>
      </c>
      <c r="EQ121" s="38">
        <f t="shared" si="326"/>
        <v>33.881365117439998</v>
      </c>
      <c r="ER121" s="38">
        <f t="shared" si="327"/>
        <v>0</v>
      </c>
      <c r="ES121" s="38">
        <f t="shared" si="328"/>
        <v>0</v>
      </c>
      <c r="ET121" s="38">
        <f t="shared" si="329"/>
        <v>0</v>
      </c>
      <c r="EU121" s="38">
        <f t="shared" si="330"/>
        <v>0</v>
      </c>
      <c r="EV121" s="38">
        <f t="shared" si="331"/>
        <v>0</v>
      </c>
      <c r="EW121" s="38">
        <f t="shared" si="332"/>
        <v>0</v>
      </c>
      <c r="EX121" s="38">
        <f t="shared" si="333"/>
        <v>22.141406519999997</v>
      </c>
      <c r="EZ121" s="38">
        <f t="shared" si="334"/>
        <v>0</v>
      </c>
      <c r="FA121" s="38">
        <f t="shared" si="335"/>
        <v>0</v>
      </c>
      <c r="FB121" s="1">
        <f t="shared" si="336"/>
        <v>0</v>
      </c>
      <c r="FC121" s="1">
        <f t="shared" si="337"/>
        <v>0</v>
      </c>
      <c r="FD121" s="1">
        <f t="shared" si="338"/>
        <v>0</v>
      </c>
      <c r="FE121" s="1">
        <f t="shared" si="339"/>
        <v>0</v>
      </c>
      <c r="FF121" s="1">
        <f t="shared" si="340"/>
        <v>0</v>
      </c>
      <c r="FG121" s="1">
        <f t="shared" si="341"/>
        <v>0</v>
      </c>
      <c r="FH121" s="1">
        <f t="shared" si="342"/>
        <v>0</v>
      </c>
      <c r="FI121" s="1">
        <f t="shared" si="343"/>
        <v>0</v>
      </c>
      <c r="FJ121" s="1">
        <f t="shared" si="344"/>
        <v>0</v>
      </c>
      <c r="FK121" s="1">
        <f t="shared" si="345"/>
        <v>0</v>
      </c>
      <c r="FL121" s="1">
        <f t="shared" si="346"/>
        <v>0</v>
      </c>
      <c r="FM121" s="1">
        <f t="shared" si="347"/>
        <v>0</v>
      </c>
      <c r="FN121" s="1">
        <f t="shared" si="348"/>
        <v>0</v>
      </c>
      <c r="FO121" s="1">
        <f t="shared" si="349"/>
        <v>0</v>
      </c>
      <c r="FP121" s="1">
        <f t="shared" si="350"/>
        <v>0</v>
      </c>
      <c r="FQ121" s="1">
        <f t="shared" si="351"/>
        <v>0</v>
      </c>
      <c r="FS121" s="1">
        <f t="shared" si="352"/>
        <v>0</v>
      </c>
      <c r="FT121" s="1">
        <f t="shared" si="353"/>
        <v>0</v>
      </c>
      <c r="FU121" s="38">
        <f t="shared" si="354"/>
        <v>0</v>
      </c>
      <c r="FV121" s="38">
        <f t="shared" si="355"/>
        <v>0</v>
      </c>
      <c r="FW121" s="38">
        <f t="shared" si="356"/>
        <v>0</v>
      </c>
      <c r="FX121" s="38">
        <f t="shared" si="357"/>
        <v>0</v>
      </c>
      <c r="FY121" s="38">
        <f t="shared" si="358"/>
        <v>0</v>
      </c>
      <c r="FZ121" s="38">
        <f t="shared" si="359"/>
        <v>0</v>
      </c>
      <c r="GA121" s="38">
        <f t="shared" si="360"/>
        <v>0</v>
      </c>
      <c r="GB121" s="38">
        <f t="shared" si="361"/>
        <v>0</v>
      </c>
      <c r="GC121" s="38">
        <f t="shared" si="362"/>
        <v>0</v>
      </c>
      <c r="GD121" s="38">
        <f t="shared" si="363"/>
        <v>0</v>
      </c>
      <c r="GE121" s="38">
        <f t="shared" si="364"/>
        <v>0</v>
      </c>
      <c r="GF121" s="38">
        <f t="shared" si="365"/>
        <v>0</v>
      </c>
      <c r="GG121" s="38">
        <f t="shared" si="366"/>
        <v>0</v>
      </c>
      <c r="GH121" s="38">
        <f t="shared" si="367"/>
        <v>0</v>
      </c>
      <c r="GI121" s="38">
        <f t="shared" si="368"/>
        <v>0</v>
      </c>
      <c r="GJ121" s="38">
        <f t="shared" si="369"/>
        <v>0</v>
      </c>
      <c r="GL121" s="38">
        <f t="shared" si="370"/>
        <v>0</v>
      </c>
      <c r="GM121" s="38">
        <f t="shared" si="371"/>
        <v>0</v>
      </c>
      <c r="GN121" s="1" t="s">
        <v>2</v>
      </c>
      <c r="GO121" s="2">
        <f t="shared" si="294"/>
        <v>1.0596000000000001</v>
      </c>
      <c r="GP121" s="13">
        <f t="shared" si="295"/>
        <v>1.0443488108720271</v>
      </c>
      <c r="GQ121" s="41">
        <f t="shared" si="296"/>
        <v>11.06592</v>
      </c>
      <c r="GR121" s="41">
        <f t="shared" si="297"/>
        <v>201.14124651744001</v>
      </c>
      <c r="GS121" s="14">
        <f t="shared" si="298"/>
        <v>189.82752596964892</v>
      </c>
      <c r="GT121" s="1">
        <f t="shared" si="372"/>
        <v>4.7419200000000004</v>
      </c>
      <c r="GU121" s="1">
        <f t="shared" si="373"/>
        <v>6.3239999999999998</v>
      </c>
      <c r="GV121" s="1">
        <f t="shared" si="374"/>
        <v>0</v>
      </c>
      <c r="GW121" s="37">
        <f t="shared" si="299"/>
        <v>0</v>
      </c>
      <c r="GX121" s="37"/>
      <c r="GY121" s="37"/>
      <c r="GZ121" s="37"/>
      <c r="HB121" s="1">
        <f t="shared" si="375"/>
        <v>0</v>
      </c>
      <c r="HC121" s="1">
        <f t="shared" si="376"/>
        <v>0</v>
      </c>
      <c r="HD121" s="37" t="s">
        <v>2</v>
      </c>
      <c r="HE121" s="1" t="s">
        <v>31</v>
      </c>
      <c r="HF121" s="1" t="s">
        <v>469</v>
      </c>
      <c r="HI121" s="1" t="s">
        <v>96</v>
      </c>
      <c r="HJ121" s="37" t="s">
        <v>2</v>
      </c>
      <c r="JH121" s="58" t="s">
        <v>2</v>
      </c>
    </row>
    <row r="122" spans="1:268" ht="16.25" customHeight="1" x14ac:dyDescent="0.2">
      <c r="A122" s="21" t="s">
        <v>252</v>
      </c>
      <c r="B122" s="1" t="s">
        <v>71</v>
      </c>
      <c r="E122" s="1" t="s">
        <v>72</v>
      </c>
      <c r="F122" s="1" t="s">
        <v>253</v>
      </c>
      <c r="H122" s="1" t="s">
        <v>204</v>
      </c>
      <c r="I122" s="1">
        <v>0</v>
      </c>
      <c r="AD122" s="1">
        <v>88</v>
      </c>
      <c r="AL122" s="1">
        <v>0.86</v>
      </c>
      <c r="AM122" s="1">
        <v>5.2999999999999999E-2</v>
      </c>
      <c r="AY122" s="1">
        <v>81.8</v>
      </c>
      <c r="BG122" s="1">
        <v>0.79</v>
      </c>
      <c r="BH122" s="1">
        <v>0.06</v>
      </c>
      <c r="BT122" s="1">
        <v>0</v>
      </c>
      <c r="CO122" s="1">
        <v>0</v>
      </c>
      <c r="DJ122" s="1" t="s">
        <v>96</v>
      </c>
      <c r="DK122" s="1" t="s">
        <v>96</v>
      </c>
      <c r="DL122" s="1">
        <f t="shared" si="292"/>
        <v>0.8262779740871613</v>
      </c>
      <c r="DM122" s="1">
        <f t="shared" si="293"/>
        <v>5.6372202591283851E-2</v>
      </c>
      <c r="DN122" s="1" t="s">
        <v>148</v>
      </c>
      <c r="DO122" s="1" t="s">
        <v>2</v>
      </c>
      <c r="DP122" s="38">
        <f t="shared" si="300"/>
        <v>0</v>
      </c>
      <c r="DQ122" s="38">
        <f t="shared" si="301"/>
        <v>0</v>
      </c>
      <c r="DR122" s="38">
        <f t="shared" si="302"/>
        <v>0</v>
      </c>
      <c r="DS122" s="38">
        <f t="shared" si="303"/>
        <v>0</v>
      </c>
      <c r="DT122" s="38">
        <f t="shared" si="304"/>
        <v>0</v>
      </c>
      <c r="DU122" s="38">
        <f t="shared" si="305"/>
        <v>0</v>
      </c>
      <c r="DV122" s="38">
        <f t="shared" si="306"/>
        <v>0</v>
      </c>
      <c r="DW122" s="38">
        <f t="shared" si="307"/>
        <v>1.4030199999999999</v>
      </c>
      <c r="DX122" s="38">
        <f t="shared" si="308"/>
        <v>9.5719999999999986E-2</v>
      </c>
      <c r="DY122" s="38">
        <f t="shared" si="309"/>
        <v>0</v>
      </c>
      <c r="DZ122" s="38">
        <f t="shared" si="310"/>
        <v>0</v>
      </c>
      <c r="EA122" s="38">
        <f t="shared" si="311"/>
        <v>0</v>
      </c>
      <c r="EB122" s="38">
        <f t="shared" si="312"/>
        <v>0</v>
      </c>
      <c r="EC122" s="38">
        <f t="shared" si="313"/>
        <v>0</v>
      </c>
      <c r="ED122" s="38">
        <f t="shared" si="314"/>
        <v>0</v>
      </c>
      <c r="EE122" s="38">
        <f t="shared" si="315"/>
        <v>0</v>
      </c>
      <c r="EG122" s="38">
        <f t="shared" si="316"/>
        <v>0</v>
      </c>
      <c r="EH122" s="38">
        <f t="shared" si="317"/>
        <v>0</v>
      </c>
      <c r="EI122" s="38">
        <f t="shared" si="318"/>
        <v>0</v>
      </c>
      <c r="EJ122" s="38">
        <f t="shared" si="319"/>
        <v>0</v>
      </c>
      <c r="EK122" s="38">
        <f t="shared" si="320"/>
        <v>0</v>
      </c>
      <c r="EL122" s="38">
        <f t="shared" si="321"/>
        <v>0</v>
      </c>
      <c r="EM122" s="38">
        <f t="shared" si="322"/>
        <v>0</v>
      </c>
      <c r="EN122" s="38">
        <f t="shared" si="323"/>
        <v>0</v>
      </c>
      <c r="EO122" s="38">
        <f t="shared" si="324"/>
        <v>0</v>
      </c>
      <c r="EP122" s="38">
        <f t="shared" si="325"/>
        <v>18399.204279999998</v>
      </c>
      <c r="EQ122" s="38">
        <f t="shared" si="326"/>
        <v>6951.1408372799979</v>
      </c>
      <c r="ER122" s="38">
        <f t="shared" si="327"/>
        <v>0</v>
      </c>
      <c r="ES122" s="38">
        <f t="shared" si="328"/>
        <v>0</v>
      </c>
      <c r="ET122" s="38">
        <f t="shared" si="329"/>
        <v>0</v>
      </c>
      <c r="EU122" s="38">
        <f t="shared" si="330"/>
        <v>0</v>
      </c>
      <c r="EV122" s="38">
        <f t="shared" si="331"/>
        <v>0</v>
      </c>
      <c r="EW122" s="38">
        <f t="shared" si="332"/>
        <v>0</v>
      </c>
      <c r="EX122" s="38">
        <f t="shared" si="333"/>
        <v>0</v>
      </c>
      <c r="EZ122" s="38">
        <f t="shared" si="334"/>
        <v>0</v>
      </c>
      <c r="FA122" s="38">
        <f t="shared" si="335"/>
        <v>0</v>
      </c>
      <c r="FB122" s="1">
        <f t="shared" si="336"/>
        <v>0</v>
      </c>
      <c r="FC122" s="1">
        <f t="shared" si="337"/>
        <v>0</v>
      </c>
      <c r="FD122" s="1">
        <f t="shared" si="338"/>
        <v>0</v>
      </c>
      <c r="FE122" s="1">
        <f t="shared" si="339"/>
        <v>0</v>
      </c>
      <c r="FF122" s="1">
        <f t="shared" si="340"/>
        <v>0</v>
      </c>
      <c r="FG122" s="1">
        <f t="shared" si="341"/>
        <v>0</v>
      </c>
      <c r="FH122" s="1">
        <f t="shared" si="342"/>
        <v>0</v>
      </c>
      <c r="FI122" s="1">
        <f t="shared" si="343"/>
        <v>0</v>
      </c>
      <c r="FJ122" s="1">
        <f t="shared" si="344"/>
        <v>0</v>
      </c>
      <c r="FK122" s="1">
        <f t="shared" si="345"/>
        <v>0</v>
      </c>
      <c r="FL122" s="1">
        <f t="shared" si="346"/>
        <v>0</v>
      </c>
      <c r="FM122" s="1">
        <f t="shared" si="347"/>
        <v>0</v>
      </c>
      <c r="FN122" s="1">
        <f t="shared" si="348"/>
        <v>0</v>
      </c>
      <c r="FO122" s="1">
        <f t="shared" si="349"/>
        <v>0</v>
      </c>
      <c r="FP122" s="1">
        <f t="shared" si="350"/>
        <v>0</v>
      </c>
      <c r="FQ122" s="1">
        <f t="shared" si="351"/>
        <v>0</v>
      </c>
      <c r="FS122" s="1">
        <f t="shared" si="352"/>
        <v>0</v>
      </c>
      <c r="FT122" s="1">
        <f t="shared" si="353"/>
        <v>0</v>
      </c>
      <c r="FU122" s="38">
        <f t="shared" si="354"/>
        <v>0</v>
      </c>
      <c r="FV122" s="38">
        <f t="shared" si="355"/>
        <v>0</v>
      </c>
      <c r="FW122" s="38">
        <f t="shared" si="356"/>
        <v>0</v>
      </c>
      <c r="FX122" s="38">
        <f t="shared" si="357"/>
        <v>0</v>
      </c>
      <c r="FY122" s="38">
        <f t="shared" si="358"/>
        <v>0</v>
      </c>
      <c r="FZ122" s="38">
        <f t="shared" si="359"/>
        <v>0</v>
      </c>
      <c r="GA122" s="38">
        <f t="shared" si="360"/>
        <v>0</v>
      </c>
      <c r="GB122" s="38">
        <f t="shared" si="361"/>
        <v>0</v>
      </c>
      <c r="GC122" s="38">
        <f t="shared" si="362"/>
        <v>0</v>
      </c>
      <c r="GD122" s="38">
        <f t="shared" si="363"/>
        <v>0</v>
      </c>
      <c r="GE122" s="38">
        <f t="shared" si="364"/>
        <v>0</v>
      </c>
      <c r="GF122" s="38">
        <f t="shared" si="365"/>
        <v>0</v>
      </c>
      <c r="GG122" s="38">
        <f t="shared" si="366"/>
        <v>0</v>
      </c>
      <c r="GH122" s="38">
        <f t="shared" si="367"/>
        <v>0</v>
      </c>
      <c r="GI122" s="38">
        <f t="shared" si="368"/>
        <v>0</v>
      </c>
      <c r="GJ122" s="38">
        <f t="shared" si="369"/>
        <v>0</v>
      </c>
      <c r="GL122" s="38">
        <f t="shared" si="370"/>
        <v>0</v>
      </c>
      <c r="GM122" s="38">
        <f t="shared" si="371"/>
        <v>0</v>
      </c>
      <c r="GN122" s="1" t="s">
        <v>2</v>
      </c>
      <c r="GO122" s="1">
        <f t="shared" si="294"/>
        <v>169.8</v>
      </c>
      <c r="GP122" s="13">
        <f t="shared" si="295"/>
        <v>0.8262779740871613</v>
      </c>
      <c r="GQ122" s="43">
        <f t="shared" si="296"/>
        <v>1403.02</v>
      </c>
      <c r="GR122" s="41">
        <f t="shared" si="297"/>
        <v>25350.345117279998</v>
      </c>
      <c r="GS122" s="14">
        <f t="shared" si="298"/>
        <v>149.29531871189633</v>
      </c>
      <c r="GT122" s="1">
        <f t="shared" si="372"/>
        <v>0</v>
      </c>
      <c r="GU122" s="1">
        <f t="shared" si="373"/>
        <v>756.79999999999984</v>
      </c>
      <c r="GV122" s="1">
        <f t="shared" si="374"/>
        <v>646.22</v>
      </c>
      <c r="GW122" s="37">
        <f t="shared" si="299"/>
        <v>0</v>
      </c>
      <c r="GX122" s="37"/>
      <c r="GY122" s="37"/>
      <c r="GZ122" s="37"/>
      <c r="HB122" s="1">
        <f t="shared" si="375"/>
        <v>0</v>
      </c>
      <c r="HC122" s="1">
        <f t="shared" si="376"/>
        <v>0</v>
      </c>
      <c r="HD122" s="37" t="s">
        <v>2</v>
      </c>
      <c r="HE122" s="1" t="s">
        <v>31</v>
      </c>
      <c r="HF122" s="1" t="s">
        <v>254</v>
      </c>
      <c r="HG122" s="1" t="s">
        <v>254</v>
      </c>
      <c r="HI122" s="1" t="s">
        <v>96</v>
      </c>
      <c r="HJ122" s="37" t="s">
        <v>2</v>
      </c>
      <c r="JH122" s="58" t="s">
        <v>2</v>
      </c>
    </row>
    <row r="123" spans="1:268" ht="16.25" customHeight="1" x14ac:dyDescent="0.2">
      <c r="A123" s="21" t="s">
        <v>623</v>
      </c>
      <c r="B123" s="1" t="s">
        <v>69</v>
      </c>
      <c r="F123" s="1" t="s">
        <v>131</v>
      </c>
      <c r="I123" s="1">
        <v>0</v>
      </c>
      <c r="AD123" s="1">
        <v>0</v>
      </c>
      <c r="AY123" s="1">
        <v>38.6</v>
      </c>
      <c r="BG123" s="1">
        <v>1.1000000000000001</v>
      </c>
      <c r="BT123" s="1">
        <v>0</v>
      </c>
      <c r="CO123" s="1">
        <v>0</v>
      </c>
      <c r="DJ123" s="1" t="s">
        <v>163</v>
      </c>
      <c r="DL123" s="1">
        <f t="shared" si="292"/>
        <v>1.1000000000000001</v>
      </c>
      <c r="DM123" s="1">
        <f t="shared" si="293"/>
        <v>0</v>
      </c>
      <c r="DN123" s="1" t="s">
        <v>471</v>
      </c>
      <c r="DO123" s="1" t="s">
        <v>2</v>
      </c>
      <c r="DP123" s="38">
        <f t="shared" si="300"/>
        <v>0</v>
      </c>
      <c r="DQ123" s="38">
        <f t="shared" si="301"/>
        <v>0</v>
      </c>
      <c r="DR123" s="38">
        <f t="shared" si="302"/>
        <v>0</v>
      </c>
      <c r="DS123" s="38">
        <f t="shared" si="303"/>
        <v>0</v>
      </c>
      <c r="DT123" s="38">
        <f t="shared" si="304"/>
        <v>0</v>
      </c>
      <c r="DU123" s="38">
        <f t="shared" si="305"/>
        <v>0</v>
      </c>
      <c r="DV123" s="38">
        <f t="shared" si="306"/>
        <v>0</v>
      </c>
      <c r="DW123" s="38">
        <f t="shared" si="307"/>
        <v>0.42460000000000009</v>
      </c>
      <c r="DX123" s="38">
        <f t="shared" si="308"/>
        <v>0</v>
      </c>
      <c r="DY123" s="38">
        <f t="shared" si="309"/>
        <v>0</v>
      </c>
      <c r="DZ123" s="38">
        <f t="shared" si="310"/>
        <v>0</v>
      </c>
      <c r="EA123" s="38">
        <f t="shared" si="311"/>
        <v>0</v>
      </c>
      <c r="EB123" s="38">
        <f t="shared" si="312"/>
        <v>0</v>
      </c>
      <c r="EC123" s="38">
        <f t="shared" si="313"/>
        <v>0</v>
      </c>
      <c r="ED123" s="38">
        <f t="shared" si="314"/>
        <v>0</v>
      </c>
      <c r="EE123" s="38">
        <f t="shared" si="315"/>
        <v>0</v>
      </c>
      <c r="EG123" s="38">
        <f t="shared" si="316"/>
        <v>0</v>
      </c>
      <c r="EH123" s="38">
        <f t="shared" si="317"/>
        <v>0</v>
      </c>
      <c r="EI123" s="38">
        <f t="shared" si="318"/>
        <v>0</v>
      </c>
      <c r="EJ123" s="38">
        <f t="shared" si="319"/>
        <v>0</v>
      </c>
      <c r="EK123" s="38">
        <f t="shared" si="320"/>
        <v>0</v>
      </c>
      <c r="EL123" s="38">
        <f t="shared" si="321"/>
        <v>0</v>
      </c>
      <c r="EM123" s="38">
        <f t="shared" si="322"/>
        <v>0</v>
      </c>
      <c r="EN123" s="38">
        <f t="shared" si="323"/>
        <v>0</v>
      </c>
      <c r="EO123" s="38">
        <f t="shared" si="324"/>
        <v>0</v>
      </c>
      <c r="EP123" s="38">
        <f t="shared" si="325"/>
        <v>5568.2044000000014</v>
      </c>
      <c r="EQ123" s="38">
        <f t="shared" si="326"/>
        <v>0</v>
      </c>
      <c r="ER123" s="38">
        <f t="shared" si="327"/>
        <v>0</v>
      </c>
      <c r="ES123" s="38">
        <f t="shared" si="328"/>
        <v>0</v>
      </c>
      <c r="ET123" s="38">
        <f t="shared" si="329"/>
        <v>0</v>
      </c>
      <c r="EU123" s="38">
        <f t="shared" si="330"/>
        <v>0</v>
      </c>
      <c r="EV123" s="38">
        <f t="shared" si="331"/>
        <v>0</v>
      </c>
      <c r="EW123" s="38">
        <f t="shared" si="332"/>
        <v>0</v>
      </c>
      <c r="EX123" s="38">
        <f t="shared" si="333"/>
        <v>0</v>
      </c>
      <c r="EZ123" s="38">
        <f t="shared" si="334"/>
        <v>0</v>
      </c>
      <c r="FA123" s="38">
        <f t="shared" si="335"/>
        <v>0</v>
      </c>
      <c r="FB123" s="1">
        <f t="shared" si="336"/>
        <v>0</v>
      </c>
      <c r="FC123" s="1">
        <f t="shared" si="337"/>
        <v>0</v>
      </c>
      <c r="FD123" s="1">
        <f t="shared" si="338"/>
        <v>0</v>
      </c>
      <c r="FE123" s="1">
        <f t="shared" si="339"/>
        <v>0</v>
      </c>
      <c r="FF123" s="1">
        <f t="shared" si="340"/>
        <v>0</v>
      </c>
      <c r="FG123" s="1">
        <f t="shared" si="341"/>
        <v>0</v>
      </c>
      <c r="FH123" s="1">
        <f t="shared" si="342"/>
        <v>0</v>
      </c>
      <c r="FI123" s="1">
        <f t="shared" si="343"/>
        <v>0</v>
      </c>
      <c r="FJ123" s="1">
        <f t="shared" si="344"/>
        <v>0</v>
      </c>
      <c r="FK123" s="1">
        <f t="shared" si="345"/>
        <v>0</v>
      </c>
      <c r="FL123" s="1">
        <f t="shared" si="346"/>
        <v>0</v>
      </c>
      <c r="FM123" s="1">
        <f t="shared" si="347"/>
        <v>0</v>
      </c>
      <c r="FN123" s="1">
        <f t="shared" si="348"/>
        <v>0</v>
      </c>
      <c r="FO123" s="1">
        <f t="shared" si="349"/>
        <v>0</v>
      </c>
      <c r="FP123" s="1">
        <f t="shared" si="350"/>
        <v>0</v>
      </c>
      <c r="FQ123" s="1">
        <f t="shared" si="351"/>
        <v>0</v>
      </c>
      <c r="FS123" s="1">
        <f t="shared" si="352"/>
        <v>0</v>
      </c>
      <c r="FT123" s="1">
        <f t="shared" si="353"/>
        <v>0</v>
      </c>
      <c r="FU123" s="38">
        <f t="shared" si="354"/>
        <v>0</v>
      </c>
      <c r="FV123" s="38">
        <f t="shared" si="355"/>
        <v>0</v>
      </c>
      <c r="FW123" s="38">
        <f t="shared" si="356"/>
        <v>0</v>
      </c>
      <c r="FX123" s="38">
        <f t="shared" si="357"/>
        <v>0</v>
      </c>
      <c r="FY123" s="38">
        <f t="shared" si="358"/>
        <v>0</v>
      </c>
      <c r="FZ123" s="38">
        <f t="shared" si="359"/>
        <v>0</v>
      </c>
      <c r="GA123" s="38">
        <f t="shared" si="360"/>
        <v>0</v>
      </c>
      <c r="GB123" s="38">
        <f t="shared" si="361"/>
        <v>0</v>
      </c>
      <c r="GC123" s="38">
        <f t="shared" si="362"/>
        <v>0</v>
      </c>
      <c r="GD123" s="38">
        <f t="shared" si="363"/>
        <v>0</v>
      </c>
      <c r="GE123" s="38">
        <f t="shared" si="364"/>
        <v>0</v>
      </c>
      <c r="GF123" s="38">
        <f t="shared" si="365"/>
        <v>0</v>
      </c>
      <c r="GG123" s="38">
        <f t="shared" si="366"/>
        <v>0</v>
      </c>
      <c r="GH123" s="38">
        <f t="shared" si="367"/>
        <v>0</v>
      </c>
      <c r="GI123" s="38">
        <f t="shared" si="368"/>
        <v>0</v>
      </c>
      <c r="GJ123" s="38">
        <f t="shared" si="369"/>
        <v>0</v>
      </c>
      <c r="GL123" s="38">
        <f t="shared" si="370"/>
        <v>0</v>
      </c>
      <c r="GM123" s="38">
        <f t="shared" si="371"/>
        <v>0</v>
      </c>
      <c r="GN123" s="1" t="s">
        <v>2</v>
      </c>
      <c r="GO123" s="1">
        <f t="shared" si="294"/>
        <v>38.6</v>
      </c>
      <c r="GP123" s="1">
        <f t="shared" si="295"/>
        <v>1.1000000000000001</v>
      </c>
      <c r="GQ123" s="41">
        <f t="shared" si="296"/>
        <v>424.6</v>
      </c>
      <c r="GR123" s="41">
        <f t="shared" si="297"/>
        <v>5568.2044000000014</v>
      </c>
      <c r="GS123" s="14">
        <f t="shared" si="298"/>
        <v>144.25400000000002</v>
      </c>
      <c r="GT123" s="1">
        <f t="shared" si="372"/>
        <v>0</v>
      </c>
      <c r="GU123" s="1">
        <f t="shared" si="373"/>
        <v>0</v>
      </c>
      <c r="GV123" s="1">
        <f t="shared" si="374"/>
        <v>424.60000000000008</v>
      </c>
      <c r="GW123" s="37">
        <f t="shared" si="299"/>
        <v>0</v>
      </c>
      <c r="GX123" s="37"/>
      <c r="GY123" s="37"/>
      <c r="GZ123" s="37"/>
      <c r="HB123" s="1">
        <f t="shared" si="375"/>
        <v>0</v>
      </c>
      <c r="HC123" s="1">
        <f t="shared" si="376"/>
        <v>0</v>
      </c>
      <c r="HD123" s="37" t="s">
        <v>2</v>
      </c>
      <c r="HE123" s="1" t="s">
        <v>31</v>
      </c>
      <c r="HF123" s="1" t="s">
        <v>490</v>
      </c>
      <c r="HG123" s="1" t="s">
        <v>490</v>
      </c>
      <c r="HI123" s="1" t="s">
        <v>163</v>
      </c>
      <c r="HJ123" s="37" t="s">
        <v>2</v>
      </c>
      <c r="JH123" s="58" t="s">
        <v>2</v>
      </c>
    </row>
    <row r="124" spans="1:268" ht="16.25" customHeight="1" x14ac:dyDescent="0.2">
      <c r="A124" s="21" t="s">
        <v>627</v>
      </c>
      <c r="B124" s="1" t="s">
        <v>69</v>
      </c>
      <c r="F124" s="1" t="s">
        <v>131</v>
      </c>
      <c r="I124" s="1">
        <v>0</v>
      </c>
      <c r="AD124" s="1">
        <v>0</v>
      </c>
      <c r="AY124" s="1">
        <v>61</v>
      </c>
      <c r="BG124" s="1">
        <v>1.5</v>
      </c>
      <c r="BH124" s="1">
        <v>0.06</v>
      </c>
      <c r="BT124" s="1">
        <v>0</v>
      </c>
      <c r="CO124" s="1">
        <v>0</v>
      </c>
      <c r="DJ124" s="1" t="s">
        <v>163</v>
      </c>
      <c r="DK124" s="1" t="s">
        <v>163</v>
      </c>
      <c r="DL124" s="1">
        <f t="shared" si="292"/>
        <v>1.5</v>
      </c>
      <c r="DM124" s="1">
        <f t="shared" si="293"/>
        <v>0.06</v>
      </c>
      <c r="DN124" s="1" t="s">
        <v>471</v>
      </c>
      <c r="DO124" s="1" t="s">
        <v>2</v>
      </c>
      <c r="DP124" s="38">
        <f t="shared" si="300"/>
        <v>0</v>
      </c>
      <c r="DQ124" s="38">
        <f t="shared" si="301"/>
        <v>0</v>
      </c>
      <c r="DR124" s="38">
        <f t="shared" si="302"/>
        <v>0</v>
      </c>
      <c r="DS124" s="38">
        <f t="shared" si="303"/>
        <v>0</v>
      </c>
      <c r="DT124" s="38">
        <f t="shared" si="304"/>
        <v>0</v>
      </c>
      <c r="DU124" s="38">
        <f t="shared" si="305"/>
        <v>0</v>
      </c>
      <c r="DV124" s="38">
        <f t="shared" si="306"/>
        <v>0</v>
      </c>
      <c r="DW124" s="38">
        <f t="shared" si="307"/>
        <v>0.91500000000000004</v>
      </c>
      <c r="DX124" s="38">
        <f t="shared" si="308"/>
        <v>3.6599999999999994E-2</v>
      </c>
      <c r="DY124" s="38">
        <f t="shared" si="309"/>
        <v>0</v>
      </c>
      <c r="DZ124" s="38">
        <f t="shared" si="310"/>
        <v>0</v>
      </c>
      <c r="EA124" s="38">
        <f t="shared" si="311"/>
        <v>0</v>
      </c>
      <c r="EB124" s="38">
        <f t="shared" si="312"/>
        <v>0</v>
      </c>
      <c r="EC124" s="38">
        <f t="shared" si="313"/>
        <v>0</v>
      </c>
      <c r="ED124" s="38">
        <f t="shared" si="314"/>
        <v>0</v>
      </c>
      <c r="EE124" s="38">
        <f t="shared" si="315"/>
        <v>0</v>
      </c>
      <c r="EG124" s="38">
        <f t="shared" si="316"/>
        <v>0</v>
      </c>
      <c r="EH124" s="38">
        <f t="shared" si="317"/>
        <v>0</v>
      </c>
      <c r="EI124" s="38">
        <f t="shared" si="318"/>
        <v>0</v>
      </c>
      <c r="EJ124" s="38">
        <f t="shared" si="319"/>
        <v>0</v>
      </c>
      <c r="EK124" s="38">
        <f t="shared" si="320"/>
        <v>0</v>
      </c>
      <c r="EL124" s="38">
        <f t="shared" si="321"/>
        <v>0</v>
      </c>
      <c r="EM124" s="38">
        <f t="shared" si="322"/>
        <v>0</v>
      </c>
      <c r="EN124" s="38">
        <f t="shared" si="323"/>
        <v>0</v>
      </c>
      <c r="EO124" s="38">
        <f t="shared" si="324"/>
        <v>0</v>
      </c>
      <c r="EP124" s="38">
        <f t="shared" si="325"/>
        <v>11999.310000000001</v>
      </c>
      <c r="EQ124" s="38">
        <f t="shared" si="326"/>
        <v>2657.8745783999993</v>
      </c>
      <c r="ER124" s="38">
        <f t="shared" si="327"/>
        <v>0</v>
      </c>
      <c r="ES124" s="38">
        <f t="shared" si="328"/>
        <v>0</v>
      </c>
      <c r="ET124" s="38">
        <f t="shared" si="329"/>
        <v>0</v>
      </c>
      <c r="EU124" s="38">
        <f t="shared" si="330"/>
        <v>0</v>
      </c>
      <c r="EV124" s="38">
        <f t="shared" si="331"/>
        <v>0</v>
      </c>
      <c r="EW124" s="38">
        <f t="shared" si="332"/>
        <v>0</v>
      </c>
      <c r="EX124" s="38">
        <f t="shared" si="333"/>
        <v>0</v>
      </c>
      <c r="EZ124" s="38">
        <f t="shared" si="334"/>
        <v>0</v>
      </c>
      <c r="FA124" s="38">
        <f t="shared" si="335"/>
        <v>0</v>
      </c>
      <c r="FB124" s="1">
        <f t="shared" si="336"/>
        <v>0</v>
      </c>
      <c r="FC124" s="1">
        <f t="shared" si="337"/>
        <v>0</v>
      </c>
      <c r="FD124" s="1">
        <f t="shared" si="338"/>
        <v>0</v>
      </c>
      <c r="FE124" s="1">
        <f t="shared" si="339"/>
        <v>0</v>
      </c>
      <c r="FF124" s="1">
        <f t="shared" si="340"/>
        <v>0</v>
      </c>
      <c r="FG124" s="1">
        <f t="shared" si="341"/>
        <v>0</v>
      </c>
      <c r="FH124" s="1">
        <f t="shared" si="342"/>
        <v>0</v>
      </c>
      <c r="FI124" s="1">
        <f t="shared" si="343"/>
        <v>0</v>
      </c>
      <c r="FJ124" s="1">
        <f t="shared" si="344"/>
        <v>0</v>
      </c>
      <c r="FK124" s="1">
        <f t="shared" si="345"/>
        <v>0</v>
      </c>
      <c r="FL124" s="1">
        <f t="shared" si="346"/>
        <v>0</v>
      </c>
      <c r="FM124" s="1">
        <f t="shared" si="347"/>
        <v>0</v>
      </c>
      <c r="FN124" s="1">
        <f t="shared" si="348"/>
        <v>0</v>
      </c>
      <c r="FO124" s="1">
        <f t="shared" si="349"/>
        <v>0</v>
      </c>
      <c r="FP124" s="1">
        <f t="shared" si="350"/>
        <v>0</v>
      </c>
      <c r="FQ124" s="1">
        <f t="shared" si="351"/>
        <v>0</v>
      </c>
      <c r="FS124" s="1">
        <f t="shared" si="352"/>
        <v>0</v>
      </c>
      <c r="FT124" s="1">
        <f t="shared" si="353"/>
        <v>0</v>
      </c>
      <c r="FU124" s="38">
        <f t="shared" si="354"/>
        <v>0</v>
      </c>
      <c r="FV124" s="38">
        <f t="shared" si="355"/>
        <v>0</v>
      </c>
      <c r="FW124" s="38">
        <f t="shared" si="356"/>
        <v>0</v>
      </c>
      <c r="FX124" s="38">
        <f t="shared" si="357"/>
        <v>0</v>
      </c>
      <c r="FY124" s="38">
        <f t="shared" si="358"/>
        <v>0</v>
      </c>
      <c r="FZ124" s="38">
        <f t="shared" si="359"/>
        <v>0</v>
      </c>
      <c r="GA124" s="38">
        <f t="shared" si="360"/>
        <v>0</v>
      </c>
      <c r="GB124" s="38">
        <f t="shared" si="361"/>
        <v>0</v>
      </c>
      <c r="GC124" s="38">
        <f t="shared" si="362"/>
        <v>0</v>
      </c>
      <c r="GD124" s="38">
        <f t="shared" si="363"/>
        <v>0</v>
      </c>
      <c r="GE124" s="38">
        <f t="shared" si="364"/>
        <v>0</v>
      </c>
      <c r="GF124" s="38">
        <f t="shared" si="365"/>
        <v>0</v>
      </c>
      <c r="GG124" s="38">
        <f t="shared" si="366"/>
        <v>0</v>
      </c>
      <c r="GH124" s="38">
        <f t="shared" si="367"/>
        <v>0</v>
      </c>
      <c r="GI124" s="38">
        <f t="shared" si="368"/>
        <v>0</v>
      </c>
      <c r="GJ124" s="38">
        <f t="shared" si="369"/>
        <v>0</v>
      </c>
      <c r="GL124" s="38">
        <f t="shared" si="370"/>
        <v>0</v>
      </c>
      <c r="GM124" s="38">
        <f t="shared" si="371"/>
        <v>0</v>
      </c>
      <c r="GN124" s="1" t="s">
        <v>2</v>
      </c>
      <c r="GO124" s="1">
        <f t="shared" si="294"/>
        <v>61</v>
      </c>
      <c r="GP124" s="1">
        <f t="shared" si="295"/>
        <v>1.5</v>
      </c>
      <c r="GQ124" s="41">
        <f t="shared" si="296"/>
        <v>915</v>
      </c>
      <c r="GR124" s="41">
        <f t="shared" si="297"/>
        <v>14657.1845784</v>
      </c>
      <c r="GS124" s="14">
        <f t="shared" si="298"/>
        <v>240.2817144</v>
      </c>
      <c r="GT124" s="1">
        <f t="shared" si="372"/>
        <v>0</v>
      </c>
      <c r="GU124" s="1">
        <f t="shared" si="373"/>
        <v>0</v>
      </c>
      <c r="GV124" s="1">
        <f t="shared" si="374"/>
        <v>915</v>
      </c>
      <c r="GW124" s="37">
        <f t="shared" si="299"/>
        <v>0</v>
      </c>
      <c r="GX124" s="37"/>
      <c r="GY124" s="37"/>
      <c r="GZ124" s="37"/>
      <c r="HB124" s="1">
        <f t="shared" si="375"/>
        <v>0</v>
      </c>
      <c r="HC124" s="1">
        <f t="shared" si="376"/>
        <v>0</v>
      </c>
      <c r="HD124" s="37" t="s">
        <v>2</v>
      </c>
      <c r="HE124" s="1" t="s">
        <v>31</v>
      </c>
      <c r="HF124" s="1" t="s">
        <v>490</v>
      </c>
      <c r="HG124" s="1" t="s">
        <v>490</v>
      </c>
      <c r="HI124" s="1" t="s">
        <v>163</v>
      </c>
      <c r="HJ124" s="37" t="s">
        <v>2</v>
      </c>
      <c r="JH124" s="58" t="s">
        <v>2</v>
      </c>
    </row>
    <row r="125" spans="1:268" ht="16.25" customHeight="1" x14ac:dyDescent="0.2">
      <c r="A125" s="21" t="s">
        <v>488</v>
      </c>
      <c r="B125" s="1" t="s">
        <v>69</v>
      </c>
      <c r="F125" s="1" t="s">
        <v>489</v>
      </c>
      <c r="H125" s="1" t="s">
        <v>216</v>
      </c>
      <c r="I125" s="1">
        <v>0</v>
      </c>
      <c r="AD125" s="1">
        <v>0</v>
      </c>
      <c r="AY125" s="1">
        <v>56</v>
      </c>
      <c r="BG125" s="1">
        <v>1.5</v>
      </c>
      <c r="BT125" s="1">
        <v>0</v>
      </c>
      <c r="CO125" s="1">
        <v>0</v>
      </c>
      <c r="DJ125" s="1" t="s">
        <v>163</v>
      </c>
      <c r="DL125" s="1">
        <f t="shared" si="292"/>
        <v>1.5</v>
      </c>
      <c r="DM125" s="1">
        <f t="shared" si="293"/>
        <v>0</v>
      </c>
      <c r="DN125" s="1" t="s">
        <v>471</v>
      </c>
      <c r="DO125" s="1" t="s">
        <v>2</v>
      </c>
      <c r="DP125" s="38">
        <f t="shared" si="300"/>
        <v>0</v>
      </c>
      <c r="DQ125" s="38">
        <f t="shared" si="301"/>
        <v>0</v>
      </c>
      <c r="DR125" s="38">
        <f t="shared" si="302"/>
        <v>0</v>
      </c>
      <c r="DS125" s="38">
        <f t="shared" si="303"/>
        <v>0</v>
      </c>
      <c r="DT125" s="38">
        <f t="shared" si="304"/>
        <v>0</v>
      </c>
      <c r="DU125" s="38">
        <f t="shared" si="305"/>
        <v>0</v>
      </c>
      <c r="DV125" s="38">
        <f t="shared" si="306"/>
        <v>0</v>
      </c>
      <c r="DW125" s="38">
        <f t="shared" si="307"/>
        <v>0.84</v>
      </c>
      <c r="DX125" s="38">
        <f t="shared" si="308"/>
        <v>0</v>
      </c>
      <c r="DY125" s="38">
        <f t="shared" si="309"/>
        <v>0</v>
      </c>
      <c r="DZ125" s="38">
        <f t="shared" si="310"/>
        <v>0</v>
      </c>
      <c r="EA125" s="38">
        <f t="shared" si="311"/>
        <v>0</v>
      </c>
      <c r="EB125" s="38">
        <f t="shared" si="312"/>
        <v>0</v>
      </c>
      <c r="EC125" s="38">
        <f t="shared" si="313"/>
        <v>0</v>
      </c>
      <c r="ED125" s="38">
        <f t="shared" si="314"/>
        <v>0</v>
      </c>
      <c r="EE125" s="38">
        <f t="shared" si="315"/>
        <v>0</v>
      </c>
      <c r="EG125" s="38">
        <f t="shared" si="316"/>
        <v>0</v>
      </c>
      <c r="EH125" s="38">
        <f t="shared" si="317"/>
        <v>0</v>
      </c>
      <c r="EI125" s="38">
        <f t="shared" si="318"/>
        <v>0</v>
      </c>
      <c r="EJ125" s="38">
        <f t="shared" si="319"/>
        <v>0</v>
      </c>
      <c r="EK125" s="38">
        <f t="shared" si="320"/>
        <v>0</v>
      </c>
      <c r="EL125" s="38">
        <f t="shared" si="321"/>
        <v>0</v>
      </c>
      <c r="EM125" s="38">
        <f t="shared" si="322"/>
        <v>0</v>
      </c>
      <c r="EN125" s="38">
        <f t="shared" si="323"/>
        <v>0</v>
      </c>
      <c r="EO125" s="38">
        <f t="shared" si="324"/>
        <v>0</v>
      </c>
      <c r="EP125" s="38">
        <f t="shared" si="325"/>
        <v>11015.76</v>
      </c>
      <c r="EQ125" s="38">
        <f t="shared" si="326"/>
        <v>0</v>
      </c>
      <c r="ER125" s="38">
        <f t="shared" si="327"/>
        <v>0</v>
      </c>
      <c r="ES125" s="38">
        <f t="shared" si="328"/>
        <v>0</v>
      </c>
      <c r="ET125" s="38">
        <f t="shared" si="329"/>
        <v>0</v>
      </c>
      <c r="EU125" s="38">
        <f t="shared" si="330"/>
        <v>0</v>
      </c>
      <c r="EV125" s="38">
        <f t="shared" si="331"/>
        <v>0</v>
      </c>
      <c r="EW125" s="38">
        <f t="shared" si="332"/>
        <v>0</v>
      </c>
      <c r="EX125" s="38">
        <f t="shared" si="333"/>
        <v>0</v>
      </c>
      <c r="EZ125" s="38">
        <f t="shared" si="334"/>
        <v>0</v>
      </c>
      <c r="FA125" s="38">
        <f t="shared" si="335"/>
        <v>0</v>
      </c>
      <c r="FB125" s="1">
        <f t="shared" si="336"/>
        <v>0</v>
      </c>
      <c r="FC125" s="1">
        <f t="shared" si="337"/>
        <v>0</v>
      </c>
      <c r="FD125" s="1">
        <f t="shared" si="338"/>
        <v>0</v>
      </c>
      <c r="FE125" s="1">
        <f t="shared" si="339"/>
        <v>0</v>
      </c>
      <c r="FF125" s="1">
        <f t="shared" si="340"/>
        <v>0</v>
      </c>
      <c r="FG125" s="1">
        <f t="shared" si="341"/>
        <v>0</v>
      </c>
      <c r="FH125" s="1">
        <f t="shared" si="342"/>
        <v>0</v>
      </c>
      <c r="FI125" s="1">
        <f t="shared" si="343"/>
        <v>0</v>
      </c>
      <c r="FJ125" s="1">
        <f t="shared" si="344"/>
        <v>0</v>
      </c>
      <c r="FK125" s="1">
        <f t="shared" si="345"/>
        <v>0</v>
      </c>
      <c r="FL125" s="1">
        <f t="shared" si="346"/>
        <v>0</v>
      </c>
      <c r="FM125" s="1">
        <f t="shared" si="347"/>
        <v>0</v>
      </c>
      <c r="FN125" s="1">
        <f t="shared" si="348"/>
        <v>0</v>
      </c>
      <c r="FO125" s="1">
        <f t="shared" si="349"/>
        <v>0</v>
      </c>
      <c r="FP125" s="1">
        <f t="shared" si="350"/>
        <v>0</v>
      </c>
      <c r="FQ125" s="1">
        <f t="shared" si="351"/>
        <v>0</v>
      </c>
      <c r="FS125" s="1">
        <f t="shared" si="352"/>
        <v>0</v>
      </c>
      <c r="FT125" s="1">
        <f t="shared" si="353"/>
        <v>0</v>
      </c>
      <c r="FU125" s="38">
        <f t="shared" si="354"/>
        <v>0</v>
      </c>
      <c r="FV125" s="38">
        <f t="shared" si="355"/>
        <v>0</v>
      </c>
      <c r="FW125" s="38">
        <f t="shared" si="356"/>
        <v>0</v>
      </c>
      <c r="FX125" s="38">
        <f t="shared" si="357"/>
        <v>0</v>
      </c>
      <c r="FY125" s="38">
        <f t="shared" si="358"/>
        <v>0</v>
      </c>
      <c r="FZ125" s="38">
        <f t="shared" si="359"/>
        <v>0</v>
      </c>
      <c r="GA125" s="38">
        <f t="shared" si="360"/>
        <v>0</v>
      </c>
      <c r="GB125" s="38">
        <f t="shared" si="361"/>
        <v>0</v>
      </c>
      <c r="GC125" s="38">
        <f t="shared" si="362"/>
        <v>0</v>
      </c>
      <c r="GD125" s="38">
        <f t="shared" si="363"/>
        <v>0</v>
      </c>
      <c r="GE125" s="38">
        <f t="shared" si="364"/>
        <v>0</v>
      </c>
      <c r="GF125" s="38">
        <f t="shared" si="365"/>
        <v>0</v>
      </c>
      <c r="GG125" s="38">
        <f t="shared" si="366"/>
        <v>0</v>
      </c>
      <c r="GH125" s="38">
        <f t="shared" si="367"/>
        <v>0</v>
      </c>
      <c r="GI125" s="38">
        <f t="shared" si="368"/>
        <v>0</v>
      </c>
      <c r="GJ125" s="38">
        <f t="shared" si="369"/>
        <v>0</v>
      </c>
      <c r="GL125" s="38">
        <f t="shared" si="370"/>
        <v>0</v>
      </c>
      <c r="GM125" s="38">
        <f t="shared" si="371"/>
        <v>0</v>
      </c>
      <c r="GN125" s="1" t="s">
        <v>2</v>
      </c>
      <c r="GO125" s="1">
        <f t="shared" si="294"/>
        <v>56</v>
      </c>
      <c r="GP125" s="13">
        <f t="shared" si="295"/>
        <v>1.5</v>
      </c>
      <c r="GQ125" s="41">
        <f t="shared" si="296"/>
        <v>840</v>
      </c>
      <c r="GR125" s="41">
        <f t="shared" si="297"/>
        <v>11015.76</v>
      </c>
      <c r="GS125" s="14">
        <f t="shared" si="298"/>
        <v>196.71</v>
      </c>
      <c r="GT125" s="1">
        <f t="shared" si="372"/>
        <v>0</v>
      </c>
      <c r="GU125" s="1">
        <f t="shared" si="373"/>
        <v>0</v>
      </c>
      <c r="GV125" s="1">
        <f t="shared" si="374"/>
        <v>840</v>
      </c>
      <c r="GW125" s="37">
        <f t="shared" si="299"/>
        <v>0</v>
      </c>
      <c r="GX125" s="37"/>
      <c r="GY125" s="37"/>
      <c r="GZ125" s="37"/>
      <c r="HB125" s="1">
        <f t="shared" si="375"/>
        <v>0</v>
      </c>
      <c r="HC125" s="1">
        <f t="shared" si="376"/>
        <v>0</v>
      </c>
      <c r="HD125" s="37" t="s">
        <v>2</v>
      </c>
      <c r="HE125" s="1" t="s">
        <v>31</v>
      </c>
      <c r="HF125" s="1" t="s">
        <v>490</v>
      </c>
      <c r="HG125" s="1" t="s">
        <v>490</v>
      </c>
      <c r="HI125" s="1" t="s">
        <v>163</v>
      </c>
      <c r="HJ125" s="37" t="s">
        <v>2</v>
      </c>
      <c r="JH125" s="58" t="s">
        <v>2</v>
      </c>
    </row>
    <row r="126" spans="1:268" ht="16.25" customHeight="1" x14ac:dyDescent="0.2">
      <c r="A126" s="21" t="s">
        <v>568</v>
      </c>
      <c r="B126" s="1" t="s">
        <v>64</v>
      </c>
      <c r="C126" s="27">
        <f>96+(9+(47.41/60))/60</f>
        <v>96.163169444444449</v>
      </c>
      <c r="D126" s="27">
        <f>23+(38+(4.3/60))/60</f>
        <v>23.634527777777777</v>
      </c>
      <c r="E126" s="1" t="s">
        <v>72</v>
      </c>
      <c r="F126" s="1" t="s">
        <v>569</v>
      </c>
      <c r="H126" s="1" t="s">
        <v>467</v>
      </c>
      <c r="I126" s="1">
        <v>0</v>
      </c>
      <c r="AD126" s="1">
        <v>0</v>
      </c>
      <c r="AY126" s="1">
        <v>40</v>
      </c>
      <c r="BG126" s="1" t="s">
        <v>570</v>
      </c>
      <c r="BT126" s="1">
        <v>0</v>
      </c>
      <c r="CO126" s="1">
        <v>0</v>
      </c>
      <c r="DJ126" s="1" t="s">
        <v>163</v>
      </c>
      <c r="DK126" s="1" t="s">
        <v>163</v>
      </c>
      <c r="DL126" s="1">
        <f t="shared" si="292"/>
        <v>2.15</v>
      </c>
      <c r="DM126" s="1">
        <f t="shared" si="293"/>
        <v>0</v>
      </c>
      <c r="DN126" s="1" t="s">
        <v>471</v>
      </c>
      <c r="DO126" s="1" t="s">
        <v>2</v>
      </c>
      <c r="DP126" s="38">
        <f t="shared" si="300"/>
        <v>0</v>
      </c>
      <c r="DQ126" s="38">
        <f t="shared" si="301"/>
        <v>0</v>
      </c>
      <c r="DR126" s="38">
        <f t="shared" si="302"/>
        <v>0</v>
      </c>
      <c r="DS126" s="38">
        <f t="shared" si="303"/>
        <v>0</v>
      </c>
      <c r="DT126" s="38">
        <f t="shared" si="304"/>
        <v>0</v>
      </c>
      <c r="DU126" s="38">
        <f t="shared" si="305"/>
        <v>0</v>
      </c>
      <c r="DV126" s="38">
        <f t="shared" si="306"/>
        <v>0</v>
      </c>
      <c r="DW126" s="38">
        <f t="shared" si="307"/>
        <v>0.86</v>
      </c>
      <c r="DX126" s="38">
        <f t="shared" si="308"/>
        <v>0</v>
      </c>
      <c r="DY126" s="38">
        <f t="shared" si="309"/>
        <v>0</v>
      </c>
      <c r="DZ126" s="38">
        <f t="shared" si="310"/>
        <v>0</v>
      </c>
      <c r="EA126" s="38">
        <f t="shared" si="311"/>
        <v>0</v>
      </c>
      <c r="EB126" s="38">
        <f t="shared" si="312"/>
        <v>0</v>
      </c>
      <c r="EC126" s="38">
        <f t="shared" si="313"/>
        <v>0</v>
      </c>
      <c r="ED126" s="38">
        <f t="shared" si="314"/>
        <v>0</v>
      </c>
      <c r="EE126" s="38">
        <f t="shared" si="315"/>
        <v>0</v>
      </c>
      <c r="EG126" s="38">
        <f t="shared" si="316"/>
        <v>0</v>
      </c>
      <c r="EH126" s="38">
        <f t="shared" si="317"/>
        <v>0</v>
      </c>
      <c r="EI126" s="38">
        <f t="shared" si="318"/>
        <v>0</v>
      </c>
      <c r="EJ126" s="38">
        <f t="shared" si="319"/>
        <v>0</v>
      </c>
      <c r="EK126" s="38">
        <f t="shared" si="320"/>
        <v>0</v>
      </c>
      <c r="EL126" s="38">
        <f t="shared" si="321"/>
        <v>0</v>
      </c>
      <c r="EM126" s="38">
        <f t="shared" si="322"/>
        <v>0</v>
      </c>
      <c r="EN126" s="38">
        <f t="shared" si="323"/>
        <v>0</v>
      </c>
      <c r="EO126" s="38">
        <f t="shared" si="324"/>
        <v>0</v>
      </c>
      <c r="EP126" s="38">
        <f t="shared" si="325"/>
        <v>11278.039999999999</v>
      </c>
      <c r="EQ126" s="38">
        <f t="shared" si="326"/>
        <v>0</v>
      </c>
      <c r="ER126" s="38">
        <f t="shared" si="327"/>
        <v>0</v>
      </c>
      <c r="ES126" s="38">
        <f t="shared" si="328"/>
        <v>0</v>
      </c>
      <c r="ET126" s="38">
        <f t="shared" si="329"/>
        <v>0</v>
      </c>
      <c r="EU126" s="38">
        <f t="shared" si="330"/>
        <v>0</v>
      </c>
      <c r="EV126" s="38">
        <f t="shared" si="331"/>
        <v>0</v>
      </c>
      <c r="EW126" s="38">
        <f t="shared" si="332"/>
        <v>0</v>
      </c>
      <c r="EX126" s="38">
        <f t="shared" si="333"/>
        <v>0</v>
      </c>
      <c r="EZ126" s="38">
        <f t="shared" si="334"/>
        <v>0</v>
      </c>
      <c r="FA126" s="38">
        <f t="shared" si="335"/>
        <v>0</v>
      </c>
      <c r="FB126" s="1">
        <f t="shared" si="336"/>
        <v>0</v>
      </c>
      <c r="FC126" s="1">
        <f t="shared" si="337"/>
        <v>0</v>
      </c>
      <c r="FD126" s="1">
        <f t="shared" si="338"/>
        <v>0</v>
      </c>
      <c r="FE126" s="1">
        <f t="shared" si="339"/>
        <v>0</v>
      </c>
      <c r="FF126" s="1">
        <f t="shared" si="340"/>
        <v>0</v>
      </c>
      <c r="FG126" s="1">
        <f t="shared" si="341"/>
        <v>0</v>
      </c>
      <c r="FH126" s="1">
        <f t="shared" si="342"/>
        <v>0</v>
      </c>
      <c r="FI126" s="1">
        <f t="shared" si="343"/>
        <v>0</v>
      </c>
      <c r="FJ126" s="1">
        <f t="shared" si="344"/>
        <v>0</v>
      </c>
      <c r="FK126" s="1">
        <f t="shared" si="345"/>
        <v>0</v>
      </c>
      <c r="FL126" s="1">
        <f t="shared" si="346"/>
        <v>0</v>
      </c>
      <c r="FM126" s="1">
        <f t="shared" si="347"/>
        <v>0</v>
      </c>
      <c r="FN126" s="1">
        <f t="shared" si="348"/>
        <v>0</v>
      </c>
      <c r="FO126" s="1">
        <f t="shared" si="349"/>
        <v>0</v>
      </c>
      <c r="FP126" s="1">
        <f t="shared" si="350"/>
        <v>0</v>
      </c>
      <c r="FQ126" s="1">
        <f t="shared" si="351"/>
        <v>0</v>
      </c>
      <c r="FS126" s="1">
        <f t="shared" si="352"/>
        <v>0</v>
      </c>
      <c r="FT126" s="1">
        <f t="shared" si="353"/>
        <v>0</v>
      </c>
      <c r="FU126" s="38">
        <f t="shared" si="354"/>
        <v>0</v>
      </c>
      <c r="FV126" s="38">
        <f t="shared" si="355"/>
        <v>0</v>
      </c>
      <c r="FW126" s="38">
        <f t="shared" si="356"/>
        <v>0</v>
      </c>
      <c r="FX126" s="38">
        <f t="shared" si="357"/>
        <v>0</v>
      </c>
      <c r="FY126" s="38">
        <f t="shared" si="358"/>
        <v>0</v>
      </c>
      <c r="FZ126" s="38">
        <f t="shared" si="359"/>
        <v>0</v>
      </c>
      <c r="GA126" s="38">
        <f t="shared" si="360"/>
        <v>0</v>
      </c>
      <c r="GB126" s="38">
        <f t="shared" si="361"/>
        <v>0</v>
      </c>
      <c r="GC126" s="38">
        <f t="shared" si="362"/>
        <v>0</v>
      </c>
      <c r="GD126" s="38">
        <f t="shared" si="363"/>
        <v>0</v>
      </c>
      <c r="GE126" s="38">
        <f t="shared" si="364"/>
        <v>0</v>
      </c>
      <c r="GF126" s="38">
        <f t="shared" si="365"/>
        <v>0</v>
      </c>
      <c r="GG126" s="38">
        <f t="shared" si="366"/>
        <v>0</v>
      </c>
      <c r="GH126" s="38">
        <f t="shared" si="367"/>
        <v>0</v>
      </c>
      <c r="GI126" s="38">
        <f t="shared" si="368"/>
        <v>0</v>
      </c>
      <c r="GJ126" s="38">
        <f t="shared" si="369"/>
        <v>0</v>
      </c>
      <c r="GL126" s="38">
        <f t="shared" si="370"/>
        <v>0</v>
      </c>
      <c r="GM126" s="38">
        <f t="shared" si="371"/>
        <v>0</v>
      </c>
      <c r="GN126" s="1" t="s">
        <v>2</v>
      </c>
      <c r="GO126" s="1">
        <f t="shared" si="294"/>
        <v>40</v>
      </c>
      <c r="GP126" s="13">
        <f t="shared" si="295"/>
        <v>2.15</v>
      </c>
      <c r="GQ126" s="41">
        <f t="shared" si="296"/>
        <v>860</v>
      </c>
      <c r="GR126" s="41">
        <f t="shared" si="297"/>
        <v>11278.039999999999</v>
      </c>
      <c r="GS126" s="14">
        <f t="shared" si="298"/>
        <v>281.95099999999996</v>
      </c>
      <c r="GT126" s="1">
        <f t="shared" si="372"/>
        <v>0</v>
      </c>
      <c r="GU126" s="1">
        <f t="shared" si="373"/>
        <v>0</v>
      </c>
      <c r="GV126" s="1">
        <f t="shared" si="374"/>
        <v>860</v>
      </c>
      <c r="GW126" s="37">
        <f t="shared" si="299"/>
        <v>0</v>
      </c>
      <c r="GX126" s="37"/>
      <c r="GY126" s="37"/>
      <c r="GZ126" s="37"/>
      <c r="HB126" s="1">
        <f t="shared" si="375"/>
        <v>0</v>
      </c>
      <c r="HC126" s="1">
        <f t="shared" si="376"/>
        <v>0</v>
      </c>
      <c r="HD126" s="37" t="s">
        <v>2</v>
      </c>
      <c r="HE126" s="1" t="s">
        <v>31</v>
      </c>
      <c r="HF126" s="1" t="s">
        <v>490</v>
      </c>
      <c r="HG126" s="1" t="s">
        <v>490</v>
      </c>
      <c r="HI126" s="1" t="s">
        <v>163</v>
      </c>
      <c r="HJ126" s="37" t="s">
        <v>2</v>
      </c>
      <c r="JH126" s="58" t="s">
        <v>2</v>
      </c>
    </row>
    <row r="127" spans="1:268" ht="16.25" customHeight="1" x14ac:dyDescent="0.2">
      <c r="A127" s="21" t="s">
        <v>901</v>
      </c>
      <c r="B127" s="1" t="s">
        <v>69</v>
      </c>
      <c r="F127" s="1" t="s">
        <v>131</v>
      </c>
      <c r="I127" s="1">
        <v>0</v>
      </c>
      <c r="AD127" s="1">
        <v>0</v>
      </c>
      <c r="AY127" s="1">
        <v>2.5</v>
      </c>
      <c r="BG127" s="1">
        <v>1.55</v>
      </c>
      <c r="BT127" s="1">
        <v>0</v>
      </c>
      <c r="CO127" s="1">
        <v>0</v>
      </c>
      <c r="DJ127" s="1" t="s">
        <v>163</v>
      </c>
      <c r="DL127" s="1">
        <f t="shared" si="292"/>
        <v>1.55</v>
      </c>
      <c r="DM127" s="1">
        <f t="shared" si="293"/>
        <v>0</v>
      </c>
      <c r="DN127" s="1" t="s">
        <v>899</v>
      </c>
      <c r="DO127" s="1" t="s">
        <v>2</v>
      </c>
      <c r="DP127" s="38">
        <f t="shared" si="300"/>
        <v>0</v>
      </c>
      <c r="DQ127" s="38">
        <f t="shared" si="301"/>
        <v>0</v>
      </c>
      <c r="DR127" s="38">
        <f t="shared" si="302"/>
        <v>0</v>
      </c>
      <c r="DS127" s="38">
        <f t="shared" si="303"/>
        <v>0</v>
      </c>
      <c r="DT127" s="38">
        <f t="shared" si="304"/>
        <v>0</v>
      </c>
      <c r="DU127" s="38">
        <f t="shared" si="305"/>
        <v>0</v>
      </c>
      <c r="DV127" s="38">
        <f t="shared" si="306"/>
        <v>0</v>
      </c>
      <c r="DW127" s="38">
        <f t="shared" si="307"/>
        <v>3.875E-2</v>
      </c>
      <c r="DX127" s="38">
        <f t="shared" si="308"/>
        <v>0</v>
      </c>
      <c r="DY127" s="38">
        <f t="shared" si="309"/>
        <v>0</v>
      </c>
      <c r="DZ127" s="38">
        <f t="shared" si="310"/>
        <v>0</v>
      </c>
      <c r="EA127" s="38">
        <f t="shared" si="311"/>
        <v>0</v>
      </c>
      <c r="EB127" s="38">
        <f t="shared" si="312"/>
        <v>0</v>
      </c>
      <c r="EC127" s="38">
        <f t="shared" si="313"/>
        <v>0</v>
      </c>
      <c r="ED127" s="38">
        <f t="shared" si="314"/>
        <v>0</v>
      </c>
      <c r="EE127" s="38">
        <f t="shared" si="315"/>
        <v>0</v>
      </c>
      <c r="EG127" s="38">
        <f t="shared" si="316"/>
        <v>0</v>
      </c>
      <c r="EH127" s="38">
        <f t="shared" si="317"/>
        <v>0</v>
      </c>
      <c r="EI127" s="38">
        <f t="shared" si="318"/>
        <v>0</v>
      </c>
      <c r="EJ127" s="38">
        <f t="shared" si="319"/>
        <v>0</v>
      </c>
      <c r="EK127" s="38">
        <f t="shared" si="320"/>
        <v>0</v>
      </c>
      <c r="EL127" s="38">
        <f t="shared" si="321"/>
        <v>0</v>
      </c>
      <c r="EM127" s="38">
        <f t="shared" si="322"/>
        <v>0</v>
      </c>
      <c r="EN127" s="38">
        <f t="shared" si="323"/>
        <v>0</v>
      </c>
      <c r="EO127" s="38">
        <f t="shared" si="324"/>
        <v>0</v>
      </c>
      <c r="EP127" s="38">
        <f t="shared" si="325"/>
        <v>508.16750000000002</v>
      </c>
      <c r="EQ127" s="38">
        <f t="shared" si="326"/>
        <v>0</v>
      </c>
      <c r="ER127" s="38">
        <f t="shared" si="327"/>
        <v>0</v>
      </c>
      <c r="ES127" s="38">
        <f t="shared" si="328"/>
        <v>0</v>
      </c>
      <c r="ET127" s="38">
        <f t="shared" si="329"/>
        <v>0</v>
      </c>
      <c r="EU127" s="38">
        <f t="shared" si="330"/>
        <v>0</v>
      </c>
      <c r="EV127" s="38">
        <f t="shared" si="331"/>
        <v>0</v>
      </c>
      <c r="EW127" s="38">
        <f t="shared" si="332"/>
        <v>0</v>
      </c>
      <c r="EX127" s="38">
        <f t="shared" si="333"/>
        <v>0</v>
      </c>
      <c r="EZ127" s="38">
        <f t="shared" si="334"/>
        <v>0</v>
      </c>
      <c r="FA127" s="38">
        <f t="shared" si="335"/>
        <v>0</v>
      </c>
      <c r="FB127" s="1">
        <f t="shared" si="336"/>
        <v>0</v>
      </c>
      <c r="FC127" s="1">
        <f t="shared" si="337"/>
        <v>0</v>
      </c>
      <c r="FD127" s="1">
        <f t="shared" si="338"/>
        <v>0</v>
      </c>
      <c r="FE127" s="1">
        <f t="shared" si="339"/>
        <v>0</v>
      </c>
      <c r="FF127" s="1">
        <f t="shared" si="340"/>
        <v>0</v>
      </c>
      <c r="FG127" s="1">
        <f t="shared" si="341"/>
        <v>0</v>
      </c>
      <c r="FH127" s="1">
        <f t="shared" si="342"/>
        <v>0</v>
      </c>
      <c r="FI127" s="1">
        <f t="shared" si="343"/>
        <v>0</v>
      </c>
      <c r="FJ127" s="1">
        <f t="shared" si="344"/>
        <v>0</v>
      </c>
      <c r="FK127" s="1">
        <f t="shared" si="345"/>
        <v>0</v>
      </c>
      <c r="FL127" s="1">
        <f t="shared" si="346"/>
        <v>0</v>
      </c>
      <c r="FM127" s="1">
        <f t="shared" si="347"/>
        <v>0</v>
      </c>
      <c r="FN127" s="1">
        <f t="shared" si="348"/>
        <v>0</v>
      </c>
      <c r="FO127" s="1">
        <f t="shared" si="349"/>
        <v>0</v>
      </c>
      <c r="FP127" s="1">
        <f t="shared" si="350"/>
        <v>0</v>
      </c>
      <c r="FQ127" s="1">
        <f t="shared" si="351"/>
        <v>0</v>
      </c>
      <c r="FS127" s="1">
        <f t="shared" si="352"/>
        <v>0</v>
      </c>
      <c r="FT127" s="1">
        <f t="shared" si="353"/>
        <v>0</v>
      </c>
      <c r="FU127" s="38">
        <f t="shared" si="354"/>
        <v>0</v>
      </c>
      <c r="FV127" s="38">
        <f t="shared" si="355"/>
        <v>0</v>
      </c>
      <c r="FW127" s="38">
        <f t="shared" si="356"/>
        <v>0</v>
      </c>
      <c r="FX127" s="38">
        <f t="shared" si="357"/>
        <v>0</v>
      </c>
      <c r="FY127" s="38">
        <f t="shared" si="358"/>
        <v>0</v>
      </c>
      <c r="FZ127" s="38">
        <f t="shared" si="359"/>
        <v>0</v>
      </c>
      <c r="GA127" s="38">
        <f t="shared" si="360"/>
        <v>0</v>
      </c>
      <c r="GB127" s="38">
        <f t="shared" si="361"/>
        <v>0</v>
      </c>
      <c r="GC127" s="38">
        <f t="shared" si="362"/>
        <v>0</v>
      </c>
      <c r="GD127" s="38">
        <f t="shared" si="363"/>
        <v>0</v>
      </c>
      <c r="GE127" s="38">
        <f t="shared" si="364"/>
        <v>0</v>
      </c>
      <c r="GF127" s="38">
        <f t="shared" si="365"/>
        <v>0</v>
      </c>
      <c r="GG127" s="38">
        <f t="shared" si="366"/>
        <v>0</v>
      </c>
      <c r="GH127" s="38">
        <f t="shared" si="367"/>
        <v>0</v>
      </c>
      <c r="GI127" s="38">
        <f t="shared" si="368"/>
        <v>0</v>
      </c>
      <c r="GJ127" s="38">
        <f t="shared" si="369"/>
        <v>0</v>
      </c>
      <c r="GL127" s="38">
        <f t="shared" si="370"/>
        <v>0</v>
      </c>
      <c r="GM127" s="38">
        <f t="shared" si="371"/>
        <v>0</v>
      </c>
      <c r="GN127" s="1" t="s">
        <v>2</v>
      </c>
      <c r="GO127" s="1">
        <f t="shared" si="294"/>
        <v>2.5</v>
      </c>
      <c r="GP127" s="1">
        <f t="shared" si="295"/>
        <v>1.55</v>
      </c>
      <c r="GQ127" s="41">
        <f t="shared" si="296"/>
        <v>38.75</v>
      </c>
      <c r="GR127" s="41">
        <f t="shared" si="297"/>
        <v>508.16750000000002</v>
      </c>
      <c r="GS127" s="14">
        <f t="shared" si="298"/>
        <v>203.267</v>
      </c>
      <c r="GT127" s="1">
        <f t="shared" si="372"/>
        <v>0</v>
      </c>
      <c r="GU127" s="1">
        <f t="shared" si="373"/>
        <v>0</v>
      </c>
      <c r="GV127" s="1">
        <f t="shared" si="374"/>
        <v>38.75</v>
      </c>
      <c r="GW127" s="37">
        <f t="shared" si="299"/>
        <v>0</v>
      </c>
      <c r="GX127" s="37"/>
      <c r="GY127" s="37"/>
      <c r="GZ127" s="37"/>
      <c r="HB127" s="1">
        <f t="shared" si="375"/>
        <v>0</v>
      </c>
      <c r="HC127" s="1">
        <f t="shared" si="376"/>
        <v>0</v>
      </c>
      <c r="HD127" s="37" t="s">
        <v>2</v>
      </c>
      <c r="HE127" s="1" t="s">
        <v>31</v>
      </c>
      <c r="HF127" s="1" t="s">
        <v>490</v>
      </c>
      <c r="HI127" s="1" t="s">
        <v>163</v>
      </c>
      <c r="HJ127" s="37" t="s">
        <v>2</v>
      </c>
      <c r="JH127" s="58" t="s">
        <v>2</v>
      </c>
    </row>
    <row r="128" spans="1:268" ht="16.25" customHeight="1" x14ac:dyDescent="0.2">
      <c r="A128" s="21" t="s">
        <v>865</v>
      </c>
      <c r="B128" s="1" t="s">
        <v>69</v>
      </c>
      <c r="F128" s="1" t="s">
        <v>131</v>
      </c>
      <c r="I128" s="1">
        <v>0</v>
      </c>
      <c r="AD128" s="1">
        <v>0</v>
      </c>
      <c r="AY128" s="1">
        <v>770</v>
      </c>
      <c r="BG128" s="1">
        <v>0.77</v>
      </c>
      <c r="BH128" s="1">
        <v>4.2999999999999997E-2</v>
      </c>
      <c r="BJ128" s="1">
        <v>1.7</v>
      </c>
      <c r="BT128" s="1">
        <v>0</v>
      </c>
      <c r="CO128" s="1">
        <v>0</v>
      </c>
      <c r="DJ128" s="1" t="s">
        <v>163</v>
      </c>
      <c r="DK128" s="1" t="s">
        <v>163</v>
      </c>
      <c r="DL128" s="1">
        <f t="shared" si="292"/>
        <v>0.77</v>
      </c>
      <c r="DM128" s="1">
        <f t="shared" si="293"/>
        <v>4.2999999999999997E-2</v>
      </c>
      <c r="DN128" s="1" t="s">
        <v>866</v>
      </c>
      <c r="DO128" s="1" t="s">
        <v>2</v>
      </c>
      <c r="DP128" s="38">
        <f t="shared" si="300"/>
        <v>0</v>
      </c>
      <c r="DQ128" s="38">
        <f t="shared" si="301"/>
        <v>0</v>
      </c>
      <c r="DR128" s="38">
        <f t="shared" si="302"/>
        <v>0</v>
      </c>
      <c r="DS128" s="38">
        <f t="shared" si="303"/>
        <v>0</v>
      </c>
      <c r="DT128" s="38">
        <f t="shared" si="304"/>
        <v>0</v>
      </c>
      <c r="DU128" s="38">
        <f t="shared" si="305"/>
        <v>0</v>
      </c>
      <c r="DV128" s="38">
        <f t="shared" si="306"/>
        <v>0</v>
      </c>
      <c r="DW128" s="38">
        <f t="shared" si="307"/>
        <v>5.9289999999999994</v>
      </c>
      <c r="DX128" s="38">
        <f t="shared" si="308"/>
        <v>0.33110000000000001</v>
      </c>
      <c r="DY128" s="38">
        <f t="shared" si="309"/>
        <v>0</v>
      </c>
      <c r="DZ128" s="38">
        <f t="shared" si="310"/>
        <v>1309</v>
      </c>
      <c r="EA128" s="38">
        <f t="shared" si="311"/>
        <v>0</v>
      </c>
      <c r="EB128" s="38">
        <f t="shared" si="312"/>
        <v>0</v>
      </c>
      <c r="EC128" s="38">
        <f t="shared" si="313"/>
        <v>0</v>
      </c>
      <c r="ED128" s="38">
        <f t="shared" si="314"/>
        <v>0</v>
      </c>
      <c r="EE128" s="38">
        <f t="shared" si="315"/>
        <v>0</v>
      </c>
      <c r="EG128" s="38">
        <f t="shared" si="316"/>
        <v>0</v>
      </c>
      <c r="EH128" s="38">
        <f t="shared" si="317"/>
        <v>0</v>
      </c>
      <c r="EI128" s="38">
        <f t="shared" si="318"/>
        <v>0</v>
      </c>
      <c r="EJ128" s="38">
        <f t="shared" si="319"/>
        <v>0</v>
      </c>
      <c r="EK128" s="38">
        <f t="shared" si="320"/>
        <v>0</v>
      </c>
      <c r="EL128" s="38">
        <f t="shared" si="321"/>
        <v>0</v>
      </c>
      <c r="EM128" s="38">
        <f t="shared" si="322"/>
        <v>0</v>
      </c>
      <c r="EN128" s="38">
        <f t="shared" si="323"/>
        <v>0</v>
      </c>
      <c r="EO128" s="38">
        <f t="shared" si="324"/>
        <v>0</v>
      </c>
      <c r="EP128" s="38">
        <f t="shared" si="325"/>
        <v>77752.905999999988</v>
      </c>
      <c r="EQ128" s="38">
        <f t="shared" si="326"/>
        <v>24044.324396399996</v>
      </c>
      <c r="ER128" s="38">
        <f t="shared" si="327"/>
        <v>0</v>
      </c>
      <c r="ES128" s="38">
        <f t="shared" si="328"/>
        <v>43623.372025723475</v>
      </c>
      <c r="ET128" s="38">
        <f t="shared" si="329"/>
        <v>0</v>
      </c>
      <c r="EU128" s="38">
        <f t="shared" si="330"/>
        <v>0</v>
      </c>
      <c r="EV128" s="38">
        <f t="shared" si="331"/>
        <v>0</v>
      </c>
      <c r="EW128" s="38">
        <f t="shared" si="332"/>
        <v>0</v>
      </c>
      <c r="EX128" s="38">
        <f t="shared" si="333"/>
        <v>0</v>
      </c>
      <c r="EZ128" s="38">
        <f t="shared" si="334"/>
        <v>0</v>
      </c>
      <c r="FA128" s="38">
        <f t="shared" si="335"/>
        <v>0</v>
      </c>
      <c r="FB128" s="1">
        <f t="shared" si="336"/>
        <v>0</v>
      </c>
      <c r="FC128" s="1">
        <f t="shared" si="337"/>
        <v>0</v>
      </c>
      <c r="FD128" s="1">
        <f t="shared" si="338"/>
        <v>0</v>
      </c>
      <c r="FE128" s="1">
        <f t="shared" si="339"/>
        <v>0</v>
      </c>
      <c r="FF128" s="1">
        <f t="shared" si="340"/>
        <v>0</v>
      </c>
      <c r="FG128" s="1">
        <f t="shared" si="341"/>
        <v>0</v>
      </c>
      <c r="FH128" s="1">
        <f t="shared" si="342"/>
        <v>0</v>
      </c>
      <c r="FI128" s="1">
        <f t="shared" si="343"/>
        <v>0</v>
      </c>
      <c r="FJ128" s="1">
        <f t="shared" si="344"/>
        <v>0</v>
      </c>
      <c r="FK128" s="1">
        <f t="shared" si="345"/>
        <v>0</v>
      </c>
      <c r="FL128" s="1">
        <f t="shared" si="346"/>
        <v>0</v>
      </c>
      <c r="FM128" s="1">
        <f t="shared" si="347"/>
        <v>0</v>
      </c>
      <c r="FN128" s="1">
        <f t="shared" si="348"/>
        <v>0</v>
      </c>
      <c r="FO128" s="1">
        <f t="shared" si="349"/>
        <v>0</v>
      </c>
      <c r="FP128" s="1">
        <f t="shared" si="350"/>
        <v>0</v>
      </c>
      <c r="FQ128" s="1">
        <f t="shared" si="351"/>
        <v>0</v>
      </c>
      <c r="FS128" s="1">
        <f t="shared" si="352"/>
        <v>0</v>
      </c>
      <c r="FT128" s="1">
        <f t="shared" si="353"/>
        <v>0</v>
      </c>
      <c r="FU128" s="38">
        <f t="shared" si="354"/>
        <v>0</v>
      </c>
      <c r="FV128" s="38">
        <f t="shared" si="355"/>
        <v>0</v>
      </c>
      <c r="FW128" s="38">
        <f t="shared" si="356"/>
        <v>0</v>
      </c>
      <c r="FX128" s="38">
        <f t="shared" si="357"/>
        <v>0</v>
      </c>
      <c r="FY128" s="38">
        <f t="shared" si="358"/>
        <v>0</v>
      </c>
      <c r="FZ128" s="38">
        <f t="shared" si="359"/>
        <v>0</v>
      </c>
      <c r="GA128" s="38">
        <f t="shared" si="360"/>
        <v>0</v>
      </c>
      <c r="GB128" s="38">
        <f t="shared" si="361"/>
        <v>0</v>
      </c>
      <c r="GC128" s="38">
        <f t="shared" si="362"/>
        <v>0</v>
      </c>
      <c r="GD128" s="38">
        <f t="shared" si="363"/>
        <v>0</v>
      </c>
      <c r="GE128" s="38">
        <f t="shared" si="364"/>
        <v>0</v>
      </c>
      <c r="GF128" s="38">
        <f t="shared" si="365"/>
        <v>0</v>
      </c>
      <c r="GG128" s="38">
        <f t="shared" si="366"/>
        <v>0</v>
      </c>
      <c r="GH128" s="38">
        <f t="shared" si="367"/>
        <v>0</v>
      </c>
      <c r="GI128" s="38">
        <f t="shared" si="368"/>
        <v>0</v>
      </c>
      <c r="GJ128" s="38">
        <f t="shared" si="369"/>
        <v>0</v>
      </c>
      <c r="GL128" s="38">
        <f t="shared" si="370"/>
        <v>0</v>
      </c>
      <c r="GM128" s="38">
        <f t="shared" si="371"/>
        <v>0</v>
      </c>
      <c r="GN128" s="1" t="s">
        <v>2</v>
      </c>
      <c r="GO128" s="1">
        <f t="shared" si="294"/>
        <v>770</v>
      </c>
      <c r="GP128" s="1">
        <f t="shared" si="295"/>
        <v>0.77</v>
      </c>
      <c r="GQ128" s="43">
        <f t="shared" si="296"/>
        <v>5929</v>
      </c>
      <c r="GR128" s="41">
        <f t="shared" si="297"/>
        <v>145420.60242212345</v>
      </c>
      <c r="GS128" s="14">
        <f t="shared" si="298"/>
        <v>188.85792522353697</v>
      </c>
      <c r="GT128" s="1">
        <f t="shared" si="372"/>
        <v>0</v>
      </c>
      <c r="GU128" s="1">
        <f t="shared" si="373"/>
        <v>0</v>
      </c>
      <c r="GV128" s="1">
        <f t="shared" si="374"/>
        <v>5929</v>
      </c>
      <c r="GW128" s="37">
        <f t="shared" si="299"/>
        <v>0</v>
      </c>
      <c r="GX128" s="37"/>
      <c r="GY128" s="37"/>
      <c r="GZ128" s="37"/>
      <c r="HB128" s="1">
        <f t="shared" si="375"/>
        <v>0</v>
      </c>
      <c r="HC128" s="1">
        <f t="shared" si="376"/>
        <v>0</v>
      </c>
      <c r="HD128" s="37" t="s">
        <v>2</v>
      </c>
      <c r="HE128" s="1" t="s">
        <v>31</v>
      </c>
      <c r="HF128" s="1" t="s">
        <v>867</v>
      </c>
      <c r="HI128" s="1" t="s">
        <v>163</v>
      </c>
      <c r="HJ128" s="37" t="s">
        <v>2</v>
      </c>
      <c r="JH128" s="58" t="s">
        <v>2</v>
      </c>
    </row>
    <row r="129" spans="1:268" ht="16.25" customHeight="1" x14ac:dyDescent="0.2">
      <c r="A129" s="21" t="s">
        <v>1160</v>
      </c>
      <c r="B129" s="1" t="s">
        <v>69</v>
      </c>
      <c r="F129" s="1" t="s">
        <v>131</v>
      </c>
      <c r="I129" s="1">
        <v>0</v>
      </c>
      <c r="AD129" s="1">
        <v>0</v>
      </c>
      <c r="AY129" s="1">
        <v>17</v>
      </c>
      <c r="BG129" s="1">
        <v>1.3</v>
      </c>
      <c r="BT129" s="1">
        <v>0</v>
      </c>
      <c r="CO129" s="1">
        <v>0</v>
      </c>
      <c r="DJ129" s="1" t="s">
        <v>163</v>
      </c>
      <c r="DL129" s="1">
        <f t="shared" si="292"/>
        <v>1.3</v>
      </c>
      <c r="DM129" s="1">
        <f t="shared" si="293"/>
        <v>0</v>
      </c>
      <c r="DN129" s="1" t="s">
        <v>1161</v>
      </c>
      <c r="DO129" s="1" t="s">
        <v>2</v>
      </c>
      <c r="DP129" s="38">
        <f t="shared" si="300"/>
        <v>0</v>
      </c>
      <c r="DQ129" s="38">
        <f t="shared" si="301"/>
        <v>0</v>
      </c>
      <c r="DR129" s="38">
        <f t="shared" si="302"/>
        <v>0</v>
      </c>
      <c r="DS129" s="38">
        <f t="shared" si="303"/>
        <v>0</v>
      </c>
      <c r="DT129" s="38">
        <f t="shared" si="304"/>
        <v>0</v>
      </c>
      <c r="DU129" s="38">
        <f t="shared" si="305"/>
        <v>0</v>
      </c>
      <c r="DV129" s="38">
        <f t="shared" si="306"/>
        <v>0</v>
      </c>
      <c r="DW129" s="38">
        <f t="shared" si="307"/>
        <v>0.221</v>
      </c>
      <c r="DX129" s="38">
        <f t="shared" si="308"/>
        <v>0</v>
      </c>
      <c r="DY129" s="38">
        <f t="shared" si="309"/>
        <v>0</v>
      </c>
      <c r="DZ129" s="38">
        <f t="shared" si="310"/>
        <v>0</v>
      </c>
      <c r="EA129" s="38">
        <f t="shared" si="311"/>
        <v>0</v>
      </c>
      <c r="EB129" s="38">
        <f t="shared" si="312"/>
        <v>0</v>
      </c>
      <c r="EC129" s="38">
        <f t="shared" si="313"/>
        <v>0</v>
      </c>
      <c r="ED129" s="38">
        <f t="shared" si="314"/>
        <v>0</v>
      </c>
      <c r="EE129" s="38">
        <f t="shared" si="315"/>
        <v>0</v>
      </c>
      <c r="EG129" s="38">
        <f t="shared" si="316"/>
        <v>0</v>
      </c>
      <c r="EH129" s="38">
        <f t="shared" si="317"/>
        <v>0</v>
      </c>
      <c r="EI129" s="38">
        <f t="shared" si="318"/>
        <v>0</v>
      </c>
      <c r="EJ129" s="38">
        <f t="shared" si="319"/>
        <v>0</v>
      </c>
      <c r="EK129" s="38">
        <f t="shared" si="320"/>
        <v>0</v>
      </c>
      <c r="EL129" s="38">
        <f t="shared" si="321"/>
        <v>0</v>
      </c>
      <c r="EM129" s="38">
        <f t="shared" si="322"/>
        <v>0</v>
      </c>
      <c r="EN129" s="38">
        <f t="shared" si="323"/>
        <v>0</v>
      </c>
      <c r="EO129" s="38">
        <f t="shared" si="324"/>
        <v>0</v>
      </c>
      <c r="EP129" s="38">
        <f t="shared" si="325"/>
        <v>2898.194</v>
      </c>
      <c r="EQ129" s="38">
        <f t="shared" si="326"/>
        <v>0</v>
      </c>
      <c r="ER129" s="38">
        <f t="shared" si="327"/>
        <v>0</v>
      </c>
      <c r="ES129" s="38">
        <f t="shared" si="328"/>
        <v>0</v>
      </c>
      <c r="ET129" s="38">
        <f t="shared" si="329"/>
        <v>0</v>
      </c>
      <c r="EU129" s="38">
        <f t="shared" si="330"/>
        <v>0</v>
      </c>
      <c r="EV129" s="38">
        <f t="shared" si="331"/>
        <v>0</v>
      </c>
      <c r="EW129" s="38">
        <f t="shared" si="332"/>
        <v>0</v>
      </c>
      <c r="EX129" s="38">
        <f t="shared" si="333"/>
        <v>0</v>
      </c>
      <c r="EZ129" s="38">
        <f t="shared" si="334"/>
        <v>0</v>
      </c>
      <c r="FA129" s="38">
        <f t="shared" si="335"/>
        <v>0</v>
      </c>
      <c r="FB129" s="1">
        <f t="shared" si="336"/>
        <v>0</v>
      </c>
      <c r="FC129" s="1">
        <f t="shared" si="337"/>
        <v>0</v>
      </c>
      <c r="FD129" s="1">
        <f t="shared" si="338"/>
        <v>0</v>
      </c>
      <c r="FE129" s="1">
        <f t="shared" si="339"/>
        <v>0</v>
      </c>
      <c r="FF129" s="1">
        <f t="shared" si="340"/>
        <v>0</v>
      </c>
      <c r="FG129" s="1">
        <f t="shared" si="341"/>
        <v>0</v>
      </c>
      <c r="FH129" s="1">
        <f t="shared" si="342"/>
        <v>0</v>
      </c>
      <c r="FI129" s="1">
        <f t="shared" si="343"/>
        <v>0</v>
      </c>
      <c r="FJ129" s="1">
        <f t="shared" si="344"/>
        <v>0</v>
      </c>
      <c r="FK129" s="1">
        <f t="shared" si="345"/>
        <v>0</v>
      </c>
      <c r="FL129" s="1">
        <f t="shared" si="346"/>
        <v>0</v>
      </c>
      <c r="FM129" s="1">
        <f t="shared" si="347"/>
        <v>0</v>
      </c>
      <c r="FN129" s="1">
        <f t="shared" si="348"/>
        <v>0</v>
      </c>
      <c r="FO129" s="1">
        <f t="shared" si="349"/>
        <v>0</v>
      </c>
      <c r="FP129" s="1">
        <f t="shared" si="350"/>
        <v>0</v>
      </c>
      <c r="FQ129" s="1">
        <f t="shared" si="351"/>
        <v>0</v>
      </c>
      <c r="FS129" s="1">
        <f t="shared" si="352"/>
        <v>0</v>
      </c>
      <c r="FT129" s="1">
        <f t="shared" si="353"/>
        <v>0</v>
      </c>
      <c r="FU129" s="38">
        <f t="shared" si="354"/>
        <v>0</v>
      </c>
      <c r="FV129" s="38">
        <f t="shared" si="355"/>
        <v>0</v>
      </c>
      <c r="FW129" s="38">
        <f t="shared" si="356"/>
        <v>0</v>
      </c>
      <c r="FX129" s="38">
        <f t="shared" si="357"/>
        <v>0</v>
      </c>
      <c r="FY129" s="38">
        <f t="shared" si="358"/>
        <v>0</v>
      </c>
      <c r="FZ129" s="38">
        <f t="shared" si="359"/>
        <v>0</v>
      </c>
      <c r="GA129" s="38">
        <f t="shared" si="360"/>
        <v>0</v>
      </c>
      <c r="GB129" s="38">
        <f t="shared" si="361"/>
        <v>0</v>
      </c>
      <c r="GC129" s="38">
        <f t="shared" si="362"/>
        <v>0</v>
      </c>
      <c r="GD129" s="38">
        <f t="shared" si="363"/>
        <v>0</v>
      </c>
      <c r="GE129" s="38">
        <f t="shared" si="364"/>
        <v>0</v>
      </c>
      <c r="GF129" s="38">
        <f t="shared" si="365"/>
        <v>0</v>
      </c>
      <c r="GG129" s="38">
        <f t="shared" si="366"/>
        <v>0</v>
      </c>
      <c r="GH129" s="38">
        <f t="shared" si="367"/>
        <v>0</v>
      </c>
      <c r="GI129" s="38">
        <f t="shared" si="368"/>
        <v>0</v>
      </c>
      <c r="GJ129" s="38">
        <f t="shared" si="369"/>
        <v>0</v>
      </c>
      <c r="GL129" s="38">
        <f t="shared" si="370"/>
        <v>0</v>
      </c>
      <c r="GM129" s="38">
        <f t="shared" si="371"/>
        <v>0</v>
      </c>
      <c r="GN129" s="1" t="s">
        <v>2</v>
      </c>
      <c r="GO129" s="1">
        <f t="shared" si="294"/>
        <v>17</v>
      </c>
      <c r="GP129" s="1">
        <f t="shared" si="295"/>
        <v>1.3</v>
      </c>
      <c r="GQ129" s="41">
        <f t="shared" si="296"/>
        <v>221</v>
      </c>
      <c r="GR129" s="41">
        <f t="shared" si="297"/>
        <v>2898.194</v>
      </c>
      <c r="GS129" s="14">
        <f t="shared" si="298"/>
        <v>170.482</v>
      </c>
      <c r="GT129" s="1">
        <f t="shared" si="372"/>
        <v>0</v>
      </c>
      <c r="GU129" s="1">
        <f t="shared" si="373"/>
        <v>0</v>
      </c>
      <c r="GV129" s="1">
        <f t="shared" si="374"/>
        <v>221</v>
      </c>
      <c r="GW129" s="37">
        <f t="shared" si="299"/>
        <v>0</v>
      </c>
      <c r="GX129" s="37"/>
      <c r="GY129" s="37"/>
      <c r="GZ129" s="37"/>
      <c r="HB129" s="1">
        <f t="shared" si="375"/>
        <v>0</v>
      </c>
      <c r="HC129" s="1">
        <f t="shared" si="376"/>
        <v>0</v>
      </c>
      <c r="HD129" s="37" t="s">
        <v>2</v>
      </c>
      <c r="HE129" s="1" t="s">
        <v>31</v>
      </c>
      <c r="HF129" s="1" t="s">
        <v>614</v>
      </c>
      <c r="HG129" s="1" t="s">
        <v>614</v>
      </c>
      <c r="HI129" s="1" t="s">
        <v>163</v>
      </c>
      <c r="HJ129" s="37" t="s">
        <v>2</v>
      </c>
      <c r="JH129" s="58" t="s">
        <v>2</v>
      </c>
    </row>
    <row r="130" spans="1:268" ht="16.25" customHeight="1" x14ac:dyDescent="0.2">
      <c r="A130" s="21" t="s">
        <v>622</v>
      </c>
      <c r="B130" s="1" t="s">
        <v>69</v>
      </c>
      <c r="F130" s="1" t="s">
        <v>131</v>
      </c>
      <c r="I130" s="1">
        <v>0</v>
      </c>
      <c r="AD130" s="1">
        <v>0</v>
      </c>
      <c r="AY130" s="1">
        <v>13</v>
      </c>
      <c r="BG130" s="1">
        <v>1.4</v>
      </c>
      <c r="BT130" s="1">
        <v>0</v>
      </c>
      <c r="CO130" s="1">
        <v>0</v>
      </c>
      <c r="DJ130" s="1" t="s">
        <v>163</v>
      </c>
      <c r="DL130" s="1">
        <f t="shared" si="292"/>
        <v>1.4</v>
      </c>
      <c r="DM130" s="1">
        <f t="shared" si="293"/>
        <v>0</v>
      </c>
      <c r="DN130" s="1" t="s">
        <v>471</v>
      </c>
      <c r="DO130" s="1" t="s">
        <v>2</v>
      </c>
      <c r="DP130" s="38">
        <f t="shared" si="300"/>
        <v>0</v>
      </c>
      <c r="DQ130" s="38">
        <f t="shared" si="301"/>
        <v>0</v>
      </c>
      <c r="DR130" s="38">
        <f t="shared" si="302"/>
        <v>0</v>
      </c>
      <c r="DS130" s="38">
        <f t="shared" si="303"/>
        <v>0</v>
      </c>
      <c r="DT130" s="38">
        <f t="shared" si="304"/>
        <v>0</v>
      </c>
      <c r="DU130" s="38">
        <f t="shared" si="305"/>
        <v>0</v>
      </c>
      <c r="DV130" s="38">
        <f t="shared" si="306"/>
        <v>0</v>
      </c>
      <c r="DW130" s="38">
        <f t="shared" si="307"/>
        <v>0.182</v>
      </c>
      <c r="DX130" s="38">
        <f t="shared" si="308"/>
        <v>0</v>
      </c>
      <c r="DY130" s="38">
        <f t="shared" si="309"/>
        <v>0</v>
      </c>
      <c r="DZ130" s="38">
        <f t="shared" si="310"/>
        <v>0</v>
      </c>
      <c r="EA130" s="38">
        <f t="shared" si="311"/>
        <v>0</v>
      </c>
      <c r="EB130" s="38">
        <f t="shared" si="312"/>
        <v>0</v>
      </c>
      <c r="EC130" s="38">
        <f t="shared" si="313"/>
        <v>0</v>
      </c>
      <c r="ED130" s="38">
        <f t="shared" si="314"/>
        <v>0</v>
      </c>
      <c r="EE130" s="38">
        <f t="shared" si="315"/>
        <v>0</v>
      </c>
      <c r="EG130" s="38">
        <f t="shared" si="316"/>
        <v>0</v>
      </c>
      <c r="EH130" s="38">
        <f t="shared" si="317"/>
        <v>0</v>
      </c>
      <c r="EI130" s="38">
        <f t="shared" si="318"/>
        <v>0</v>
      </c>
      <c r="EJ130" s="38">
        <f t="shared" si="319"/>
        <v>0</v>
      </c>
      <c r="EK130" s="38">
        <f t="shared" si="320"/>
        <v>0</v>
      </c>
      <c r="EL130" s="38">
        <f t="shared" si="321"/>
        <v>0</v>
      </c>
      <c r="EM130" s="38">
        <f t="shared" si="322"/>
        <v>0</v>
      </c>
      <c r="EN130" s="38">
        <f t="shared" si="323"/>
        <v>0</v>
      </c>
      <c r="EO130" s="38">
        <f t="shared" si="324"/>
        <v>0</v>
      </c>
      <c r="EP130" s="38">
        <f t="shared" si="325"/>
        <v>2386.748</v>
      </c>
      <c r="EQ130" s="38">
        <f t="shared" si="326"/>
        <v>0</v>
      </c>
      <c r="ER130" s="38">
        <f t="shared" si="327"/>
        <v>0</v>
      </c>
      <c r="ES130" s="38">
        <f t="shared" si="328"/>
        <v>0</v>
      </c>
      <c r="ET130" s="38">
        <f t="shared" si="329"/>
        <v>0</v>
      </c>
      <c r="EU130" s="38">
        <f t="shared" si="330"/>
        <v>0</v>
      </c>
      <c r="EV130" s="38">
        <f t="shared" si="331"/>
        <v>0</v>
      </c>
      <c r="EW130" s="38">
        <f t="shared" si="332"/>
        <v>0</v>
      </c>
      <c r="EX130" s="38">
        <f t="shared" si="333"/>
        <v>0</v>
      </c>
      <c r="EZ130" s="38">
        <f t="shared" si="334"/>
        <v>0</v>
      </c>
      <c r="FA130" s="38">
        <f t="shared" si="335"/>
        <v>0</v>
      </c>
      <c r="FB130" s="1">
        <f t="shared" si="336"/>
        <v>0</v>
      </c>
      <c r="FC130" s="1">
        <f t="shared" si="337"/>
        <v>0</v>
      </c>
      <c r="FD130" s="1">
        <f t="shared" si="338"/>
        <v>0</v>
      </c>
      <c r="FE130" s="1">
        <f t="shared" si="339"/>
        <v>0</v>
      </c>
      <c r="FF130" s="1">
        <f t="shared" si="340"/>
        <v>0</v>
      </c>
      <c r="FG130" s="1">
        <f t="shared" si="341"/>
        <v>0</v>
      </c>
      <c r="FH130" s="1">
        <f t="shared" si="342"/>
        <v>0</v>
      </c>
      <c r="FI130" s="1">
        <f t="shared" si="343"/>
        <v>0</v>
      </c>
      <c r="FJ130" s="1">
        <f t="shared" si="344"/>
        <v>0</v>
      </c>
      <c r="FK130" s="1">
        <f t="shared" si="345"/>
        <v>0</v>
      </c>
      <c r="FL130" s="1">
        <f t="shared" si="346"/>
        <v>0</v>
      </c>
      <c r="FM130" s="1">
        <f t="shared" si="347"/>
        <v>0</v>
      </c>
      <c r="FN130" s="1">
        <f t="shared" si="348"/>
        <v>0</v>
      </c>
      <c r="FO130" s="1">
        <f t="shared" si="349"/>
        <v>0</v>
      </c>
      <c r="FP130" s="1">
        <f t="shared" si="350"/>
        <v>0</v>
      </c>
      <c r="FQ130" s="1">
        <f t="shared" si="351"/>
        <v>0</v>
      </c>
      <c r="FS130" s="1">
        <f t="shared" si="352"/>
        <v>0</v>
      </c>
      <c r="FT130" s="1">
        <f t="shared" si="353"/>
        <v>0</v>
      </c>
      <c r="FU130" s="38">
        <f t="shared" si="354"/>
        <v>0</v>
      </c>
      <c r="FV130" s="38">
        <f t="shared" si="355"/>
        <v>0</v>
      </c>
      <c r="FW130" s="38">
        <f t="shared" si="356"/>
        <v>0</v>
      </c>
      <c r="FX130" s="38">
        <f t="shared" si="357"/>
        <v>0</v>
      </c>
      <c r="FY130" s="38">
        <f t="shared" si="358"/>
        <v>0</v>
      </c>
      <c r="FZ130" s="38">
        <f t="shared" si="359"/>
        <v>0</v>
      </c>
      <c r="GA130" s="38">
        <f t="shared" si="360"/>
        <v>0</v>
      </c>
      <c r="GB130" s="38">
        <f t="shared" si="361"/>
        <v>0</v>
      </c>
      <c r="GC130" s="38">
        <f t="shared" si="362"/>
        <v>0</v>
      </c>
      <c r="GD130" s="38">
        <f t="shared" si="363"/>
        <v>0</v>
      </c>
      <c r="GE130" s="38">
        <f t="shared" si="364"/>
        <v>0</v>
      </c>
      <c r="GF130" s="38">
        <f t="shared" si="365"/>
        <v>0</v>
      </c>
      <c r="GG130" s="38">
        <f t="shared" si="366"/>
        <v>0</v>
      </c>
      <c r="GH130" s="38">
        <f t="shared" si="367"/>
        <v>0</v>
      </c>
      <c r="GI130" s="38">
        <f t="shared" si="368"/>
        <v>0</v>
      </c>
      <c r="GJ130" s="38">
        <f t="shared" si="369"/>
        <v>0</v>
      </c>
      <c r="GL130" s="38">
        <f t="shared" si="370"/>
        <v>0</v>
      </c>
      <c r="GM130" s="38">
        <f t="shared" si="371"/>
        <v>0</v>
      </c>
      <c r="GN130" s="1" t="s">
        <v>2</v>
      </c>
      <c r="GO130" s="1">
        <f t="shared" si="294"/>
        <v>13</v>
      </c>
      <c r="GP130" s="1">
        <f t="shared" si="295"/>
        <v>1.4</v>
      </c>
      <c r="GQ130" s="41">
        <f t="shared" si="296"/>
        <v>182</v>
      </c>
      <c r="GR130" s="41">
        <f t="shared" si="297"/>
        <v>2386.748</v>
      </c>
      <c r="GS130" s="14">
        <f t="shared" si="298"/>
        <v>183.596</v>
      </c>
      <c r="GT130" s="1">
        <f t="shared" si="372"/>
        <v>0</v>
      </c>
      <c r="GU130" s="1">
        <f t="shared" si="373"/>
        <v>0</v>
      </c>
      <c r="GV130" s="1">
        <f t="shared" si="374"/>
        <v>182</v>
      </c>
      <c r="GW130" s="37">
        <f t="shared" si="299"/>
        <v>0</v>
      </c>
      <c r="GX130" s="37"/>
      <c r="GY130" s="37"/>
      <c r="GZ130" s="37"/>
      <c r="HB130" s="1">
        <f t="shared" si="375"/>
        <v>0</v>
      </c>
      <c r="HC130" s="1">
        <f t="shared" si="376"/>
        <v>0</v>
      </c>
      <c r="HD130" s="37" t="s">
        <v>2</v>
      </c>
      <c r="HE130" s="1" t="s">
        <v>31</v>
      </c>
      <c r="HF130" s="1" t="s">
        <v>614</v>
      </c>
      <c r="HI130" s="1" t="s">
        <v>163</v>
      </c>
      <c r="HJ130" s="37" t="s">
        <v>2</v>
      </c>
      <c r="JH130" s="58" t="s">
        <v>2</v>
      </c>
    </row>
    <row r="131" spans="1:268" ht="16.25" customHeight="1" x14ac:dyDescent="0.2">
      <c r="A131" s="21" t="s">
        <v>809</v>
      </c>
      <c r="B131" s="1" t="s">
        <v>69</v>
      </c>
      <c r="F131" s="1" t="s">
        <v>810</v>
      </c>
      <c r="I131" s="1">
        <v>0</v>
      </c>
      <c r="AD131" s="1">
        <v>0</v>
      </c>
      <c r="AY131" s="1">
        <v>293</v>
      </c>
      <c r="BG131" s="1">
        <v>1.46</v>
      </c>
      <c r="BH131" s="1">
        <v>0.11</v>
      </c>
      <c r="BT131" s="1">
        <v>0</v>
      </c>
      <c r="CO131" s="1">
        <v>0</v>
      </c>
      <c r="DJ131" s="1" t="s">
        <v>163</v>
      </c>
      <c r="DK131" s="1" t="s">
        <v>163</v>
      </c>
      <c r="DL131" s="1">
        <f t="shared" si="292"/>
        <v>1.46</v>
      </c>
      <c r="DM131" s="1">
        <f t="shared" si="293"/>
        <v>0.10999999999999999</v>
      </c>
      <c r="DN131" s="1" t="s">
        <v>471</v>
      </c>
      <c r="DO131" s="1" t="s">
        <v>2</v>
      </c>
      <c r="DP131" s="38">
        <f t="shared" si="300"/>
        <v>0</v>
      </c>
      <c r="DQ131" s="38">
        <f t="shared" si="301"/>
        <v>0</v>
      </c>
      <c r="DR131" s="38">
        <f t="shared" si="302"/>
        <v>0</v>
      </c>
      <c r="DS131" s="38">
        <f t="shared" si="303"/>
        <v>0</v>
      </c>
      <c r="DT131" s="38">
        <f t="shared" si="304"/>
        <v>0</v>
      </c>
      <c r="DU131" s="38">
        <f t="shared" si="305"/>
        <v>0</v>
      </c>
      <c r="DV131" s="38">
        <f t="shared" si="306"/>
        <v>0</v>
      </c>
      <c r="DW131" s="38">
        <f t="shared" si="307"/>
        <v>4.2778</v>
      </c>
      <c r="DX131" s="38">
        <f t="shared" si="308"/>
        <v>0.32229999999999998</v>
      </c>
      <c r="DY131" s="38">
        <f t="shared" si="309"/>
        <v>0</v>
      </c>
      <c r="DZ131" s="38">
        <f t="shared" si="310"/>
        <v>0</v>
      </c>
      <c r="EA131" s="38">
        <f t="shared" si="311"/>
        <v>0</v>
      </c>
      <c r="EB131" s="38">
        <f t="shared" si="312"/>
        <v>0</v>
      </c>
      <c r="EC131" s="38">
        <f t="shared" si="313"/>
        <v>0</v>
      </c>
      <c r="ED131" s="38">
        <f t="shared" si="314"/>
        <v>0</v>
      </c>
      <c r="EE131" s="38">
        <f t="shared" si="315"/>
        <v>0</v>
      </c>
      <c r="EG131" s="38">
        <f t="shared" si="316"/>
        <v>0</v>
      </c>
      <c r="EH131" s="38">
        <f t="shared" si="317"/>
        <v>0</v>
      </c>
      <c r="EI131" s="38">
        <f t="shared" si="318"/>
        <v>0</v>
      </c>
      <c r="EJ131" s="38">
        <f t="shared" si="319"/>
        <v>0</v>
      </c>
      <c r="EK131" s="38">
        <f t="shared" si="320"/>
        <v>0</v>
      </c>
      <c r="EL131" s="38">
        <f t="shared" si="321"/>
        <v>0</v>
      </c>
      <c r="EM131" s="38">
        <f t="shared" si="322"/>
        <v>0</v>
      </c>
      <c r="EN131" s="38">
        <f t="shared" si="323"/>
        <v>0</v>
      </c>
      <c r="EO131" s="38">
        <f t="shared" si="324"/>
        <v>0</v>
      </c>
      <c r="EP131" s="38">
        <f t="shared" si="325"/>
        <v>56099.069199999998</v>
      </c>
      <c r="EQ131" s="38">
        <f t="shared" si="326"/>
        <v>23405.272585199997</v>
      </c>
      <c r="ER131" s="38">
        <f t="shared" si="327"/>
        <v>0</v>
      </c>
      <c r="ES131" s="38">
        <f t="shared" si="328"/>
        <v>0</v>
      </c>
      <c r="ET131" s="38">
        <f t="shared" si="329"/>
        <v>0</v>
      </c>
      <c r="EU131" s="38">
        <f t="shared" si="330"/>
        <v>0</v>
      </c>
      <c r="EV131" s="38">
        <f t="shared" si="331"/>
        <v>0</v>
      </c>
      <c r="EW131" s="38">
        <f t="shared" si="332"/>
        <v>0</v>
      </c>
      <c r="EX131" s="38">
        <f t="shared" si="333"/>
        <v>0</v>
      </c>
      <c r="EZ131" s="38">
        <f t="shared" si="334"/>
        <v>0</v>
      </c>
      <c r="FA131" s="38">
        <f t="shared" si="335"/>
        <v>0</v>
      </c>
      <c r="FB131" s="1">
        <f t="shared" si="336"/>
        <v>0</v>
      </c>
      <c r="FC131" s="1">
        <f t="shared" si="337"/>
        <v>0</v>
      </c>
      <c r="FD131" s="1">
        <f t="shared" si="338"/>
        <v>0</v>
      </c>
      <c r="FE131" s="1">
        <f t="shared" si="339"/>
        <v>0</v>
      </c>
      <c r="FF131" s="1">
        <f t="shared" si="340"/>
        <v>0</v>
      </c>
      <c r="FG131" s="1">
        <f t="shared" si="341"/>
        <v>0</v>
      </c>
      <c r="FH131" s="1">
        <f t="shared" si="342"/>
        <v>0</v>
      </c>
      <c r="FI131" s="1">
        <f t="shared" si="343"/>
        <v>0</v>
      </c>
      <c r="FJ131" s="1">
        <f t="shared" si="344"/>
        <v>0</v>
      </c>
      <c r="FK131" s="1">
        <f t="shared" si="345"/>
        <v>0</v>
      </c>
      <c r="FL131" s="1">
        <f t="shared" si="346"/>
        <v>0</v>
      </c>
      <c r="FM131" s="1">
        <f t="shared" si="347"/>
        <v>0</v>
      </c>
      <c r="FN131" s="1">
        <f t="shared" si="348"/>
        <v>0</v>
      </c>
      <c r="FO131" s="1">
        <f t="shared" si="349"/>
        <v>0</v>
      </c>
      <c r="FP131" s="1">
        <f t="shared" si="350"/>
        <v>0</v>
      </c>
      <c r="FQ131" s="1">
        <f t="shared" si="351"/>
        <v>0</v>
      </c>
      <c r="FS131" s="1">
        <f t="shared" si="352"/>
        <v>0</v>
      </c>
      <c r="FT131" s="1">
        <f t="shared" si="353"/>
        <v>0</v>
      </c>
      <c r="FU131" s="38">
        <f t="shared" si="354"/>
        <v>0</v>
      </c>
      <c r="FV131" s="38">
        <f t="shared" si="355"/>
        <v>0</v>
      </c>
      <c r="FW131" s="38">
        <f t="shared" si="356"/>
        <v>0</v>
      </c>
      <c r="FX131" s="38">
        <f t="shared" si="357"/>
        <v>0</v>
      </c>
      <c r="FY131" s="38">
        <f t="shared" si="358"/>
        <v>0</v>
      </c>
      <c r="FZ131" s="38">
        <f t="shared" si="359"/>
        <v>0</v>
      </c>
      <c r="GA131" s="38">
        <f t="shared" si="360"/>
        <v>0</v>
      </c>
      <c r="GB131" s="38">
        <f t="shared" si="361"/>
        <v>0</v>
      </c>
      <c r="GC131" s="38">
        <f t="shared" si="362"/>
        <v>0</v>
      </c>
      <c r="GD131" s="38">
        <f t="shared" si="363"/>
        <v>0</v>
      </c>
      <c r="GE131" s="38">
        <f t="shared" si="364"/>
        <v>0</v>
      </c>
      <c r="GF131" s="38">
        <f t="shared" si="365"/>
        <v>0</v>
      </c>
      <c r="GG131" s="38">
        <f t="shared" si="366"/>
        <v>0</v>
      </c>
      <c r="GH131" s="38">
        <f t="shared" si="367"/>
        <v>0</v>
      </c>
      <c r="GI131" s="38">
        <f t="shared" si="368"/>
        <v>0</v>
      </c>
      <c r="GJ131" s="38">
        <f t="shared" si="369"/>
        <v>0</v>
      </c>
      <c r="GL131" s="38">
        <f t="shared" si="370"/>
        <v>0</v>
      </c>
      <c r="GM131" s="38">
        <f t="shared" si="371"/>
        <v>0</v>
      </c>
      <c r="GN131" s="1" t="s">
        <v>2</v>
      </c>
      <c r="GO131" s="1">
        <f t="shared" si="294"/>
        <v>293</v>
      </c>
      <c r="GP131" s="1">
        <f t="shared" si="295"/>
        <v>1.46</v>
      </c>
      <c r="GQ131" s="43">
        <f t="shared" si="296"/>
        <v>4277.8</v>
      </c>
      <c r="GR131" s="41">
        <f t="shared" si="297"/>
        <v>79504.341785199998</v>
      </c>
      <c r="GS131" s="14">
        <f t="shared" si="298"/>
        <v>271.34587640000001</v>
      </c>
      <c r="GT131" s="1">
        <f t="shared" si="372"/>
        <v>0</v>
      </c>
      <c r="GU131" s="1">
        <f t="shared" si="373"/>
        <v>0</v>
      </c>
      <c r="GV131" s="1">
        <f t="shared" si="374"/>
        <v>4277.8</v>
      </c>
      <c r="GW131" s="37">
        <f t="shared" si="299"/>
        <v>0</v>
      </c>
      <c r="GX131" s="37"/>
      <c r="GY131" s="37"/>
      <c r="GZ131" s="37"/>
      <c r="HB131" s="1">
        <f t="shared" si="375"/>
        <v>0</v>
      </c>
      <c r="HC131" s="1">
        <f t="shared" si="376"/>
        <v>0</v>
      </c>
      <c r="HD131" s="37" t="s">
        <v>2</v>
      </c>
      <c r="HE131" s="1" t="s">
        <v>31</v>
      </c>
      <c r="HF131" s="1" t="s">
        <v>614</v>
      </c>
      <c r="HI131" s="1" t="s">
        <v>163</v>
      </c>
      <c r="HJ131" s="37" t="s">
        <v>2</v>
      </c>
      <c r="JH131" s="58" t="s">
        <v>2</v>
      </c>
    </row>
    <row r="132" spans="1:268" ht="16.25" customHeight="1" x14ac:dyDescent="0.2">
      <c r="A132" s="21" t="s">
        <v>465</v>
      </c>
      <c r="B132" s="1" t="s">
        <v>69</v>
      </c>
      <c r="F132" s="1" t="s">
        <v>466</v>
      </c>
      <c r="H132" s="1" t="s">
        <v>467</v>
      </c>
      <c r="I132" s="1">
        <v>0</v>
      </c>
      <c r="AD132" s="1">
        <v>0</v>
      </c>
      <c r="AY132" s="1">
        <v>175</v>
      </c>
      <c r="BG132" s="1">
        <v>1.77</v>
      </c>
      <c r="BT132" s="1">
        <v>0</v>
      </c>
      <c r="CO132" s="1">
        <v>0</v>
      </c>
      <c r="DJ132" s="1" t="s">
        <v>163</v>
      </c>
      <c r="DL132" s="1">
        <f t="shared" si="292"/>
        <v>1.77</v>
      </c>
      <c r="DM132" s="1">
        <f t="shared" si="293"/>
        <v>0</v>
      </c>
      <c r="DN132" s="1" t="s">
        <v>468</v>
      </c>
      <c r="DO132" s="1" t="s">
        <v>2</v>
      </c>
      <c r="DP132" s="38">
        <f t="shared" si="300"/>
        <v>0</v>
      </c>
      <c r="DQ132" s="38">
        <f t="shared" si="301"/>
        <v>0</v>
      </c>
      <c r="DR132" s="38">
        <f t="shared" si="302"/>
        <v>0</v>
      </c>
      <c r="DS132" s="38">
        <f t="shared" si="303"/>
        <v>0</v>
      </c>
      <c r="DT132" s="38">
        <f t="shared" si="304"/>
        <v>0</v>
      </c>
      <c r="DU132" s="38">
        <f t="shared" si="305"/>
        <v>0</v>
      </c>
      <c r="DV132" s="38">
        <f t="shared" si="306"/>
        <v>0</v>
      </c>
      <c r="DW132" s="38">
        <f t="shared" si="307"/>
        <v>3.0975000000000001</v>
      </c>
      <c r="DX132" s="38">
        <f t="shared" si="308"/>
        <v>0</v>
      </c>
      <c r="DY132" s="38">
        <f t="shared" si="309"/>
        <v>0</v>
      </c>
      <c r="DZ132" s="38">
        <f t="shared" si="310"/>
        <v>0</v>
      </c>
      <c r="EA132" s="38">
        <f t="shared" si="311"/>
        <v>0</v>
      </c>
      <c r="EB132" s="38">
        <f t="shared" si="312"/>
        <v>0</v>
      </c>
      <c r="EC132" s="38">
        <f t="shared" si="313"/>
        <v>0</v>
      </c>
      <c r="ED132" s="38">
        <f t="shared" si="314"/>
        <v>0</v>
      </c>
      <c r="EE132" s="38">
        <f t="shared" si="315"/>
        <v>0</v>
      </c>
      <c r="EG132" s="38">
        <f t="shared" si="316"/>
        <v>0</v>
      </c>
      <c r="EH132" s="38">
        <f t="shared" si="317"/>
        <v>0</v>
      </c>
      <c r="EI132" s="38">
        <f t="shared" si="318"/>
        <v>0</v>
      </c>
      <c r="EJ132" s="38">
        <f t="shared" si="319"/>
        <v>0</v>
      </c>
      <c r="EK132" s="38">
        <f t="shared" si="320"/>
        <v>0</v>
      </c>
      <c r="EL132" s="38">
        <f t="shared" si="321"/>
        <v>0</v>
      </c>
      <c r="EM132" s="38">
        <f t="shared" si="322"/>
        <v>0</v>
      </c>
      <c r="EN132" s="38">
        <f t="shared" si="323"/>
        <v>0</v>
      </c>
      <c r="EO132" s="38">
        <f t="shared" si="324"/>
        <v>0</v>
      </c>
      <c r="EP132" s="38">
        <f t="shared" si="325"/>
        <v>40620.615000000005</v>
      </c>
      <c r="EQ132" s="38">
        <f t="shared" si="326"/>
        <v>0</v>
      </c>
      <c r="ER132" s="38">
        <f t="shared" si="327"/>
        <v>0</v>
      </c>
      <c r="ES132" s="38">
        <f t="shared" si="328"/>
        <v>0</v>
      </c>
      <c r="ET132" s="38">
        <f t="shared" si="329"/>
        <v>0</v>
      </c>
      <c r="EU132" s="38">
        <f t="shared" si="330"/>
        <v>0</v>
      </c>
      <c r="EV132" s="38">
        <f t="shared" si="331"/>
        <v>0</v>
      </c>
      <c r="EW132" s="38">
        <f t="shared" si="332"/>
        <v>0</v>
      </c>
      <c r="EX132" s="38">
        <f t="shared" si="333"/>
        <v>0</v>
      </c>
      <c r="EZ132" s="38">
        <f t="shared" si="334"/>
        <v>0</v>
      </c>
      <c r="FA132" s="38">
        <f t="shared" si="335"/>
        <v>0</v>
      </c>
      <c r="FB132" s="1">
        <f t="shared" si="336"/>
        <v>0</v>
      </c>
      <c r="FC132" s="1">
        <f t="shared" si="337"/>
        <v>0</v>
      </c>
      <c r="FD132" s="1">
        <f t="shared" si="338"/>
        <v>0</v>
      </c>
      <c r="FE132" s="1">
        <f t="shared" si="339"/>
        <v>0</v>
      </c>
      <c r="FF132" s="1">
        <f t="shared" si="340"/>
        <v>0</v>
      </c>
      <c r="FG132" s="1">
        <f t="shared" si="341"/>
        <v>0</v>
      </c>
      <c r="FH132" s="1">
        <f t="shared" si="342"/>
        <v>0</v>
      </c>
      <c r="FI132" s="1">
        <f t="shared" si="343"/>
        <v>0</v>
      </c>
      <c r="FJ132" s="1">
        <f t="shared" si="344"/>
        <v>0</v>
      </c>
      <c r="FK132" s="1">
        <f t="shared" si="345"/>
        <v>0</v>
      </c>
      <c r="FL132" s="1">
        <f t="shared" si="346"/>
        <v>0</v>
      </c>
      <c r="FM132" s="1">
        <f t="shared" si="347"/>
        <v>0</v>
      </c>
      <c r="FN132" s="1">
        <f t="shared" si="348"/>
        <v>0</v>
      </c>
      <c r="FO132" s="1">
        <f t="shared" si="349"/>
        <v>0</v>
      </c>
      <c r="FP132" s="1">
        <f t="shared" si="350"/>
        <v>0</v>
      </c>
      <c r="FQ132" s="1">
        <f t="shared" si="351"/>
        <v>0</v>
      </c>
      <c r="FS132" s="1">
        <f t="shared" si="352"/>
        <v>0</v>
      </c>
      <c r="FT132" s="1">
        <f t="shared" si="353"/>
        <v>0</v>
      </c>
      <c r="FU132" s="38">
        <f t="shared" si="354"/>
        <v>0</v>
      </c>
      <c r="FV132" s="38">
        <f t="shared" si="355"/>
        <v>0</v>
      </c>
      <c r="FW132" s="38">
        <f t="shared" si="356"/>
        <v>0</v>
      </c>
      <c r="FX132" s="38">
        <f t="shared" si="357"/>
        <v>0</v>
      </c>
      <c r="FY132" s="38">
        <f t="shared" si="358"/>
        <v>0</v>
      </c>
      <c r="FZ132" s="38">
        <f t="shared" si="359"/>
        <v>0</v>
      </c>
      <c r="GA132" s="38">
        <f t="shared" si="360"/>
        <v>0</v>
      </c>
      <c r="GB132" s="38">
        <f t="shared" si="361"/>
        <v>0</v>
      </c>
      <c r="GC132" s="38">
        <f t="shared" si="362"/>
        <v>0</v>
      </c>
      <c r="GD132" s="38">
        <f t="shared" si="363"/>
        <v>0</v>
      </c>
      <c r="GE132" s="38">
        <f t="shared" si="364"/>
        <v>0</v>
      </c>
      <c r="GF132" s="38">
        <f t="shared" si="365"/>
        <v>0</v>
      </c>
      <c r="GG132" s="38">
        <f t="shared" si="366"/>
        <v>0</v>
      </c>
      <c r="GH132" s="38">
        <f t="shared" si="367"/>
        <v>0</v>
      </c>
      <c r="GI132" s="38">
        <f t="shared" si="368"/>
        <v>0</v>
      </c>
      <c r="GJ132" s="38">
        <f t="shared" si="369"/>
        <v>0</v>
      </c>
      <c r="GL132" s="38">
        <f t="shared" si="370"/>
        <v>0</v>
      </c>
      <c r="GM132" s="38">
        <f t="shared" si="371"/>
        <v>0</v>
      </c>
      <c r="GN132" s="1" t="s">
        <v>2</v>
      </c>
      <c r="GO132" s="1">
        <f t="shared" si="294"/>
        <v>175</v>
      </c>
      <c r="GP132" s="13">
        <f t="shared" si="295"/>
        <v>1.77</v>
      </c>
      <c r="GQ132" s="43">
        <f t="shared" si="296"/>
        <v>3097.5</v>
      </c>
      <c r="GR132" s="41">
        <f t="shared" si="297"/>
        <v>40620.615000000005</v>
      </c>
      <c r="GS132" s="14">
        <f t="shared" si="298"/>
        <v>232.11780000000002</v>
      </c>
      <c r="GT132" s="1">
        <f t="shared" si="372"/>
        <v>0</v>
      </c>
      <c r="GU132" s="1">
        <f t="shared" si="373"/>
        <v>0</v>
      </c>
      <c r="GV132" s="1">
        <f t="shared" si="374"/>
        <v>3097.5</v>
      </c>
      <c r="GW132" s="37">
        <f t="shared" si="299"/>
        <v>0</v>
      </c>
      <c r="GX132" s="37"/>
      <c r="GY132" s="37"/>
      <c r="GZ132" s="37"/>
      <c r="HB132" s="1">
        <f t="shared" si="375"/>
        <v>0</v>
      </c>
      <c r="HC132" s="1">
        <f t="shared" si="376"/>
        <v>0</v>
      </c>
      <c r="HD132" s="37" t="s">
        <v>2</v>
      </c>
      <c r="HE132" s="1" t="s">
        <v>31</v>
      </c>
      <c r="HF132" s="1" t="s">
        <v>469</v>
      </c>
      <c r="HG132" s="1" t="s">
        <v>469</v>
      </c>
      <c r="HI132" s="1" t="s">
        <v>163</v>
      </c>
      <c r="HJ132" s="37" t="s">
        <v>2</v>
      </c>
      <c r="JH132" s="58" t="s">
        <v>2</v>
      </c>
    </row>
    <row r="133" spans="1:268" ht="16.25" customHeight="1" x14ac:dyDescent="0.2">
      <c r="A133" s="21" t="s">
        <v>470</v>
      </c>
      <c r="B133" s="1" t="s">
        <v>69</v>
      </c>
      <c r="E133" s="1" t="s">
        <v>72</v>
      </c>
      <c r="F133" s="1" t="s">
        <v>131</v>
      </c>
      <c r="H133" s="1" t="s">
        <v>216</v>
      </c>
      <c r="I133" s="1">
        <v>0</v>
      </c>
      <c r="AD133" s="1">
        <v>0</v>
      </c>
      <c r="AY133" s="1">
        <v>194.6</v>
      </c>
      <c r="BG133" s="1">
        <v>1.1000000000000001</v>
      </c>
      <c r="BT133" s="1">
        <v>0</v>
      </c>
      <c r="CO133" s="1">
        <v>0</v>
      </c>
      <c r="DJ133" s="1" t="s">
        <v>163</v>
      </c>
      <c r="DL133" s="1">
        <f t="shared" ref="DL133:DL196" si="377">(Q133*I133+AL133*AD133+BG133*AY133)/(I133+AD133+AY133)</f>
        <v>1.1000000000000001</v>
      </c>
      <c r="DM133" s="1">
        <f t="shared" ref="DM133:DM196" si="378">(R133*I133+AM133*AD133+BH133*AY133)/(I133+AD133+AY133)</f>
        <v>0</v>
      </c>
      <c r="DN133" s="1" t="s">
        <v>471</v>
      </c>
      <c r="DO133" s="1" t="s">
        <v>2</v>
      </c>
      <c r="DP133" s="38">
        <f t="shared" si="300"/>
        <v>0</v>
      </c>
      <c r="DQ133" s="38">
        <f t="shared" si="301"/>
        <v>0</v>
      </c>
      <c r="DR133" s="38">
        <f t="shared" si="302"/>
        <v>0</v>
      </c>
      <c r="DS133" s="38">
        <f t="shared" si="303"/>
        <v>0</v>
      </c>
      <c r="DT133" s="38">
        <f t="shared" si="304"/>
        <v>0</v>
      </c>
      <c r="DU133" s="38">
        <f t="shared" si="305"/>
        <v>0</v>
      </c>
      <c r="DV133" s="38">
        <f t="shared" si="306"/>
        <v>0</v>
      </c>
      <c r="DW133" s="38">
        <f t="shared" si="307"/>
        <v>2.1406000000000001</v>
      </c>
      <c r="DX133" s="38">
        <f t="shared" si="308"/>
        <v>0</v>
      </c>
      <c r="DY133" s="38">
        <f t="shared" si="309"/>
        <v>0</v>
      </c>
      <c r="DZ133" s="38">
        <f t="shared" si="310"/>
        <v>0</v>
      </c>
      <c r="EA133" s="38">
        <f t="shared" si="311"/>
        <v>0</v>
      </c>
      <c r="EB133" s="38">
        <f t="shared" si="312"/>
        <v>0</v>
      </c>
      <c r="EC133" s="38">
        <f t="shared" si="313"/>
        <v>0</v>
      </c>
      <c r="ED133" s="38">
        <f t="shared" si="314"/>
        <v>0</v>
      </c>
      <c r="EE133" s="38">
        <f t="shared" si="315"/>
        <v>0</v>
      </c>
      <c r="EG133" s="38">
        <f t="shared" si="316"/>
        <v>0</v>
      </c>
      <c r="EH133" s="38">
        <f t="shared" si="317"/>
        <v>0</v>
      </c>
      <c r="EI133" s="38">
        <f t="shared" si="318"/>
        <v>0</v>
      </c>
      <c r="EJ133" s="38">
        <f t="shared" si="319"/>
        <v>0</v>
      </c>
      <c r="EK133" s="38">
        <f t="shared" si="320"/>
        <v>0</v>
      </c>
      <c r="EL133" s="38">
        <f t="shared" si="321"/>
        <v>0</v>
      </c>
      <c r="EM133" s="38">
        <f t="shared" si="322"/>
        <v>0</v>
      </c>
      <c r="EN133" s="38">
        <f t="shared" si="323"/>
        <v>0</v>
      </c>
      <c r="EO133" s="38">
        <f t="shared" si="324"/>
        <v>0</v>
      </c>
      <c r="EP133" s="38">
        <f t="shared" si="325"/>
        <v>28071.828400000002</v>
      </c>
      <c r="EQ133" s="38">
        <f t="shared" si="326"/>
        <v>0</v>
      </c>
      <c r="ER133" s="38">
        <f t="shared" si="327"/>
        <v>0</v>
      </c>
      <c r="ES133" s="38">
        <f t="shared" si="328"/>
        <v>0</v>
      </c>
      <c r="ET133" s="38">
        <f t="shared" si="329"/>
        <v>0</v>
      </c>
      <c r="EU133" s="38">
        <f t="shared" si="330"/>
        <v>0</v>
      </c>
      <c r="EV133" s="38">
        <f t="shared" si="331"/>
        <v>0</v>
      </c>
      <c r="EW133" s="38">
        <f t="shared" si="332"/>
        <v>0</v>
      </c>
      <c r="EX133" s="38">
        <f t="shared" si="333"/>
        <v>0</v>
      </c>
      <c r="EZ133" s="38">
        <f t="shared" si="334"/>
        <v>0</v>
      </c>
      <c r="FA133" s="38">
        <f t="shared" si="335"/>
        <v>0</v>
      </c>
      <c r="FB133" s="1">
        <f t="shared" si="336"/>
        <v>0</v>
      </c>
      <c r="FC133" s="1">
        <f t="shared" si="337"/>
        <v>0</v>
      </c>
      <c r="FD133" s="1">
        <f t="shared" si="338"/>
        <v>0</v>
      </c>
      <c r="FE133" s="1">
        <f t="shared" si="339"/>
        <v>0</v>
      </c>
      <c r="FF133" s="1">
        <f t="shared" si="340"/>
        <v>0</v>
      </c>
      <c r="FG133" s="1">
        <f t="shared" si="341"/>
        <v>0</v>
      </c>
      <c r="FH133" s="1">
        <f t="shared" si="342"/>
        <v>0</v>
      </c>
      <c r="FI133" s="1">
        <f t="shared" si="343"/>
        <v>0</v>
      </c>
      <c r="FJ133" s="1">
        <f t="shared" si="344"/>
        <v>0</v>
      </c>
      <c r="FK133" s="1">
        <f t="shared" si="345"/>
        <v>0</v>
      </c>
      <c r="FL133" s="1">
        <f t="shared" si="346"/>
        <v>0</v>
      </c>
      <c r="FM133" s="1">
        <f t="shared" si="347"/>
        <v>0</v>
      </c>
      <c r="FN133" s="1">
        <f t="shared" si="348"/>
        <v>0</v>
      </c>
      <c r="FO133" s="1">
        <f t="shared" si="349"/>
        <v>0</v>
      </c>
      <c r="FP133" s="1">
        <f t="shared" si="350"/>
        <v>0</v>
      </c>
      <c r="FQ133" s="1">
        <f t="shared" si="351"/>
        <v>0</v>
      </c>
      <c r="FS133" s="1">
        <f t="shared" si="352"/>
        <v>0</v>
      </c>
      <c r="FT133" s="1">
        <f t="shared" si="353"/>
        <v>0</v>
      </c>
      <c r="FU133" s="38">
        <f t="shared" si="354"/>
        <v>0</v>
      </c>
      <c r="FV133" s="38">
        <f t="shared" si="355"/>
        <v>0</v>
      </c>
      <c r="FW133" s="38">
        <f t="shared" si="356"/>
        <v>0</v>
      </c>
      <c r="FX133" s="38">
        <f t="shared" si="357"/>
        <v>0</v>
      </c>
      <c r="FY133" s="38">
        <f t="shared" si="358"/>
        <v>0</v>
      </c>
      <c r="FZ133" s="38">
        <f t="shared" si="359"/>
        <v>0</v>
      </c>
      <c r="GA133" s="38">
        <f t="shared" si="360"/>
        <v>0</v>
      </c>
      <c r="GB133" s="38">
        <f t="shared" si="361"/>
        <v>0</v>
      </c>
      <c r="GC133" s="38">
        <f t="shared" si="362"/>
        <v>0</v>
      </c>
      <c r="GD133" s="38">
        <f t="shared" si="363"/>
        <v>0</v>
      </c>
      <c r="GE133" s="38">
        <f t="shared" si="364"/>
        <v>0</v>
      </c>
      <c r="GF133" s="38">
        <f t="shared" si="365"/>
        <v>0</v>
      </c>
      <c r="GG133" s="38">
        <f t="shared" si="366"/>
        <v>0</v>
      </c>
      <c r="GH133" s="38">
        <f t="shared" si="367"/>
        <v>0</v>
      </c>
      <c r="GI133" s="38">
        <f t="shared" si="368"/>
        <v>0</v>
      </c>
      <c r="GJ133" s="38">
        <f t="shared" si="369"/>
        <v>0</v>
      </c>
      <c r="GL133" s="38">
        <f t="shared" si="370"/>
        <v>0</v>
      </c>
      <c r="GM133" s="38">
        <f t="shared" si="371"/>
        <v>0</v>
      </c>
      <c r="GN133" s="1" t="s">
        <v>2</v>
      </c>
      <c r="GO133" s="1">
        <f t="shared" ref="GO133:GO196" si="379">I133+AD133+AY133</f>
        <v>194.6</v>
      </c>
      <c r="GP133" s="13">
        <f t="shared" ref="GP133:GP196" si="380">(I133*Q133+AD133*AL133+AY133*BG133)/GO133</f>
        <v>1.1000000000000001</v>
      </c>
      <c r="GQ133" s="43">
        <f t="shared" ref="GQ133:GQ196" si="381">1000*GO133*GP133/100</f>
        <v>2140.6000000000004</v>
      </c>
      <c r="GR133" s="41">
        <f t="shared" ref="GR133:GR196" si="382">SUM(EI133:FA133)</f>
        <v>28071.828400000002</v>
      </c>
      <c r="GS133" s="14">
        <f t="shared" ref="GS133:GS196" si="383">GR133/GO133</f>
        <v>144.25400000000002</v>
      </c>
      <c r="GT133" s="1">
        <f t="shared" si="372"/>
        <v>0</v>
      </c>
      <c r="GU133" s="1">
        <f t="shared" si="373"/>
        <v>0</v>
      </c>
      <c r="GV133" s="1">
        <f t="shared" si="374"/>
        <v>2140.6</v>
      </c>
      <c r="GW133" s="37">
        <f t="shared" ref="GW133:GW196" si="384">BT133+CO133</f>
        <v>0</v>
      </c>
      <c r="GX133" s="37"/>
      <c r="GY133" s="37"/>
      <c r="GZ133" s="37"/>
      <c r="HB133" s="1">
        <f t="shared" si="375"/>
        <v>0</v>
      </c>
      <c r="HC133" s="1">
        <f t="shared" si="376"/>
        <v>0</v>
      </c>
      <c r="HD133" s="37" t="s">
        <v>2</v>
      </c>
      <c r="HE133" s="1" t="s">
        <v>31</v>
      </c>
      <c r="HF133" s="1" t="s">
        <v>469</v>
      </c>
      <c r="HG133" s="1" t="s">
        <v>469</v>
      </c>
      <c r="HI133" s="1" t="s">
        <v>163</v>
      </c>
      <c r="HJ133" s="37" t="s">
        <v>2</v>
      </c>
      <c r="JH133" s="58" t="s">
        <v>2</v>
      </c>
    </row>
    <row r="134" spans="1:268" ht="16.25" customHeight="1" x14ac:dyDescent="0.2">
      <c r="A134" s="21" t="s">
        <v>906</v>
      </c>
      <c r="B134" s="1" t="s">
        <v>69</v>
      </c>
      <c r="F134" s="1" t="s">
        <v>131</v>
      </c>
      <c r="I134" s="1">
        <v>0</v>
      </c>
      <c r="AD134" s="1">
        <v>0</v>
      </c>
      <c r="AY134" s="1">
        <v>12.25</v>
      </c>
      <c r="BG134" s="1">
        <v>0.83</v>
      </c>
      <c r="BH134" s="1">
        <v>4.4999999999999998E-2</v>
      </c>
      <c r="BT134" s="1">
        <v>0</v>
      </c>
      <c r="CO134" s="1">
        <v>0</v>
      </c>
      <c r="DJ134" s="1" t="s">
        <v>163</v>
      </c>
      <c r="DK134" s="1" t="s">
        <v>163</v>
      </c>
      <c r="DL134" s="1">
        <f t="shared" si="377"/>
        <v>0.82999999999999985</v>
      </c>
      <c r="DM134" s="1">
        <f t="shared" si="378"/>
        <v>4.4999999999999998E-2</v>
      </c>
      <c r="DN134" s="1" t="s">
        <v>905</v>
      </c>
      <c r="DO134" s="1" t="s">
        <v>2</v>
      </c>
      <c r="DP134" s="38">
        <f t="shared" si="300"/>
        <v>0</v>
      </c>
      <c r="DQ134" s="38">
        <f t="shared" si="301"/>
        <v>0</v>
      </c>
      <c r="DR134" s="38">
        <f t="shared" si="302"/>
        <v>0</v>
      </c>
      <c r="DS134" s="38">
        <f t="shared" si="303"/>
        <v>0</v>
      </c>
      <c r="DT134" s="38">
        <f t="shared" si="304"/>
        <v>0</v>
      </c>
      <c r="DU134" s="38">
        <f t="shared" si="305"/>
        <v>0</v>
      </c>
      <c r="DV134" s="38">
        <f t="shared" si="306"/>
        <v>0</v>
      </c>
      <c r="DW134" s="38">
        <f t="shared" si="307"/>
        <v>0.10167499999999999</v>
      </c>
      <c r="DX134" s="38">
        <f t="shared" si="308"/>
        <v>5.5125E-3</v>
      </c>
      <c r="DY134" s="38">
        <f t="shared" si="309"/>
        <v>0</v>
      </c>
      <c r="DZ134" s="38">
        <f t="shared" si="310"/>
        <v>0</v>
      </c>
      <c r="EA134" s="38">
        <f t="shared" si="311"/>
        <v>0</v>
      </c>
      <c r="EB134" s="38">
        <f t="shared" si="312"/>
        <v>0</v>
      </c>
      <c r="EC134" s="38">
        <f t="shared" si="313"/>
        <v>0</v>
      </c>
      <c r="ED134" s="38">
        <f t="shared" si="314"/>
        <v>0</v>
      </c>
      <c r="EE134" s="38">
        <f t="shared" si="315"/>
        <v>0</v>
      </c>
      <c r="EG134" s="38">
        <f t="shared" si="316"/>
        <v>0</v>
      </c>
      <c r="EH134" s="38">
        <f t="shared" si="317"/>
        <v>0</v>
      </c>
      <c r="EI134" s="38">
        <f t="shared" si="318"/>
        <v>0</v>
      </c>
      <c r="EJ134" s="38">
        <f t="shared" si="319"/>
        <v>0</v>
      </c>
      <c r="EK134" s="38">
        <f t="shared" si="320"/>
        <v>0</v>
      </c>
      <c r="EL134" s="38">
        <f t="shared" si="321"/>
        <v>0</v>
      </c>
      <c r="EM134" s="38">
        <f t="shared" si="322"/>
        <v>0</v>
      </c>
      <c r="EN134" s="38">
        <f t="shared" si="323"/>
        <v>0</v>
      </c>
      <c r="EO134" s="38">
        <f t="shared" si="324"/>
        <v>0</v>
      </c>
      <c r="EP134" s="38">
        <f t="shared" si="325"/>
        <v>1333.3659499999999</v>
      </c>
      <c r="EQ134" s="38">
        <f t="shared" si="326"/>
        <v>400.31512604999995</v>
      </c>
      <c r="ER134" s="38">
        <f t="shared" si="327"/>
        <v>0</v>
      </c>
      <c r="ES134" s="38">
        <f t="shared" si="328"/>
        <v>0</v>
      </c>
      <c r="ET134" s="38">
        <f t="shared" si="329"/>
        <v>0</v>
      </c>
      <c r="EU134" s="38">
        <f t="shared" si="330"/>
        <v>0</v>
      </c>
      <c r="EV134" s="38">
        <f t="shared" si="331"/>
        <v>0</v>
      </c>
      <c r="EW134" s="38">
        <f t="shared" si="332"/>
        <v>0</v>
      </c>
      <c r="EX134" s="38">
        <f t="shared" si="333"/>
        <v>0</v>
      </c>
      <c r="EZ134" s="38">
        <f t="shared" si="334"/>
        <v>0</v>
      </c>
      <c r="FA134" s="38">
        <f t="shared" si="335"/>
        <v>0</v>
      </c>
      <c r="FB134" s="1">
        <f t="shared" si="336"/>
        <v>0</v>
      </c>
      <c r="FC134" s="1">
        <f t="shared" si="337"/>
        <v>0</v>
      </c>
      <c r="FD134" s="1">
        <f t="shared" si="338"/>
        <v>0</v>
      </c>
      <c r="FE134" s="1">
        <f t="shared" si="339"/>
        <v>0</v>
      </c>
      <c r="FF134" s="1">
        <f t="shared" si="340"/>
        <v>0</v>
      </c>
      <c r="FG134" s="1">
        <f t="shared" si="341"/>
        <v>0</v>
      </c>
      <c r="FH134" s="1">
        <f t="shared" si="342"/>
        <v>0</v>
      </c>
      <c r="FI134" s="1">
        <f t="shared" si="343"/>
        <v>0</v>
      </c>
      <c r="FJ134" s="1">
        <f t="shared" si="344"/>
        <v>0</v>
      </c>
      <c r="FK134" s="1">
        <f t="shared" si="345"/>
        <v>0</v>
      </c>
      <c r="FL134" s="1">
        <f t="shared" si="346"/>
        <v>0</v>
      </c>
      <c r="FM134" s="1">
        <f t="shared" si="347"/>
        <v>0</v>
      </c>
      <c r="FN134" s="1">
        <f t="shared" si="348"/>
        <v>0</v>
      </c>
      <c r="FO134" s="1">
        <f t="shared" si="349"/>
        <v>0</v>
      </c>
      <c r="FP134" s="1">
        <f t="shared" si="350"/>
        <v>0</v>
      </c>
      <c r="FQ134" s="1">
        <f t="shared" si="351"/>
        <v>0</v>
      </c>
      <c r="FS134" s="1">
        <f t="shared" si="352"/>
        <v>0</v>
      </c>
      <c r="FT134" s="1">
        <f t="shared" si="353"/>
        <v>0</v>
      </c>
      <c r="FU134" s="38">
        <f t="shared" si="354"/>
        <v>0</v>
      </c>
      <c r="FV134" s="38">
        <f t="shared" si="355"/>
        <v>0</v>
      </c>
      <c r="FW134" s="38">
        <f t="shared" si="356"/>
        <v>0</v>
      </c>
      <c r="FX134" s="38">
        <f t="shared" si="357"/>
        <v>0</v>
      </c>
      <c r="FY134" s="38">
        <f t="shared" si="358"/>
        <v>0</v>
      </c>
      <c r="FZ134" s="38">
        <f t="shared" si="359"/>
        <v>0</v>
      </c>
      <c r="GA134" s="38">
        <f t="shared" si="360"/>
        <v>0</v>
      </c>
      <c r="GB134" s="38">
        <f t="shared" si="361"/>
        <v>0</v>
      </c>
      <c r="GC134" s="38">
        <f t="shared" si="362"/>
        <v>0</v>
      </c>
      <c r="GD134" s="38">
        <f t="shared" si="363"/>
        <v>0</v>
      </c>
      <c r="GE134" s="38">
        <f t="shared" si="364"/>
        <v>0</v>
      </c>
      <c r="GF134" s="38">
        <f t="shared" si="365"/>
        <v>0</v>
      </c>
      <c r="GG134" s="38">
        <f t="shared" si="366"/>
        <v>0</v>
      </c>
      <c r="GH134" s="38">
        <f t="shared" si="367"/>
        <v>0</v>
      </c>
      <c r="GI134" s="38">
        <f t="shared" si="368"/>
        <v>0</v>
      </c>
      <c r="GJ134" s="38">
        <f t="shared" si="369"/>
        <v>0</v>
      </c>
      <c r="GL134" s="38">
        <f t="shared" si="370"/>
        <v>0</v>
      </c>
      <c r="GM134" s="38">
        <f t="shared" si="371"/>
        <v>0</v>
      </c>
      <c r="GN134" s="1" t="s">
        <v>2</v>
      </c>
      <c r="GO134" s="1">
        <f t="shared" si="379"/>
        <v>12.25</v>
      </c>
      <c r="GP134" s="1">
        <f t="shared" si="380"/>
        <v>0.82999999999999985</v>
      </c>
      <c r="GQ134" s="41">
        <f t="shared" si="381"/>
        <v>101.67499999999998</v>
      </c>
      <c r="GR134" s="41">
        <f t="shared" si="382"/>
        <v>1733.6810760499998</v>
      </c>
      <c r="GS134" s="14">
        <f t="shared" si="383"/>
        <v>141.52498579999997</v>
      </c>
      <c r="GT134" s="1">
        <f t="shared" si="372"/>
        <v>0</v>
      </c>
      <c r="GU134" s="1">
        <f t="shared" si="373"/>
        <v>0</v>
      </c>
      <c r="GV134" s="1">
        <f t="shared" si="374"/>
        <v>101.67499999999998</v>
      </c>
      <c r="GW134" s="37">
        <f t="shared" si="384"/>
        <v>0</v>
      </c>
      <c r="GX134" s="37"/>
      <c r="GY134" s="37"/>
      <c r="GZ134" s="37"/>
      <c r="HB134" s="1">
        <f t="shared" si="375"/>
        <v>0</v>
      </c>
      <c r="HC134" s="1">
        <f t="shared" si="376"/>
        <v>0</v>
      </c>
      <c r="HD134" s="37" t="s">
        <v>2</v>
      </c>
      <c r="HE134" s="1" t="s">
        <v>31</v>
      </c>
      <c r="HF134" s="1" t="s">
        <v>469</v>
      </c>
      <c r="HG134" s="1" t="s">
        <v>469</v>
      </c>
      <c r="HI134" s="1" t="s">
        <v>163</v>
      </c>
      <c r="HJ134" s="37" t="s">
        <v>2</v>
      </c>
      <c r="JH134" s="58" t="s">
        <v>2</v>
      </c>
    </row>
    <row r="135" spans="1:268" ht="16.25" customHeight="1" x14ac:dyDescent="0.2">
      <c r="A135" s="21" t="s">
        <v>1083</v>
      </c>
      <c r="B135" s="1" t="s">
        <v>69</v>
      </c>
      <c r="F135" s="1" t="s">
        <v>131</v>
      </c>
      <c r="I135" s="1">
        <v>0</v>
      </c>
      <c r="AD135" s="1">
        <v>0</v>
      </c>
      <c r="AY135" s="14">
        <f>37.5*0.9072</f>
        <v>34.020000000000003</v>
      </c>
      <c r="BG135" s="1">
        <v>0.86</v>
      </c>
      <c r="BH135" s="1">
        <v>0.09</v>
      </c>
      <c r="BT135" s="1">
        <v>0</v>
      </c>
      <c r="CO135" s="1">
        <v>0</v>
      </c>
      <c r="DJ135" s="1" t="s">
        <v>163</v>
      </c>
      <c r="DK135" s="1" t="s">
        <v>163</v>
      </c>
      <c r="DL135" s="1">
        <f t="shared" si="377"/>
        <v>0.86</v>
      </c>
      <c r="DM135" s="1">
        <f t="shared" si="378"/>
        <v>0.09</v>
      </c>
      <c r="DN135" s="1" t="s">
        <v>905</v>
      </c>
      <c r="DO135" s="1" t="s">
        <v>2</v>
      </c>
      <c r="DP135" s="38">
        <f t="shared" si="300"/>
        <v>0</v>
      </c>
      <c r="DQ135" s="38">
        <f t="shared" si="301"/>
        <v>0</v>
      </c>
      <c r="DR135" s="38">
        <f t="shared" si="302"/>
        <v>0</v>
      </c>
      <c r="DS135" s="38">
        <f t="shared" si="303"/>
        <v>0</v>
      </c>
      <c r="DT135" s="38">
        <f t="shared" si="304"/>
        <v>0</v>
      </c>
      <c r="DU135" s="38">
        <f t="shared" si="305"/>
        <v>0</v>
      </c>
      <c r="DV135" s="38">
        <f t="shared" si="306"/>
        <v>0</v>
      </c>
      <c r="DW135" s="38">
        <f t="shared" si="307"/>
        <v>0.292572</v>
      </c>
      <c r="DX135" s="38">
        <f t="shared" si="308"/>
        <v>3.0618000000000003E-2</v>
      </c>
      <c r="DY135" s="38">
        <f t="shared" si="309"/>
        <v>0</v>
      </c>
      <c r="DZ135" s="38">
        <f t="shared" si="310"/>
        <v>0</v>
      </c>
      <c r="EA135" s="38">
        <f t="shared" si="311"/>
        <v>0</v>
      </c>
      <c r="EB135" s="38">
        <f t="shared" si="312"/>
        <v>0</v>
      </c>
      <c r="EC135" s="38">
        <f t="shared" si="313"/>
        <v>0</v>
      </c>
      <c r="ED135" s="38">
        <f t="shared" si="314"/>
        <v>0</v>
      </c>
      <c r="EE135" s="38">
        <f t="shared" si="315"/>
        <v>0</v>
      </c>
      <c r="EG135" s="38">
        <f t="shared" si="316"/>
        <v>0</v>
      </c>
      <c r="EH135" s="38">
        <f t="shared" si="317"/>
        <v>0</v>
      </c>
      <c r="EI135" s="38">
        <f t="shared" si="318"/>
        <v>0</v>
      </c>
      <c r="EJ135" s="38">
        <f t="shared" si="319"/>
        <v>0</v>
      </c>
      <c r="EK135" s="38">
        <f t="shared" si="320"/>
        <v>0</v>
      </c>
      <c r="EL135" s="38">
        <f t="shared" si="321"/>
        <v>0</v>
      </c>
      <c r="EM135" s="38">
        <f t="shared" si="322"/>
        <v>0</v>
      </c>
      <c r="EN135" s="38">
        <f t="shared" si="323"/>
        <v>0</v>
      </c>
      <c r="EO135" s="38">
        <f t="shared" si="324"/>
        <v>0</v>
      </c>
      <c r="EP135" s="38">
        <f t="shared" si="325"/>
        <v>3836.7892080000001</v>
      </c>
      <c r="EQ135" s="38">
        <f t="shared" si="326"/>
        <v>2223.464585832</v>
      </c>
      <c r="ER135" s="38">
        <f t="shared" si="327"/>
        <v>0</v>
      </c>
      <c r="ES135" s="38">
        <f t="shared" si="328"/>
        <v>0</v>
      </c>
      <c r="ET135" s="38">
        <f t="shared" si="329"/>
        <v>0</v>
      </c>
      <c r="EU135" s="38">
        <f t="shared" si="330"/>
        <v>0</v>
      </c>
      <c r="EV135" s="38">
        <f t="shared" si="331"/>
        <v>0</v>
      </c>
      <c r="EW135" s="38">
        <f t="shared" si="332"/>
        <v>0</v>
      </c>
      <c r="EX135" s="38">
        <f t="shared" si="333"/>
        <v>0</v>
      </c>
      <c r="EZ135" s="38">
        <f t="shared" si="334"/>
        <v>0</v>
      </c>
      <c r="FA135" s="38">
        <f t="shared" si="335"/>
        <v>0</v>
      </c>
      <c r="FB135" s="1">
        <f t="shared" si="336"/>
        <v>0</v>
      </c>
      <c r="FC135" s="1">
        <f t="shared" si="337"/>
        <v>0</v>
      </c>
      <c r="FD135" s="1">
        <f t="shared" si="338"/>
        <v>0</v>
      </c>
      <c r="FE135" s="1">
        <f t="shared" si="339"/>
        <v>0</v>
      </c>
      <c r="FF135" s="1">
        <f t="shared" si="340"/>
        <v>0</v>
      </c>
      <c r="FG135" s="1">
        <f t="shared" si="341"/>
        <v>0</v>
      </c>
      <c r="FH135" s="1">
        <f t="shared" si="342"/>
        <v>0</v>
      </c>
      <c r="FI135" s="1">
        <f t="shared" si="343"/>
        <v>0</v>
      </c>
      <c r="FJ135" s="1">
        <f t="shared" si="344"/>
        <v>0</v>
      </c>
      <c r="FK135" s="1">
        <f t="shared" si="345"/>
        <v>0</v>
      </c>
      <c r="FL135" s="1">
        <f t="shared" si="346"/>
        <v>0</v>
      </c>
      <c r="FM135" s="1">
        <f t="shared" si="347"/>
        <v>0</v>
      </c>
      <c r="FN135" s="1">
        <f t="shared" si="348"/>
        <v>0</v>
      </c>
      <c r="FO135" s="1">
        <f t="shared" si="349"/>
        <v>0</v>
      </c>
      <c r="FP135" s="1">
        <f t="shared" si="350"/>
        <v>0</v>
      </c>
      <c r="FQ135" s="1">
        <f t="shared" si="351"/>
        <v>0</v>
      </c>
      <c r="FS135" s="1">
        <f t="shared" si="352"/>
        <v>0</v>
      </c>
      <c r="FT135" s="1">
        <f t="shared" si="353"/>
        <v>0</v>
      </c>
      <c r="FU135" s="38">
        <f t="shared" si="354"/>
        <v>0</v>
      </c>
      <c r="FV135" s="38">
        <f t="shared" si="355"/>
        <v>0</v>
      </c>
      <c r="FW135" s="38">
        <f t="shared" si="356"/>
        <v>0</v>
      </c>
      <c r="FX135" s="38">
        <f t="shared" si="357"/>
        <v>0</v>
      </c>
      <c r="FY135" s="38">
        <f t="shared" si="358"/>
        <v>0</v>
      </c>
      <c r="FZ135" s="38">
        <f t="shared" si="359"/>
        <v>0</v>
      </c>
      <c r="GA135" s="38">
        <f t="shared" si="360"/>
        <v>0</v>
      </c>
      <c r="GB135" s="38">
        <f t="shared" si="361"/>
        <v>0</v>
      </c>
      <c r="GC135" s="38">
        <f t="shared" si="362"/>
        <v>0</v>
      </c>
      <c r="GD135" s="38">
        <f t="shared" si="363"/>
        <v>0</v>
      </c>
      <c r="GE135" s="38">
        <f t="shared" si="364"/>
        <v>0</v>
      </c>
      <c r="GF135" s="38">
        <f t="shared" si="365"/>
        <v>0</v>
      </c>
      <c r="GG135" s="38">
        <f t="shared" si="366"/>
        <v>0</v>
      </c>
      <c r="GH135" s="38">
        <f t="shared" si="367"/>
        <v>0</v>
      </c>
      <c r="GI135" s="38">
        <f t="shared" si="368"/>
        <v>0</v>
      </c>
      <c r="GJ135" s="38">
        <f t="shared" si="369"/>
        <v>0</v>
      </c>
      <c r="GL135" s="38">
        <f t="shared" si="370"/>
        <v>0</v>
      </c>
      <c r="GM135" s="38">
        <f t="shared" si="371"/>
        <v>0</v>
      </c>
      <c r="GN135" s="1" t="s">
        <v>2</v>
      </c>
      <c r="GO135" s="1">
        <f t="shared" si="379"/>
        <v>34.020000000000003</v>
      </c>
      <c r="GP135" s="1">
        <f t="shared" si="380"/>
        <v>0.86</v>
      </c>
      <c r="GQ135" s="41">
        <f t="shared" si="381"/>
        <v>292.572</v>
      </c>
      <c r="GR135" s="41">
        <f t="shared" si="382"/>
        <v>6060.2537938320002</v>
      </c>
      <c r="GS135" s="14">
        <f t="shared" si="383"/>
        <v>178.13797159999999</v>
      </c>
      <c r="GT135" s="1">
        <f t="shared" si="372"/>
        <v>0</v>
      </c>
      <c r="GU135" s="1">
        <f t="shared" si="373"/>
        <v>0</v>
      </c>
      <c r="GV135" s="1">
        <f t="shared" si="374"/>
        <v>292.572</v>
      </c>
      <c r="GW135" s="37">
        <f t="shared" si="384"/>
        <v>0</v>
      </c>
      <c r="GX135" s="37"/>
      <c r="GY135" s="37"/>
      <c r="GZ135" s="37"/>
      <c r="HB135" s="1">
        <f t="shared" si="375"/>
        <v>0</v>
      </c>
      <c r="HC135" s="1">
        <f t="shared" si="376"/>
        <v>0</v>
      </c>
      <c r="HD135" s="37" t="s">
        <v>2</v>
      </c>
      <c r="HE135" s="1" t="s">
        <v>31</v>
      </c>
      <c r="HF135" s="1" t="s">
        <v>469</v>
      </c>
      <c r="HG135" s="1" t="s">
        <v>469</v>
      </c>
      <c r="HI135" s="1" t="s">
        <v>163</v>
      </c>
      <c r="HJ135" s="37" t="s">
        <v>2</v>
      </c>
      <c r="JH135" s="58" t="s">
        <v>2</v>
      </c>
    </row>
    <row r="136" spans="1:268" ht="16.25" customHeight="1" x14ac:dyDescent="0.2">
      <c r="A136" s="21" t="s">
        <v>1084</v>
      </c>
      <c r="B136" s="1" t="s">
        <v>69</v>
      </c>
      <c r="F136" s="1" t="s">
        <v>131</v>
      </c>
      <c r="I136" s="1">
        <v>0</v>
      </c>
      <c r="AD136" s="1">
        <v>0</v>
      </c>
      <c r="AY136" s="14">
        <f>(3+3+10)*0.9072</f>
        <v>14.5152</v>
      </c>
      <c r="BG136" s="1">
        <v>0.91</v>
      </c>
      <c r="BT136" s="1">
        <v>0</v>
      </c>
      <c r="CO136" s="1">
        <v>0</v>
      </c>
      <c r="DJ136" s="1" t="s">
        <v>163</v>
      </c>
      <c r="DL136" s="1">
        <f t="shared" si="377"/>
        <v>0.91</v>
      </c>
      <c r="DM136" s="1">
        <f t="shared" si="378"/>
        <v>0</v>
      </c>
      <c r="DN136" s="1" t="s">
        <v>905</v>
      </c>
      <c r="DO136" s="1" t="s">
        <v>2</v>
      </c>
      <c r="DP136" s="38">
        <f t="shared" si="300"/>
        <v>0</v>
      </c>
      <c r="DQ136" s="38">
        <f t="shared" si="301"/>
        <v>0</v>
      </c>
      <c r="DR136" s="38">
        <f t="shared" si="302"/>
        <v>0</v>
      </c>
      <c r="DS136" s="38">
        <f t="shared" si="303"/>
        <v>0</v>
      </c>
      <c r="DT136" s="38">
        <f t="shared" si="304"/>
        <v>0</v>
      </c>
      <c r="DU136" s="38">
        <f t="shared" si="305"/>
        <v>0</v>
      </c>
      <c r="DV136" s="38">
        <f t="shared" si="306"/>
        <v>0</v>
      </c>
      <c r="DW136" s="38">
        <f t="shared" si="307"/>
        <v>0.13208832000000001</v>
      </c>
      <c r="DX136" s="38">
        <f t="shared" si="308"/>
        <v>0</v>
      </c>
      <c r="DY136" s="38">
        <f t="shared" si="309"/>
        <v>0</v>
      </c>
      <c r="DZ136" s="38">
        <f t="shared" si="310"/>
        <v>0</v>
      </c>
      <c r="EA136" s="38">
        <f t="shared" si="311"/>
        <v>0</v>
      </c>
      <c r="EB136" s="38">
        <f t="shared" si="312"/>
        <v>0</v>
      </c>
      <c r="EC136" s="38">
        <f t="shared" si="313"/>
        <v>0</v>
      </c>
      <c r="ED136" s="38">
        <f t="shared" si="314"/>
        <v>0</v>
      </c>
      <c r="EE136" s="38">
        <f t="shared" si="315"/>
        <v>0</v>
      </c>
      <c r="EG136" s="38">
        <f t="shared" si="316"/>
        <v>0</v>
      </c>
      <c r="EH136" s="38">
        <f t="shared" si="317"/>
        <v>0</v>
      </c>
      <c r="EI136" s="38">
        <f t="shared" si="318"/>
        <v>0</v>
      </c>
      <c r="EJ136" s="38">
        <f t="shared" si="319"/>
        <v>0</v>
      </c>
      <c r="EK136" s="38">
        <f t="shared" si="320"/>
        <v>0</v>
      </c>
      <c r="EL136" s="38">
        <f t="shared" si="321"/>
        <v>0</v>
      </c>
      <c r="EM136" s="38">
        <f t="shared" si="322"/>
        <v>0</v>
      </c>
      <c r="EN136" s="38">
        <f t="shared" si="323"/>
        <v>0</v>
      </c>
      <c r="EO136" s="38">
        <f t="shared" si="324"/>
        <v>0</v>
      </c>
      <c r="EP136" s="38">
        <f t="shared" si="325"/>
        <v>1732.2062284800002</v>
      </c>
      <c r="EQ136" s="38">
        <f t="shared" si="326"/>
        <v>0</v>
      </c>
      <c r="ER136" s="38">
        <f t="shared" si="327"/>
        <v>0</v>
      </c>
      <c r="ES136" s="38">
        <f t="shared" si="328"/>
        <v>0</v>
      </c>
      <c r="ET136" s="38">
        <f t="shared" si="329"/>
        <v>0</v>
      </c>
      <c r="EU136" s="38">
        <f t="shared" si="330"/>
        <v>0</v>
      </c>
      <c r="EV136" s="38">
        <f t="shared" si="331"/>
        <v>0</v>
      </c>
      <c r="EW136" s="38">
        <f t="shared" si="332"/>
        <v>0</v>
      </c>
      <c r="EX136" s="38">
        <f t="shared" si="333"/>
        <v>0</v>
      </c>
      <c r="EZ136" s="38">
        <f t="shared" si="334"/>
        <v>0</v>
      </c>
      <c r="FA136" s="38">
        <f t="shared" si="335"/>
        <v>0</v>
      </c>
      <c r="FB136" s="1">
        <f t="shared" si="336"/>
        <v>0</v>
      </c>
      <c r="FC136" s="1">
        <f t="shared" si="337"/>
        <v>0</v>
      </c>
      <c r="FD136" s="1">
        <f t="shared" si="338"/>
        <v>0</v>
      </c>
      <c r="FE136" s="1">
        <f t="shared" si="339"/>
        <v>0</v>
      </c>
      <c r="FF136" s="1">
        <f t="shared" si="340"/>
        <v>0</v>
      </c>
      <c r="FG136" s="1">
        <f t="shared" si="341"/>
        <v>0</v>
      </c>
      <c r="FH136" s="1">
        <f t="shared" si="342"/>
        <v>0</v>
      </c>
      <c r="FI136" s="1">
        <f t="shared" si="343"/>
        <v>0</v>
      </c>
      <c r="FJ136" s="1">
        <f t="shared" si="344"/>
        <v>0</v>
      </c>
      <c r="FK136" s="1">
        <f t="shared" si="345"/>
        <v>0</v>
      </c>
      <c r="FL136" s="1">
        <f t="shared" si="346"/>
        <v>0</v>
      </c>
      <c r="FM136" s="1">
        <f t="shared" si="347"/>
        <v>0</v>
      </c>
      <c r="FN136" s="1">
        <f t="shared" si="348"/>
        <v>0</v>
      </c>
      <c r="FO136" s="1">
        <f t="shared" si="349"/>
        <v>0</v>
      </c>
      <c r="FP136" s="1">
        <f t="shared" si="350"/>
        <v>0</v>
      </c>
      <c r="FQ136" s="1">
        <f t="shared" si="351"/>
        <v>0</v>
      </c>
      <c r="FS136" s="1">
        <f t="shared" si="352"/>
        <v>0</v>
      </c>
      <c r="FT136" s="1">
        <f t="shared" si="353"/>
        <v>0</v>
      </c>
      <c r="FU136" s="38">
        <f t="shared" si="354"/>
        <v>0</v>
      </c>
      <c r="FV136" s="38">
        <f t="shared" si="355"/>
        <v>0</v>
      </c>
      <c r="FW136" s="38">
        <f t="shared" si="356"/>
        <v>0</v>
      </c>
      <c r="FX136" s="38">
        <f t="shared" si="357"/>
        <v>0</v>
      </c>
      <c r="FY136" s="38">
        <f t="shared" si="358"/>
        <v>0</v>
      </c>
      <c r="FZ136" s="38">
        <f t="shared" si="359"/>
        <v>0</v>
      </c>
      <c r="GA136" s="38">
        <f t="shared" si="360"/>
        <v>0</v>
      </c>
      <c r="GB136" s="38">
        <f t="shared" si="361"/>
        <v>0</v>
      </c>
      <c r="GC136" s="38">
        <f t="shared" si="362"/>
        <v>0</v>
      </c>
      <c r="GD136" s="38">
        <f t="shared" si="363"/>
        <v>0</v>
      </c>
      <c r="GE136" s="38">
        <f t="shared" si="364"/>
        <v>0</v>
      </c>
      <c r="GF136" s="38">
        <f t="shared" si="365"/>
        <v>0</v>
      </c>
      <c r="GG136" s="38">
        <f t="shared" si="366"/>
        <v>0</v>
      </c>
      <c r="GH136" s="38">
        <f t="shared" si="367"/>
        <v>0</v>
      </c>
      <c r="GI136" s="38">
        <f t="shared" si="368"/>
        <v>0</v>
      </c>
      <c r="GJ136" s="38">
        <f t="shared" si="369"/>
        <v>0</v>
      </c>
      <c r="GL136" s="38">
        <f t="shared" si="370"/>
        <v>0</v>
      </c>
      <c r="GM136" s="38">
        <f t="shared" si="371"/>
        <v>0</v>
      </c>
      <c r="GN136" s="1" t="s">
        <v>2</v>
      </c>
      <c r="GO136" s="13">
        <f t="shared" si="379"/>
        <v>14.5152</v>
      </c>
      <c r="GP136" s="1">
        <f t="shared" si="380"/>
        <v>0.91</v>
      </c>
      <c r="GQ136" s="41">
        <f t="shared" si="381"/>
        <v>132.08832000000001</v>
      </c>
      <c r="GR136" s="41">
        <f t="shared" si="382"/>
        <v>1732.2062284800002</v>
      </c>
      <c r="GS136" s="14">
        <f t="shared" si="383"/>
        <v>119.33740000000002</v>
      </c>
      <c r="GT136" s="1">
        <f t="shared" si="372"/>
        <v>0</v>
      </c>
      <c r="GU136" s="1">
        <f t="shared" si="373"/>
        <v>0</v>
      </c>
      <c r="GV136" s="1">
        <f t="shared" si="374"/>
        <v>132.08832000000001</v>
      </c>
      <c r="GW136" s="37">
        <f t="shared" si="384"/>
        <v>0</v>
      </c>
      <c r="GX136" s="37"/>
      <c r="GY136" s="37"/>
      <c r="GZ136" s="37"/>
      <c r="HB136" s="1">
        <f t="shared" si="375"/>
        <v>0</v>
      </c>
      <c r="HC136" s="1">
        <f t="shared" si="376"/>
        <v>0</v>
      </c>
      <c r="HD136" s="37" t="s">
        <v>2</v>
      </c>
      <c r="HE136" s="1" t="s">
        <v>31</v>
      </c>
      <c r="HF136" s="1" t="s">
        <v>469</v>
      </c>
      <c r="HG136" s="1" t="s">
        <v>469</v>
      </c>
      <c r="HI136" s="1" t="s">
        <v>163</v>
      </c>
      <c r="HJ136" s="37" t="s">
        <v>2</v>
      </c>
      <c r="JH136" s="58" t="s">
        <v>2</v>
      </c>
    </row>
    <row r="137" spans="1:268" ht="16.25" customHeight="1" x14ac:dyDescent="0.2">
      <c r="A137" s="21" t="s">
        <v>1085</v>
      </c>
      <c r="B137" s="1" t="s">
        <v>69</v>
      </c>
      <c r="F137" s="1" t="s">
        <v>131</v>
      </c>
      <c r="I137" s="1">
        <v>0</v>
      </c>
      <c r="AD137" s="1">
        <v>0</v>
      </c>
      <c r="AY137" s="1">
        <v>37.5</v>
      </c>
      <c r="BG137" s="1">
        <v>1.1000000000000001</v>
      </c>
      <c r="BT137" s="1">
        <v>0</v>
      </c>
      <c r="CO137" s="1">
        <v>0</v>
      </c>
      <c r="DJ137" s="1" t="s">
        <v>163</v>
      </c>
      <c r="DL137" s="1">
        <f t="shared" si="377"/>
        <v>1.1000000000000001</v>
      </c>
      <c r="DM137" s="1">
        <f t="shared" si="378"/>
        <v>0</v>
      </c>
      <c r="DN137" s="1" t="s">
        <v>471</v>
      </c>
      <c r="DO137" s="1" t="s">
        <v>2</v>
      </c>
      <c r="DP137" s="38">
        <f t="shared" si="300"/>
        <v>0</v>
      </c>
      <c r="DQ137" s="38">
        <f t="shared" si="301"/>
        <v>0</v>
      </c>
      <c r="DR137" s="38">
        <f t="shared" si="302"/>
        <v>0</v>
      </c>
      <c r="DS137" s="38">
        <f t="shared" si="303"/>
        <v>0</v>
      </c>
      <c r="DT137" s="38">
        <f t="shared" si="304"/>
        <v>0</v>
      </c>
      <c r="DU137" s="38">
        <f t="shared" si="305"/>
        <v>0</v>
      </c>
      <c r="DV137" s="38">
        <f t="shared" si="306"/>
        <v>0</v>
      </c>
      <c r="DW137" s="38">
        <f t="shared" si="307"/>
        <v>0.41249999999999998</v>
      </c>
      <c r="DX137" s="38">
        <f t="shared" si="308"/>
        <v>0</v>
      </c>
      <c r="DY137" s="38">
        <f t="shared" si="309"/>
        <v>0</v>
      </c>
      <c r="DZ137" s="38">
        <f t="shared" si="310"/>
        <v>0</v>
      </c>
      <c r="EA137" s="38">
        <f t="shared" si="311"/>
        <v>0</v>
      </c>
      <c r="EB137" s="38">
        <f t="shared" si="312"/>
        <v>0</v>
      </c>
      <c r="EC137" s="38">
        <f t="shared" si="313"/>
        <v>0</v>
      </c>
      <c r="ED137" s="38">
        <f t="shared" si="314"/>
        <v>0</v>
      </c>
      <c r="EE137" s="38">
        <f t="shared" si="315"/>
        <v>0</v>
      </c>
      <c r="EG137" s="38">
        <f t="shared" si="316"/>
        <v>0</v>
      </c>
      <c r="EH137" s="38">
        <f t="shared" si="317"/>
        <v>0</v>
      </c>
      <c r="EI137" s="38">
        <f t="shared" si="318"/>
        <v>0</v>
      </c>
      <c r="EJ137" s="38">
        <f t="shared" si="319"/>
        <v>0</v>
      </c>
      <c r="EK137" s="38">
        <f t="shared" si="320"/>
        <v>0</v>
      </c>
      <c r="EL137" s="38">
        <f t="shared" si="321"/>
        <v>0</v>
      </c>
      <c r="EM137" s="38">
        <f t="shared" si="322"/>
        <v>0</v>
      </c>
      <c r="EN137" s="38">
        <f t="shared" si="323"/>
        <v>0</v>
      </c>
      <c r="EO137" s="38">
        <f t="shared" si="324"/>
        <v>0</v>
      </c>
      <c r="EP137" s="38">
        <f t="shared" si="325"/>
        <v>5409.5249999999996</v>
      </c>
      <c r="EQ137" s="38">
        <f t="shared" si="326"/>
        <v>0</v>
      </c>
      <c r="ER137" s="38">
        <f t="shared" si="327"/>
        <v>0</v>
      </c>
      <c r="ES137" s="38">
        <f t="shared" si="328"/>
        <v>0</v>
      </c>
      <c r="ET137" s="38">
        <f t="shared" si="329"/>
        <v>0</v>
      </c>
      <c r="EU137" s="38">
        <f t="shared" si="330"/>
        <v>0</v>
      </c>
      <c r="EV137" s="38">
        <f t="shared" si="331"/>
        <v>0</v>
      </c>
      <c r="EW137" s="38">
        <f t="shared" si="332"/>
        <v>0</v>
      </c>
      <c r="EX137" s="38">
        <f t="shared" si="333"/>
        <v>0</v>
      </c>
      <c r="EZ137" s="38">
        <f t="shared" si="334"/>
        <v>0</v>
      </c>
      <c r="FA137" s="38">
        <f t="shared" si="335"/>
        <v>0</v>
      </c>
      <c r="FB137" s="1">
        <f t="shared" si="336"/>
        <v>0</v>
      </c>
      <c r="FC137" s="1">
        <f t="shared" si="337"/>
        <v>0</v>
      </c>
      <c r="FD137" s="1">
        <f t="shared" si="338"/>
        <v>0</v>
      </c>
      <c r="FE137" s="1">
        <f t="shared" si="339"/>
        <v>0</v>
      </c>
      <c r="FF137" s="1">
        <f t="shared" si="340"/>
        <v>0</v>
      </c>
      <c r="FG137" s="1">
        <f t="shared" si="341"/>
        <v>0</v>
      </c>
      <c r="FH137" s="1">
        <f t="shared" si="342"/>
        <v>0</v>
      </c>
      <c r="FI137" s="1">
        <f t="shared" si="343"/>
        <v>0</v>
      </c>
      <c r="FJ137" s="1">
        <f t="shared" si="344"/>
        <v>0</v>
      </c>
      <c r="FK137" s="1">
        <f t="shared" si="345"/>
        <v>0</v>
      </c>
      <c r="FL137" s="1">
        <f t="shared" si="346"/>
        <v>0</v>
      </c>
      <c r="FM137" s="1">
        <f t="shared" si="347"/>
        <v>0</v>
      </c>
      <c r="FN137" s="1">
        <f t="shared" si="348"/>
        <v>0</v>
      </c>
      <c r="FO137" s="1">
        <f t="shared" si="349"/>
        <v>0</v>
      </c>
      <c r="FP137" s="1">
        <f t="shared" si="350"/>
        <v>0</v>
      </c>
      <c r="FQ137" s="1">
        <f t="shared" si="351"/>
        <v>0</v>
      </c>
      <c r="FS137" s="1">
        <f t="shared" si="352"/>
        <v>0</v>
      </c>
      <c r="FT137" s="1">
        <f t="shared" si="353"/>
        <v>0</v>
      </c>
      <c r="FU137" s="38">
        <f t="shared" si="354"/>
        <v>0</v>
      </c>
      <c r="FV137" s="38">
        <f t="shared" si="355"/>
        <v>0</v>
      </c>
      <c r="FW137" s="38">
        <f t="shared" si="356"/>
        <v>0</v>
      </c>
      <c r="FX137" s="38">
        <f t="shared" si="357"/>
        <v>0</v>
      </c>
      <c r="FY137" s="38">
        <f t="shared" si="358"/>
        <v>0</v>
      </c>
      <c r="FZ137" s="38">
        <f t="shared" si="359"/>
        <v>0</v>
      </c>
      <c r="GA137" s="38">
        <f t="shared" si="360"/>
        <v>0</v>
      </c>
      <c r="GB137" s="38">
        <f t="shared" si="361"/>
        <v>0</v>
      </c>
      <c r="GC137" s="38">
        <f t="shared" si="362"/>
        <v>0</v>
      </c>
      <c r="GD137" s="38">
        <f t="shared" si="363"/>
        <v>0</v>
      </c>
      <c r="GE137" s="38">
        <f t="shared" si="364"/>
        <v>0</v>
      </c>
      <c r="GF137" s="38">
        <f t="shared" si="365"/>
        <v>0</v>
      </c>
      <c r="GG137" s="38">
        <f t="shared" si="366"/>
        <v>0</v>
      </c>
      <c r="GH137" s="38">
        <f t="shared" si="367"/>
        <v>0</v>
      </c>
      <c r="GI137" s="38">
        <f t="shared" si="368"/>
        <v>0</v>
      </c>
      <c r="GJ137" s="38">
        <f t="shared" si="369"/>
        <v>0</v>
      </c>
      <c r="GL137" s="38">
        <f t="shared" si="370"/>
        <v>0</v>
      </c>
      <c r="GM137" s="38">
        <f t="shared" si="371"/>
        <v>0</v>
      </c>
      <c r="GN137" s="1" t="s">
        <v>2</v>
      </c>
      <c r="GO137" s="1">
        <f t="shared" si="379"/>
        <v>37.5</v>
      </c>
      <c r="GP137" s="1">
        <f t="shared" si="380"/>
        <v>1.1000000000000001</v>
      </c>
      <c r="GQ137" s="41">
        <f t="shared" si="381"/>
        <v>412.5</v>
      </c>
      <c r="GR137" s="41">
        <f t="shared" si="382"/>
        <v>5409.5249999999996</v>
      </c>
      <c r="GS137" s="14">
        <f t="shared" si="383"/>
        <v>144.25399999999999</v>
      </c>
      <c r="GT137" s="1">
        <f t="shared" si="372"/>
        <v>0</v>
      </c>
      <c r="GU137" s="1">
        <f t="shared" si="373"/>
        <v>0</v>
      </c>
      <c r="GV137" s="1">
        <f t="shared" si="374"/>
        <v>412.5</v>
      </c>
      <c r="GW137" s="37">
        <f t="shared" si="384"/>
        <v>0</v>
      </c>
      <c r="GX137" s="37"/>
      <c r="GY137" s="37"/>
      <c r="GZ137" s="37"/>
      <c r="HB137" s="1">
        <f t="shared" si="375"/>
        <v>0</v>
      </c>
      <c r="HC137" s="1">
        <f t="shared" si="376"/>
        <v>0</v>
      </c>
      <c r="HD137" s="37" t="s">
        <v>2</v>
      </c>
      <c r="HE137" s="1" t="s">
        <v>31</v>
      </c>
      <c r="HF137" s="1" t="s">
        <v>469</v>
      </c>
      <c r="HG137" s="1" t="s">
        <v>469</v>
      </c>
      <c r="HI137" s="1" t="s">
        <v>163</v>
      </c>
      <c r="HJ137" s="37" t="s">
        <v>2</v>
      </c>
      <c r="JH137" s="58" t="s">
        <v>2</v>
      </c>
    </row>
    <row r="138" spans="1:268" ht="16.25" customHeight="1" x14ac:dyDescent="0.15">
      <c r="A138" s="21" t="s">
        <v>1109</v>
      </c>
      <c r="B138" s="28" t="s">
        <v>876</v>
      </c>
      <c r="F138" s="1" t="s">
        <v>1110</v>
      </c>
      <c r="H138" s="1" t="s">
        <v>467</v>
      </c>
      <c r="I138" s="33">
        <v>0</v>
      </c>
      <c r="AD138" s="33">
        <v>0</v>
      </c>
      <c r="AY138" s="34">
        <v>11.132599999999998</v>
      </c>
      <c r="BG138" s="34">
        <v>1.3907478935738282</v>
      </c>
      <c r="BT138" s="33">
        <v>0</v>
      </c>
      <c r="CO138" s="33">
        <v>0</v>
      </c>
      <c r="DJ138" s="1" t="s">
        <v>163</v>
      </c>
      <c r="DL138" s="1">
        <f t="shared" si="377"/>
        <v>1.3907478935738282</v>
      </c>
      <c r="DM138" s="1">
        <f t="shared" si="378"/>
        <v>0</v>
      </c>
      <c r="DO138" s="1" t="s">
        <v>2</v>
      </c>
      <c r="DP138" s="38">
        <f t="shared" si="300"/>
        <v>0</v>
      </c>
      <c r="DQ138" s="38">
        <f t="shared" si="301"/>
        <v>0</v>
      </c>
      <c r="DR138" s="38">
        <f t="shared" si="302"/>
        <v>0</v>
      </c>
      <c r="DS138" s="38">
        <f t="shared" si="303"/>
        <v>0</v>
      </c>
      <c r="DT138" s="38">
        <f t="shared" si="304"/>
        <v>0</v>
      </c>
      <c r="DU138" s="38">
        <f t="shared" si="305"/>
        <v>0</v>
      </c>
      <c r="DV138" s="38">
        <f t="shared" si="306"/>
        <v>0</v>
      </c>
      <c r="DW138" s="38">
        <f t="shared" si="307"/>
        <v>0.15482639999999998</v>
      </c>
      <c r="DX138" s="38">
        <f t="shared" si="308"/>
        <v>0</v>
      </c>
      <c r="DY138" s="38">
        <f t="shared" si="309"/>
        <v>0</v>
      </c>
      <c r="DZ138" s="38">
        <f t="shared" si="310"/>
        <v>0</v>
      </c>
      <c r="EA138" s="38">
        <f t="shared" si="311"/>
        <v>0</v>
      </c>
      <c r="EB138" s="38">
        <f t="shared" si="312"/>
        <v>0</v>
      </c>
      <c r="EC138" s="38">
        <f t="shared" si="313"/>
        <v>0</v>
      </c>
      <c r="ED138" s="38">
        <f t="shared" si="314"/>
        <v>0</v>
      </c>
      <c r="EE138" s="38">
        <f t="shared" si="315"/>
        <v>0</v>
      </c>
      <c r="EG138" s="38">
        <f t="shared" si="316"/>
        <v>0</v>
      </c>
      <c r="EH138" s="38">
        <f t="shared" si="317"/>
        <v>0</v>
      </c>
      <c r="EI138" s="38">
        <f t="shared" si="318"/>
        <v>0</v>
      </c>
      <c r="EJ138" s="38">
        <f t="shared" si="319"/>
        <v>0</v>
      </c>
      <c r="EK138" s="38">
        <f t="shared" si="320"/>
        <v>0</v>
      </c>
      <c r="EL138" s="38">
        <f t="shared" si="321"/>
        <v>0</v>
      </c>
      <c r="EM138" s="38">
        <f t="shared" si="322"/>
        <v>0</v>
      </c>
      <c r="EN138" s="38">
        <f t="shared" si="323"/>
        <v>0</v>
      </c>
      <c r="EO138" s="38">
        <f t="shared" si="324"/>
        <v>0</v>
      </c>
      <c r="EP138" s="38">
        <f t="shared" si="325"/>
        <v>2030.3934095999996</v>
      </c>
      <c r="EQ138" s="38">
        <f t="shared" si="326"/>
        <v>0</v>
      </c>
      <c r="ER138" s="38">
        <f t="shared" si="327"/>
        <v>0</v>
      </c>
      <c r="ES138" s="38">
        <f t="shared" si="328"/>
        <v>0</v>
      </c>
      <c r="ET138" s="38">
        <f t="shared" si="329"/>
        <v>0</v>
      </c>
      <c r="EU138" s="38">
        <f t="shared" si="330"/>
        <v>0</v>
      </c>
      <c r="EV138" s="38">
        <f t="shared" si="331"/>
        <v>0</v>
      </c>
      <c r="EW138" s="38">
        <f t="shared" si="332"/>
        <v>0</v>
      </c>
      <c r="EX138" s="38">
        <f t="shared" si="333"/>
        <v>0</v>
      </c>
      <c r="EZ138" s="38">
        <f t="shared" si="334"/>
        <v>0</v>
      </c>
      <c r="FA138" s="38">
        <f t="shared" si="335"/>
        <v>0</v>
      </c>
      <c r="FB138" s="1">
        <f t="shared" si="336"/>
        <v>0</v>
      </c>
      <c r="FC138" s="1">
        <f t="shared" si="337"/>
        <v>0</v>
      </c>
      <c r="FD138" s="1">
        <f t="shared" si="338"/>
        <v>0</v>
      </c>
      <c r="FE138" s="1">
        <f t="shared" si="339"/>
        <v>0</v>
      </c>
      <c r="FF138" s="1">
        <f t="shared" si="340"/>
        <v>0</v>
      </c>
      <c r="FG138" s="1">
        <f t="shared" si="341"/>
        <v>0</v>
      </c>
      <c r="FH138" s="1">
        <f t="shared" si="342"/>
        <v>0</v>
      </c>
      <c r="FI138" s="1">
        <f t="shared" si="343"/>
        <v>0</v>
      </c>
      <c r="FJ138" s="1">
        <f t="shared" si="344"/>
        <v>0</v>
      </c>
      <c r="FK138" s="1">
        <f t="shared" si="345"/>
        <v>0</v>
      </c>
      <c r="FL138" s="1">
        <f t="shared" si="346"/>
        <v>0</v>
      </c>
      <c r="FM138" s="1">
        <f t="shared" si="347"/>
        <v>0</v>
      </c>
      <c r="FN138" s="1">
        <f t="shared" si="348"/>
        <v>0</v>
      </c>
      <c r="FO138" s="1">
        <f t="shared" si="349"/>
        <v>0</v>
      </c>
      <c r="FP138" s="1">
        <f t="shared" si="350"/>
        <v>0</v>
      </c>
      <c r="FQ138" s="1">
        <f t="shared" si="351"/>
        <v>0</v>
      </c>
      <c r="FS138" s="1">
        <f t="shared" si="352"/>
        <v>0</v>
      </c>
      <c r="FT138" s="1">
        <f t="shared" si="353"/>
        <v>0</v>
      </c>
      <c r="FU138" s="38">
        <f t="shared" si="354"/>
        <v>0</v>
      </c>
      <c r="FV138" s="38">
        <f t="shared" si="355"/>
        <v>0</v>
      </c>
      <c r="FW138" s="38">
        <f t="shared" si="356"/>
        <v>0</v>
      </c>
      <c r="FX138" s="38">
        <f t="shared" si="357"/>
        <v>0</v>
      </c>
      <c r="FY138" s="38">
        <f t="shared" si="358"/>
        <v>0</v>
      </c>
      <c r="FZ138" s="38">
        <f t="shared" si="359"/>
        <v>0</v>
      </c>
      <c r="GA138" s="38">
        <f t="shared" si="360"/>
        <v>0</v>
      </c>
      <c r="GB138" s="38">
        <f t="shared" si="361"/>
        <v>0</v>
      </c>
      <c r="GC138" s="38">
        <f t="shared" si="362"/>
        <v>0</v>
      </c>
      <c r="GD138" s="38">
        <f t="shared" si="363"/>
        <v>0</v>
      </c>
      <c r="GE138" s="38">
        <f t="shared" si="364"/>
        <v>0</v>
      </c>
      <c r="GF138" s="38">
        <f t="shared" si="365"/>
        <v>0</v>
      </c>
      <c r="GG138" s="38">
        <f t="shared" si="366"/>
        <v>0</v>
      </c>
      <c r="GH138" s="38">
        <f t="shared" si="367"/>
        <v>0</v>
      </c>
      <c r="GI138" s="38">
        <f t="shared" si="368"/>
        <v>0</v>
      </c>
      <c r="GJ138" s="38">
        <f t="shared" si="369"/>
        <v>0</v>
      </c>
      <c r="GL138" s="38">
        <f t="shared" si="370"/>
        <v>0</v>
      </c>
      <c r="GM138" s="38">
        <f t="shared" si="371"/>
        <v>0</v>
      </c>
      <c r="GN138" s="1" t="s">
        <v>2</v>
      </c>
      <c r="GO138" s="14">
        <f t="shared" si="379"/>
        <v>11.132599999999998</v>
      </c>
      <c r="GP138" s="13">
        <f t="shared" si="380"/>
        <v>1.3907478935738282</v>
      </c>
      <c r="GQ138" s="41">
        <f t="shared" si="381"/>
        <v>154.82639999999998</v>
      </c>
      <c r="GR138" s="41">
        <f t="shared" si="382"/>
        <v>2030.3934095999996</v>
      </c>
      <c r="GS138" s="14">
        <f t="shared" si="383"/>
        <v>182.38267876327183</v>
      </c>
      <c r="GT138" s="1">
        <f t="shared" si="372"/>
        <v>0</v>
      </c>
      <c r="GU138" s="1">
        <f t="shared" si="373"/>
        <v>0</v>
      </c>
      <c r="GV138" s="1">
        <f t="shared" si="374"/>
        <v>154.82639999999998</v>
      </c>
      <c r="GW138" s="37">
        <f t="shared" si="384"/>
        <v>0</v>
      </c>
      <c r="GX138" s="37"/>
      <c r="GY138" s="37"/>
      <c r="GZ138" s="37"/>
      <c r="HB138" s="1">
        <f t="shared" si="375"/>
        <v>0</v>
      </c>
      <c r="HC138" s="1">
        <f t="shared" si="376"/>
        <v>0</v>
      </c>
      <c r="HD138" s="37" t="s">
        <v>2</v>
      </c>
      <c r="HE138" s="1" t="s">
        <v>31</v>
      </c>
      <c r="HF138" s="1" t="s">
        <v>469</v>
      </c>
      <c r="HG138" s="1" t="s">
        <v>469</v>
      </c>
      <c r="HI138" s="1" t="s">
        <v>163</v>
      </c>
      <c r="HJ138" s="37" t="s">
        <v>2</v>
      </c>
      <c r="JH138" s="58" t="s">
        <v>2</v>
      </c>
    </row>
    <row r="139" spans="1:268" ht="16.25" customHeight="1" x14ac:dyDescent="0.2">
      <c r="A139" s="21" t="s">
        <v>624</v>
      </c>
      <c r="B139" s="1" t="s">
        <v>69</v>
      </c>
      <c r="F139" s="1" t="s">
        <v>131</v>
      </c>
      <c r="I139" s="1">
        <v>0</v>
      </c>
      <c r="AD139" s="1">
        <v>0</v>
      </c>
      <c r="AY139" s="1">
        <f>31-6.9</f>
        <v>24.1</v>
      </c>
      <c r="BG139" s="1">
        <v>1.3</v>
      </c>
      <c r="BT139" s="1">
        <v>0</v>
      </c>
      <c r="CO139" s="1">
        <v>0</v>
      </c>
      <c r="DJ139" s="1" t="s">
        <v>163</v>
      </c>
      <c r="DL139" s="1">
        <f t="shared" si="377"/>
        <v>1.3</v>
      </c>
      <c r="DM139" s="1">
        <f t="shared" si="378"/>
        <v>0</v>
      </c>
      <c r="DN139" s="1" t="s">
        <v>471</v>
      </c>
      <c r="DO139" s="1" t="s">
        <v>2</v>
      </c>
      <c r="DP139" s="38">
        <f t="shared" si="300"/>
        <v>0</v>
      </c>
      <c r="DQ139" s="38">
        <f t="shared" si="301"/>
        <v>0</v>
      </c>
      <c r="DR139" s="38">
        <f t="shared" si="302"/>
        <v>0</v>
      </c>
      <c r="DS139" s="38">
        <f t="shared" si="303"/>
        <v>0</v>
      </c>
      <c r="DT139" s="38">
        <f t="shared" si="304"/>
        <v>0</v>
      </c>
      <c r="DU139" s="38">
        <f t="shared" si="305"/>
        <v>0</v>
      </c>
      <c r="DV139" s="38">
        <f t="shared" si="306"/>
        <v>0</v>
      </c>
      <c r="DW139" s="38">
        <f t="shared" si="307"/>
        <v>0.31330000000000002</v>
      </c>
      <c r="DX139" s="38">
        <f t="shared" si="308"/>
        <v>0</v>
      </c>
      <c r="DY139" s="38">
        <f t="shared" si="309"/>
        <v>0</v>
      </c>
      <c r="DZ139" s="38">
        <f t="shared" si="310"/>
        <v>0</v>
      </c>
      <c r="EA139" s="38">
        <f t="shared" si="311"/>
        <v>0</v>
      </c>
      <c r="EB139" s="38">
        <f t="shared" si="312"/>
        <v>0</v>
      </c>
      <c r="EC139" s="38">
        <f t="shared" si="313"/>
        <v>0</v>
      </c>
      <c r="ED139" s="38">
        <f t="shared" si="314"/>
        <v>0</v>
      </c>
      <c r="EE139" s="38">
        <f t="shared" si="315"/>
        <v>0</v>
      </c>
      <c r="EG139" s="38">
        <f t="shared" si="316"/>
        <v>0</v>
      </c>
      <c r="EH139" s="38">
        <f t="shared" si="317"/>
        <v>0</v>
      </c>
      <c r="EI139" s="38">
        <f t="shared" si="318"/>
        <v>0</v>
      </c>
      <c r="EJ139" s="38">
        <f t="shared" si="319"/>
        <v>0</v>
      </c>
      <c r="EK139" s="38">
        <f t="shared" si="320"/>
        <v>0</v>
      </c>
      <c r="EL139" s="38">
        <f t="shared" si="321"/>
        <v>0</v>
      </c>
      <c r="EM139" s="38">
        <f t="shared" si="322"/>
        <v>0</v>
      </c>
      <c r="EN139" s="38">
        <f t="shared" si="323"/>
        <v>0</v>
      </c>
      <c r="EO139" s="38">
        <f t="shared" si="324"/>
        <v>0</v>
      </c>
      <c r="EP139" s="38">
        <f t="shared" si="325"/>
        <v>4108.6162000000004</v>
      </c>
      <c r="EQ139" s="38">
        <f t="shared" si="326"/>
        <v>0</v>
      </c>
      <c r="ER139" s="38">
        <f t="shared" si="327"/>
        <v>0</v>
      </c>
      <c r="ES139" s="38">
        <f t="shared" si="328"/>
        <v>0</v>
      </c>
      <c r="ET139" s="38">
        <f t="shared" si="329"/>
        <v>0</v>
      </c>
      <c r="EU139" s="38">
        <f t="shared" si="330"/>
        <v>0</v>
      </c>
      <c r="EV139" s="38">
        <f t="shared" si="331"/>
        <v>0</v>
      </c>
      <c r="EW139" s="38">
        <f t="shared" si="332"/>
        <v>0</v>
      </c>
      <c r="EX139" s="38">
        <f t="shared" si="333"/>
        <v>0</v>
      </c>
      <c r="EZ139" s="38">
        <f t="shared" si="334"/>
        <v>0</v>
      </c>
      <c r="FA139" s="38">
        <f t="shared" si="335"/>
        <v>0</v>
      </c>
      <c r="FB139" s="1">
        <f t="shared" si="336"/>
        <v>0</v>
      </c>
      <c r="FC139" s="1">
        <f t="shared" si="337"/>
        <v>0</v>
      </c>
      <c r="FD139" s="1">
        <f t="shared" si="338"/>
        <v>0</v>
      </c>
      <c r="FE139" s="1">
        <f t="shared" si="339"/>
        <v>0</v>
      </c>
      <c r="FF139" s="1">
        <f t="shared" si="340"/>
        <v>0</v>
      </c>
      <c r="FG139" s="1">
        <f t="shared" si="341"/>
        <v>0</v>
      </c>
      <c r="FH139" s="1">
        <f t="shared" si="342"/>
        <v>0</v>
      </c>
      <c r="FI139" s="1">
        <f t="shared" si="343"/>
        <v>0</v>
      </c>
      <c r="FJ139" s="1">
        <f t="shared" si="344"/>
        <v>0</v>
      </c>
      <c r="FK139" s="1">
        <f t="shared" si="345"/>
        <v>0</v>
      </c>
      <c r="FL139" s="1">
        <f t="shared" si="346"/>
        <v>0</v>
      </c>
      <c r="FM139" s="1">
        <f t="shared" si="347"/>
        <v>0</v>
      </c>
      <c r="FN139" s="1">
        <f t="shared" si="348"/>
        <v>0</v>
      </c>
      <c r="FO139" s="1">
        <f t="shared" si="349"/>
        <v>0</v>
      </c>
      <c r="FP139" s="1">
        <f t="shared" si="350"/>
        <v>0</v>
      </c>
      <c r="FQ139" s="1">
        <f t="shared" si="351"/>
        <v>0</v>
      </c>
      <c r="FS139" s="1">
        <f t="shared" si="352"/>
        <v>0</v>
      </c>
      <c r="FT139" s="1">
        <f t="shared" si="353"/>
        <v>0</v>
      </c>
      <c r="FU139" s="38">
        <f t="shared" si="354"/>
        <v>0</v>
      </c>
      <c r="FV139" s="38">
        <f t="shared" si="355"/>
        <v>0</v>
      </c>
      <c r="FW139" s="38">
        <f t="shared" si="356"/>
        <v>0</v>
      </c>
      <c r="FX139" s="38">
        <f t="shared" si="357"/>
        <v>0</v>
      </c>
      <c r="FY139" s="38">
        <f t="shared" si="358"/>
        <v>0</v>
      </c>
      <c r="FZ139" s="38">
        <f t="shared" si="359"/>
        <v>0</v>
      </c>
      <c r="GA139" s="38">
        <f t="shared" si="360"/>
        <v>0</v>
      </c>
      <c r="GB139" s="38">
        <f t="shared" si="361"/>
        <v>0</v>
      </c>
      <c r="GC139" s="38">
        <f t="shared" si="362"/>
        <v>0</v>
      </c>
      <c r="GD139" s="38">
        <f t="shared" si="363"/>
        <v>0</v>
      </c>
      <c r="GE139" s="38">
        <f t="shared" si="364"/>
        <v>0</v>
      </c>
      <c r="GF139" s="38">
        <f t="shared" si="365"/>
        <v>0</v>
      </c>
      <c r="GG139" s="38">
        <f t="shared" si="366"/>
        <v>0</v>
      </c>
      <c r="GH139" s="38">
        <f t="shared" si="367"/>
        <v>0</v>
      </c>
      <c r="GI139" s="38">
        <f t="shared" si="368"/>
        <v>0</v>
      </c>
      <c r="GJ139" s="38">
        <f t="shared" si="369"/>
        <v>0</v>
      </c>
      <c r="GL139" s="38">
        <f t="shared" si="370"/>
        <v>0</v>
      </c>
      <c r="GM139" s="38">
        <f t="shared" si="371"/>
        <v>0</v>
      </c>
      <c r="GN139" s="1" t="s">
        <v>2</v>
      </c>
      <c r="GO139" s="1">
        <f t="shared" si="379"/>
        <v>24.1</v>
      </c>
      <c r="GP139" s="1">
        <f t="shared" si="380"/>
        <v>1.3</v>
      </c>
      <c r="GQ139" s="41">
        <f t="shared" si="381"/>
        <v>313.3</v>
      </c>
      <c r="GR139" s="41">
        <f t="shared" si="382"/>
        <v>4108.6162000000004</v>
      </c>
      <c r="GS139" s="14">
        <f t="shared" si="383"/>
        <v>170.482</v>
      </c>
      <c r="GT139" s="1">
        <f t="shared" si="372"/>
        <v>0</v>
      </c>
      <c r="GU139" s="1">
        <f t="shared" si="373"/>
        <v>0</v>
      </c>
      <c r="GV139" s="1">
        <f t="shared" si="374"/>
        <v>313.3</v>
      </c>
      <c r="GW139" s="37">
        <f t="shared" si="384"/>
        <v>0</v>
      </c>
      <c r="GX139" s="37"/>
      <c r="GY139" s="37"/>
      <c r="GZ139" s="37"/>
      <c r="HB139" s="1">
        <f t="shared" si="375"/>
        <v>0</v>
      </c>
      <c r="HC139" s="1">
        <f t="shared" si="376"/>
        <v>0</v>
      </c>
      <c r="HD139" s="37" t="s">
        <v>2</v>
      </c>
      <c r="HE139" s="1" t="s">
        <v>31</v>
      </c>
      <c r="HF139" s="1" t="s">
        <v>469</v>
      </c>
      <c r="HI139" s="1" t="s">
        <v>163</v>
      </c>
      <c r="HJ139" s="37" t="s">
        <v>2</v>
      </c>
      <c r="JH139" s="58" t="s">
        <v>2</v>
      </c>
    </row>
    <row r="140" spans="1:268" ht="16.25" customHeight="1" x14ac:dyDescent="0.2">
      <c r="A140" s="21" t="s">
        <v>628</v>
      </c>
      <c r="B140" s="1" t="s">
        <v>69</v>
      </c>
      <c r="F140" s="1" t="s">
        <v>131</v>
      </c>
      <c r="I140" s="1">
        <v>0</v>
      </c>
      <c r="AD140" s="1">
        <v>0</v>
      </c>
      <c r="AY140" s="1">
        <v>4.5309999999999997</v>
      </c>
      <c r="BG140" s="13">
        <v>1.4</v>
      </c>
      <c r="BT140" s="1">
        <v>0</v>
      </c>
      <c r="CO140" s="1">
        <v>0</v>
      </c>
      <c r="DJ140" s="1" t="s">
        <v>163</v>
      </c>
      <c r="DL140" s="1">
        <f t="shared" si="377"/>
        <v>1.4</v>
      </c>
      <c r="DM140" s="1">
        <f t="shared" si="378"/>
        <v>0</v>
      </c>
      <c r="DN140" s="1" t="s">
        <v>629</v>
      </c>
      <c r="DO140" s="1" t="s">
        <v>2</v>
      </c>
      <c r="DP140" s="38">
        <f t="shared" si="300"/>
        <v>0</v>
      </c>
      <c r="DQ140" s="38">
        <f t="shared" si="301"/>
        <v>0</v>
      </c>
      <c r="DR140" s="38">
        <f t="shared" si="302"/>
        <v>0</v>
      </c>
      <c r="DS140" s="38">
        <f t="shared" si="303"/>
        <v>0</v>
      </c>
      <c r="DT140" s="38">
        <f t="shared" si="304"/>
        <v>0</v>
      </c>
      <c r="DU140" s="38">
        <f t="shared" si="305"/>
        <v>0</v>
      </c>
      <c r="DV140" s="38">
        <f t="shared" si="306"/>
        <v>0</v>
      </c>
      <c r="DW140" s="38">
        <f t="shared" si="307"/>
        <v>6.343399999999999E-2</v>
      </c>
      <c r="DX140" s="38">
        <f t="shared" si="308"/>
        <v>0</v>
      </c>
      <c r="DY140" s="38">
        <f t="shared" si="309"/>
        <v>0</v>
      </c>
      <c r="DZ140" s="38">
        <f t="shared" si="310"/>
        <v>0</v>
      </c>
      <c r="EA140" s="38">
        <f t="shared" si="311"/>
        <v>0</v>
      </c>
      <c r="EB140" s="38">
        <f t="shared" si="312"/>
        <v>0</v>
      </c>
      <c r="EC140" s="38">
        <f t="shared" si="313"/>
        <v>0</v>
      </c>
      <c r="ED140" s="38">
        <f t="shared" si="314"/>
        <v>0</v>
      </c>
      <c r="EE140" s="38">
        <f t="shared" si="315"/>
        <v>0</v>
      </c>
      <c r="EG140" s="38">
        <f t="shared" si="316"/>
        <v>0</v>
      </c>
      <c r="EH140" s="38">
        <f t="shared" si="317"/>
        <v>0</v>
      </c>
      <c r="EI140" s="38">
        <f t="shared" si="318"/>
        <v>0</v>
      </c>
      <c r="EJ140" s="38">
        <f t="shared" si="319"/>
        <v>0</v>
      </c>
      <c r="EK140" s="38">
        <f t="shared" si="320"/>
        <v>0</v>
      </c>
      <c r="EL140" s="38">
        <f t="shared" si="321"/>
        <v>0</v>
      </c>
      <c r="EM140" s="38">
        <f t="shared" si="322"/>
        <v>0</v>
      </c>
      <c r="EN140" s="38">
        <f t="shared" si="323"/>
        <v>0</v>
      </c>
      <c r="EO140" s="38">
        <f t="shared" si="324"/>
        <v>0</v>
      </c>
      <c r="EP140" s="38">
        <f t="shared" si="325"/>
        <v>831.87347599999987</v>
      </c>
      <c r="EQ140" s="38">
        <f t="shared" si="326"/>
        <v>0</v>
      </c>
      <c r="ER140" s="38">
        <f t="shared" si="327"/>
        <v>0</v>
      </c>
      <c r="ES140" s="38">
        <f t="shared" si="328"/>
        <v>0</v>
      </c>
      <c r="ET140" s="38">
        <f t="shared" si="329"/>
        <v>0</v>
      </c>
      <c r="EU140" s="38">
        <f t="shared" si="330"/>
        <v>0</v>
      </c>
      <c r="EV140" s="38">
        <f t="shared" si="331"/>
        <v>0</v>
      </c>
      <c r="EW140" s="38">
        <f t="shared" si="332"/>
        <v>0</v>
      </c>
      <c r="EX140" s="38">
        <f t="shared" si="333"/>
        <v>0</v>
      </c>
      <c r="EZ140" s="38">
        <f t="shared" si="334"/>
        <v>0</v>
      </c>
      <c r="FA140" s="38">
        <f t="shared" si="335"/>
        <v>0</v>
      </c>
      <c r="FB140" s="1">
        <f t="shared" si="336"/>
        <v>0</v>
      </c>
      <c r="FC140" s="1">
        <f t="shared" si="337"/>
        <v>0</v>
      </c>
      <c r="FD140" s="1">
        <f t="shared" si="338"/>
        <v>0</v>
      </c>
      <c r="FE140" s="1">
        <f t="shared" si="339"/>
        <v>0</v>
      </c>
      <c r="FF140" s="1">
        <f t="shared" si="340"/>
        <v>0</v>
      </c>
      <c r="FG140" s="1">
        <f t="shared" si="341"/>
        <v>0</v>
      </c>
      <c r="FH140" s="1">
        <f t="shared" si="342"/>
        <v>0</v>
      </c>
      <c r="FI140" s="1">
        <f t="shared" si="343"/>
        <v>0</v>
      </c>
      <c r="FJ140" s="1">
        <f t="shared" si="344"/>
        <v>0</v>
      </c>
      <c r="FK140" s="1">
        <f t="shared" si="345"/>
        <v>0</v>
      </c>
      <c r="FL140" s="1">
        <f t="shared" si="346"/>
        <v>0</v>
      </c>
      <c r="FM140" s="1">
        <f t="shared" si="347"/>
        <v>0</v>
      </c>
      <c r="FN140" s="1">
        <f t="shared" si="348"/>
        <v>0</v>
      </c>
      <c r="FO140" s="1">
        <f t="shared" si="349"/>
        <v>0</v>
      </c>
      <c r="FP140" s="1">
        <f t="shared" si="350"/>
        <v>0</v>
      </c>
      <c r="FQ140" s="1">
        <f t="shared" si="351"/>
        <v>0</v>
      </c>
      <c r="FS140" s="1">
        <f t="shared" si="352"/>
        <v>0</v>
      </c>
      <c r="FT140" s="1">
        <f t="shared" si="353"/>
        <v>0</v>
      </c>
      <c r="FU140" s="38">
        <f t="shared" si="354"/>
        <v>0</v>
      </c>
      <c r="FV140" s="38">
        <f t="shared" si="355"/>
        <v>0</v>
      </c>
      <c r="FW140" s="38">
        <f t="shared" si="356"/>
        <v>0</v>
      </c>
      <c r="FX140" s="38">
        <f t="shared" si="357"/>
        <v>0</v>
      </c>
      <c r="FY140" s="38">
        <f t="shared" si="358"/>
        <v>0</v>
      </c>
      <c r="FZ140" s="38">
        <f t="shared" si="359"/>
        <v>0</v>
      </c>
      <c r="GA140" s="38">
        <f t="shared" si="360"/>
        <v>0</v>
      </c>
      <c r="GB140" s="38">
        <f t="shared" si="361"/>
        <v>0</v>
      </c>
      <c r="GC140" s="38">
        <f t="shared" si="362"/>
        <v>0</v>
      </c>
      <c r="GD140" s="38">
        <f t="shared" si="363"/>
        <v>0</v>
      </c>
      <c r="GE140" s="38">
        <f t="shared" si="364"/>
        <v>0</v>
      </c>
      <c r="GF140" s="38">
        <f t="shared" si="365"/>
        <v>0</v>
      </c>
      <c r="GG140" s="38">
        <f t="shared" si="366"/>
        <v>0</v>
      </c>
      <c r="GH140" s="38">
        <f t="shared" si="367"/>
        <v>0</v>
      </c>
      <c r="GI140" s="38">
        <f t="shared" si="368"/>
        <v>0</v>
      </c>
      <c r="GJ140" s="38">
        <f t="shared" si="369"/>
        <v>0</v>
      </c>
      <c r="GL140" s="38">
        <f t="shared" si="370"/>
        <v>0</v>
      </c>
      <c r="GM140" s="38">
        <f t="shared" si="371"/>
        <v>0</v>
      </c>
      <c r="GN140" s="1" t="s">
        <v>2</v>
      </c>
      <c r="GO140" s="1">
        <f t="shared" si="379"/>
        <v>4.5309999999999997</v>
      </c>
      <c r="GP140" s="1">
        <f t="shared" si="380"/>
        <v>1.4</v>
      </c>
      <c r="GQ140" s="41">
        <f t="shared" si="381"/>
        <v>63.433999999999997</v>
      </c>
      <c r="GR140" s="41">
        <f t="shared" si="382"/>
        <v>831.87347599999987</v>
      </c>
      <c r="GS140" s="14">
        <f t="shared" si="383"/>
        <v>183.59599999999998</v>
      </c>
      <c r="GT140" s="1">
        <f t="shared" si="372"/>
        <v>0</v>
      </c>
      <c r="GU140" s="1">
        <f t="shared" si="373"/>
        <v>0</v>
      </c>
      <c r="GV140" s="1">
        <f t="shared" si="374"/>
        <v>63.43399999999999</v>
      </c>
      <c r="GW140" s="37">
        <f t="shared" si="384"/>
        <v>0</v>
      </c>
      <c r="GX140" s="37"/>
      <c r="GY140" s="37"/>
      <c r="GZ140" s="37"/>
      <c r="HB140" s="1">
        <f t="shared" si="375"/>
        <v>0</v>
      </c>
      <c r="HC140" s="1">
        <f t="shared" si="376"/>
        <v>0</v>
      </c>
      <c r="HD140" s="37" t="s">
        <v>2</v>
      </c>
      <c r="HE140" s="1" t="s">
        <v>31</v>
      </c>
      <c r="HF140" s="1" t="s">
        <v>469</v>
      </c>
      <c r="HI140" s="1" t="s">
        <v>163</v>
      </c>
      <c r="HJ140" s="37" t="s">
        <v>2</v>
      </c>
      <c r="JH140" s="58" t="s">
        <v>2</v>
      </c>
    </row>
    <row r="141" spans="1:268" ht="16.25" customHeight="1" x14ac:dyDescent="0.2">
      <c r="A141" s="21" t="s">
        <v>630</v>
      </c>
      <c r="B141" s="1" t="s">
        <v>69</v>
      </c>
      <c r="F141" s="1" t="s">
        <v>131</v>
      </c>
      <c r="I141" s="1">
        <v>0</v>
      </c>
      <c r="AD141" s="1">
        <v>0</v>
      </c>
      <c r="AY141" s="1">
        <v>11.103999999999999</v>
      </c>
      <c r="BG141" s="1">
        <v>1.33</v>
      </c>
      <c r="BT141" s="1">
        <v>0</v>
      </c>
      <c r="CO141" s="1">
        <v>0</v>
      </c>
      <c r="DJ141" s="1" t="s">
        <v>163</v>
      </c>
      <c r="DL141" s="1">
        <f t="shared" si="377"/>
        <v>1.33</v>
      </c>
      <c r="DM141" s="1">
        <f t="shared" si="378"/>
        <v>0</v>
      </c>
      <c r="DN141" s="1" t="s">
        <v>629</v>
      </c>
      <c r="DO141" s="1" t="s">
        <v>2</v>
      </c>
      <c r="DP141" s="38">
        <f t="shared" si="300"/>
        <v>0</v>
      </c>
      <c r="DQ141" s="38">
        <f t="shared" si="301"/>
        <v>0</v>
      </c>
      <c r="DR141" s="38">
        <f t="shared" si="302"/>
        <v>0</v>
      </c>
      <c r="DS141" s="38">
        <f t="shared" si="303"/>
        <v>0</v>
      </c>
      <c r="DT141" s="38">
        <f t="shared" si="304"/>
        <v>0</v>
      </c>
      <c r="DU141" s="38">
        <f t="shared" si="305"/>
        <v>0</v>
      </c>
      <c r="DV141" s="38">
        <f t="shared" si="306"/>
        <v>0</v>
      </c>
      <c r="DW141" s="38">
        <f t="shared" si="307"/>
        <v>0.14768319999999999</v>
      </c>
      <c r="DX141" s="38">
        <f t="shared" si="308"/>
        <v>0</v>
      </c>
      <c r="DY141" s="38">
        <f t="shared" si="309"/>
        <v>0</v>
      </c>
      <c r="DZ141" s="38">
        <f t="shared" si="310"/>
        <v>0</v>
      </c>
      <c r="EA141" s="38">
        <f t="shared" si="311"/>
        <v>0</v>
      </c>
      <c r="EB141" s="38">
        <f t="shared" si="312"/>
        <v>0</v>
      </c>
      <c r="EC141" s="38">
        <f t="shared" si="313"/>
        <v>0</v>
      </c>
      <c r="ED141" s="38">
        <f t="shared" si="314"/>
        <v>0</v>
      </c>
      <c r="EE141" s="38">
        <f t="shared" si="315"/>
        <v>0</v>
      </c>
      <c r="EG141" s="38">
        <f t="shared" si="316"/>
        <v>0</v>
      </c>
      <c r="EH141" s="38">
        <f t="shared" si="317"/>
        <v>0</v>
      </c>
      <c r="EI141" s="38">
        <f t="shared" si="318"/>
        <v>0</v>
      </c>
      <c r="EJ141" s="38">
        <f t="shared" si="319"/>
        <v>0</v>
      </c>
      <c r="EK141" s="38">
        <f t="shared" si="320"/>
        <v>0</v>
      </c>
      <c r="EL141" s="38">
        <f t="shared" si="321"/>
        <v>0</v>
      </c>
      <c r="EM141" s="38">
        <f t="shared" si="322"/>
        <v>0</v>
      </c>
      <c r="EN141" s="38">
        <f t="shared" si="323"/>
        <v>0</v>
      </c>
      <c r="EO141" s="38">
        <f t="shared" si="324"/>
        <v>0</v>
      </c>
      <c r="EP141" s="38">
        <f t="shared" si="325"/>
        <v>1936.7174847999997</v>
      </c>
      <c r="EQ141" s="38">
        <f t="shared" si="326"/>
        <v>0</v>
      </c>
      <c r="ER141" s="38">
        <f t="shared" si="327"/>
        <v>0</v>
      </c>
      <c r="ES141" s="38">
        <f t="shared" si="328"/>
        <v>0</v>
      </c>
      <c r="ET141" s="38">
        <f t="shared" si="329"/>
        <v>0</v>
      </c>
      <c r="EU141" s="38">
        <f t="shared" si="330"/>
        <v>0</v>
      </c>
      <c r="EV141" s="38">
        <f t="shared" si="331"/>
        <v>0</v>
      </c>
      <c r="EW141" s="38">
        <f t="shared" si="332"/>
        <v>0</v>
      </c>
      <c r="EX141" s="38">
        <f t="shared" si="333"/>
        <v>0</v>
      </c>
      <c r="EZ141" s="38">
        <f t="shared" si="334"/>
        <v>0</v>
      </c>
      <c r="FA141" s="38">
        <f t="shared" si="335"/>
        <v>0</v>
      </c>
      <c r="FB141" s="1">
        <f t="shared" si="336"/>
        <v>0</v>
      </c>
      <c r="FC141" s="1">
        <f t="shared" si="337"/>
        <v>0</v>
      </c>
      <c r="FD141" s="1">
        <f t="shared" si="338"/>
        <v>0</v>
      </c>
      <c r="FE141" s="1">
        <f t="shared" si="339"/>
        <v>0</v>
      </c>
      <c r="FF141" s="1">
        <f t="shared" si="340"/>
        <v>0</v>
      </c>
      <c r="FG141" s="1">
        <f t="shared" si="341"/>
        <v>0</v>
      </c>
      <c r="FH141" s="1">
        <f t="shared" si="342"/>
        <v>0</v>
      </c>
      <c r="FI141" s="1">
        <f t="shared" si="343"/>
        <v>0</v>
      </c>
      <c r="FJ141" s="1">
        <f t="shared" si="344"/>
        <v>0</v>
      </c>
      <c r="FK141" s="1">
        <f t="shared" si="345"/>
        <v>0</v>
      </c>
      <c r="FL141" s="1">
        <f t="shared" si="346"/>
        <v>0</v>
      </c>
      <c r="FM141" s="1">
        <f t="shared" si="347"/>
        <v>0</v>
      </c>
      <c r="FN141" s="1">
        <f t="shared" si="348"/>
        <v>0</v>
      </c>
      <c r="FO141" s="1">
        <f t="shared" si="349"/>
        <v>0</v>
      </c>
      <c r="FP141" s="1">
        <f t="shared" si="350"/>
        <v>0</v>
      </c>
      <c r="FQ141" s="1">
        <f t="shared" si="351"/>
        <v>0</v>
      </c>
      <c r="FS141" s="1">
        <f t="shared" si="352"/>
        <v>0</v>
      </c>
      <c r="FT141" s="1">
        <f t="shared" si="353"/>
        <v>0</v>
      </c>
      <c r="FU141" s="38">
        <f t="shared" si="354"/>
        <v>0</v>
      </c>
      <c r="FV141" s="38">
        <f t="shared" si="355"/>
        <v>0</v>
      </c>
      <c r="FW141" s="38">
        <f t="shared" si="356"/>
        <v>0</v>
      </c>
      <c r="FX141" s="38">
        <f t="shared" si="357"/>
        <v>0</v>
      </c>
      <c r="FY141" s="38">
        <f t="shared" si="358"/>
        <v>0</v>
      </c>
      <c r="FZ141" s="38">
        <f t="shared" si="359"/>
        <v>0</v>
      </c>
      <c r="GA141" s="38">
        <f t="shared" si="360"/>
        <v>0</v>
      </c>
      <c r="GB141" s="38">
        <f t="shared" si="361"/>
        <v>0</v>
      </c>
      <c r="GC141" s="38">
        <f t="shared" si="362"/>
        <v>0</v>
      </c>
      <c r="GD141" s="38">
        <f t="shared" si="363"/>
        <v>0</v>
      </c>
      <c r="GE141" s="38">
        <f t="shared" si="364"/>
        <v>0</v>
      </c>
      <c r="GF141" s="38">
        <f t="shared" si="365"/>
        <v>0</v>
      </c>
      <c r="GG141" s="38">
        <f t="shared" si="366"/>
        <v>0</v>
      </c>
      <c r="GH141" s="38">
        <f t="shared" si="367"/>
        <v>0</v>
      </c>
      <c r="GI141" s="38">
        <f t="shared" si="368"/>
        <v>0</v>
      </c>
      <c r="GJ141" s="38">
        <f t="shared" si="369"/>
        <v>0</v>
      </c>
      <c r="GL141" s="38">
        <f t="shared" si="370"/>
        <v>0</v>
      </c>
      <c r="GM141" s="38">
        <f t="shared" si="371"/>
        <v>0</v>
      </c>
      <c r="GN141" s="1" t="s">
        <v>2</v>
      </c>
      <c r="GO141" s="13">
        <f t="shared" si="379"/>
        <v>11.103999999999999</v>
      </c>
      <c r="GP141" s="1">
        <f t="shared" si="380"/>
        <v>1.33</v>
      </c>
      <c r="GQ141" s="41">
        <f t="shared" si="381"/>
        <v>147.68320000000003</v>
      </c>
      <c r="GR141" s="41">
        <f t="shared" si="382"/>
        <v>1936.7174847999997</v>
      </c>
      <c r="GS141" s="14">
        <f t="shared" si="383"/>
        <v>174.41619999999998</v>
      </c>
      <c r="GT141" s="1">
        <f t="shared" si="372"/>
        <v>0</v>
      </c>
      <c r="GU141" s="1">
        <f t="shared" si="373"/>
        <v>0</v>
      </c>
      <c r="GV141" s="1">
        <f t="shared" si="374"/>
        <v>147.6832</v>
      </c>
      <c r="GW141" s="37">
        <f t="shared" si="384"/>
        <v>0</v>
      </c>
      <c r="GX141" s="37"/>
      <c r="GY141" s="37"/>
      <c r="GZ141" s="37"/>
      <c r="HB141" s="1">
        <f t="shared" si="375"/>
        <v>0</v>
      </c>
      <c r="HC141" s="1">
        <f t="shared" si="376"/>
        <v>0</v>
      </c>
      <c r="HD141" s="37" t="s">
        <v>2</v>
      </c>
      <c r="HE141" s="1" t="s">
        <v>31</v>
      </c>
      <c r="HF141" s="1" t="s">
        <v>469</v>
      </c>
      <c r="HI141" s="1" t="s">
        <v>163</v>
      </c>
      <c r="HJ141" s="37" t="s">
        <v>2</v>
      </c>
      <c r="JH141" s="58" t="s">
        <v>2</v>
      </c>
    </row>
    <row r="142" spans="1:268" ht="16.25" customHeight="1" x14ac:dyDescent="0.2">
      <c r="A142" s="21" t="s">
        <v>631</v>
      </c>
      <c r="B142" s="1" t="s">
        <v>69</v>
      </c>
      <c r="F142" s="1" t="s">
        <v>131</v>
      </c>
      <c r="I142" s="1">
        <v>0</v>
      </c>
      <c r="AD142" s="1">
        <v>0</v>
      </c>
      <c r="AY142" s="1">
        <v>45.601999999999997</v>
      </c>
      <c r="BG142" s="1">
        <v>1.55</v>
      </c>
      <c r="BT142" s="1">
        <v>0</v>
      </c>
      <c r="CO142" s="1">
        <v>0</v>
      </c>
      <c r="DJ142" s="1" t="s">
        <v>163</v>
      </c>
      <c r="DL142" s="1">
        <f t="shared" si="377"/>
        <v>1.55</v>
      </c>
      <c r="DM142" s="1">
        <f t="shared" si="378"/>
        <v>0</v>
      </c>
      <c r="DN142" s="1" t="s">
        <v>629</v>
      </c>
      <c r="DO142" s="1" t="s">
        <v>2</v>
      </c>
      <c r="DP142" s="38">
        <f t="shared" si="300"/>
        <v>0</v>
      </c>
      <c r="DQ142" s="38">
        <f t="shared" si="301"/>
        <v>0</v>
      </c>
      <c r="DR142" s="38">
        <f t="shared" si="302"/>
        <v>0</v>
      </c>
      <c r="DS142" s="38">
        <f t="shared" si="303"/>
        <v>0</v>
      </c>
      <c r="DT142" s="38">
        <f t="shared" si="304"/>
        <v>0</v>
      </c>
      <c r="DU142" s="38">
        <f t="shared" si="305"/>
        <v>0</v>
      </c>
      <c r="DV142" s="38">
        <f t="shared" si="306"/>
        <v>0</v>
      </c>
      <c r="DW142" s="38">
        <f t="shared" si="307"/>
        <v>0.70683099999999999</v>
      </c>
      <c r="DX142" s="38">
        <f t="shared" si="308"/>
        <v>0</v>
      </c>
      <c r="DY142" s="38">
        <f t="shared" si="309"/>
        <v>0</v>
      </c>
      <c r="DZ142" s="38">
        <f t="shared" si="310"/>
        <v>0</v>
      </c>
      <c r="EA142" s="38">
        <f t="shared" si="311"/>
        <v>0</v>
      </c>
      <c r="EB142" s="38">
        <f t="shared" si="312"/>
        <v>0</v>
      </c>
      <c r="EC142" s="38">
        <f t="shared" si="313"/>
        <v>0</v>
      </c>
      <c r="ED142" s="38">
        <f t="shared" si="314"/>
        <v>0</v>
      </c>
      <c r="EE142" s="38">
        <f t="shared" si="315"/>
        <v>0</v>
      </c>
      <c r="EG142" s="38">
        <f t="shared" si="316"/>
        <v>0</v>
      </c>
      <c r="EH142" s="38">
        <f t="shared" si="317"/>
        <v>0</v>
      </c>
      <c r="EI142" s="38">
        <f t="shared" si="318"/>
        <v>0</v>
      </c>
      <c r="EJ142" s="38">
        <f t="shared" si="319"/>
        <v>0</v>
      </c>
      <c r="EK142" s="38">
        <f t="shared" si="320"/>
        <v>0</v>
      </c>
      <c r="EL142" s="38">
        <f t="shared" si="321"/>
        <v>0</v>
      </c>
      <c r="EM142" s="38">
        <f t="shared" si="322"/>
        <v>0</v>
      </c>
      <c r="EN142" s="38">
        <f t="shared" si="323"/>
        <v>0</v>
      </c>
      <c r="EO142" s="38">
        <f t="shared" si="324"/>
        <v>0</v>
      </c>
      <c r="EP142" s="38">
        <f t="shared" si="325"/>
        <v>9269.3817340000005</v>
      </c>
      <c r="EQ142" s="38">
        <f t="shared" si="326"/>
        <v>0</v>
      </c>
      <c r="ER142" s="38">
        <f t="shared" si="327"/>
        <v>0</v>
      </c>
      <c r="ES142" s="38">
        <f t="shared" si="328"/>
        <v>0</v>
      </c>
      <c r="ET142" s="38">
        <f t="shared" si="329"/>
        <v>0</v>
      </c>
      <c r="EU142" s="38">
        <f t="shared" si="330"/>
        <v>0</v>
      </c>
      <c r="EV142" s="38">
        <f t="shared" si="331"/>
        <v>0</v>
      </c>
      <c r="EW142" s="38">
        <f t="shared" si="332"/>
        <v>0</v>
      </c>
      <c r="EX142" s="38">
        <f t="shared" si="333"/>
        <v>0</v>
      </c>
      <c r="EZ142" s="38">
        <f t="shared" si="334"/>
        <v>0</v>
      </c>
      <c r="FA142" s="38">
        <f t="shared" si="335"/>
        <v>0</v>
      </c>
      <c r="FB142" s="1">
        <f t="shared" si="336"/>
        <v>0</v>
      </c>
      <c r="FC142" s="1">
        <f t="shared" si="337"/>
        <v>0</v>
      </c>
      <c r="FD142" s="1">
        <f t="shared" si="338"/>
        <v>0</v>
      </c>
      <c r="FE142" s="1">
        <f t="shared" si="339"/>
        <v>0</v>
      </c>
      <c r="FF142" s="1">
        <f t="shared" si="340"/>
        <v>0</v>
      </c>
      <c r="FG142" s="1">
        <f t="shared" si="341"/>
        <v>0</v>
      </c>
      <c r="FH142" s="1">
        <f t="shared" si="342"/>
        <v>0</v>
      </c>
      <c r="FI142" s="1">
        <f t="shared" si="343"/>
        <v>0</v>
      </c>
      <c r="FJ142" s="1">
        <f t="shared" si="344"/>
        <v>0</v>
      </c>
      <c r="FK142" s="1">
        <f t="shared" si="345"/>
        <v>0</v>
      </c>
      <c r="FL142" s="1">
        <f t="shared" si="346"/>
        <v>0</v>
      </c>
      <c r="FM142" s="1">
        <f t="shared" si="347"/>
        <v>0</v>
      </c>
      <c r="FN142" s="1">
        <f t="shared" si="348"/>
        <v>0</v>
      </c>
      <c r="FO142" s="1">
        <f t="shared" si="349"/>
        <v>0</v>
      </c>
      <c r="FP142" s="1">
        <f t="shared" si="350"/>
        <v>0</v>
      </c>
      <c r="FQ142" s="1">
        <f t="shared" si="351"/>
        <v>0</v>
      </c>
      <c r="FS142" s="1">
        <f t="shared" si="352"/>
        <v>0</v>
      </c>
      <c r="FT142" s="1">
        <f t="shared" si="353"/>
        <v>0</v>
      </c>
      <c r="FU142" s="38">
        <f t="shared" si="354"/>
        <v>0</v>
      </c>
      <c r="FV142" s="38">
        <f t="shared" si="355"/>
        <v>0</v>
      </c>
      <c r="FW142" s="38">
        <f t="shared" si="356"/>
        <v>0</v>
      </c>
      <c r="FX142" s="38">
        <f t="shared" si="357"/>
        <v>0</v>
      </c>
      <c r="FY142" s="38">
        <f t="shared" si="358"/>
        <v>0</v>
      </c>
      <c r="FZ142" s="38">
        <f t="shared" si="359"/>
        <v>0</v>
      </c>
      <c r="GA142" s="38">
        <f t="shared" si="360"/>
        <v>0</v>
      </c>
      <c r="GB142" s="38">
        <f t="shared" si="361"/>
        <v>0</v>
      </c>
      <c r="GC142" s="38">
        <f t="shared" si="362"/>
        <v>0</v>
      </c>
      <c r="GD142" s="38">
        <f t="shared" si="363"/>
        <v>0</v>
      </c>
      <c r="GE142" s="38">
        <f t="shared" si="364"/>
        <v>0</v>
      </c>
      <c r="GF142" s="38">
        <f t="shared" si="365"/>
        <v>0</v>
      </c>
      <c r="GG142" s="38">
        <f t="shared" si="366"/>
        <v>0</v>
      </c>
      <c r="GH142" s="38">
        <f t="shared" si="367"/>
        <v>0</v>
      </c>
      <c r="GI142" s="38">
        <f t="shared" si="368"/>
        <v>0</v>
      </c>
      <c r="GJ142" s="38">
        <f t="shared" si="369"/>
        <v>0</v>
      </c>
      <c r="GL142" s="38">
        <f t="shared" si="370"/>
        <v>0</v>
      </c>
      <c r="GM142" s="38">
        <f t="shared" si="371"/>
        <v>0</v>
      </c>
      <c r="GN142" s="1" t="s">
        <v>2</v>
      </c>
      <c r="GO142" s="13">
        <f t="shared" si="379"/>
        <v>45.601999999999997</v>
      </c>
      <c r="GP142" s="1">
        <f t="shared" si="380"/>
        <v>1.55</v>
      </c>
      <c r="GQ142" s="41">
        <f t="shared" si="381"/>
        <v>706.83100000000002</v>
      </c>
      <c r="GR142" s="41">
        <f t="shared" si="382"/>
        <v>9269.3817340000005</v>
      </c>
      <c r="GS142" s="14">
        <f t="shared" si="383"/>
        <v>203.26700000000002</v>
      </c>
      <c r="GT142" s="1">
        <f t="shared" si="372"/>
        <v>0</v>
      </c>
      <c r="GU142" s="1">
        <f t="shared" si="373"/>
        <v>0</v>
      </c>
      <c r="GV142" s="1">
        <f t="shared" si="374"/>
        <v>706.8309999999999</v>
      </c>
      <c r="GW142" s="37">
        <f t="shared" si="384"/>
        <v>0</v>
      </c>
      <c r="GX142" s="37"/>
      <c r="GY142" s="37"/>
      <c r="GZ142" s="37"/>
      <c r="HB142" s="1">
        <f t="shared" si="375"/>
        <v>0</v>
      </c>
      <c r="HC142" s="1">
        <f t="shared" si="376"/>
        <v>0</v>
      </c>
      <c r="HD142" s="37" t="s">
        <v>2</v>
      </c>
      <c r="HE142" s="1" t="s">
        <v>31</v>
      </c>
      <c r="HF142" s="1" t="s">
        <v>469</v>
      </c>
      <c r="HI142" s="1" t="s">
        <v>163</v>
      </c>
      <c r="HJ142" s="37" t="s">
        <v>2</v>
      </c>
      <c r="JH142" s="58" t="s">
        <v>2</v>
      </c>
    </row>
    <row r="143" spans="1:268" ht="16.25" customHeight="1" x14ac:dyDescent="0.2">
      <c r="A143" s="21" t="s">
        <v>632</v>
      </c>
      <c r="B143" s="1" t="s">
        <v>69</v>
      </c>
      <c r="F143" s="1" t="s">
        <v>131</v>
      </c>
      <c r="I143" s="1">
        <v>0</v>
      </c>
      <c r="AD143" s="1">
        <v>0</v>
      </c>
      <c r="AY143" s="1">
        <v>49.966000000000001</v>
      </c>
      <c r="BG143" s="1">
        <v>1.26</v>
      </c>
      <c r="BT143" s="1">
        <v>0</v>
      </c>
      <c r="CO143" s="1">
        <v>0</v>
      </c>
      <c r="DJ143" s="1" t="s">
        <v>163</v>
      </c>
      <c r="DL143" s="1">
        <f t="shared" si="377"/>
        <v>1.26</v>
      </c>
      <c r="DM143" s="1">
        <f t="shared" si="378"/>
        <v>0</v>
      </c>
      <c r="DN143" s="1" t="s">
        <v>629</v>
      </c>
      <c r="DO143" s="1" t="s">
        <v>2</v>
      </c>
      <c r="DP143" s="38">
        <f t="shared" si="300"/>
        <v>0</v>
      </c>
      <c r="DQ143" s="38">
        <f t="shared" si="301"/>
        <v>0</v>
      </c>
      <c r="DR143" s="38">
        <f t="shared" si="302"/>
        <v>0</v>
      </c>
      <c r="DS143" s="38">
        <f t="shared" si="303"/>
        <v>0</v>
      </c>
      <c r="DT143" s="38">
        <f t="shared" si="304"/>
        <v>0</v>
      </c>
      <c r="DU143" s="38">
        <f t="shared" si="305"/>
        <v>0</v>
      </c>
      <c r="DV143" s="38">
        <f t="shared" si="306"/>
        <v>0</v>
      </c>
      <c r="DW143" s="38">
        <f t="shared" si="307"/>
        <v>0.62957160000000001</v>
      </c>
      <c r="DX143" s="38">
        <f t="shared" si="308"/>
        <v>0</v>
      </c>
      <c r="DY143" s="38">
        <f t="shared" si="309"/>
        <v>0</v>
      </c>
      <c r="DZ143" s="38">
        <f t="shared" si="310"/>
        <v>0</v>
      </c>
      <c r="EA143" s="38">
        <f t="shared" si="311"/>
        <v>0</v>
      </c>
      <c r="EB143" s="38">
        <f t="shared" si="312"/>
        <v>0</v>
      </c>
      <c r="EC143" s="38">
        <f t="shared" si="313"/>
        <v>0</v>
      </c>
      <c r="ED143" s="38">
        <f t="shared" si="314"/>
        <v>0</v>
      </c>
      <c r="EE143" s="38">
        <f t="shared" si="315"/>
        <v>0</v>
      </c>
      <c r="EG143" s="38">
        <f t="shared" si="316"/>
        <v>0</v>
      </c>
      <c r="EH143" s="38">
        <f t="shared" si="317"/>
        <v>0</v>
      </c>
      <c r="EI143" s="38">
        <f t="shared" si="318"/>
        <v>0</v>
      </c>
      <c r="EJ143" s="38">
        <f t="shared" si="319"/>
        <v>0</v>
      </c>
      <c r="EK143" s="38">
        <f t="shared" si="320"/>
        <v>0</v>
      </c>
      <c r="EL143" s="38">
        <f t="shared" si="321"/>
        <v>0</v>
      </c>
      <c r="EM143" s="38">
        <f t="shared" si="322"/>
        <v>0</v>
      </c>
      <c r="EN143" s="38">
        <f t="shared" si="323"/>
        <v>0</v>
      </c>
      <c r="EO143" s="38">
        <f t="shared" si="324"/>
        <v>0</v>
      </c>
      <c r="EP143" s="38">
        <f t="shared" si="325"/>
        <v>8256.2019624000004</v>
      </c>
      <c r="EQ143" s="38">
        <f t="shared" si="326"/>
        <v>0</v>
      </c>
      <c r="ER143" s="38">
        <f t="shared" si="327"/>
        <v>0</v>
      </c>
      <c r="ES143" s="38">
        <f t="shared" si="328"/>
        <v>0</v>
      </c>
      <c r="ET143" s="38">
        <f t="shared" si="329"/>
        <v>0</v>
      </c>
      <c r="EU143" s="38">
        <f t="shared" si="330"/>
        <v>0</v>
      </c>
      <c r="EV143" s="38">
        <f t="shared" si="331"/>
        <v>0</v>
      </c>
      <c r="EW143" s="38">
        <f t="shared" si="332"/>
        <v>0</v>
      </c>
      <c r="EX143" s="38">
        <f t="shared" si="333"/>
        <v>0</v>
      </c>
      <c r="EZ143" s="38">
        <f t="shared" si="334"/>
        <v>0</v>
      </c>
      <c r="FA143" s="38">
        <f t="shared" si="335"/>
        <v>0</v>
      </c>
      <c r="FB143" s="1">
        <f t="shared" si="336"/>
        <v>0</v>
      </c>
      <c r="FC143" s="1">
        <f t="shared" si="337"/>
        <v>0</v>
      </c>
      <c r="FD143" s="1">
        <f t="shared" si="338"/>
        <v>0</v>
      </c>
      <c r="FE143" s="1">
        <f t="shared" si="339"/>
        <v>0</v>
      </c>
      <c r="FF143" s="1">
        <f t="shared" si="340"/>
        <v>0</v>
      </c>
      <c r="FG143" s="1">
        <f t="shared" si="341"/>
        <v>0</v>
      </c>
      <c r="FH143" s="1">
        <f t="shared" si="342"/>
        <v>0</v>
      </c>
      <c r="FI143" s="1">
        <f t="shared" si="343"/>
        <v>0</v>
      </c>
      <c r="FJ143" s="1">
        <f t="shared" si="344"/>
        <v>0</v>
      </c>
      <c r="FK143" s="1">
        <f t="shared" si="345"/>
        <v>0</v>
      </c>
      <c r="FL143" s="1">
        <f t="shared" si="346"/>
        <v>0</v>
      </c>
      <c r="FM143" s="1">
        <f t="shared" si="347"/>
        <v>0</v>
      </c>
      <c r="FN143" s="1">
        <f t="shared" si="348"/>
        <v>0</v>
      </c>
      <c r="FO143" s="1">
        <f t="shared" si="349"/>
        <v>0</v>
      </c>
      <c r="FP143" s="1">
        <f t="shared" si="350"/>
        <v>0</v>
      </c>
      <c r="FQ143" s="1">
        <f t="shared" si="351"/>
        <v>0</v>
      </c>
      <c r="FS143" s="1">
        <f t="shared" si="352"/>
        <v>0</v>
      </c>
      <c r="FT143" s="1">
        <f t="shared" si="353"/>
        <v>0</v>
      </c>
      <c r="FU143" s="38">
        <f t="shared" si="354"/>
        <v>0</v>
      </c>
      <c r="FV143" s="38">
        <f t="shared" si="355"/>
        <v>0</v>
      </c>
      <c r="FW143" s="38">
        <f t="shared" si="356"/>
        <v>0</v>
      </c>
      <c r="FX143" s="38">
        <f t="shared" si="357"/>
        <v>0</v>
      </c>
      <c r="FY143" s="38">
        <f t="shared" si="358"/>
        <v>0</v>
      </c>
      <c r="FZ143" s="38">
        <f t="shared" si="359"/>
        <v>0</v>
      </c>
      <c r="GA143" s="38">
        <f t="shared" si="360"/>
        <v>0</v>
      </c>
      <c r="GB143" s="38">
        <f t="shared" si="361"/>
        <v>0</v>
      </c>
      <c r="GC143" s="38">
        <f t="shared" si="362"/>
        <v>0</v>
      </c>
      <c r="GD143" s="38">
        <f t="shared" si="363"/>
        <v>0</v>
      </c>
      <c r="GE143" s="38">
        <f t="shared" si="364"/>
        <v>0</v>
      </c>
      <c r="GF143" s="38">
        <f t="shared" si="365"/>
        <v>0</v>
      </c>
      <c r="GG143" s="38">
        <f t="shared" si="366"/>
        <v>0</v>
      </c>
      <c r="GH143" s="38">
        <f t="shared" si="367"/>
        <v>0</v>
      </c>
      <c r="GI143" s="38">
        <f t="shared" si="368"/>
        <v>0</v>
      </c>
      <c r="GJ143" s="38">
        <f t="shared" si="369"/>
        <v>0</v>
      </c>
      <c r="GL143" s="38">
        <f t="shared" si="370"/>
        <v>0</v>
      </c>
      <c r="GM143" s="38">
        <f t="shared" si="371"/>
        <v>0</v>
      </c>
      <c r="GN143" s="1" t="s">
        <v>2</v>
      </c>
      <c r="GO143" s="13">
        <f t="shared" si="379"/>
        <v>49.966000000000001</v>
      </c>
      <c r="GP143" s="1">
        <f t="shared" si="380"/>
        <v>1.26</v>
      </c>
      <c r="GQ143" s="41">
        <f t="shared" si="381"/>
        <v>629.57159999999999</v>
      </c>
      <c r="GR143" s="41">
        <f t="shared" si="382"/>
        <v>8256.2019624000004</v>
      </c>
      <c r="GS143" s="14">
        <f t="shared" si="383"/>
        <v>165.2364</v>
      </c>
      <c r="GT143" s="1">
        <f t="shared" si="372"/>
        <v>0</v>
      </c>
      <c r="GU143" s="1">
        <f t="shared" si="373"/>
        <v>0</v>
      </c>
      <c r="GV143" s="1">
        <f t="shared" si="374"/>
        <v>629.57159999999999</v>
      </c>
      <c r="GW143" s="37">
        <f t="shared" si="384"/>
        <v>0</v>
      </c>
      <c r="GX143" s="37"/>
      <c r="GY143" s="37"/>
      <c r="GZ143" s="37"/>
      <c r="HB143" s="1">
        <f t="shared" si="375"/>
        <v>0</v>
      </c>
      <c r="HC143" s="1">
        <f t="shared" si="376"/>
        <v>0</v>
      </c>
      <c r="HD143" s="37" t="s">
        <v>2</v>
      </c>
      <c r="HE143" s="1" t="s">
        <v>31</v>
      </c>
      <c r="HF143" s="1" t="s">
        <v>469</v>
      </c>
      <c r="HI143" s="1" t="s">
        <v>163</v>
      </c>
      <c r="HJ143" s="37" t="s">
        <v>2</v>
      </c>
      <c r="JH143" s="58" t="s">
        <v>2</v>
      </c>
    </row>
    <row r="144" spans="1:268" ht="16.25" customHeight="1" x14ac:dyDescent="0.2">
      <c r="A144" s="21" t="s">
        <v>633</v>
      </c>
      <c r="B144" s="1" t="s">
        <v>69</v>
      </c>
      <c r="F144" s="1" t="s">
        <v>634</v>
      </c>
      <c r="I144" s="1">
        <v>0</v>
      </c>
      <c r="AD144" s="1">
        <v>0</v>
      </c>
      <c r="AY144" s="1">
        <f>40.287+17.716</f>
        <v>58.003</v>
      </c>
      <c r="BG144" s="13">
        <f>(1.79*40.287+1.73*17.716)/AY144</f>
        <v>1.771674051342172</v>
      </c>
      <c r="BT144" s="1">
        <v>0</v>
      </c>
      <c r="CO144" s="1">
        <v>0</v>
      </c>
      <c r="DJ144" s="1" t="s">
        <v>163</v>
      </c>
      <c r="DL144" s="1">
        <f t="shared" si="377"/>
        <v>1.771674051342172</v>
      </c>
      <c r="DM144" s="1">
        <f t="shared" si="378"/>
        <v>0</v>
      </c>
      <c r="DN144" s="1" t="s">
        <v>635</v>
      </c>
      <c r="DO144" s="1" t="s">
        <v>2</v>
      </c>
      <c r="DP144" s="38">
        <f t="shared" si="300"/>
        <v>0</v>
      </c>
      <c r="DQ144" s="38">
        <f t="shared" si="301"/>
        <v>0</v>
      </c>
      <c r="DR144" s="38">
        <f t="shared" si="302"/>
        <v>0</v>
      </c>
      <c r="DS144" s="38">
        <f t="shared" si="303"/>
        <v>0</v>
      </c>
      <c r="DT144" s="38">
        <f t="shared" si="304"/>
        <v>0</v>
      </c>
      <c r="DU144" s="38">
        <f t="shared" si="305"/>
        <v>0</v>
      </c>
      <c r="DV144" s="38">
        <f t="shared" si="306"/>
        <v>0</v>
      </c>
      <c r="DW144" s="38">
        <f t="shared" si="307"/>
        <v>1.0276240999999999</v>
      </c>
      <c r="DX144" s="38">
        <f t="shared" si="308"/>
        <v>0</v>
      </c>
      <c r="DY144" s="38">
        <f t="shared" si="309"/>
        <v>0</v>
      </c>
      <c r="DZ144" s="38">
        <f t="shared" si="310"/>
        <v>0</v>
      </c>
      <c r="EA144" s="38">
        <f t="shared" si="311"/>
        <v>0</v>
      </c>
      <c r="EB144" s="38">
        <f t="shared" si="312"/>
        <v>0</v>
      </c>
      <c r="EC144" s="38">
        <f t="shared" si="313"/>
        <v>0</v>
      </c>
      <c r="ED144" s="38">
        <f t="shared" si="314"/>
        <v>0</v>
      </c>
      <c r="EE144" s="38">
        <f t="shared" si="315"/>
        <v>0</v>
      </c>
      <c r="EG144" s="38">
        <f t="shared" si="316"/>
        <v>0</v>
      </c>
      <c r="EH144" s="38">
        <f t="shared" si="317"/>
        <v>0</v>
      </c>
      <c r="EI144" s="38">
        <f t="shared" si="318"/>
        <v>0</v>
      </c>
      <c r="EJ144" s="38">
        <f t="shared" si="319"/>
        <v>0</v>
      </c>
      <c r="EK144" s="38">
        <f t="shared" si="320"/>
        <v>0</v>
      </c>
      <c r="EL144" s="38">
        <f t="shared" si="321"/>
        <v>0</v>
      </c>
      <c r="EM144" s="38">
        <f t="shared" si="322"/>
        <v>0</v>
      </c>
      <c r="EN144" s="38">
        <f t="shared" si="323"/>
        <v>0</v>
      </c>
      <c r="EO144" s="38">
        <f t="shared" si="324"/>
        <v>0</v>
      </c>
      <c r="EP144" s="38">
        <f t="shared" si="325"/>
        <v>13476.262447399999</v>
      </c>
      <c r="EQ144" s="38">
        <f t="shared" si="326"/>
        <v>0</v>
      </c>
      <c r="ER144" s="38">
        <f t="shared" si="327"/>
        <v>0</v>
      </c>
      <c r="ES144" s="38">
        <f t="shared" si="328"/>
        <v>0</v>
      </c>
      <c r="ET144" s="38">
        <f t="shared" si="329"/>
        <v>0</v>
      </c>
      <c r="EU144" s="38">
        <f t="shared" si="330"/>
        <v>0</v>
      </c>
      <c r="EV144" s="38">
        <f t="shared" si="331"/>
        <v>0</v>
      </c>
      <c r="EW144" s="38">
        <f t="shared" si="332"/>
        <v>0</v>
      </c>
      <c r="EX144" s="38">
        <f t="shared" si="333"/>
        <v>0</v>
      </c>
      <c r="EZ144" s="38">
        <f t="shared" si="334"/>
        <v>0</v>
      </c>
      <c r="FA144" s="38">
        <f t="shared" si="335"/>
        <v>0</v>
      </c>
      <c r="FB144" s="1">
        <f t="shared" si="336"/>
        <v>0</v>
      </c>
      <c r="FC144" s="1">
        <f t="shared" si="337"/>
        <v>0</v>
      </c>
      <c r="FD144" s="1">
        <f t="shared" si="338"/>
        <v>0</v>
      </c>
      <c r="FE144" s="1">
        <f t="shared" si="339"/>
        <v>0</v>
      </c>
      <c r="FF144" s="1">
        <f t="shared" si="340"/>
        <v>0</v>
      </c>
      <c r="FG144" s="1">
        <f t="shared" si="341"/>
        <v>0</v>
      </c>
      <c r="FH144" s="1">
        <f t="shared" si="342"/>
        <v>0</v>
      </c>
      <c r="FI144" s="1">
        <f t="shared" si="343"/>
        <v>0</v>
      </c>
      <c r="FJ144" s="1">
        <f t="shared" si="344"/>
        <v>0</v>
      </c>
      <c r="FK144" s="1">
        <f t="shared" si="345"/>
        <v>0</v>
      </c>
      <c r="FL144" s="1">
        <f t="shared" si="346"/>
        <v>0</v>
      </c>
      <c r="FM144" s="1">
        <f t="shared" si="347"/>
        <v>0</v>
      </c>
      <c r="FN144" s="1">
        <f t="shared" si="348"/>
        <v>0</v>
      </c>
      <c r="FO144" s="1">
        <f t="shared" si="349"/>
        <v>0</v>
      </c>
      <c r="FP144" s="1">
        <f t="shared" si="350"/>
        <v>0</v>
      </c>
      <c r="FQ144" s="1">
        <f t="shared" si="351"/>
        <v>0</v>
      </c>
      <c r="FS144" s="1">
        <f t="shared" si="352"/>
        <v>0</v>
      </c>
      <c r="FT144" s="1">
        <f t="shared" si="353"/>
        <v>0</v>
      </c>
      <c r="FU144" s="38">
        <f t="shared" si="354"/>
        <v>0</v>
      </c>
      <c r="FV144" s="38">
        <f t="shared" si="355"/>
        <v>0</v>
      </c>
      <c r="FW144" s="38">
        <f t="shared" si="356"/>
        <v>0</v>
      </c>
      <c r="FX144" s="38">
        <f t="shared" si="357"/>
        <v>0</v>
      </c>
      <c r="FY144" s="38">
        <f t="shared" si="358"/>
        <v>0</v>
      </c>
      <c r="FZ144" s="38">
        <f t="shared" si="359"/>
        <v>0</v>
      </c>
      <c r="GA144" s="38">
        <f t="shared" si="360"/>
        <v>0</v>
      </c>
      <c r="GB144" s="38">
        <f t="shared" si="361"/>
        <v>0</v>
      </c>
      <c r="GC144" s="38">
        <f t="shared" si="362"/>
        <v>0</v>
      </c>
      <c r="GD144" s="38">
        <f t="shared" si="363"/>
        <v>0</v>
      </c>
      <c r="GE144" s="38">
        <f t="shared" si="364"/>
        <v>0</v>
      </c>
      <c r="GF144" s="38">
        <f t="shared" si="365"/>
        <v>0</v>
      </c>
      <c r="GG144" s="38">
        <f t="shared" si="366"/>
        <v>0</v>
      </c>
      <c r="GH144" s="38">
        <f t="shared" si="367"/>
        <v>0</v>
      </c>
      <c r="GI144" s="38">
        <f t="shared" si="368"/>
        <v>0</v>
      </c>
      <c r="GJ144" s="38">
        <f t="shared" si="369"/>
        <v>0</v>
      </c>
      <c r="GL144" s="38">
        <f t="shared" si="370"/>
        <v>0</v>
      </c>
      <c r="GM144" s="38">
        <f t="shared" si="371"/>
        <v>0</v>
      </c>
      <c r="GN144" s="1" t="s">
        <v>2</v>
      </c>
      <c r="GO144" s="13">
        <f t="shared" si="379"/>
        <v>58.003</v>
      </c>
      <c r="GP144" s="13">
        <f t="shared" si="380"/>
        <v>1.771674051342172</v>
      </c>
      <c r="GQ144" s="43">
        <f t="shared" si="381"/>
        <v>1027.6241</v>
      </c>
      <c r="GR144" s="41">
        <f t="shared" si="382"/>
        <v>13476.262447399999</v>
      </c>
      <c r="GS144" s="14">
        <f t="shared" si="383"/>
        <v>232.3373350930124</v>
      </c>
      <c r="GT144" s="1">
        <f t="shared" si="372"/>
        <v>0</v>
      </c>
      <c r="GU144" s="1">
        <f t="shared" si="373"/>
        <v>0</v>
      </c>
      <c r="GV144" s="1">
        <f t="shared" si="374"/>
        <v>1027.6241</v>
      </c>
      <c r="GW144" s="37">
        <f t="shared" si="384"/>
        <v>0</v>
      </c>
      <c r="GX144" s="37"/>
      <c r="GY144" s="37"/>
      <c r="GZ144" s="37"/>
      <c r="HB144" s="1">
        <f t="shared" si="375"/>
        <v>0</v>
      </c>
      <c r="HC144" s="1">
        <f t="shared" si="376"/>
        <v>0</v>
      </c>
      <c r="HD144" s="37" t="s">
        <v>2</v>
      </c>
      <c r="HE144" s="1" t="s">
        <v>31</v>
      </c>
      <c r="HF144" s="1" t="s">
        <v>469</v>
      </c>
      <c r="HI144" s="1" t="s">
        <v>163</v>
      </c>
      <c r="HJ144" s="37" t="s">
        <v>2</v>
      </c>
      <c r="JH144" s="58" t="s">
        <v>2</v>
      </c>
    </row>
    <row r="145" spans="1:268" ht="16.25" customHeight="1" x14ac:dyDescent="0.2">
      <c r="A145" s="21" t="s">
        <v>816</v>
      </c>
      <c r="B145" s="1" t="s">
        <v>71</v>
      </c>
      <c r="F145" s="1" t="s">
        <v>817</v>
      </c>
      <c r="I145" s="1">
        <v>0</v>
      </c>
      <c r="AD145" s="1">
        <v>0</v>
      </c>
      <c r="AY145" s="13">
        <f>71.4-1.0315</f>
        <v>70.368500000000012</v>
      </c>
      <c r="BG145" s="13">
        <f>(0.86*71.4-1.04*1.0315)/(71.4-1.0315)</f>
        <v>0.85736146144936998</v>
      </c>
      <c r="BH145" s="1">
        <v>0.1</v>
      </c>
      <c r="BT145" s="1">
        <v>0</v>
      </c>
      <c r="CO145" s="1">
        <v>0</v>
      </c>
      <c r="DJ145" s="1" t="s">
        <v>163</v>
      </c>
      <c r="DK145" s="1" t="s">
        <v>163</v>
      </c>
      <c r="DL145" s="1">
        <f t="shared" si="377"/>
        <v>0.85736146144936998</v>
      </c>
      <c r="DM145" s="1">
        <f t="shared" si="378"/>
        <v>0.1</v>
      </c>
      <c r="DN145" s="1" t="s">
        <v>818</v>
      </c>
      <c r="DO145" s="1" t="s">
        <v>2</v>
      </c>
      <c r="DP145" s="38">
        <f t="shared" si="300"/>
        <v>0</v>
      </c>
      <c r="DQ145" s="38">
        <f t="shared" si="301"/>
        <v>0</v>
      </c>
      <c r="DR145" s="38">
        <f t="shared" si="302"/>
        <v>0</v>
      </c>
      <c r="DS145" s="38">
        <f t="shared" si="303"/>
        <v>0</v>
      </c>
      <c r="DT145" s="38">
        <f t="shared" si="304"/>
        <v>0</v>
      </c>
      <c r="DU145" s="38">
        <f t="shared" si="305"/>
        <v>0</v>
      </c>
      <c r="DV145" s="38">
        <f t="shared" si="306"/>
        <v>0</v>
      </c>
      <c r="DW145" s="38">
        <f t="shared" si="307"/>
        <v>0.60331239999999997</v>
      </c>
      <c r="DX145" s="38">
        <f t="shared" si="308"/>
        <v>7.0368500000000014E-2</v>
      </c>
      <c r="DY145" s="38">
        <f t="shared" si="309"/>
        <v>0</v>
      </c>
      <c r="DZ145" s="38">
        <f t="shared" si="310"/>
        <v>0</v>
      </c>
      <c r="EA145" s="38">
        <f t="shared" si="311"/>
        <v>0</v>
      </c>
      <c r="EB145" s="38">
        <f t="shared" si="312"/>
        <v>0</v>
      </c>
      <c r="EC145" s="38">
        <f t="shared" si="313"/>
        <v>0</v>
      </c>
      <c r="ED145" s="38">
        <f t="shared" si="314"/>
        <v>0</v>
      </c>
      <c r="EE145" s="38">
        <f t="shared" si="315"/>
        <v>0</v>
      </c>
      <c r="EG145" s="38">
        <f t="shared" si="316"/>
        <v>0</v>
      </c>
      <c r="EH145" s="38">
        <f t="shared" si="317"/>
        <v>0</v>
      </c>
      <c r="EI145" s="38">
        <f t="shared" si="318"/>
        <v>0</v>
      </c>
      <c r="EJ145" s="38">
        <f t="shared" si="319"/>
        <v>0</v>
      </c>
      <c r="EK145" s="38">
        <f t="shared" si="320"/>
        <v>0</v>
      </c>
      <c r="EL145" s="38">
        <f t="shared" si="321"/>
        <v>0</v>
      </c>
      <c r="EM145" s="38">
        <f t="shared" si="322"/>
        <v>0</v>
      </c>
      <c r="EN145" s="38">
        <f t="shared" si="323"/>
        <v>0</v>
      </c>
      <c r="EO145" s="38">
        <f t="shared" si="324"/>
        <v>0</v>
      </c>
      <c r="EP145" s="38">
        <f t="shared" si="325"/>
        <v>7911.8388135999994</v>
      </c>
      <c r="EQ145" s="38">
        <f t="shared" si="326"/>
        <v>5110.1269745940008</v>
      </c>
      <c r="ER145" s="38">
        <f t="shared" si="327"/>
        <v>0</v>
      </c>
      <c r="ES145" s="38">
        <f t="shared" si="328"/>
        <v>0</v>
      </c>
      <c r="ET145" s="38">
        <f t="shared" si="329"/>
        <v>0</v>
      </c>
      <c r="EU145" s="38">
        <f t="shared" si="330"/>
        <v>0</v>
      </c>
      <c r="EV145" s="38">
        <f t="shared" si="331"/>
        <v>0</v>
      </c>
      <c r="EW145" s="38">
        <f t="shared" si="332"/>
        <v>0</v>
      </c>
      <c r="EX145" s="38">
        <f t="shared" si="333"/>
        <v>0</v>
      </c>
      <c r="EZ145" s="38">
        <f t="shared" si="334"/>
        <v>0</v>
      </c>
      <c r="FA145" s="38">
        <f t="shared" si="335"/>
        <v>0</v>
      </c>
      <c r="FB145" s="1">
        <f t="shared" si="336"/>
        <v>0</v>
      </c>
      <c r="FC145" s="1">
        <f t="shared" si="337"/>
        <v>0</v>
      </c>
      <c r="FD145" s="1">
        <f t="shared" si="338"/>
        <v>0</v>
      </c>
      <c r="FE145" s="1">
        <f t="shared" si="339"/>
        <v>0</v>
      </c>
      <c r="FF145" s="1">
        <f t="shared" si="340"/>
        <v>0</v>
      </c>
      <c r="FG145" s="1">
        <f t="shared" si="341"/>
        <v>0</v>
      </c>
      <c r="FH145" s="1">
        <f t="shared" si="342"/>
        <v>0</v>
      </c>
      <c r="FI145" s="1">
        <f t="shared" si="343"/>
        <v>0</v>
      </c>
      <c r="FJ145" s="1">
        <f t="shared" si="344"/>
        <v>0</v>
      </c>
      <c r="FK145" s="1">
        <f t="shared" si="345"/>
        <v>0</v>
      </c>
      <c r="FL145" s="1">
        <f t="shared" si="346"/>
        <v>0</v>
      </c>
      <c r="FM145" s="1">
        <f t="shared" si="347"/>
        <v>0</v>
      </c>
      <c r="FN145" s="1">
        <f t="shared" si="348"/>
        <v>0</v>
      </c>
      <c r="FO145" s="1">
        <f t="shared" si="349"/>
        <v>0</v>
      </c>
      <c r="FP145" s="1">
        <f t="shared" si="350"/>
        <v>0</v>
      </c>
      <c r="FQ145" s="1">
        <f t="shared" si="351"/>
        <v>0</v>
      </c>
      <c r="FS145" s="1">
        <f t="shared" si="352"/>
        <v>0</v>
      </c>
      <c r="FT145" s="1">
        <f t="shared" si="353"/>
        <v>0</v>
      </c>
      <c r="FU145" s="38">
        <f t="shared" si="354"/>
        <v>0</v>
      </c>
      <c r="FV145" s="38">
        <f t="shared" si="355"/>
        <v>0</v>
      </c>
      <c r="FW145" s="38">
        <f t="shared" si="356"/>
        <v>0</v>
      </c>
      <c r="FX145" s="38">
        <f t="shared" si="357"/>
        <v>0</v>
      </c>
      <c r="FY145" s="38">
        <f t="shared" si="358"/>
        <v>0</v>
      </c>
      <c r="FZ145" s="38">
        <f t="shared" si="359"/>
        <v>0</v>
      </c>
      <c r="GA145" s="38">
        <f t="shared" si="360"/>
        <v>0</v>
      </c>
      <c r="GB145" s="38">
        <f t="shared" si="361"/>
        <v>0</v>
      </c>
      <c r="GC145" s="38">
        <f t="shared" si="362"/>
        <v>0</v>
      </c>
      <c r="GD145" s="38">
        <f t="shared" si="363"/>
        <v>0</v>
      </c>
      <c r="GE145" s="38">
        <f t="shared" si="364"/>
        <v>0</v>
      </c>
      <c r="GF145" s="38">
        <f t="shared" si="365"/>
        <v>0</v>
      </c>
      <c r="GG145" s="38">
        <f t="shared" si="366"/>
        <v>0</v>
      </c>
      <c r="GH145" s="38">
        <f t="shared" si="367"/>
        <v>0</v>
      </c>
      <c r="GI145" s="38">
        <f t="shared" si="368"/>
        <v>0</v>
      </c>
      <c r="GJ145" s="38">
        <f t="shared" si="369"/>
        <v>0</v>
      </c>
      <c r="GL145" s="38">
        <f t="shared" si="370"/>
        <v>0</v>
      </c>
      <c r="GM145" s="38">
        <f t="shared" si="371"/>
        <v>0</v>
      </c>
      <c r="GN145" s="1" t="s">
        <v>2</v>
      </c>
      <c r="GO145" s="13">
        <f t="shared" si="379"/>
        <v>70.368500000000012</v>
      </c>
      <c r="GP145" s="13">
        <f t="shared" si="380"/>
        <v>0.85736146144936998</v>
      </c>
      <c r="GQ145" s="41">
        <f t="shared" si="381"/>
        <v>603.31240000000003</v>
      </c>
      <c r="GR145" s="41">
        <f t="shared" si="382"/>
        <v>13021.965788194</v>
      </c>
      <c r="GS145" s="14">
        <f t="shared" si="383"/>
        <v>185.05390605447036</v>
      </c>
      <c r="GT145" s="1">
        <f t="shared" si="372"/>
        <v>0</v>
      </c>
      <c r="GU145" s="1">
        <f t="shared" si="373"/>
        <v>0</v>
      </c>
      <c r="GV145" s="1">
        <f t="shared" si="374"/>
        <v>603.31240000000003</v>
      </c>
      <c r="GW145" s="37">
        <f t="shared" si="384"/>
        <v>0</v>
      </c>
      <c r="GX145" s="37"/>
      <c r="GY145" s="37"/>
      <c r="GZ145" s="37"/>
      <c r="HB145" s="1">
        <f t="shared" si="375"/>
        <v>0</v>
      </c>
      <c r="HC145" s="1">
        <f t="shared" si="376"/>
        <v>0</v>
      </c>
      <c r="HD145" s="37" t="s">
        <v>2</v>
      </c>
      <c r="HE145" s="1" t="s">
        <v>31</v>
      </c>
      <c r="HF145" s="1" t="s">
        <v>500</v>
      </c>
      <c r="HI145" s="1" t="s">
        <v>163</v>
      </c>
      <c r="HJ145" s="37" t="s">
        <v>2</v>
      </c>
      <c r="JH145" s="58" t="s">
        <v>2</v>
      </c>
    </row>
    <row r="146" spans="1:268" ht="16.25" customHeight="1" x14ac:dyDescent="0.2">
      <c r="A146" s="21" t="s">
        <v>819</v>
      </c>
      <c r="B146" s="1" t="s">
        <v>69</v>
      </c>
      <c r="F146" s="1" t="s">
        <v>131</v>
      </c>
      <c r="I146" s="1">
        <v>0</v>
      </c>
      <c r="AD146" s="1">
        <v>0</v>
      </c>
      <c r="AY146" s="1">
        <v>45</v>
      </c>
      <c r="BG146" s="1">
        <v>1.6</v>
      </c>
      <c r="BH146" s="1">
        <v>2.4E-2</v>
      </c>
      <c r="BT146" s="1">
        <v>0</v>
      </c>
      <c r="CO146" s="1">
        <v>0</v>
      </c>
      <c r="DJ146" s="1" t="s">
        <v>163</v>
      </c>
      <c r="DK146" s="1" t="s">
        <v>163</v>
      </c>
      <c r="DL146" s="1">
        <f t="shared" si="377"/>
        <v>1.6</v>
      </c>
      <c r="DM146" s="1">
        <f t="shared" si="378"/>
        <v>2.4E-2</v>
      </c>
      <c r="DN146" s="1" t="s">
        <v>471</v>
      </c>
      <c r="DO146" s="1" t="s">
        <v>2</v>
      </c>
      <c r="DP146" s="38">
        <f t="shared" si="300"/>
        <v>0</v>
      </c>
      <c r="DQ146" s="38">
        <f t="shared" si="301"/>
        <v>0</v>
      </c>
      <c r="DR146" s="38">
        <f t="shared" si="302"/>
        <v>0</v>
      </c>
      <c r="DS146" s="38">
        <f t="shared" si="303"/>
        <v>0</v>
      </c>
      <c r="DT146" s="38">
        <f t="shared" si="304"/>
        <v>0</v>
      </c>
      <c r="DU146" s="38">
        <f t="shared" si="305"/>
        <v>0</v>
      </c>
      <c r="DV146" s="38">
        <f t="shared" si="306"/>
        <v>0</v>
      </c>
      <c r="DW146" s="38">
        <f t="shared" si="307"/>
        <v>0.72</v>
      </c>
      <c r="DX146" s="38">
        <f t="shared" si="308"/>
        <v>1.0800000000000001E-2</v>
      </c>
      <c r="DY146" s="38">
        <f t="shared" si="309"/>
        <v>0</v>
      </c>
      <c r="DZ146" s="38">
        <f t="shared" si="310"/>
        <v>0</v>
      </c>
      <c r="EA146" s="38">
        <f t="shared" si="311"/>
        <v>0</v>
      </c>
      <c r="EB146" s="38">
        <f t="shared" si="312"/>
        <v>0</v>
      </c>
      <c r="EC146" s="38">
        <f t="shared" si="313"/>
        <v>0</v>
      </c>
      <c r="ED146" s="38">
        <f t="shared" si="314"/>
        <v>0</v>
      </c>
      <c r="EE146" s="38">
        <f t="shared" si="315"/>
        <v>0</v>
      </c>
      <c r="EG146" s="38">
        <f t="shared" si="316"/>
        <v>0</v>
      </c>
      <c r="EH146" s="38">
        <f t="shared" si="317"/>
        <v>0</v>
      </c>
      <c r="EI146" s="38">
        <f t="shared" si="318"/>
        <v>0</v>
      </c>
      <c r="EJ146" s="38">
        <f t="shared" si="319"/>
        <v>0</v>
      </c>
      <c r="EK146" s="38">
        <f t="shared" si="320"/>
        <v>0</v>
      </c>
      <c r="EL146" s="38">
        <f t="shared" si="321"/>
        <v>0</v>
      </c>
      <c r="EM146" s="38">
        <f t="shared" si="322"/>
        <v>0</v>
      </c>
      <c r="EN146" s="38">
        <f t="shared" si="323"/>
        <v>0</v>
      </c>
      <c r="EO146" s="38">
        <f t="shared" si="324"/>
        <v>0</v>
      </c>
      <c r="EP146" s="38">
        <f t="shared" si="325"/>
        <v>9442.08</v>
      </c>
      <c r="EQ146" s="38">
        <f t="shared" si="326"/>
        <v>784.29085919999989</v>
      </c>
      <c r="ER146" s="38">
        <f t="shared" si="327"/>
        <v>0</v>
      </c>
      <c r="ES146" s="38">
        <f t="shared" si="328"/>
        <v>0</v>
      </c>
      <c r="ET146" s="38">
        <f t="shared" si="329"/>
        <v>0</v>
      </c>
      <c r="EU146" s="38">
        <f t="shared" si="330"/>
        <v>0</v>
      </c>
      <c r="EV146" s="38">
        <f t="shared" si="331"/>
        <v>0</v>
      </c>
      <c r="EW146" s="38">
        <f t="shared" si="332"/>
        <v>0</v>
      </c>
      <c r="EX146" s="38">
        <f t="shared" si="333"/>
        <v>0</v>
      </c>
      <c r="EZ146" s="38">
        <f t="shared" si="334"/>
        <v>0</v>
      </c>
      <c r="FA146" s="38">
        <f t="shared" si="335"/>
        <v>0</v>
      </c>
      <c r="FB146" s="1">
        <f t="shared" si="336"/>
        <v>0</v>
      </c>
      <c r="FC146" s="1">
        <f t="shared" si="337"/>
        <v>0</v>
      </c>
      <c r="FD146" s="1">
        <f t="shared" si="338"/>
        <v>0</v>
      </c>
      <c r="FE146" s="1">
        <f t="shared" si="339"/>
        <v>0</v>
      </c>
      <c r="FF146" s="1">
        <f t="shared" si="340"/>
        <v>0</v>
      </c>
      <c r="FG146" s="1">
        <f t="shared" si="341"/>
        <v>0</v>
      </c>
      <c r="FH146" s="1">
        <f t="shared" si="342"/>
        <v>0</v>
      </c>
      <c r="FI146" s="1">
        <f t="shared" si="343"/>
        <v>0</v>
      </c>
      <c r="FJ146" s="1">
        <f t="shared" si="344"/>
        <v>0</v>
      </c>
      <c r="FK146" s="1">
        <f t="shared" si="345"/>
        <v>0</v>
      </c>
      <c r="FL146" s="1">
        <f t="shared" si="346"/>
        <v>0</v>
      </c>
      <c r="FM146" s="1">
        <f t="shared" si="347"/>
        <v>0</v>
      </c>
      <c r="FN146" s="1">
        <f t="shared" si="348"/>
        <v>0</v>
      </c>
      <c r="FO146" s="1">
        <f t="shared" si="349"/>
        <v>0</v>
      </c>
      <c r="FP146" s="1">
        <f t="shared" si="350"/>
        <v>0</v>
      </c>
      <c r="FQ146" s="1">
        <f t="shared" si="351"/>
        <v>0</v>
      </c>
      <c r="FS146" s="1">
        <f t="shared" si="352"/>
        <v>0</v>
      </c>
      <c r="FT146" s="1">
        <f t="shared" si="353"/>
        <v>0</v>
      </c>
      <c r="FU146" s="38">
        <f t="shared" si="354"/>
        <v>0</v>
      </c>
      <c r="FV146" s="38">
        <f t="shared" si="355"/>
        <v>0</v>
      </c>
      <c r="FW146" s="38">
        <f t="shared" si="356"/>
        <v>0</v>
      </c>
      <c r="FX146" s="38">
        <f t="shared" si="357"/>
        <v>0</v>
      </c>
      <c r="FY146" s="38">
        <f t="shared" si="358"/>
        <v>0</v>
      </c>
      <c r="FZ146" s="38">
        <f t="shared" si="359"/>
        <v>0</v>
      </c>
      <c r="GA146" s="38">
        <f t="shared" si="360"/>
        <v>0</v>
      </c>
      <c r="GB146" s="38">
        <f t="shared" si="361"/>
        <v>0</v>
      </c>
      <c r="GC146" s="38">
        <f t="shared" si="362"/>
        <v>0</v>
      </c>
      <c r="GD146" s="38">
        <f t="shared" si="363"/>
        <v>0</v>
      </c>
      <c r="GE146" s="38">
        <f t="shared" si="364"/>
        <v>0</v>
      </c>
      <c r="GF146" s="38">
        <f t="shared" si="365"/>
        <v>0</v>
      </c>
      <c r="GG146" s="38">
        <f t="shared" si="366"/>
        <v>0</v>
      </c>
      <c r="GH146" s="38">
        <f t="shared" si="367"/>
        <v>0</v>
      </c>
      <c r="GI146" s="38">
        <f t="shared" si="368"/>
        <v>0</v>
      </c>
      <c r="GJ146" s="38">
        <f t="shared" si="369"/>
        <v>0</v>
      </c>
      <c r="GL146" s="38">
        <f t="shared" si="370"/>
        <v>0</v>
      </c>
      <c r="GM146" s="38">
        <f t="shared" si="371"/>
        <v>0</v>
      </c>
      <c r="GN146" s="1" t="s">
        <v>2</v>
      </c>
      <c r="GO146" s="1">
        <f t="shared" si="379"/>
        <v>45</v>
      </c>
      <c r="GP146" s="1">
        <f t="shared" si="380"/>
        <v>1.6</v>
      </c>
      <c r="GQ146" s="41">
        <f t="shared" si="381"/>
        <v>720</v>
      </c>
      <c r="GR146" s="41">
        <f t="shared" si="382"/>
        <v>10226.3708592</v>
      </c>
      <c r="GS146" s="14">
        <f t="shared" si="383"/>
        <v>227.25268576000002</v>
      </c>
      <c r="GT146" s="1">
        <f t="shared" si="372"/>
        <v>0</v>
      </c>
      <c r="GU146" s="1">
        <f t="shared" si="373"/>
        <v>0</v>
      </c>
      <c r="GV146" s="1">
        <f t="shared" si="374"/>
        <v>720</v>
      </c>
      <c r="GW146" s="37">
        <f t="shared" si="384"/>
        <v>0</v>
      </c>
      <c r="GX146" s="37"/>
      <c r="GY146" s="37"/>
      <c r="GZ146" s="37"/>
      <c r="HB146" s="1">
        <f t="shared" si="375"/>
        <v>0</v>
      </c>
      <c r="HC146" s="1">
        <f t="shared" si="376"/>
        <v>0</v>
      </c>
      <c r="HD146" s="37" t="s">
        <v>2</v>
      </c>
      <c r="HE146" s="1" t="s">
        <v>31</v>
      </c>
      <c r="HF146" s="1" t="s">
        <v>500</v>
      </c>
      <c r="HI146" s="1" t="s">
        <v>163</v>
      </c>
      <c r="HJ146" s="37" t="s">
        <v>2</v>
      </c>
      <c r="JH146" s="58" t="s">
        <v>2</v>
      </c>
    </row>
    <row r="147" spans="1:268" ht="16.25" customHeight="1" x14ac:dyDescent="0.2">
      <c r="A147" s="21" t="s">
        <v>862</v>
      </c>
      <c r="B147" s="1" t="s">
        <v>69</v>
      </c>
      <c r="F147" s="1" t="s">
        <v>131</v>
      </c>
      <c r="I147" s="1">
        <v>0</v>
      </c>
      <c r="AD147" s="1">
        <v>0</v>
      </c>
      <c r="AY147" s="1">
        <v>2.5</v>
      </c>
      <c r="BG147" s="1">
        <v>0.8</v>
      </c>
      <c r="BH147" s="1">
        <v>0.06</v>
      </c>
      <c r="BT147" s="1">
        <v>0</v>
      </c>
      <c r="CO147" s="1">
        <v>0</v>
      </c>
      <c r="DJ147" s="1" t="s">
        <v>163</v>
      </c>
      <c r="DK147" s="1" t="s">
        <v>163</v>
      </c>
      <c r="DL147" s="1">
        <f t="shared" si="377"/>
        <v>0.8</v>
      </c>
      <c r="DM147" s="1">
        <f t="shared" si="378"/>
        <v>0.06</v>
      </c>
      <c r="DN147" s="1" t="s">
        <v>471</v>
      </c>
      <c r="DO147" s="1" t="s">
        <v>2</v>
      </c>
      <c r="DP147" s="38">
        <f t="shared" si="300"/>
        <v>0</v>
      </c>
      <c r="DQ147" s="38">
        <f t="shared" si="301"/>
        <v>0</v>
      </c>
      <c r="DR147" s="38">
        <f t="shared" si="302"/>
        <v>0</v>
      </c>
      <c r="DS147" s="38">
        <f t="shared" si="303"/>
        <v>0</v>
      </c>
      <c r="DT147" s="38">
        <f t="shared" si="304"/>
        <v>0</v>
      </c>
      <c r="DU147" s="38">
        <f t="shared" si="305"/>
        <v>0</v>
      </c>
      <c r="DV147" s="38">
        <f t="shared" si="306"/>
        <v>0</v>
      </c>
      <c r="DW147" s="38">
        <f t="shared" si="307"/>
        <v>0.02</v>
      </c>
      <c r="DX147" s="38">
        <f t="shared" si="308"/>
        <v>1.5E-3</v>
      </c>
      <c r="DY147" s="38">
        <f t="shared" si="309"/>
        <v>0</v>
      </c>
      <c r="DZ147" s="38">
        <f t="shared" si="310"/>
        <v>0</v>
      </c>
      <c r="EA147" s="38">
        <f t="shared" si="311"/>
        <v>0</v>
      </c>
      <c r="EB147" s="38">
        <f t="shared" si="312"/>
        <v>0</v>
      </c>
      <c r="EC147" s="38">
        <f t="shared" si="313"/>
        <v>0</v>
      </c>
      <c r="ED147" s="38">
        <f t="shared" si="314"/>
        <v>0</v>
      </c>
      <c r="EE147" s="38">
        <f t="shared" si="315"/>
        <v>0</v>
      </c>
      <c r="EG147" s="38">
        <f t="shared" si="316"/>
        <v>0</v>
      </c>
      <c r="EH147" s="38">
        <f t="shared" si="317"/>
        <v>0</v>
      </c>
      <c r="EI147" s="38">
        <f t="shared" si="318"/>
        <v>0</v>
      </c>
      <c r="EJ147" s="38">
        <f t="shared" si="319"/>
        <v>0</v>
      </c>
      <c r="EK147" s="38">
        <f t="shared" si="320"/>
        <v>0</v>
      </c>
      <c r="EL147" s="38">
        <f t="shared" si="321"/>
        <v>0</v>
      </c>
      <c r="EM147" s="38">
        <f t="shared" si="322"/>
        <v>0</v>
      </c>
      <c r="EN147" s="38">
        <f t="shared" si="323"/>
        <v>0</v>
      </c>
      <c r="EO147" s="38">
        <f t="shared" si="324"/>
        <v>0</v>
      </c>
      <c r="EP147" s="38">
        <f t="shared" si="325"/>
        <v>262.28000000000003</v>
      </c>
      <c r="EQ147" s="38">
        <f t="shared" si="326"/>
        <v>108.92928599999999</v>
      </c>
      <c r="ER147" s="38">
        <f t="shared" si="327"/>
        <v>0</v>
      </c>
      <c r="ES147" s="38">
        <f t="shared" si="328"/>
        <v>0</v>
      </c>
      <c r="ET147" s="38">
        <f t="shared" si="329"/>
        <v>0</v>
      </c>
      <c r="EU147" s="38">
        <f t="shared" si="330"/>
        <v>0</v>
      </c>
      <c r="EV147" s="38">
        <f t="shared" si="331"/>
        <v>0</v>
      </c>
      <c r="EW147" s="38">
        <f t="shared" si="332"/>
        <v>0</v>
      </c>
      <c r="EX147" s="38">
        <f t="shared" si="333"/>
        <v>0</v>
      </c>
      <c r="EZ147" s="38">
        <f t="shared" si="334"/>
        <v>0</v>
      </c>
      <c r="FA147" s="38">
        <f t="shared" si="335"/>
        <v>0</v>
      </c>
      <c r="FB147" s="1">
        <f t="shared" si="336"/>
        <v>0</v>
      </c>
      <c r="FC147" s="1">
        <f t="shared" si="337"/>
        <v>0</v>
      </c>
      <c r="FD147" s="1">
        <f t="shared" si="338"/>
        <v>0</v>
      </c>
      <c r="FE147" s="1">
        <f t="shared" si="339"/>
        <v>0</v>
      </c>
      <c r="FF147" s="1">
        <f t="shared" si="340"/>
        <v>0</v>
      </c>
      <c r="FG147" s="1">
        <f t="shared" si="341"/>
        <v>0</v>
      </c>
      <c r="FH147" s="1">
        <f t="shared" si="342"/>
        <v>0</v>
      </c>
      <c r="FI147" s="1">
        <f t="shared" si="343"/>
        <v>0</v>
      </c>
      <c r="FJ147" s="1">
        <f t="shared" si="344"/>
        <v>0</v>
      </c>
      <c r="FK147" s="1">
        <f t="shared" si="345"/>
        <v>0</v>
      </c>
      <c r="FL147" s="1">
        <f t="shared" si="346"/>
        <v>0</v>
      </c>
      <c r="FM147" s="1">
        <f t="shared" si="347"/>
        <v>0</v>
      </c>
      <c r="FN147" s="1">
        <f t="shared" si="348"/>
        <v>0</v>
      </c>
      <c r="FO147" s="1">
        <f t="shared" si="349"/>
        <v>0</v>
      </c>
      <c r="FP147" s="1">
        <f t="shared" si="350"/>
        <v>0</v>
      </c>
      <c r="FQ147" s="1">
        <f t="shared" si="351"/>
        <v>0</v>
      </c>
      <c r="FS147" s="1">
        <f t="shared" si="352"/>
        <v>0</v>
      </c>
      <c r="FT147" s="1">
        <f t="shared" si="353"/>
        <v>0</v>
      </c>
      <c r="FU147" s="38">
        <f t="shared" si="354"/>
        <v>0</v>
      </c>
      <c r="FV147" s="38">
        <f t="shared" si="355"/>
        <v>0</v>
      </c>
      <c r="FW147" s="38">
        <f t="shared" si="356"/>
        <v>0</v>
      </c>
      <c r="FX147" s="38">
        <f t="shared" si="357"/>
        <v>0</v>
      </c>
      <c r="FY147" s="38">
        <f t="shared" si="358"/>
        <v>0</v>
      </c>
      <c r="FZ147" s="38">
        <f t="shared" si="359"/>
        <v>0</v>
      </c>
      <c r="GA147" s="38">
        <f t="shared" si="360"/>
        <v>0</v>
      </c>
      <c r="GB147" s="38">
        <f t="shared" si="361"/>
        <v>0</v>
      </c>
      <c r="GC147" s="38">
        <f t="shared" si="362"/>
        <v>0</v>
      </c>
      <c r="GD147" s="38">
        <f t="shared" si="363"/>
        <v>0</v>
      </c>
      <c r="GE147" s="38">
        <f t="shared" si="364"/>
        <v>0</v>
      </c>
      <c r="GF147" s="38">
        <f t="shared" si="365"/>
        <v>0</v>
      </c>
      <c r="GG147" s="38">
        <f t="shared" si="366"/>
        <v>0</v>
      </c>
      <c r="GH147" s="38">
        <f t="shared" si="367"/>
        <v>0</v>
      </c>
      <c r="GI147" s="38">
        <f t="shared" si="368"/>
        <v>0</v>
      </c>
      <c r="GJ147" s="38">
        <f t="shared" si="369"/>
        <v>0</v>
      </c>
      <c r="GL147" s="38">
        <f t="shared" si="370"/>
        <v>0</v>
      </c>
      <c r="GM147" s="38">
        <f t="shared" si="371"/>
        <v>0</v>
      </c>
      <c r="GN147" s="1" t="s">
        <v>2</v>
      </c>
      <c r="GO147" s="1">
        <f t="shared" si="379"/>
        <v>2.5</v>
      </c>
      <c r="GP147" s="1">
        <f t="shared" si="380"/>
        <v>0.8</v>
      </c>
      <c r="GQ147" s="41">
        <f t="shared" si="381"/>
        <v>20</v>
      </c>
      <c r="GR147" s="41">
        <f t="shared" si="382"/>
        <v>371.20928600000002</v>
      </c>
      <c r="GS147" s="14">
        <f t="shared" si="383"/>
        <v>148.4837144</v>
      </c>
      <c r="GT147" s="1">
        <f t="shared" si="372"/>
        <v>0</v>
      </c>
      <c r="GU147" s="1">
        <f t="shared" si="373"/>
        <v>0</v>
      </c>
      <c r="GV147" s="1">
        <f t="shared" si="374"/>
        <v>20</v>
      </c>
      <c r="GW147" s="37">
        <f t="shared" si="384"/>
        <v>0</v>
      </c>
      <c r="GX147" s="37"/>
      <c r="GY147" s="37"/>
      <c r="GZ147" s="37"/>
      <c r="HB147" s="1">
        <f t="shared" si="375"/>
        <v>0</v>
      </c>
      <c r="HC147" s="1">
        <f t="shared" si="376"/>
        <v>0</v>
      </c>
      <c r="HD147" s="37" t="s">
        <v>2</v>
      </c>
      <c r="HE147" s="1" t="s">
        <v>31</v>
      </c>
      <c r="HF147" s="1" t="s">
        <v>500</v>
      </c>
      <c r="HI147" s="1" t="s">
        <v>163</v>
      </c>
      <c r="HJ147" s="37" t="s">
        <v>2</v>
      </c>
      <c r="JH147" s="58" t="s">
        <v>2</v>
      </c>
    </row>
    <row r="148" spans="1:268" ht="16.25" customHeight="1" x14ac:dyDescent="0.2">
      <c r="A148" s="21" t="s">
        <v>869</v>
      </c>
      <c r="B148" s="1" t="s">
        <v>69</v>
      </c>
      <c r="F148" s="1" t="s">
        <v>131</v>
      </c>
      <c r="I148" s="1">
        <v>0</v>
      </c>
      <c r="AD148" s="1">
        <v>0</v>
      </c>
      <c r="AY148" s="1">
        <v>18</v>
      </c>
      <c r="BG148" s="1">
        <v>1.07</v>
      </c>
      <c r="BH148" s="1">
        <v>5.5E-2</v>
      </c>
      <c r="BT148" s="1">
        <v>0</v>
      </c>
      <c r="CO148" s="1">
        <v>0</v>
      </c>
      <c r="DJ148" s="1" t="s">
        <v>163</v>
      </c>
      <c r="DK148" s="1" t="s">
        <v>163</v>
      </c>
      <c r="DL148" s="1">
        <f t="shared" si="377"/>
        <v>1.07</v>
      </c>
      <c r="DM148" s="1">
        <f t="shared" si="378"/>
        <v>5.5E-2</v>
      </c>
      <c r="DN148" s="1" t="s">
        <v>471</v>
      </c>
      <c r="DO148" s="1" t="s">
        <v>2</v>
      </c>
      <c r="DP148" s="38">
        <f t="shared" si="300"/>
        <v>0</v>
      </c>
      <c r="DQ148" s="38">
        <f t="shared" si="301"/>
        <v>0</v>
      </c>
      <c r="DR148" s="38">
        <f t="shared" si="302"/>
        <v>0</v>
      </c>
      <c r="DS148" s="38">
        <f t="shared" si="303"/>
        <v>0</v>
      </c>
      <c r="DT148" s="38">
        <f t="shared" si="304"/>
        <v>0</v>
      </c>
      <c r="DU148" s="38">
        <f t="shared" si="305"/>
        <v>0</v>
      </c>
      <c r="DV148" s="38">
        <f t="shared" si="306"/>
        <v>0</v>
      </c>
      <c r="DW148" s="38">
        <f t="shared" si="307"/>
        <v>0.19260000000000002</v>
      </c>
      <c r="DX148" s="38">
        <f t="shared" si="308"/>
        <v>9.8999999999999991E-3</v>
      </c>
      <c r="DY148" s="38">
        <f t="shared" si="309"/>
        <v>0</v>
      </c>
      <c r="DZ148" s="38">
        <f t="shared" si="310"/>
        <v>0</v>
      </c>
      <c r="EA148" s="38">
        <f t="shared" si="311"/>
        <v>0</v>
      </c>
      <c r="EB148" s="38">
        <f t="shared" si="312"/>
        <v>0</v>
      </c>
      <c r="EC148" s="38">
        <f t="shared" si="313"/>
        <v>0</v>
      </c>
      <c r="ED148" s="38">
        <f t="shared" si="314"/>
        <v>0</v>
      </c>
      <c r="EE148" s="38">
        <f t="shared" si="315"/>
        <v>0</v>
      </c>
      <c r="EG148" s="38">
        <f t="shared" si="316"/>
        <v>0</v>
      </c>
      <c r="EH148" s="38">
        <f t="shared" si="317"/>
        <v>0</v>
      </c>
      <c r="EI148" s="38">
        <f t="shared" si="318"/>
        <v>0</v>
      </c>
      <c r="EJ148" s="38">
        <f t="shared" si="319"/>
        <v>0</v>
      </c>
      <c r="EK148" s="38">
        <f t="shared" si="320"/>
        <v>0</v>
      </c>
      <c r="EL148" s="38">
        <f t="shared" si="321"/>
        <v>0</v>
      </c>
      <c r="EM148" s="38">
        <f t="shared" si="322"/>
        <v>0</v>
      </c>
      <c r="EN148" s="38">
        <f t="shared" si="323"/>
        <v>0</v>
      </c>
      <c r="EO148" s="38">
        <f t="shared" si="324"/>
        <v>0</v>
      </c>
      <c r="EP148" s="38">
        <f t="shared" si="325"/>
        <v>2525.7564000000002</v>
      </c>
      <c r="EQ148" s="38">
        <f t="shared" si="326"/>
        <v>718.93328759999986</v>
      </c>
      <c r="ER148" s="38">
        <f t="shared" si="327"/>
        <v>0</v>
      </c>
      <c r="ES148" s="38">
        <f t="shared" si="328"/>
        <v>0</v>
      </c>
      <c r="ET148" s="38">
        <f t="shared" si="329"/>
        <v>0</v>
      </c>
      <c r="EU148" s="38">
        <f t="shared" si="330"/>
        <v>0</v>
      </c>
      <c r="EV148" s="38">
        <f t="shared" si="331"/>
        <v>0</v>
      </c>
      <c r="EW148" s="38">
        <f t="shared" si="332"/>
        <v>0</v>
      </c>
      <c r="EX148" s="38">
        <f t="shared" si="333"/>
        <v>0</v>
      </c>
      <c r="EZ148" s="38">
        <f t="shared" si="334"/>
        <v>0</v>
      </c>
      <c r="FA148" s="38">
        <f t="shared" si="335"/>
        <v>0</v>
      </c>
      <c r="FB148" s="1">
        <f t="shared" si="336"/>
        <v>0</v>
      </c>
      <c r="FC148" s="1">
        <f t="shared" si="337"/>
        <v>0</v>
      </c>
      <c r="FD148" s="1">
        <f t="shared" si="338"/>
        <v>0</v>
      </c>
      <c r="FE148" s="1">
        <f t="shared" si="339"/>
        <v>0</v>
      </c>
      <c r="FF148" s="1">
        <f t="shared" si="340"/>
        <v>0</v>
      </c>
      <c r="FG148" s="1">
        <f t="shared" si="341"/>
        <v>0</v>
      </c>
      <c r="FH148" s="1">
        <f t="shared" si="342"/>
        <v>0</v>
      </c>
      <c r="FI148" s="1">
        <f t="shared" si="343"/>
        <v>0</v>
      </c>
      <c r="FJ148" s="1">
        <f t="shared" si="344"/>
        <v>0</v>
      </c>
      <c r="FK148" s="1">
        <f t="shared" si="345"/>
        <v>0</v>
      </c>
      <c r="FL148" s="1">
        <f t="shared" si="346"/>
        <v>0</v>
      </c>
      <c r="FM148" s="1">
        <f t="shared" si="347"/>
        <v>0</v>
      </c>
      <c r="FN148" s="1">
        <f t="shared" si="348"/>
        <v>0</v>
      </c>
      <c r="FO148" s="1">
        <f t="shared" si="349"/>
        <v>0</v>
      </c>
      <c r="FP148" s="1">
        <f t="shared" si="350"/>
        <v>0</v>
      </c>
      <c r="FQ148" s="1">
        <f t="shared" si="351"/>
        <v>0</v>
      </c>
      <c r="FS148" s="1">
        <f t="shared" si="352"/>
        <v>0</v>
      </c>
      <c r="FT148" s="1">
        <f t="shared" si="353"/>
        <v>0</v>
      </c>
      <c r="FU148" s="38">
        <f t="shared" si="354"/>
        <v>0</v>
      </c>
      <c r="FV148" s="38">
        <f t="shared" si="355"/>
        <v>0</v>
      </c>
      <c r="FW148" s="38">
        <f t="shared" si="356"/>
        <v>0</v>
      </c>
      <c r="FX148" s="38">
        <f t="shared" si="357"/>
        <v>0</v>
      </c>
      <c r="FY148" s="38">
        <f t="shared" si="358"/>
        <v>0</v>
      </c>
      <c r="FZ148" s="38">
        <f t="shared" si="359"/>
        <v>0</v>
      </c>
      <c r="GA148" s="38">
        <f t="shared" si="360"/>
        <v>0</v>
      </c>
      <c r="GB148" s="38">
        <f t="shared" si="361"/>
        <v>0</v>
      </c>
      <c r="GC148" s="38">
        <f t="shared" si="362"/>
        <v>0</v>
      </c>
      <c r="GD148" s="38">
        <f t="shared" si="363"/>
        <v>0</v>
      </c>
      <c r="GE148" s="38">
        <f t="shared" si="364"/>
        <v>0</v>
      </c>
      <c r="GF148" s="38">
        <f t="shared" si="365"/>
        <v>0</v>
      </c>
      <c r="GG148" s="38">
        <f t="shared" si="366"/>
        <v>0</v>
      </c>
      <c r="GH148" s="38">
        <f t="shared" si="367"/>
        <v>0</v>
      </c>
      <c r="GI148" s="38">
        <f t="shared" si="368"/>
        <v>0</v>
      </c>
      <c r="GJ148" s="38">
        <f t="shared" si="369"/>
        <v>0</v>
      </c>
      <c r="GL148" s="38">
        <f t="shared" si="370"/>
        <v>0</v>
      </c>
      <c r="GM148" s="38">
        <f t="shared" si="371"/>
        <v>0</v>
      </c>
      <c r="GN148" s="1" t="s">
        <v>2</v>
      </c>
      <c r="GO148" s="1">
        <f t="shared" si="379"/>
        <v>18</v>
      </c>
      <c r="GP148" s="1">
        <f t="shared" si="380"/>
        <v>1.07</v>
      </c>
      <c r="GQ148" s="41">
        <f t="shared" si="381"/>
        <v>192.6</v>
      </c>
      <c r="GR148" s="41">
        <f t="shared" si="382"/>
        <v>3244.6896876000001</v>
      </c>
      <c r="GS148" s="14">
        <f t="shared" si="383"/>
        <v>180.26053820000001</v>
      </c>
      <c r="GT148" s="1">
        <f t="shared" si="372"/>
        <v>0</v>
      </c>
      <c r="GU148" s="1">
        <f t="shared" si="373"/>
        <v>0</v>
      </c>
      <c r="GV148" s="1">
        <f t="shared" si="374"/>
        <v>192.6</v>
      </c>
      <c r="GW148" s="37">
        <f t="shared" si="384"/>
        <v>0</v>
      </c>
      <c r="GX148" s="37"/>
      <c r="GY148" s="37"/>
      <c r="GZ148" s="37"/>
      <c r="HB148" s="1">
        <f t="shared" si="375"/>
        <v>0</v>
      </c>
      <c r="HC148" s="1">
        <f t="shared" si="376"/>
        <v>0</v>
      </c>
      <c r="HD148" s="37" t="s">
        <v>2</v>
      </c>
      <c r="HE148" s="1" t="s">
        <v>31</v>
      </c>
      <c r="HF148" s="1" t="s">
        <v>500</v>
      </c>
      <c r="HI148" s="1" t="s">
        <v>163</v>
      </c>
      <c r="HJ148" s="37" t="s">
        <v>2</v>
      </c>
      <c r="JH148" s="58" t="s">
        <v>2</v>
      </c>
    </row>
    <row r="149" spans="1:268" ht="16.25" customHeight="1" x14ac:dyDescent="0.2">
      <c r="A149" s="21" t="s">
        <v>231</v>
      </c>
      <c r="B149" s="1" t="s">
        <v>69</v>
      </c>
      <c r="E149" s="1" t="s">
        <v>72</v>
      </c>
      <c r="F149" s="1" t="s">
        <v>172</v>
      </c>
      <c r="H149" s="1" t="s">
        <v>204</v>
      </c>
      <c r="I149" s="1">
        <v>0</v>
      </c>
      <c r="AD149" s="1">
        <v>34.200000000000003</v>
      </c>
      <c r="AL149" s="1">
        <v>0.71</v>
      </c>
      <c r="AM149" s="1">
        <v>0.08</v>
      </c>
      <c r="AY149" s="1">
        <v>7.6</v>
      </c>
      <c r="BG149" s="1">
        <v>0.61</v>
      </c>
      <c r="BH149" s="1">
        <v>0.09</v>
      </c>
      <c r="BT149" s="1">
        <v>0</v>
      </c>
      <c r="CO149" s="1">
        <v>0</v>
      </c>
      <c r="DJ149" s="1" t="s">
        <v>96</v>
      </c>
      <c r="DK149" s="1" t="s">
        <v>96</v>
      </c>
      <c r="DL149" s="1">
        <f t="shared" si="377"/>
        <v>0.69181818181818178</v>
      </c>
      <c r="DM149" s="1">
        <f t="shared" si="378"/>
        <v>8.1818181818181804E-2</v>
      </c>
      <c r="DN149" s="1" t="s">
        <v>67</v>
      </c>
      <c r="DO149" s="1" t="s">
        <v>2</v>
      </c>
      <c r="DP149" s="38">
        <f t="shared" si="300"/>
        <v>0</v>
      </c>
      <c r="DQ149" s="38">
        <f t="shared" si="301"/>
        <v>0</v>
      </c>
      <c r="DR149" s="38">
        <f t="shared" si="302"/>
        <v>0</v>
      </c>
      <c r="DS149" s="38">
        <f t="shared" si="303"/>
        <v>0</v>
      </c>
      <c r="DT149" s="38">
        <f t="shared" si="304"/>
        <v>0</v>
      </c>
      <c r="DU149" s="38">
        <f t="shared" si="305"/>
        <v>0</v>
      </c>
      <c r="DV149" s="38">
        <f t="shared" si="306"/>
        <v>0</v>
      </c>
      <c r="DW149" s="38">
        <f t="shared" si="307"/>
        <v>0.28917999999999999</v>
      </c>
      <c r="DX149" s="38">
        <f t="shared" si="308"/>
        <v>3.4200000000000001E-2</v>
      </c>
      <c r="DY149" s="38">
        <f t="shared" si="309"/>
        <v>0</v>
      </c>
      <c r="DZ149" s="38">
        <f t="shared" si="310"/>
        <v>0</v>
      </c>
      <c r="EA149" s="38">
        <f t="shared" si="311"/>
        <v>0</v>
      </c>
      <c r="EB149" s="38">
        <f t="shared" si="312"/>
        <v>0</v>
      </c>
      <c r="EC149" s="38">
        <f t="shared" si="313"/>
        <v>0</v>
      </c>
      <c r="ED149" s="38">
        <f t="shared" si="314"/>
        <v>0</v>
      </c>
      <c r="EE149" s="38">
        <f t="shared" si="315"/>
        <v>0</v>
      </c>
      <c r="EG149" s="38">
        <f t="shared" si="316"/>
        <v>0</v>
      </c>
      <c r="EH149" s="38">
        <f t="shared" si="317"/>
        <v>0</v>
      </c>
      <c r="EI149" s="38">
        <f t="shared" si="318"/>
        <v>0</v>
      </c>
      <c r="EJ149" s="38">
        <f t="shared" si="319"/>
        <v>0</v>
      </c>
      <c r="EK149" s="38">
        <f t="shared" si="320"/>
        <v>0</v>
      </c>
      <c r="EL149" s="38">
        <f t="shared" si="321"/>
        <v>0</v>
      </c>
      <c r="EM149" s="38">
        <f t="shared" si="322"/>
        <v>0</v>
      </c>
      <c r="EN149" s="38">
        <f t="shared" si="323"/>
        <v>0</v>
      </c>
      <c r="EO149" s="38">
        <f t="shared" si="324"/>
        <v>0</v>
      </c>
      <c r="EP149" s="38">
        <f t="shared" si="325"/>
        <v>3792.3065200000001</v>
      </c>
      <c r="EQ149" s="38">
        <f t="shared" si="326"/>
        <v>2483.5877207999997</v>
      </c>
      <c r="ER149" s="38">
        <f t="shared" si="327"/>
        <v>0</v>
      </c>
      <c r="ES149" s="38">
        <f t="shared" si="328"/>
        <v>0</v>
      </c>
      <c r="ET149" s="38">
        <f t="shared" si="329"/>
        <v>0</v>
      </c>
      <c r="EU149" s="38">
        <f t="shared" si="330"/>
        <v>0</v>
      </c>
      <c r="EV149" s="38">
        <f t="shared" si="331"/>
        <v>0</v>
      </c>
      <c r="EW149" s="38">
        <f t="shared" si="332"/>
        <v>0</v>
      </c>
      <c r="EX149" s="38">
        <f t="shared" si="333"/>
        <v>0</v>
      </c>
      <c r="EZ149" s="38">
        <f t="shared" si="334"/>
        <v>0</v>
      </c>
      <c r="FA149" s="38">
        <f t="shared" si="335"/>
        <v>0</v>
      </c>
      <c r="FB149" s="1">
        <f t="shared" si="336"/>
        <v>0</v>
      </c>
      <c r="FC149" s="1">
        <f t="shared" si="337"/>
        <v>0</v>
      </c>
      <c r="FD149" s="1">
        <f t="shared" si="338"/>
        <v>0</v>
      </c>
      <c r="FE149" s="1">
        <f t="shared" si="339"/>
        <v>0</v>
      </c>
      <c r="FF149" s="1">
        <f t="shared" si="340"/>
        <v>0</v>
      </c>
      <c r="FG149" s="1">
        <f t="shared" si="341"/>
        <v>0</v>
      </c>
      <c r="FH149" s="1">
        <f t="shared" si="342"/>
        <v>0</v>
      </c>
      <c r="FI149" s="1">
        <f t="shared" si="343"/>
        <v>0</v>
      </c>
      <c r="FJ149" s="1">
        <f t="shared" si="344"/>
        <v>0</v>
      </c>
      <c r="FK149" s="1">
        <f t="shared" si="345"/>
        <v>0</v>
      </c>
      <c r="FL149" s="1">
        <f t="shared" si="346"/>
        <v>0</v>
      </c>
      <c r="FM149" s="1">
        <f t="shared" si="347"/>
        <v>0</v>
      </c>
      <c r="FN149" s="1">
        <f t="shared" si="348"/>
        <v>0</v>
      </c>
      <c r="FO149" s="1">
        <f t="shared" si="349"/>
        <v>0</v>
      </c>
      <c r="FP149" s="1">
        <f t="shared" si="350"/>
        <v>0</v>
      </c>
      <c r="FQ149" s="1">
        <f t="shared" si="351"/>
        <v>0</v>
      </c>
      <c r="FS149" s="1">
        <f t="shared" si="352"/>
        <v>0</v>
      </c>
      <c r="FT149" s="1">
        <f t="shared" si="353"/>
        <v>0</v>
      </c>
      <c r="FU149" s="38">
        <f t="shared" si="354"/>
        <v>0</v>
      </c>
      <c r="FV149" s="38">
        <f t="shared" si="355"/>
        <v>0</v>
      </c>
      <c r="FW149" s="38">
        <f t="shared" si="356"/>
        <v>0</v>
      </c>
      <c r="FX149" s="38">
        <f t="shared" si="357"/>
        <v>0</v>
      </c>
      <c r="FY149" s="38">
        <f t="shared" si="358"/>
        <v>0</v>
      </c>
      <c r="FZ149" s="38">
        <f t="shared" si="359"/>
        <v>0</v>
      </c>
      <c r="GA149" s="38">
        <f t="shared" si="360"/>
        <v>0</v>
      </c>
      <c r="GB149" s="38">
        <f t="shared" si="361"/>
        <v>0</v>
      </c>
      <c r="GC149" s="38">
        <f t="shared" si="362"/>
        <v>0</v>
      </c>
      <c r="GD149" s="38">
        <f t="shared" si="363"/>
        <v>0</v>
      </c>
      <c r="GE149" s="38">
        <f t="shared" si="364"/>
        <v>0</v>
      </c>
      <c r="GF149" s="38">
        <f t="shared" si="365"/>
        <v>0</v>
      </c>
      <c r="GG149" s="38">
        <f t="shared" si="366"/>
        <v>0</v>
      </c>
      <c r="GH149" s="38">
        <f t="shared" si="367"/>
        <v>0</v>
      </c>
      <c r="GI149" s="38">
        <f t="shared" si="368"/>
        <v>0</v>
      </c>
      <c r="GJ149" s="38">
        <f t="shared" si="369"/>
        <v>0</v>
      </c>
      <c r="GL149" s="38">
        <f t="shared" si="370"/>
        <v>0</v>
      </c>
      <c r="GM149" s="38">
        <f t="shared" si="371"/>
        <v>0</v>
      </c>
      <c r="GN149" s="1" t="s">
        <v>2</v>
      </c>
      <c r="GO149" s="1">
        <f t="shared" si="379"/>
        <v>41.800000000000004</v>
      </c>
      <c r="GP149" s="13">
        <f t="shared" si="380"/>
        <v>0.69181818181818178</v>
      </c>
      <c r="GQ149" s="41">
        <f t="shared" si="381"/>
        <v>289.18000000000006</v>
      </c>
      <c r="GR149" s="41">
        <f t="shared" si="382"/>
        <v>6275.8942408000003</v>
      </c>
      <c r="GS149" s="14">
        <f t="shared" si="383"/>
        <v>150.14101054545455</v>
      </c>
      <c r="GT149" s="1">
        <f t="shared" si="372"/>
        <v>0</v>
      </c>
      <c r="GU149" s="1">
        <f t="shared" si="373"/>
        <v>242.82</v>
      </c>
      <c r="GV149" s="1">
        <f t="shared" si="374"/>
        <v>46.36</v>
      </c>
      <c r="GW149" s="37">
        <f t="shared" si="384"/>
        <v>0</v>
      </c>
      <c r="GX149" s="37"/>
      <c r="GY149" s="37"/>
      <c r="GZ149" s="37"/>
      <c r="HB149" s="1">
        <f t="shared" si="375"/>
        <v>0</v>
      </c>
      <c r="HC149" s="1">
        <f t="shared" si="376"/>
        <v>0</v>
      </c>
      <c r="HD149" s="37" t="s">
        <v>2</v>
      </c>
      <c r="HE149" s="1" t="s">
        <v>31</v>
      </c>
      <c r="HF149" s="1" t="s">
        <v>193</v>
      </c>
      <c r="HG149" s="1" t="s">
        <v>193</v>
      </c>
      <c r="HI149" s="1" t="s">
        <v>96</v>
      </c>
      <c r="HJ149" s="37" t="s">
        <v>2</v>
      </c>
      <c r="JH149" s="58" t="s">
        <v>2</v>
      </c>
    </row>
    <row r="150" spans="1:268" ht="16.25" customHeight="1" x14ac:dyDescent="0.2">
      <c r="A150" s="21" t="s">
        <v>234</v>
      </c>
      <c r="B150" s="1" t="s">
        <v>69</v>
      </c>
      <c r="E150" s="1" t="s">
        <v>72</v>
      </c>
      <c r="F150" s="1" t="s">
        <v>172</v>
      </c>
      <c r="H150" s="1" t="s">
        <v>204</v>
      </c>
      <c r="I150" s="1">
        <v>5.8</v>
      </c>
      <c r="Q150" s="1">
        <v>1.08</v>
      </c>
      <c r="R150" s="1">
        <v>0.14000000000000001</v>
      </c>
      <c r="AD150" s="1">
        <v>51.4</v>
      </c>
      <c r="AL150" s="1">
        <v>0.78</v>
      </c>
      <c r="AM150" s="1">
        <v>0.08</v>
      </c>
      <c r="AY150" s="1">
        <v>25.8</v>
      </c>
      <c r="BG150" s="1">
        <v>0.63</v>
      </c>
      <c r="BH150" s="1">
        <v>7.0000000000000007E-2</v>
      </c>
      <c r="BT150" s="1">
        <v>0</v>
      </c>
      <c r="CO150" s="1">
        <v>0</v>
      </c>
      <c r="DJ150" s="1" t="s">
        <v>96</v>
      </c>
      <c r="DK150" s="1" t="s">
        <v>96</v>
      </c>
      <c r="DL150" s="1">
        <f t="shared" si="377"/>
        <v>0.75433734939759034</v>
      </c>
      <c r="DM150" s="1">
        <f t="shared" si="378"/>
        <v>8.1084337349397601E-2</v>
      </c>
      <c r="DN150" s="1" t="s">
        <v>67</v>
      </c>
      <c r="DO150" s="1" t="s">
        <v>2</v>
      </c>
      <c r="DP150" s="38">
        <f t="shared" si="300"/>
        <v>0</v>
      </c>
      <c r="DQ150" s="38">
        <f t="shared" si="301"/>
        <v>0</v>
      </c>
      <c r="DR150" s="38">
        <f t="shared" si="302"/>
        <v>0</v>
      </c>
      <c r="DS150" s="38">
        <f t="shared" si="303"/>
        <v>0</v>
      </c>
      <c r="DT150" s="38">
        <f t="shared" si="304"/>
        <v>0</v>
      </c>
      <c r="DU150" s="38">
        <f t="shared" si="305"/>
        <v>0</v>
      </c>
      <c r="DV150" s="38">
        <f t="shared" si="306"/>
        <v>0</v>
      </c>
      <c r="DW150" s="38">
        <f t="shared" si="307"/>
        <v>0.62609999999999999</v>
      </c>
      <c r="DX150" s="38">
        <f t="shared" si="308"/>
        <v>6.7299999999999999E-2</v>
      </c>
      <c r="DY150" s="38">
        <f t="shared" si="309"/>
        <v>0</v>
      </c>
      <c r="DZ150" s="38">
        <f t="shared" si="310"/>
        <v>0</v>
      </c>
      <c r="EA150" s="38">
        <f t="shared" si="311"/>
        <v>0</v>
      </c>
      <c r="EB150" s="38">
        <f t="shared" si="312"/>
        <v>0</v>
      </c>
      <c r="EC150" s="38">
        <f t="shared" si="313"/>
        <v>0</v>
      </c>
      <c r="ED150" s="38">
        <f t="shared" si="314"/>
        <v>0</v>
      </c>
      <c r="EE150" s="38">
        <f t="shared" si="315"/>
        <v>0</v>
      </c>
      <c r="EG150" s="38">
        <f t="shared" si="316"/>
        <v>0</v>
      </c>
      <c r="EH150" s="38">
        <f t="shared" si="317"/>
        <v>0</v>
      </c>
      <c r="EI150" s="38">
        <f t="shared" si="318"/>
        <v>0</v>
      </c>
      <c r="EJ150" s="38">
        <f t="shared" si="319"/>
        <v>0</v>
      </c>
      <c r="EK150" s="38">
        <f t="shared" si="320"/>
        <v>0</v>
      </c>
      <c r="EL150" s="38">
        <f t="shared" si="321"/>
        <v>0</v>
      </c>
      <c r="EM150" s="38">
        <f t="shared" si="322"/>
        <v>0</v>
      </c>
      <c r="EN150" s="38">
        <f t="shared" si="323"/>
        <v>0</v>
      </c>
      <c r="EO150" s="38">
        <f t="shared" si="324"/>
        <v>0</v>
      </c>
      <c r="EP150" s="38">
        <f t="shared" si="325"/>
        <v>8210.6754000000001</v>
      </c>
      <c r="EQ150" s="38">
        <f t="shared" si="326"/>
        <v>4887.2939651999995</v>
      </c>
      <c r="ER150" s="38">
        <f t="shared" si="327"/>
        <v>0</v>
      </c>
      <c r="ES150" s="38">
        <f t="shared" si="328"/>
        <v>0</v>
      </c>
      <c r="ET150" s="38">
        <f t="shared" si="329"/>
        <v>0</v>
      </c>
      <c r="EU150" s="38">
        <f t="shared" si="330"/>
        <v>0</v>
      </c>
      <c r="EV150" s="38">
        <f t="shared" si="331"/>
        <v>0</v>
      </c>
      <c r="EW150" s="38">
        <f t="shared" si="332"/>
        <v>0</v>
      </c>
      <c r="EX150" s="38">
        <f t="shared" si="333"/>
        <v>0</v>
      </c>
      <c r="EZ150" s="38">
        <f t="shared" si="334"/>
        <v>0</v>
      </c>
      <c r="FA150" s="38">
        <f t="shared" si="335"/>
        <v>0</v>
      </c>
      <c r="FB150" s="1">
        <f t="shared" si="336"/>
        <v>0</v>
      </c>
      <c r="FC150" s="1">
        <f t="shared" si="337"/>
        <v>0</v>
      </c>
      <c r="FD150" s="1">
        <f t="shared" si="338"/>
        <v>0</v>
      </c>
      <c r="FE150" s="1">
        <f t="shared" si="339"/>
        <v>0</v>
      </c>
      <c r="FF150" s="1">
        <f t="shared" si="340"/>
        <v>0</v>
      </c>
      <c r="FG150" s="1">
        <f t="shared" si="341"/>
        <v>0</v>
      </c>
      <c r="FH150" s="1">
        <f t="shared" si="342"/>
        <v>0</v>
      </c>
      <c r="FI150" s="1">
        <f t="shared" si="343"/>
        <v>0</v>
      </c>
      <c r="FJ150" s="1">
        <f t="shared" si="344"/>
        <v>0</v>
      </c>
      <c r="FK150" s="1">
        <f t="shared" si="345"/>
        <v>0</v>
      </c>
      <c r="FL150" s="1">
        <f t="shared" si="346"/>
        <v>0</v>
      </c>
      <c r="FM150" s="1">
        <f t="shared" si="347"/>
        <v>0</v>
      </c>
      <c r="FN150" s="1">
        <f t="shared" si="348"/>
        <v>0</v>
      </c>
      <c r="FO150" s="1">
        <f t="shared" si="349"/>
        <v>0</v>
      </c>
      <c r="FP150" s="1">
        <f t="shared" si="350"/>
        <v>0</v>
      </c>
      <c r="FQ150" s="1">
        <f t="shared" si="351"/>
        <v>0</v>
      </c>
      <c r="FS150" s="1">
        <f t="shared" si="352"/>
        <v>0</v>
      </c>
      <c r="FT150" s="1">
        <f t="shared" si="353"/>
        <v>0</v>
      </c>
      <c r="FU150" s="38">
        <f t="shared" si="354"/>
        <v>0</v>
      </c>
      <c r="FV150" s="38">
        <f t="shared" si="355"/>
        <v>0</v>
      </c>
      <c r="FW150" s="38">
        <f t="shared" si="356"/>
        <v>0</v>
      </c>
      <c r="FX150" s="38">
        <f t="shared" si="357"/>
        <v>0</v>
      </c>
      <c r="FY150" s="38">
        <f t="shared" si="358"/>
        <v>0</v>
      </c>
      <c r="FZ150" s="38">
        <f t="shared" si="359"/>
        <v>0</v>
      </c>
      <c r="GA150" s="38">
        <f t="shared" si="360"/>
        <v>0</v>
      </c>
      <c r="GB150" s="38">
        <f t="shared" si="361"/>
        <v>0</v>
      </c>
      <c r="GC150" s="38">
        <f t="shared" si="362"/>
        <v>0</v>
      </c>
      <c r="GD150" s="38">
        <f t="shared" si="363"/>
        <v>0</v>
      </c>
      <c r="GE150" s="38">
        <f t="shared" si="364"/>
        <v>0</v>
      </c>
      <c r="GF150" s="38">
        <f t="shared" si="365"/>
        <v>0</v>
      </c>
      <c r="GG150" s="38">
        <f t="shared" si="366"/>
        <v>0</v>
      </c>
      <c r="GH150" s="38">
        <f t="shared" si="367"/>
        <v>0</v>
      </c>
      <c r="GI150" s="38">
        <f t="shared" si="368"/>
        <v>0</v>
      </c>
      <c r="GJ150" s="38">
        <f t="shared" si="369"/>
        <v>0</v>
      </c>
      <c r="GL150" s="38">
        <f t="shared" si="370"/>
        <v>0</v>
      </c>
      <c r="GM150" s="38">
        <f t="shared" si="371"/>
        <v>0</v>
      </c>
      <c r="GN150" s="1" t="s">
        <v>2</v>
      </c>
      <c r="GO150" s="1">
        <f t="shared" si="379"/>
        <v>83</v>
      </c>
      <c r="GP150" s="13">
        <f t="shared" si="380"/>
        <v>0.75433734939759034</v>
      </c>
      <c r="GQ150" s="41">
        <f t="shared" si="381"/>
        <v>626.1</v>
      </c>
      <c r="GR150" s="41">
        <f t="shared" si="382"/>
        <v>13097.969365199999</v>
      </c>
      <c r="GS150" s="14">
        <f t="shared" si="383"/>
        <v>157.80685982168674</v>
      </c>
      <c r="GT150" s="1">
        <f t="shared" si="372"/>
        <v>62.64</v>
      </c>
      <c r="GU150" s="1">
        <f t="shared" si="373"/>
        <v>400.92</v>
      </c>
      <c r="GV150" s="1">
        <f t="shared" si="374"/>
        <v>162.54000000000002</v>
      </c>
      <c r="GW150" s="37">
        <f t="shared" si="384"/>
        <v>0</v>
      </c>
      <c r="GX150" s="37"/>
      <c r="GY150" s="37"/>
      <c r="GZ150" s="37"/>
      <c r="HB150" s="1">
        <f t="shared" si="375"/>
        <v>0</v>
      </c>
      <c r="HC150" s="1">
        <f t="shared" si="376"/>
        <v>0</v>
      </c>
      <c r="HD150" s="37" t="s">
        <v>2</v>
      </c>
      <c r="HE150" s="1" t="s">
        <v>31</v>
      </c>
      <c r="HF150" s="1" t="s">
        <v>193</v>
      </c>
      <c r="HG150" s="1" t="s">
        <v>193</v>
      </c>
      <c r="HI150" s="1" t="s">
        <v>96</v>
      </c>
      <c r="HJ150" s="37" t="s">
        <v>2</v>
      </c>
      <c r="JH150" s="58" t="s">
        <v>2</v>
      </c>
    </row>
    <row r="151" spans="1:268" ht="16.25" customHeight="1" x14ac:dyDescent="0.2">
      <c r="A151" s="21" t="s">
        <v>235</v>
      </c>
      <c r="B151" s="1" t="s">
        <v>69</v>
      </c>
      <c r="E151" s="1" t="s">
        <v>72</v>
      </c>
      <c r="F151" s="1" t="s">
        <v>172</v>
      </c>
      <c r="H151" s="1" t="s">
        <v>204</v>
      </c>
      <c r="I151" s="1">
        <v>0</v>
      </c>
      <c r="AD151" s="1">
        <v>52.9</v>
      </c>
      <c r="AL151" s="1">
        <v>0.66</v>
      </c>
      <c r="AM151" s="1">
        <v>0.04</v>
      </c>
      <c r="AY151" s="1">
        <v>34.1</v>
      </c>
      <c r="BG151" s="1">
        <v>0.64</v>
      </c>
      <c r="BH151" s="1">
        <v>0.04</v>
      </c>
      <c r="BT151" s="1">
        <v>0</v>
      </c>
      <c r="CO151" s="1">
        <v>0</v>
      </c>
      <c r="DJ151" s="1" t="s">
        <v>96</v>
      </c>
      <c r="DK151" s="1" t="s">
        <v>96</v>
      </c>
      <c r="DL151" s="1">
        <f t="shared" si="377"/>
        <v>0.65216091954022992</v>
      </c>
      <c r="DM151" s="1">
        <f t="shared" si="378"/>
        <v>4.0000000000000008E-2</v>
      </c>
      <c r="DN151" s="1" t="s">
        <v>67</v>
      </c>
      <c r="DO151" s="1" t="s">
        <v>2</v>
      </c>
      <c r="DP151" s="38">
        <f t="shared" si="300"/>
        <v>0</v>
      </c>
      <c r="DQ151" s="38">
        <f t="shared" si="301"/>
        <v>0</v>
      </c>
      <c r="DR151" s="38">
        <f t="shared" si="302"/>
        <v>0</v>
      </c>
      <c r="DS151" s="38">
        <f t="shared" si="303"/>
        <v>0</v>
      </c>
      <c r="DT151" s="38">
        <f t="shared" si="304"/>
        <v>0</v>
      </c>
      <c r="DU151" s="38">
        <f t="shared" si="305"/>
        <v>0</v>
      </c>
      <c r="DV151" s="38">
        <f t="shared" si="306"/>
        <v>0</v>
      </c>
      <c r="DW151" s="38">
        <f t="shared" si="307"/>
        <v>0.56738</v>
      </c>
      <c r="DX151" s="38">
        <f t="shared" si="308"/>
        <v>3.4800000000000005E-2</v>
      </c>
      <c r="DY151" s="38">
        <f t="shared" si="309"/>
        <v>0</v>
      </c>
      <c r="DZ151" s="38">
        <f t="shared" si="310"/>
        <v>0</v>
      </c>
      <c r="EA151" s="38">
        <f t="shared" si="311"/>
        <v>0</v>
      </c>
      <c r="EB151" s="38">
        <f t="shared" si="312"/>
        <v>0</v>
      </c>
      <c r="EC151" s="38">
        <f t="shared" si="313"/>
        <v>0</v>
      </c>
      <c r="ED151" s="38">
        <f t="shared" si="314"/>
        <v>0</v>
      </c>
      <c r="EE151" s="38">
        <f t="shared" si="315"/>
        <v>0</v>
      </c>
      <c r="EG151" s="38">
        <f t="shared" si="316"/>
        <v>0</v>
      </c>
      <c r="EH151" s="38">
        <f t="shared" si="317"/>
        <v>0</v>
      </c>
      <c r="EI151" s="38">
        <f t="shared" si="318"/>
        <v>0</v>
      </c>
      <c r="EJ151" s="38">
        <f t="shared" si="319"/>
        <v>0</v>
      </c>
      <c r="EK151" s="38">
        <f t="shared" si="320"/>
        <v>0</v>
      </c>
      <c r="EL151" s="38">
        <f t="shared" si="321"/>
        <v>0</v>
      </c>
      <c r="EM151" s="38">
        <f t="shared" si="322"/>
        <v>0</v>
      </c>
      <c r="EN151" s="38">
        <f t="shared" si="323"/>
        <v>0</v>
      </c>
      <c r="EO151" s="38">
        <f t="shared" si="324"/>
        <v>0</v>
      </c>
      <c r="EP151" s="38">
        <f t="shared" si="325"/>
        <v>7440.6213200000002</v>
      </c>
      <c r="EQ151" s="38">
        <f t="shared" si="326"/>
        <v>2527.1594352000002</v>
      </c>
      <c r="ER151" s="38">
        <f t="shared" si="327"/>
        <v>0</v>
      </c>
      <c r="ES151" s="38">
        <f t="shared" si="328"/>
        <v>0</v>
      </c>
      <c r="ET151" s="38">
        <f t="shared" si="329"/>
        <v>0</v>
      </c>
      <c r="EU151" s="38">
        <f t="shared" si="330"/>
        <v>0</v>
      </c>
      <c r="EV151" s="38">
        <f t="shared" si="331"/>
        <v>0</v>
      </c>
      <c r="EW151" s="38">
        <f t="shared" si="332"/>
        <v>0</v>
      </c>
      <c r="EX151" s="38">
        <f t="shared" si="333"/>
        <v>0</v>
      </c>
      <c r="EZ151" s="38">
        <f t="shared" si="334"/>
        <v>0</v>
      </c>
      <c r="FA151" s="38">
        <f t="shared" si="335"/>
        <v>0</v>
      </c>
      <c r="FB151" s="1">
        <f t="shared" si="336"/>
        <v>0</v>
      </c>
      <c r="FC151" s="1">
        <f t="shared" si="337"/>
        <v>0</v>
      </c>
      <c r="FD151" s="1">
        <f t="shared" si="338"/>
        <v>0</v>
      </c>
      <c r="FE151" s="1">
        <f t="shared" si="339"/>
        <v>0</v>
      </c>
      <c r="FF151" s="1">
        <f t="shared" si="340"/>
        <v>0</v>
      </c>
      <c r="FG151" s="1">
        <f t="shared" si="341"/>
        <v>0</v>
      </c>
      <c r="FH151" s="1">
        <f t="shared" si="342"/>
        <v>0</v>
      </c>
      <c r="FI151" s="1">
        <f t="shared" si="343"/>
        <v>0</v>
      </c>
      <c r="FJ151" s="1">
        <f t="shared" si="344"/>
        <v>0</v>
      </c>
      <c r="FK151" s="1">
        <f t="shared" si="345"/>
        <v>0</v>
      </c>
      <c r="FL151" s="1">
        <f t="shared" si="346"/>
        <v>0</v>
      </c>
      <c r="FM151" s="1">
        <f t="shared" si="347"/>
        <v>0</v>
      </c>
      <c r="FN151" s="1">
        <f t="shared" si="348"/>
        <v>0</v>
      </c>
      <c r="FO151" s="1">
        <f t="shared" si="349"/>
        <v>0</v>
      </c>
      <c r="FP151" s="1">
        <f t="shared" si="350"/>
        <v>0</v>
      </c>
      <c r="FQ151" s="1">
        <f t="shared" si="351"/>
        <v>0</v>
      </c>
      <c r="FS151" s="1">
        <f t="shared" si="352"/>
        <v>0</v>
      </c>
      <c r="FT151" s="1">
        <f t="shared" si="353"/>
        <v>0</v>
      </c>
      <c r="FU151" s="38">
        <f t="shared" si="354"/>
        <v>0</v>
      </c>
      <c r="FV151" s="38">
        <f t="shared" si="355"/>
        <v>0</v>
      </c>
      <c r="FW151" s="38">
        <f t="shared" si="356"/>
        <v>0</v>
      </c>
      <c r="FX151" s="38">
        <f t="shared" si="357"/>
        <v>0</v>
      </c>
      <c r="FY151" s="38">
        <f t="shared" si="358"/>
        <v>0</v>
      </c>
      <c r="FZ151" s="38">
        <f t="shared" si="359"/>
        <v>0</v>
      </c>
      <c r="GA151" s="38">
        <f t="shared" si="360"/>
        <v>0</v>
      </c>
      <c r="GB151" s="38">
        <f t="shared" si="361"/>
        <v>0</v>
      </c>
      <c r="GC151" s="38">
        <f t="shared" si="362"/>
        <v>0</v>
      </c>
      <c r="GD151" s="38">
        <f t="shared" si="363"/>
        <v>0</v>
      </c>
      <c r="GE151" s="38">
        <f t="shared" si="364"/>
        <v>0</v>
      </c>
      <c r="GF151" s="38">
        <f t="shared" si="365"/>
        <v>0</v>
      </c>
      <c r="GG151" s="38">
        <f t="shared" si="366"/>
        <v>0</v>
      </c>
      <c r="GH151" s="38">
        <f t="shared" si="367"/>
        <v>0</v>
      </c>
      <c r="GI151" s="38">
        <f t="shared" si="368"/>
        <v>0</v>
      </c>
      <c r="GJ151" s="38">
        <f t="shared" si="369"/>
        <v>0</v>
      </c>
      <c r="GL151" s="38">
        <f t="shared" si="370"/>
        <v>0</v>
      </c>
      <c r="GM151" s="38">
        <f t="shared" si="371"/>
        <v>0</v>
      </c>
      <c r="GN151" s="1" t="s">
        <v>2</v>
      </c>
      <c r="GO151" s="1">
        <f t="shared" si="379"/>
        <v>87</v>
      </c>
      <c r="GP151" s="13">
        <f t="shared" si="380"/>
        <v>0.65216091954022992</v>
      </c>
      <c r="GQ151" s="41">
        <f t="shared" si="381"/>
        <v>567.38</v>
      </c>
      <c r="GR151" s="41">
        <f t="shared" si="382"/>
        <v>9967.7807552000013</v>
      </c>
      <c r="GS151" s="14">
        <f t="shared" si="383"/>
        <v>114.57219258850576</v>
      </c>
      <c r="GT151" s="1">
        <f t="shared" si="372"/>
        <v>0</v>
      </c>
      <c r="GU151" s="1">
        <f t="shared" si="373"/>
        <v>349.14</v>
      </c>
      <c r="GV151" s="1">
        <f t="shared" si="374"/>
        <v>218.24</v>
      </c>
      <c r="GW151" s="37">
        <f t="shared" si="384"/>
        <v>0</v>
      </c>
      <c r="GX151" s="37"/>
      <c r="GY151" s="37"/>
      <c r="GZ151" s="37"/>
      <c r="HB151" s="1">
        <f t="shared" si="375"/>
        <v>0</v>
      </c>
      <c r="HC151" s="1">
        <f t="shared" si="376"/>
        <v>0</v>
      </c>
      <c r="HD151" s="37" t="s">
        <v>2</v>
      </c>
      <c r="HE151" s="1" t="s">
        <v>31</v>
      </c>
      <c r="HF151" s="1" t="s">
        <v>193</v>
      </c>
      <c r="HG151" s="1" t="s">
        <v>193</v>
      </c>
      <c r="HI151" s="1" t="s">
        <v>96</v>
      </c>
      <c r="HJ151" s="37" t="s">
        <v>2</v>
      </c>
      <c r="JH151" s="58" t="s">
        <v>2</v>
      </c>
    </row>
    <row r="152" spans="1:268" ht="16.25" customHeight="1" x14ac:dyDescent="0.2">
      <c r="A152" s="21" t="s">
        <v>236</v>
      </c>
      <c r="B152" s="1" t="s">
        <v>69</v>
      </c>
      <c r="E152" s="1" t="s">
        <v>72</v>
      </c>
      <c r="F152" s="1" t="s">
        <v>172</v>
      </c>
      <c r="H152" s="1" t="s">
        <v>204</v>
      </c>
      <c r="I152" s="1">
        <v>0</v>
      </c>
      <c r="AD152" s="1">
        <v>0</v>
      </c>
      <c r="AY152" s="1">
        <v>11.2</v>
      </c>
      <c r="BG152" s="1">
        <v>0.77</v>
      </c>
      <c r="BH152" s="1">
        <v>0.08</v>
      </c>
      <c r="BT152" s="1">
        <v>0</v>
      </c>
      <c r="CO152" s="1">
        <v>0</v>
      </c>
      <c r="DJ152" s="1" t="s">
        <v>96</v>
      </c>
      <c r="DK152" s="1" t="s">
        <v>96</v>
      </c>
      <c r="DL152" s="1">
        <f t="shared" si="377"/>
        <v>0.76999999999999991</v>
      </c>
      <c r="DM152" s="1">
        <f t="shared" si="378"/>
        <v>0.08</v>
      </c>
      <c r="DN152" s="1" t="s">
        <v>67</v>
      </c>
      <c r="DO152" s="1" t="s">
        <v>2</v>
      </c>
      <c r="DP152" s="38">
        <f t="shared" si="300"/>
        <v>0</v>
      </c>
      <c r="DQ152" s="38">
        <f t="shared" si="301"/>
        <v>0</v>
      </c>
      <c r="DR152" s="38">
        <f t="shared" si="302"/>
        <v>0</v>
      </c>
      <c r="DS152" s="38">
        <f t="shared" si="303"/>
        <v>0</v>
      </c>
      <c r="DT152" s="38">
        <f t="shared" si="304"/>
        <v>0</v>
      </c>
      <c r="DU152" s="38">
        <f t="shared" si="305"/>
        <v>0</v>
      </c>
      <c r="DV152" s="38">
        <f t="shared" si="306"/>
        <v>0</v>
      </c>
      <c r="DW152" s="38">
        <f t="shared" si="307"/>
        <v>8.6239999999999983E-2</v>
      </c>
      <c r="DX152" s="38">
        <f t="shared" si="308"/>
        <v>8.9599999999999992E-3</v>
      </c>
      <c r="DY152" s="38">
        <f t="shared" si="309"/>
        <v>0</v>
      </c>
      <c r="DZ152" s="38">
        <f t="shared" si="310"/>
        <v>0</v>
      </c>
      <c r="EA152" s="38">
        <f t="shared" si="311"/>
        <v>0</v>
      </c>
      <c r="EB152" s="38">
        <f t="shared" si="312"/>
        <v>0</v>
      </c>
      <c r="EC152" s="38">
        <f t="shared" si="313"/>
        <v>0</v>
      </c>
      <c r="ED152" s="38">
        <f t="shared" si="314"/>
        <v>0</v>
      </c>
      <c r="EE152" s="38">
        <f t="shared" si="315"/>
        <v>0</v>
      </c>
      <c r="EG152" s="38">
        <f t="shared" si="316"/>
        <v>0</v>
      </c>
      <c r="EH152" s="38">
        <f t="shared" si="317"/>
        <v>0</v>
      </c>
      <c r="EI152" s="38">
        <f t="shared" si="318"/>
        <v>0</v>
      </c>
      <c r="EJ152" s="38">
        <f t="shared" si="319"/>
        <v>0</v>
      </c>
      <c r="EK152" s="38">
        <f t="shared" si="320"/>
        <v>0</v>
      </c>
      <c r="EL152" s="38">
        <f t="shared" si="321"/>
        <v>0</v>
      </c>
      <c r="EM152" s="38">
        <f t="shared" si="322"/>
        <v>0</v>
      </c>
      <c r="EN152" s="38">
        <f t="shared" si="323"/>
        <v>0</v>
      </c>
      <c r="EO152" s="38">
        <f t="shared" si="324"/>
        <v>0</v>
      </c>
      <c r="EP152" s="38">
        <f t="shared" si="325"/>
        <v>1130.9513599999998</v>
      </c>
      <c r="EQ152" s="38">
        <f t="shared" si="326"/>
        <v>650.6709350399999</v>
      </c>
      <c r="ER152" s="38">
        <f t="shared" si="327"/>
        <v>0</v>
      </c>
      <c r="ES152" s="38">
        <f t="shared" si="328"/>
        <v>0</v>
      </c>
      <c r="ET152" s="38">
        <f t="shared" si="329"/>
        <v>0</v>
      </c>
      <c r="EU152" s="38">
        <f t="shared" si="330"/>
        <v>0</v>
      </c>
      <c r="EV152" s="38">
        <f t="shared" si="331"/>
        <v>0</v>
      </c>
      <c r="EW152" s="38">
        <f t="shared" si="332"/>
        <v>0</v>
      </c>
      <c r="EX152" s="38">
        <f t="shared" si="333"/>
        <v>0</v>
      </c>
      <c r="EZ152" s="38">
        <f t="shared" si="334"/>
        <v>0</v>
      </c>
      <c r="FA152" s="38">
        <f t="shared" si="335"/>
        <v>0</v>
      </c>
      <c r="FB152" s="1">
        <f t="shared" si="336"/>
        <v>0</v>
      </c>
      <c r="FC152" s="1">
        <f t="shared" si="337"/>
        <v>0</v>
      </c>
      <c r="FD152" s="1">
        <f t="shared" si="338"/>
        <v>0</v>
      </c>
      <c r="FE152" s="1">
        <f t="shared" si="339"/>
        <v>0</v>
      </c>
      <c r="FF152" s="1">
        <f t="shared" si="340"/>
        <v>0</v>
      </c>
      <c r="FG152" s="1">
        <f t="shared" si="341"/>
        <v>0</v>
      </c>
      <c r="FH152" s="1">
        <f t="shared" si="342"/>
        <v>0</v>
      </c>
      <c r="FI152" s="1">
        <f t="shared" si="343"/>
        <v>0</v>
      </c>
      <c r="FJ152" s="1">
        <f t="shared" si="344"/>
        <v>0</v>
      </c>
      <c r="FK152" s="1">
        <f t="shared" si="345"/>
        <v>0</v>
      </c>
      <c r="FL152" s="1">
        <f t="shared" si="346"/>
        <v>0</v>
      </c>
      <c r="FM152" s="1">
        <f t="shared" si="347"/>
        <v>0</v>
      </c>
      <c r="FN152" s="1">
        <f t="shared" si="348"/>
        <v>0</v>
      </c>
      <c r="FO152" s="1">
        <f t="shared" si="349"/>
        <v>0</v>
      </c>
      <c r="FP152" s="1">
        <f t="shared" si="350"/>
        <v>0</v>
      </c>
      <c r="FQ152" s="1">
        <f t="shared" si="351"/>
        <v>0</v>
      </c>
      <c r="FS152" s="1">
        <f t="shared" si="352"/>
        <v>0</v>
      </c>
      <c r="FT152" s="1">
        <f t="shared" si="353"/>
        <v>0</v>
      </c>
      <c r="FU152" s="38">
        <f t="shared" si="354"/>
        <v>0</v>
      </c>
      <c r="FV152" s="38">
        <f t="shared" si="355"/>
        <v>0</v>
      </c>
      <c r="FW152" s="38">
        <f t="shared" si="356"/>
        <v>0</v>
      </c>
      <c r="FX152" s="38">
        <f t="shared" si="357"/>
        <v>0</v>
      </c>
      <c r="FY152" s="38">
        <f t="shared" si="358"/>
        <v>0</v>
      </c>
      <c r="FZ152" s="38">
        <f t="shared" si="359"/>
        <v>0</v>
      </c>
      <c r="GA152" s="38">
        <f t="shared" si="360"/>
        <v>0</v>
      </c>
      <c r="GB152" s="38">
        <f t="shared" si="361"/>
        <v>0</v>
      </c>
      <c r="GC152" s="38">
        <f t="shared" si="362"/>
        <v>0</v>
      </c>
      <c r="GD152" s="38">
        <f t="shared" si="363"/>
        <v>0</v>
      </c>
      <c r="GE152" s="38">
        <f t="shared" si="364"/>
        <v>0</v>
      </c>
      <c r="GF152" s="38">
        <f t="shared" si="365"/>
        <v>0</v>
      </c>
      <c r="GG152" s="38">
        <f t="shared" si="366"/>
        <v>0</v>
      </c>
      <c r="GH152" s="38">
        <f t="shared" si="367"/>
        <v>0</v>
      </c>
      <c r="GI152" s="38">
        <f t="shared" si="368"/>
        <v>0</v>
      </c>
      <c r="GJ152" s="38">
        <f t="shared" si="369"/>
        <v>0</v>
      </c>
      <c r="GL152" s="38">
        <f t="shared" si="370"/>
        <v>0</v>
      </c>
      <c r="GM152" s="38">
        <f t="shared" si="371"/>
        <v>0</v>
      </c>
      <c r="GN152" s="1" t="s">
        <v>2</v>
      </c>
      <c r="GO152" s="1">
        <f t="shared" si="379"/>
        <v>11.2</v>
      </c>
      <c r="GP152" s="1">
        <f t="shared" si="380"/>
        <v>0.76999999999999991</v>
      </c>
      <c r="GQ152" s="41">
        <f t="shared" si="381"/>
        <v>86.239999999999981</v>
      </c>
      <c r="GR152" s="41">
        <f t="shared" si="382"/>
        <v>1781.6222950399997</v>
      </c>
      <c r="GS152" s="14">
        <f t="shared" si="383"/>
        <v>159.07341919999999</v>
      </c>
      <c r="GT152" s="1">
        <f t="shared" si="372"/>
        <v>0</v>
      </c>
      <c r="GU152" s="1">
        <f t="shared" si="373"/>
        <v>0</v>
      </c>
      <c r="GV152" s="1">
        <f t="shared" si="374"/>
        <v>86.239999999999981</v>
      </c>
      <c r="GW152" s="37">
        <f t="shared" si="384"/>
        <v>0</v>
      </c>
      <c r="GX152" s="37"/>
      <c r="GY152" s="37"/>
      <c r="GZ152" s="37"/>
      <c r="HB152" s="1">
        <f t="shared" si="375"/>
        <v>0</v>
      </c>
      <c r="HC152" s="1">
        <f t="shared" si="376"/>
        <v>0</v>
      </c>
      <c r="HD152" s="37" t="s">
        <v>2</v>
      </c>
      <c r="HE152" s="1" t="s">
        <v>31</v>
      </c>
      <c r="HF152" s="1" t="s">
        <v>193</v>
      </c>
      <c r="HG152" s="1" t="s">
        <v>193</v>
      </c>
      <c r="HI152" s="1" t="s">
        <v>96</v>
      </c>
      <c r="HJ152" s="37" t="s">
        <v>2</v>
      </c>
      <c r="JH152" s="58" t="s">
        <v>2</v>
      </c>
    </row>
    <row r="153" spans="1:268" ht="16.25" customHeight="1" x14ac:dyDescent="0.2">
      <c r="A153" s="21" t="s">
        <v>262</v>
      </c>
      <c r="B153" s="1" t="s">
        <v>71</v>
      </c>
      <c r="E153" s="1" t="s">
        <v>72</v>
      </c>
      <c r="F153" s="1" t="s">
        <v>263</v>
      </c>
      <c r="H153" s="1" t="s">
        <v>204</v>
      </c>
      <c r="I153" s="1">
        <f>74.2+12.6</f>
        <v>86.8</v>
      </c>
      <c r="Q153" s="13">
        <f>(0.62*74.2+0.72*12.6)/I153</f>
        <v>0.63451612903225818</v>
      </c>
      <c r="R153" s="13">
        <f>(0.03*74.2+0.02*12.6)/I153</f>
        <v>2.8548387096774191E-2</v>
      </c>
      <c r="AD153" s="1">
        <v>141.9</v>
      </c>
      <c r="AL153" s="1">
        <v>0.57999999999999996</v>
      </c>
      <c r="AM153" s="1">
        <v>0.03</v>
      </c>
      <c r="AY153" s="14">
        <v>110</v>
      </c>
      <c r="BG153" s="1">
        <v>0.52</v>
      </c>
      <c r="BH153" s="1">
        <v>0.02</v>
      </c>
      <c r="BT153" s="1">
        <v>81.8</v>
      </c>
      <c r="CB153" s="1">
        <v>0.63</v>
      </c>
      <c r="CC153" s="1">
        <v>0.03</v>
      </c>
      <c r="CO153" s="1">
        <v>115.4</v>
      </c>
      <c r="CW153" s="1">
        <v>0.57999999999999996</v>
      </c>
      <c r="CX153" s="1">
        <v>0.03</v>
      </c>
      <c r="DJ153" s="1" t="s">
        <v>96</v>
      </c>
      <c r="DK153" s="1" t="s">
        <v>96</v>
      </c>
      <c r="DL153" s="1">
        <f t="shared" si="377"/>
        <v>0.57448479480366099</v>
      </c>
      <c r="DM153" s="1">
        <f t="shared" si="378"/>
        <v>2.6380277531739001E-2</v>
      </c>
      <c r="DN153" s="1" t="s">
        <v>185</v>
      </c>
      <c r="DO153" s="1" t="s">
        <v>2</v>
      </c>
      <c r="DP153" s="38">
        <f t="shared" si="300"/>
        <v>0</v>
      </c>
      <c r="DQ153" s="38">
        <f t="shared" si="301"/>
        <v>0</v>
      </c>
      <c r="DR153" s="38">
        <f t="shared" si="302"/>
        <v>0</v>
      </c>
      <c r="DS153" s="38">
        <f t="shared" si="303"/>
        <v>0</v>
      </c>
      <c r="DT153" s="38">
        <f t="shared" si="304"/>
        <v>0</v>
      </c>
      <c r="DU153" s="38">
        <f t="shared" si="305"/>
        <v>0</v>
      </c>
      <c r="DV153" s="38">
        <f t="shared" si="306"/>
        <v>0</v>
      </c>
      <c r="DW153" s="38">
        <f t="shared" si="307"/>
        <v>1.9457799999999998</v>
      </c>
      <c r="DX153" s="38">
        <f t="shared" si="308"/>
        <v>8.9349999999999985E-2</v>
      </c>
      <c r="DY153" s="38">
        <f t="shared" si="309"/>
        <v>0</v>
      </c>
      <c r="DZ153" s="38">
        <f t="shared" si="310"/>
        <v>0</v>
      </c>
      <c r="EA153" s="38">
        <f t="shared" si="311"/>
        <v>0</v>
      </c>
      <c r="EB153" s="38">
        <f t="shared" si="312"/>
        <v>0</v>
      </c>
      <c r="EC153" s="38">
        <f t="shared" si="313"/>
        <v>0</v>
      </c>
      <c r="ED153" s="38">
        <f t="shared" si="314"/>
        <v>0</v>
      </c>
      <c r="EE153" s="38">
        <f t="shared" si="315"/>
        <v>0</v>
      </c>
      <c r="EG153" s="38">
        <f t="shared" si="316"/>
        <v>0</v>
      </c>
      <c r="EH153" s="38">
        <f t="shared" si="317"/>
        <v>0</v>
      </c>
      <c r="EI153" s="38">
        <f t="shared" si="318"/>
        <v>0</v>
      </c>
      <c r="EJ153" s="38">
        <f t="shared" si="319"/>
        <v>0</v>
      </c>
      <c r="EK153" s="38">
        <f t="shared" si="320"/>
        <v>0</v>
      </c>
      <c r="EL153" s="38">
        <f t="shared" si="321"/>
        <v>0</v>
      </c>
      <c r="EM153" s="38">
        <f t="shared" si="322"/>
        <v>0</v>
      </c>
      <c r="EN153" s="38">
        <f t="shared" si="323"/>
        <v>0</v>
      </c>
      <c r="EO153" s="38">
        <f t="shared" si="324"/>
        <v>0</v>
      </c>
      <c r="EP153" s="38">
        <f t="shared" si="325"/>
        <v>25516.958919999997</v>
      </c>
      <c r="EQ153" s="38">
        <f t="shared" si="326"/>
        <v>6488.5544693999982</v>
      </c>
      <c r="ER153" s="38">
        <f t="shared" si="327"/>
        <v>0</v>
      </c>
      <c r="ES153" s="38">
        <f t="shared" si="328"/>
        <v>0</v>
      </c>
      <c r="ET153" s="38">
        <f t="shared" si="329"/>
        <v>0</v>
      </c>
      <c r="EU153" s="38">
        <f t="shared" si="330"/>
        <v>0</v>
      </c>
      <c r="EV153" s="38">
        <f t="shared" si="331"/>
        <v>0</v>
      </c>
      <c r="EW153" s="38">
        <f t="shared" si="332"/>
        <v>0</v>
      </c>
      <c r="EX153" s="38">
        <f t="shared" si="333"/>
        <v>0</v>
      </c>
      <c r="EZ153" s="38">
        <f t="shared" si="334"/>
        <v>0</v>
      </c>
      <c r="FA153" s="38">
        <f t="shared" si="335"/>
        <v>0</v>
      </c>
      <c r="FB153" s="1">
        <f t="shared" si="336"/>
        <v>0</v>
      </c>
      <c r="FC153" s="1">
        <f t="shared" si="337"/>
        <v>0</v>
      </c>
      <c r="FD153" s="1">
        <f t="shared" si="338"/>
        <v>0</v>
      </c>
      <c r="FE153" s="1">
        <f t="shared" si="339"/>
        <v>0</v>
      </c>
      <c r="FF153" s="1">
        <f t="shared" si="340"/>
        <v>0</v>
      </c>
      <c r="FG153" s="1">
        <f t="shared" si="341"/>
        <v>0</v>
      </c>
      <c r="FH153" s="1">
        <f t="shared" si="342"/>
        <v>0</v>
      </c>
      <c r="FI153" s="1">
        <f t="shared" si="343"/>
        <v>1.18466</v>
      </c>
      <c r="FJ153" s="1">
        <f t="shared" si="344"/>
        <v>5.9160000000000004E-2</v>
      </c>
      <c r="FK153" s="1">
        <f t="shared" si="345"/>
        <v>0</v>
      </c>
      <c r="FL153" s="1">
        <f t="shared" si="346"/>
        <v>0</v>
      </c>
      <c r="FM153" s="1">
        <f t="shared" si="347"/>
        <v>0</v>
      </c>
      <c r="FN153" s="1">
        <f t="shared" si="348"/>
        <v>0</v>
      </c>
      <c r="FO153" s="1">
        <f t="shared" si="349"/>
        <v>0</v>
      </c>
      <c r="FP153" s="1">
        <f t="shared" si="350"/>
        <v>0</v>
      </c>
      <c r="FQ153" s="1">
        <f t="shared" si="351"/>
        <v>0</v>
      </c>
      <c r="FS153" s="1">
        <f t="shared" si="352"/>
        <v>0</v>
      </c>
      <c r="FT153" s="1">
        <f t="shared" si="353"/>
        <v>0</v>
      </c>
      <c r="FU153" s="38">
        <f t="shared" si="354"/>
        <v>0</v>
      </c>
      <c r="FV153" s="38">
        <f t="shared" si="355"/>
        <v>0</v>
      </c>
      <c r="FW153" s="38">
        <f t="shared" si="356"/>
        <v>0</v>
      </c>
      <c r="FX153" s="38">
        <f t="shared" si="357"/>
        <v>0</v>
      </c>
      <c r="FY153" s="38">
        <f t="shared" si="358"/>
        <v>0</v>
      </c>
      <c r="FZ153" s="38">
        <f t="shared" si="359"/>
        <v>0</v>
      </c>
      <c r="GA153" s="38">
        <f t="shared" si="360"/>
        <v>0</v>
      </c>
      <c r="GB153" s="38">
        <f t="shared" si="361"/>
        <v>15535.631240000001</v>
      </c>
      <c r="GC153" s="38">
        <f t="shared" si="362"/>
        <v>4296.17103984</v>
      </c>
      <c r="GD153" s="38">
        <f t="shared" si="363"/>
        <v>0</v>
      </c>
      <c r="GE153" s="38">
        <f t="shared" si="364"/>
        <v>0</v>
      </c>
      <c r="GF153" s="38">
        <f t="shared" si="365"/>
        <v>0</v>
      </c>
      <c r="GG153" s="38">
        <f t="shared" si="366"/>
        <v>0</v>
      </c>
      <c r="GH153" s="38">
        <f t="shared" si="367"/>
        <v>0</v>
      </c>
      <c r="GI153" s="38">
        <f t="shared" si="368"/>
        <v>0</v>
      </c>
      <c r="GJ153" s="38">
        <f t="shared" si="369"/>
        <v>0</v>
      </c>
      <c r="GL153" s="38">
        <f t="shared" si="370"/>
        <v>0</v>
      </c>
      <c r="GM153" s="38">
        <f t="shared" si="371"/>
        <v>0</v>
      </c>
      <c r="GN153" s="1" t="s">
        <v>2</v>
      </c>
      <c r="GO153" s="1">
        <f t="shared" si="379"/>
        <v>338.7</v>
      </c>
      <c r="GP153" s="13">
        <f t="shared" si="380"/>
        <v>0.57448479480366099</v>
      </c>
      <c r="GQ153" s="43">
        <f t="shared" si="381"/>
        <v>1945.7799999999997</v>
      </c>
      <c r="GR153" s="41">
        <f t="shared" si="382"/>
        <v>32005.513389399996</v>
      </c>
      <c r="GS153" s="14">
        <f t="shared" si="383"/>
        <v>94.49516796397991</v>
      </c>
      <c r="GT153" s="1">
        <f t="shared" si="372"/>
        <v>550.7600000000001</v>
      </c>
      <c r="GU153" s="1">
        <f t="shared" si="373"/>
        <v>823.01999999999987</v>
      </c>
      <c r="GV153" s="1">
        <f t="shared" si="374"/>
        <v>572</v>
      </c>
      <c r="GW153" s="37">
        <f t="shared" si="384"/>
        <v>197.2</v>
      </c>
      <c r="GX153" s="44">
        <f>(BT153*CB153+CO153*CW153)/GW153</f>
        <v>0.60074036511156192</v>
      </c>
      <c r="GY153" s="43">
        <f>1000*GW153*GX153/100</f>
        <v>1184.6600000000001</v>
      </c>
      <c r="GZ153" s="41">
        <f>SUM(FU153:GM153)</f>
        <v>19831.802279840002</v>
      </c>
      <c r="HA153" s="14">
        <f>GZ153/GW153</f>
        <v>100.56694868073023</v>
      </c>
      <c r="HB153" s="1">
        <f t="shared" si="375"/>
        <v>515.34</v>
      </c>
      <c r="HC153" s="1">
        <f t="shared" si="376"/>
        <v>669.32</v>
      </c>
      <c r="HD153" s="37" t="s">
        <v>2</v>
      </c>
      <c r="HE153" s="1" t="s">
        <v>31</v>
      </c>
      <c r="HF153" s="1" t="s">
        <v>193</v>
      </c>
      <c r="HG153" s="1" t="s">
        <v>193</v>
      </c>
      <c r="HI153" s="1" t="s">
        <v>96</v>
      </c>
      <c r="HJ153" s="37" t="s">
        <v>2</v>
      </c>
      <c r="JH153" s="58" t="s">
        <v>2</v>
      </c>
    </row>
    <row r="154" spans="1:268" ht="16.25" customHeight="1" x14ac:dyDescent="0.2">
      <c r="A154" s="21" t="s">
        <v>264</v>
      </c>
      <c r="B154" s="1" t="s">
        <v>69</v>
      </c>
      <c r="E154" s="1" t="s">
        <v>72</v>
      </c>
      <c r="F154" s="1" t="s">
        <v>89</v>
      </c>
      <c r="H154" s="1" t="s">
        <v>204</v>
      </c>
      <c r="I154" s="1">
        <v>37.6</v>
      </c>
      <c r="Q154" s="1">
        <v>0.98</v>
      </c>
      <c r="R154" s="1">
        <v>7.0000000000000007E-2</v>
      </c>
      <c r="AD154" s="1">
        <v>130.9</v>
      </c>
      <c r="AL154" s="1">
        <v>0.91</v>
      </c>
      <c r="AM154" s="1">
        <v>7.0000000000000007E-2</v>
      </c>
      <c r="AY154" s="1">
        <v>14.1</v>
      </c>
      <c r="BG154" s="1">
        <v>0.87</v>
      </c>
      <c r="BH154" s="1">
        <v>0.06</v>
      </c>
      <c r="BT154" s="1">
        <v>0</v>
      </c>
      <c r="CO154" s="1">
        <v>168.4</v>
      </c>
      <c r="CW154" s="1">
        <v>0.93</v>
      </c>
      <c r="CX154" s="1">
        <v>7.0000000000000007E-2</v>
      </c>
      <c r="DJ154" s="1" t="s">
        <v>96</v>
      </c>
      <c r="DK154" s="1" t="s">
        <v>96</v>
      </c>
      <c r="DL154" s="1">
        <f t="shared" si="377"/>
        <v>0.92132530120481937</v>
      </c>
      <c r="DM154" s="1">
        <f t="shared" si="378"/>
        <v>6.9227820372398691E-2</v>
      </c>
      <c r="DN154" s="1" t="s">
        <v>90</v>
      </c>
      <c r="DO154" s="1" t="s">
        <v>2</v>
      </c>
      <c r="DP154" s="38">
        <f t="shared" si="300"/>
        <v>0</v>
      </c>
      <c r="DQ154" s="38">
        <f t="shared" si="301"/>
        <v>0</v>
      </c>
      <c r="DR154" s="38">
        <f t="shared" si="302"/>
        <v>0</v>
      </c>
      <c r="DS154" s="38">
        <f t="shared" si="303"/>
        <v>0</v>
      </c>
      <c r="DT154" s="38">
        <f t="shared" si="304"/>
        <v>0</v>
      </c>
      <c r="DU154" s="38">
        <f t="shared" si="305"/>
        <v>0</v>
      </c>
      <c r="DV154" s="38">
        <f t="shared" si="306"/>
        <v>0</v>
      </c>
      <c r="DW154" s="38">
        <f t="shared" si="307"/>
        <v>1.6823400000000002</v>
      </c>
      <c r="DX154" s="38">
        <f t="shared" si="308"/>
        <v>0.12641000000000002</v>
      </c>
      <c r="DY154" s="38">
        <f t="shared" si="309"/>
        <v>0</v>
      </c>
      <c r="DZ154" s="38">
        <f t="shared" si="310"/>
        <v>0</v>
      </c>
      <c r="EA154" s="38">
        <f t="shared" si="311"/>
        <v>0</v>
      </c>
      <c r="EB154" s="38">
        <f t="shared" si="312"/>
        <v>0</v>
      </c>
      <c r="EC154" s="38">
        <f t="shared" si="313"/>
        <v>0</v>
      </c>
      <c r="ED154" s="38">
        <f t="shared" si="314"/>
        <v>0</v>
      </c>
      <c r="EE154" s="38">
        <f t="shared" si="315"/>
        <v>0</v>
      </c>
      <c r="EG154" s="38">
        <f t="shared" si="316"/>
        <v>0</v>
      </c>
      <c r="EH154" s="38">
        <f t="shared" si="317"/>
        <v>0</v>
      </c>
      <c r="EI154" s="38">
        <f t="shared" si="318"/>
        <v>0</v>
      </c>
      <c r="EJ154" s="38">
        <f t="shared" si="319"/>
        <v>0</v>
      </c>
      <c r="EK154" s="38">
        <f t="shared" si="320"/>
        <v>0</v>
      </c>
      <c r="EL154" s="38">
        <f t="shared" si="321"/>
        <v>0</v>
      </c>
      <c r="EM154" s="38">
        <f t="shared" si="322"/>
        <v>0</v>
      </c>
      <c r="EN154" s="38">
        <f t="shared" si="323"/>
        <v>0</v>
      </c>
      <c r="EO154" s="38">
        <f t="shared" si="324"/>
        <v>0</v>
      </c>
      <c r="EP154" s="38">
        <f t="shared" si="325"/>
        <v>22062.206760000001</v>
      </c>
      <c r="EQ154" s="38">
        <f t="shared" si="326"/>
        <v>9179.8340288399995</v>
      </c>
      <c r="ER154" s="38">
        <f t="shared" si="327"/>
        <v>0</v>
      </c>
      <c r="ES154" s="38">
        <f t="shared" si="328"/>
        <v>0</v>
      </c>
      <c r="ET154" s="38">
        <f t="shared" si="329"/>
        <v>0</v>
      </c>
      <c r="EU154" s="38">
        <f t="shared" si="330"/>
        <v>0</v>
      </c>
      <c r="EV154" s="38">
        <f t="shared" si="331"/>
        <v>0</v>
      </c>
      <c r="EW154" s="38">
        <f t="shared" si="332"/>
        <v>0</v>
      </c>
      <c r="EX154" s="38">
        <f t="shared" si="333"/>
        <v>0</v>
      </c>
      <c r="EZ154" s="38">
        <f t="shared" si="334"/>
        <v>0</v>
      </c>
      <c r="FA154" s="38">
        <f t="shared" si="335"/>
        <v>0</v>
      </c>
      <c r="FB154" s="1">
        <f t="shared" si="336"/>
        <v>0</v>
      </c>
      <c r="FC154" s="1">
        <f t="shared" si="337"/>
        <v>0</v>
      </c>
      <c r="FD154" s="1">
        <f t="shared" si="338"/>
        <v>0</v>
      </c>
      <c r="FE154" s="1">
        <f t="shared" si="339"/>
        <v>0</v>
      </c>
      <c r="FF154" s="1">
        <f t="shared" si="340"/>
        <v>0</v>
      </c>
      <c r="FG154" s="1">
        <f t="shared" si="341"/>
        <v>0</v>
      </c>
      <c r="FH154" s="1">
        <f t="shared" si="342"/>
        <v>0</v>
      </c>
      <c r="FI154" s="1">
        <f t="shared" si="343"/>
        <v>1.5661200000000002</v>
      </c>
      <c r="FJ154" s="1">
        <f t="shared" si="344"/>
        <v>0.11788000000000003</v>
      </c>
      <c r="FK154" s="1">
        <f t="shared" si="345"/>
        <v>0</v>
      </c>
      <c r="FL154" s="1">
        <f t="shared" si="346"/>
        <v>0</v>
      </c>
      <c r="FM154" s="1">
        <f t="shared" si="347"/>
        <v>0</v>
      </c>
      <c r="FN154" s="1">
        <f t="shared" si="348"/>
        <v>0</v>
      </c>
      <c r="FO154" s="1">
        <f t="shared" si="349"/>
        <v>0</v>
      </c>
      <c r="FP154" s="1">
        <f t="shared" si="350"/>
        <v>0</v>
      </c>
      <c r="FQ154" s="1">
        <f t="shared" si="351"/>
        <v>0</v>
      </c>
      <c r="FS154" s="1">
        <f t="shared" si="352"/>
        <v>0</v>
      </c>
      <c r="FT154" s="1">
        <f t="shared" si="353"/>
        <v>0</v>
      </c>
      <c r="FU154" s="38">
        <f t="shared" si="354"/>
        <v>0</v>
      </c>
      <c r="FV154" s="38">
        <f t="shared" si="355"/>
        <v>0</v>
      </c>
      <c r="FW154" s="38">
        <f t="shared" si="356"/>
        <v>0</v>
      </c>
      <c r="FX154" s="38">
        <f t="shared" si="357"/>
        <v>0</v>
      </c>
      <c r="FY154" s="38">
        <f t="shared" si="358"/>
        <v>0</v>
      </c>
      <c r="FZ154" s="38">
        <f t="shared" si="359"/>
        <v>0</v>
      </c>
      <c r="GA154" s="38">
        <f t="shared" si="360"/>
        <v>0</v>
      </c>
      <c r="GB154" s="38">
        <f t="shared" si="361"/>
        <v>20538.097680000003</v>
      </c>
      <c r="GC154" s="38">
        <f t="shared" si="362"/>
        <v>8560.3894891200016</v>
      </c>
      <c r="GD154" s="38">
        <f t="shared" si="363"/>
        <v>0</v>
      </c>
      <c r="GE154" s="38">
        <f t="shared" si="364"/>
        <v>0</v>
      </c>
      <c r="GF154" s="38">
        <f t="shared" si="365"/>
        <v>0</v>
      </c>
      <c r="GG154" s="38">
        <f t="shared" si="366"/>
        <v>0</v>
      </c>
      <c r="GH154" s="38">
        <f t="shared" si="367"/>
        <v>0</v>
      </c>
      <c r="GI154" s="38">
        <f t="shared" si="368"/>
        <v>0</v>
      </c>
      <c r="GJ154" s="38">
        <f t="shared" si="369"/>
        <v>0</v>
      </c>
      <c r="GL154" s="38">
        <f t="shared" si="370"/>
        <v>0</v>
      </c>
      <c r="GM154" s="38">
        <f t="shared" si="371"/>
        <v>0</v>
      </c>
      <c r="GN154" s="1" t="s">
        <v>2</v>
      </c>
      <c r="GO154" s="1">
        <f t="shared" si="379"/>
        <v>182.6</v>
      </c>
      <c r="GP154" s="13">
        <f t="shared" si="380"/>
        <v>0.92132530120481937</v>
      </c>
      <c r="GQ154" s="43">
        <f t="shared" si="381"/>
        <v>1682.3400000000004</v>
      </c>
      <c r="GR154" s="41">
        <f t="shared" si="382"/>
        <v>31242.04078884</v>
      </c>
      <c r="GS154" s="14">
        <f t="shared" si="383"/>
        <v>171.09551363001097</v>
      </c>
      <c r="GT154" s="1">
        <f t="shared" si="372"/>
        <v>368.48</v>
      </c>
      <c r="GU154" s="1">
        <f t="shared" si="373"/>
        <v>1191.19</v>
      </c>
      <c r="GV154" s="1">
        <f t="shared" si="374"/>
        <v>122.67</v>
      </c>
      <c r="GW154" s="37">
        <f t="shared" si="384"/>
        <v>168.4</v>
      </c>
      <c r="GX154" s="44">
        <f>(BT154*CB154+CO154*CW154)/GW154</f>
        <v>0.93000000000000016</v>
      </c>
      <c r="GY154" s="43">
        <f>1000*GW154*GX154/100</f>
        <v>1566.1200000000003</v>
      </c>
      <c r="GZ154" s="41">
        <f>SUM(FU154:GM154)</f>
        <v>29098.487169120002</v>
      </c>
      <c r="HA154" s="14">
        <f>GZ154/GW154</f>
        <v>172.79386680000002</v>
      </c>
      <c r="HB154" s="1">
        <f t="shared" si="375"/>
        <v>0</v>
      </c>
      <c r="HC154" s="1">
        <f t="shared" si="376"/>
        <v>1566.1200000000003</v>
      </c>
      <c r="HD154" s="37" t="s">
        <v>2</v>
      </c>
      <c r="HE154" s="1" t="s">
        <v>31</v>
      </c>
      <c r="HF154" s="1" t="s">
        <v>193</v>
      </c>
      <c r="HG154" s="1" t="s">
        <v>193</v>
      </c>
      <c r="HI154" s="1" t="s">
        <v>96</v>
      </c>
      <c r="HJ154" s="37" t="s">
        <v>2</v>
      </c>
      <c r="JH154" s="58" t="s">
        <v>2</v>
      </c>
    </row>
    <row r="155" spans="1:268" ht="16.25" customHeight="1" x14ac:dyDescent="0.2">
      <c r="A155" s="21" t="s">
        <v>282</v>
      </c>
      <c r="B155" s="1" t="s">
        <v>69</v>
      </c>
      <c r="E155" s="1" t="s">
        <v>72</v>
      </c>
      <c r="F155" s="1" t="s">
        <v>151</v>
      </c>
      <c r="H155" s="1" t="s">
        <v>211</v>
      </c>
      <c r="I155" s="1">
        <v>0</v>
      </c>
      <c r="AD155" s="1">
        <v>0</v>
      </c>
      <c r="AY155" s="1">
        <v>0.69699999999999995</v>
      </c>
      <c r="BG155" s="13">
        <v>0.90429999999999999</v>
      </c>
      <c r="BH155" s="2">
        <v>0.1157</v>
      </c>
      <c r="BK155" s="11"/>
      <c r="BL155" s="11"/>
      <c r="BM155" s="11"/>
      <c r="BQ155" s="1">
        <v>39.5</v>
      </c>
      <c r="BT155" s="1">
        <v>0</v>
      </c>
      <c r="CO155" s="1">
        <v>0</v>
      </c>
      <c r="DJ155" s="1" t="s">
        <v>96</v>
      </c>
      <c r="DK155" s="1" t="s">
        <v>96</v>
      </c>
      <c r="DL155" s="1">
        <f t="shared" si="377"/>
        <v>0.90429999999999999</v>
      </c>
      <c r="DM155" s="1">
        <f t="shared" si="378"/>
        <v>0.1157</v>
      </c>
      <c r="DN155" s="1" t="s">
        <v>283</v>
      </c>
      <c r="DO155" s="1" t="s">
        <v>2</v>
      </c>
      <c r="DP155" s="38">
        <f t="shared" si="300"/>
        <v>0</v>
      </c>
      <c r="DQ155" s="38">
        <f t="shared" si="301"/>
        <v>0</v>
      </c>
      <c r="DR155" s="38">
        <f t="shared" si="302"/>
        <v>0</v>
      </c>
      <c r="DS155" s="38">
        <f t="shared" si="303"/>
        <v>0</v>
      </c>
      <c r="DT155" s="38">
        <f t="shared" si="304"/>
        <v>0</v>
      </c>
      <c r="DU155" s="38">
        <f t="shared" si="305"/>
        <v>0</v>
      </c>
      <c r="DV155" s="38">
        <f t="shared" si="306"/>
        <v>0</v>
      </c>
      <c r="DW155" s="38">
        <f t="shared" si="307"/>
        <v>6.3029709999999992E-3</v>
      </c>
      <c r="DX155" s="38">
        <f t="shared" si="308"/>
        <v>8.0642899999999989E-4</v>
      </c>
      <c r="DY155" s="38">
        <f t="shared" si="309"/>
        <v>0</v>
      </c>
      <c r="DZ155" s="38">
        <f t="shared" si="310"/>
        <v>0</v>
      </c>
      <c r="EA155" s="38">
        <f t="shared" si="311"/>
        <v>0</v>
      </c>
      <c r="EB155" s="38">
        <f t="shared" si="312"/>
        <v>0</v>
      </c>
      <c r="EC155" s="38">
        <f t="shared" si="313"/>
        <v>0</v>
      </c>
      <c r="ED155" s="38">
        <f t="shared" si="314"/>
        <v>0</v>
      </c>
      <c r="EE155" s="38">
        <f t="shared" si="315"/>
        <v>0</v>
      </c>
      <c r="EG155" s="38">
        <f t="shared" si="316"/>
        <v>27.531499999999998</v>
      </c>
      <c r="EH155" s="38">
        <f t="shared" si="317"/>
        <v>0</v>
      </c>
      <c r="EI155" s="38">
        <f t="shared" si="318"/>
        <v>0</v>
      </c>
      <c r="EJ155" s="38">
        <f t="shared" si="319"/>
        <v>0</v>
      </c>
      <c r="EK155" s="38">
        <f t="shared" si="320"/>
        <v>0</v>
      </c>
      <c r="EL155" s="38">
        <f t="shared" si="321"/>
        <v>0</v>
      </c>
      <c r="EM155" s="38">
        <f t="shared" si="322"/>
        <v>0</v>
      </c>
      <c r="EN155" s="38">
        <f t="shared" si="323"/>
        <v>0</v>
      </c>
      <c r="EO155" s="38">
        <f t="shared" si="324"/>
        <v>0</v>
      </c>
      <c r="EP155" s="38">
        <f t="shared" si="325"/>
        <v>82.657161693999996</v>
      </c>
      <c r="EQ155" s="38">
        <f t="shared" si="326"/>
        <v>58.562490119795982</v>
      </c>
      <c r="ER155" s="38">
        <f t="shared" si="327"/>
        <v>0</v>
      </c>
      <c r="ES155" s="38">
        <f t="shared" si="328"/>
        <v>0</v>
      </c>
      <c r="ET155" s="38">
        <f t="shared" si="329"/>
        <v>0</v>
      </c>
      <c r="EU155" s="38">
        <f t="shared" si="330"/>
        <v>0</v>
      </c>
      <c r="EV155" s="38">
        <f t="shared" si="331"/>
        <v>0</v>
      </c>
      <c r="EW155" s="38">
        <f t="shared" si="332"/>
        <v>0</v>
      </c>
      <c r="EX155" s="38">
        <f t="shared" si="333"/>
        <v>0</v>
      </c>
      <c r="EZ155" s="38">
        <f t="shared" si="334"/>
        <v>9.9113399999999992</v>
      </c>
      <c r="FA155" s="38">
        <f t="shared" si="335"/>
        <v>0</v>
      </c>
      <c r="FB155" s="1">
        <f t="shared" si="336"/>
        <v>0</v>
      </c>
      <c r="FC155" s="1">
        <f t="shared" si="337"/>
        <v>0</v>
      </c>
      <c r="FD155" s="1">
        <f t="shared" si="338"/>
        <v>0</v>
      </c>
      <c r="FE155" s="1">
        <f t="shared" si="339"/>
        <v>0</v>
      </c>
      <c r="FF155" s="1">
        <f t="shared" si="340"/>
        <v>0</v>
      </c>
      <c r="FG155" s="1">
        <f t="shared" si="341"/>
        <v>0</v>
      </c>
      <c r="FH155" s="1">
        <f t="shared" si="342"/>
        <v>0</v>
      </c>
      <c r="FI155" s="1">
        <f t="shared" si="343"/>
        <v>0</v>
      </c>
      <c r="FJ155" s="1">
        <f t="shared" si="344"/>
        <v>0</v>
      </c>
      <c r="FK155" s="1">
        <f t="shared" si="345"/>
        <v>0</v>
      </c>
      <c r="FL155" s="1">
        <f t="shared" si="346"/>
        <v>0</v>
      </c>
      <c r="FM155" s="1">
        <f t="shared" si="347"/>
        <v>0</v>
      </c>
      <c r="FN155" s="1">
        <f t="shared" si="348"/>
        <v>0</v>
      </c>
      <c r="FO155" s="1">
        <f t="shared" si="349"/>
        <v>0</v>
      </c>
      <c r="FP155" s="1">
        <f t="shared" si="350"/>
        <v>0</v>
      </c>
      <c r="FQ155" s="1">
        <f t="shared" si="351"/>
        <v>0</v>
      </c>
      <c r="FS155" s="1">
        <f t="shared" si="352"/>
        <v>0</v>
      </c>
      <c r="FT155" s="1">
        <f t="shared" si="353"/>
        <v>0</v>
      </c>
      <c r="FU155" s="38">
        <f t="shared" si="354"/>
        <v>0</v>
      </c>
      <c r="FV155" s="38">
        <f t="shared" si="355"/>
        <v>0</v>
      </c>
      <c r="FW155" s="38">
        <f t="shared" si="356"/>
        <v>0</v>
      </c>
      <c r="FX155" s="38">
        <f t="shared" si="357"/>
        <v>0</v>
      </c>
      <c r="FY155" s="38">
        <f t="shared" si="358"/>
        <v>0</v>
      </c>
      <c r="FZ155" s="38">
        <f t="shared" si="359"/>
        <v>0</v>
      </c>
      <c r="GA155" s="38">
        <f t="shared" si="360"/>
        <v>0</v>
      </c>
      <c r="GB155" s="38">
        <f t="shared" si="361"/>
        <v>0</v>
      </c>
      <c r="GC155" s="38">
        <f t="shared" si="362"/>
        <v>0</v>
      </c>
      <c r="GD155" s="38">
        <f t="shared" si="363"/>
        <v>0</v>
      </c>
      <c r="GE155" s="38">
        <f t="shared" si="364"/>
        <v>0</v>
      </c>
      <c r="GF155" s="38">
        <f t="shared" si="365"/>
        <v>0</v>
      </c>
      <c r="GG155" s="38">
        <f t="shared" si="366"/>
        <v>0</v>
      </c>
      <c r="GH155" s="38">
        <f t="shared" si="367"/>
        <v>0</v>
      </c>
      <c r="GI155" s="38">
        <f t="shared" si="368"/>
        <v>0</v>
      </c>
      <c r="GJ155" s="38">
        <f t="shared" si="369"/>
        <v>0</v>
      </c>
      <c r="GL155" s="38">
        <f t="shared" si="370"/>
        <v>0</v>
      </c>
      <c r="GM155" s="38">
        <f t="shared" si="371"/>
        <v>0</v>
      </c>
      <c r="GN155" s="1" t="s">
        <v>2</v>
      </c>
      <c r="GO155" s="1">
        <f t="shared" si="379"/>
        <v>0.69699999999999995</v>
      </c>
      <c r="GP155" s="13">
        <f t="shared" si="380"/>
        <v>0.90429999999999999</v>
      </c>
      <c r="GQ155" s="41">
        <f t="shared" si="381"/>
        <v>6.3029710000000003</v>
      </c>
      <c r="GR155" s="41">
        <f t="shared" si="382"/>
        <v>151.13099181379596</v>
      </c>
      <c r="GS155" s="14">
        <f t="shared" si="383"/>
        <v>216.83069126799995</v>
      </c>
      <c r="GT155" s="1">
        <f t="shared" si="372"/>
        <v>0</v>
      </c>
      <c r="GU155" s="1">
        <f t="shared" si="373"/>
        <v>0</v>
      </c>
      <c r="GV155" s="1">
        <f t="shared" si="374"/>
        <v>6.3029710000000003</v>
      </c>
      <c r="GW155" s="37">
        <f t="shared" si="384"/>
        <v>0</v>
      </c>
      <c r="GX155" s="37"/>
      <c r="GY155" s="37"/>
      <c r="GZ155" s="37"/>
      <c r="HB155" s="1">
        <f t="shared" si="375"/>
        <v>0</v>
      </c>
      <c r="HC155" s="1">
        <f t="shared" si="376"/>
        <v>0</v>
      </c>
      <c r="HD155" s="37" t="s">
        <v>2</v>
      </c>
      <c r="HE155" s="1" t="s">
        <v>31</v>
      </c>
      <c r="HF155" s="1" t="s">
        <v>193</v>
      </c>
      <c r="HG155" s="1" t="s">
        <v>193</v>
      </c>
      <c r="HI155" s="1" t="s">
        <v>96</v>
      </c>
      <c r="HJ155" s="37" t="s">
        <v>2</v>
      </c>
      <c r="JH155" s="58" t="s">
        <v>2</v>
      </c>
    </row>
    <row r="156" spans="1:268" ht="16.25" customHeight="1" x14ac:dyDescent="0.2">
      <c r="A156" s="21" t="s">
        <v>288</v>
      </c>
      <c r="B156" s="1" t="s">
        <v>69</v>
      </c>
      <c r="E156" s="1" t="s">
        <v>72</v>
      </c>
      <c r="F156" s="1" t="s">
        <v>289</v>
      </c>
      <c r="H156" s="1" t="s">
        <v>204</v>
      </c>
      <c r="I156" s="1">
        <v>0</v>
      </c>
      <c r="AD156" s="1">
        <v>55.518000000000001</v>
      </c>
      <c r="AL156" s="1">
        <v>0.71699999999999997</v>
      </c>
      <c r="AM156" s="1">
        <v>0.04</v>
      </c>
      <c r="AY156" s="1">
        <v>0</v>
      </c>
      <c r="BT156" s="1">
        <v>3.7570000000000001</v>
      </c>
      <c r="CB156" s="1">
        <v>0.65</v>
      </c>
      <c r="CC156" s="1">
        <v>0.04</v>
      </c>
      <c r="CO156" s="1">
        <v>0</v>
      </c>
      <c r="DJ156" s="1" t="s">
        <v>96</v>
      </c>
      <c r="DK156" s="1" t="s">
        <v>96</v>
      </c>
      <c r="DL156" s="1">
        <f t="shared" si="377"/>
        <v>0.71699999999999986</v>
      </c>
      <c r="DM156" s="1">
        <f t="shared" si="378"/>
        <v>0.04</v>
      </c>
      <c r="DN156" s="1" t="s">
        <v>148</v>
      </c>
      <c r="DO156" s="1" t="s">
        <v>2</v>
      </c>
      <c r="DP156" s="38">
        <f t="shared" si="300"/>
        <v>0</v>
      </c>
      <c r="DQ156" s="38">
        <f t="shared" si="301"/>
        <v>0</v>
      </c>
      <c r="DR156" s="38">
        <f t="shared" si="302"/>
        <v>0</v>
      </c>
      <c r="DS156" s="38">
        <f t="shared" si="303"/>
        <v>0</v>
      </c>
      <c r="DT156" s="38">
        <f t="shared" si="304"/>
        <v>0</v>
      </c>
      <c r="DU156" s="38">
        <f t="shared" si="305"/>
        <v>0</v>
      </c>
      <c r="DV156" s="38">
        <f t="shared" si="306"/>
        <v>0</v>
      </c>
      <c r="DW156" s="38">
        <f t="shared" si="307"/>
        <v>0.39806405999999994</v>
      </c>
      <c r="DX156" s="38">
        <f t="shared" si="308"/>
        <v>2.22072E-2</v>
      </c>
      <c r="DY156" s="38">
        <f t="shared" si="309"/>
        <v>0</v>
      </c>
      <c r="DZ156" s="38">
        <f t="shared" si="310"/>
        <v>0</v>
      </c>
      <c r="EA156" s="38">
        <f t="shared" si="311"/>
        <v>0</v>
      </c>
      <c r="EB156" s="38">
        <f t="shared" si="312"/>
        <v>0</v>
      </c>
      <c r="EC156" s="38">
        <f t="shared" si="313"/>
        <v>0</v>
      </c>
      <c r="ED156" s="38">
        <f t="shared" si="314"/>
        <v>0</v>
      </c>
      <c r="EE156" s="38">
        <f t="shared" si="315"/>
        <v>0</v>
      </c>
      <c r="EG156" s="38">
        <f t="shared" si="316"/>
        <v>0</v>
      </c>
      <c r="EH156" s="38">
        <f t="shared" si="317"/>
        <v>0</v>
      </c>
      <c r="EI156" s="38">
        <f t="shared" si="318"/>
        <v>0</v>
      </c>
      <c r="EJ156" s="38">
        <f t="shared" si="319"/>
        <v>0</v>
      </c>
      <c r="EK156" s="38">
        <f t="shared" si="320"/>
        <v>0</v>
      </c>
      <c r="EL156" s="38">
        <f t="shared" si="321"/>
        <v>0</v>
      </c>
      <c r="EM156" s="38">
        <f t="shared" si="322"/>
        <v>0</v>
      </c>
      <c r="EN156" s="38">
        <f t="shared" si="323"/>
        <v>0</v>
      </c>
      <c r="EO156" s="38">
        <f t="shared" si="324"/>
        <v>0</v>
      </c>
      <c r="EP156" s="38">
        <f t="shared" si="325"/>
        <v>5220.2120828399993</v>
      </c>
      <c r="EQ156" s="38">
        <f t="shared" si="326"/>
        <v>1612.6762933727998</v>
      </c>
      <c r="ER156" s="38">
        <f t="shared" si="327"/>
        <v>0</v>
      </c>
      <c r="ES156" s="38">
        <f t="shared" si="328"/>
        <v>0</v>
      </c>
      <c r="ET156" s="38">
        <f t="shared" si="329"/>
        <v>0</v>
      </c>
      <c r="EU156" s="38">
        <f t="shared" si="330"/>
        <v>0</v>
      </c>
      <c r="EV156" s="38">
        <f t="shared" si="331"/>
        <v>0</v>
      </c>
      <c r="EW156" s="38">
        <f t="shared" si="332"/>
        <v>0</v>
      </c>
      <c r="EX156" s="38">
        <f t="shared" si="333"/>
        <v>0</v>
      </c>
      <c r="EZ156" s="38">
        <f t="shared" si="334"/>
        <v>0</v>
      </c>
      <c r="FA156" s="38">
        <f t="shared" si="335"/>
        <v>0</v>
      </c>
      <c r="FB156" s="1">
        <f t="shared" si="336"/>
        <v>0</v>
      </c>
      <c r="FC156" s="1">
        <f t="shared" si="337"/>
        <v>0</v>
      </c>
      <c r="FD156" s="1">
        <f t="shared" si="338"/>
        <v>0</v>
      </c>
      <c r="FE156" s="1">
        <f t="shared" si="339"/>
        <v>0</v>
      </c>
      <c r="FF156" s="1">
        <f t="shared" si="340"/>
        <v>0</v>
      </c>
      <c r="FG156" s="1">
        <f t="shared" si="341"/>
        <v>0</v>
      </c>
      <c r="FH156" s="1">
        <f t="shared" si="342"/>
        <v>0</v>
      </c>
      <c r="FI156" s="1">
        <f t="shared" si="343"/>
        <v>2.4420500000000001E-2</v>
      </c>
      <c r="FJ156" s="1">
        <f t="shared" si="344"/>
        <v>1.5027999999999999E-3</v>
      </c>
      <c r="FK156" s="1">
        <f t="shared" si="345"/>
        <v>0</v>
      </c>
      <c r="FL156" s="1">
        <f t="shared" si="346"/>
        <v>0</v>
      </c>
      <c r="FM156" s="1">
        <f t="shared" si="347"/>
        <v>0</v>
      </c>
      <c r="FN156" s="1">
        <f t="shared" si="348"/>
        <v>0</v>
      </c>
      <c r="FO156" s="1">
        <f t="shared" si="349"/>
        <v>0</v>
      </c>
      <c r="FP156" s="1">
        <f t="shared" si="350"/>
        <v>0</v>
      </c>
      <c r="FQ156" s="1">
        <f t="shared" si="351"/>
        <v>0</v>
      </c>
      <c r="FS156" s="1">
        <f t="shared" si="352"/>
        <v>0</v>
      </c>
      <c r="FT156" s="1">
        <f t="shared" si="353"/>
        <v>0</v>
      </c>
      <c r="FU156" s="38">
        <f t="shared" si="354"/>
        <v>0</v>
      </c>
      <c r="FV156" s="38">
        <f t="shared" si="355"/>
        <v>0</v>
      </c>
      <c r="FW156" s="38">
        <f t="shared" si="356"/>
        <v>0</v>
      </c>
      <c r="FX156" s="38">
        <f t="shared" si="357"/>
        <v>0</v>
      </c>
      <c r="FY156" s="38">
        <f t="shared" si="358"/>
        <v>0</v>
      </c>
      <c r="FZ156" s="38">
        <f t="shared" si="359"/>
        <v>0</v>
      </c>
      <c r="GA156" s="38">
        <f t="shared" si="360"/>
        <v>0</v>
      </c>
      <c r="GB156" s="38">
        <f t="shared" si="361"/>
        <v>320.25043700000003</v>
      </c>
      <c r="GC156" s="38">
        <f t="shared" si="362"/>
        <v>109.13262066719997</v>
      </c>
      <c r="GD156" s="38">
        <f t="shared" si="363"/>
        <v>0</v>
      </c>
      <c r="GE156" s="38">
        <f t="shared" si="364"/>
        <v>0</v>
      </c>
      <c r="GF156" s="38">
        <f t="shared" si="365"/>
        <v>0</v>
      </c>
      <c r="GG156" s="38">
        <f t="shared" si="366"/>
        <v>0</v>
      </c>
      <c r="GH156" s="38">
        <f t="shared" si="367"/>
        <v>0</v>
      </c>
      <c r="GI156" s="38">
        <f t="shared" si="368"/>
        <v>0</v>
      </c>
      <c r="GJ156" s="38">
        <f t="shared" si="369"/>
        <v>0</v>
      </c>
      <c r="GL156" s="38">
        <f t="shared" si="370"/>
        <v>0</v>
      </c>
      <c r="GM156" s="38">
        <f t="shared" si="371"/>
        <v>0</v>
      </c>
      <c r="GN156" s="1" t="s">
        <v>2</v>
      </c>
      <c r="GO156" s="13">
        <f t="shared" si="379"/>
        <v>55.518000000000001</v>
      </c>
      <c r="GP156" s="13">
        <f t="shared" si="380"/>
        <v>0.71699999999999986</v>
      </c>
      <c r="GQ156" s="41">
        <f t="shared" si="381"/>
        <v>398.06405999999993</v>
      </c>
      <c r="GR156" s="41">
        <f t="shared" si="382"/>
        <v>6832.8883762127989</v>
      </c>
      <c r="GS156" s="14">
        <f t="shared" si="383"/>
        <v>123.07518959999997</v>
      </c>
      <c r="GT156" s="1">
        <f t="shared" si="372"/>
        <v>0</v>
      </c>
      <c r="GU156" s="1">
        <f t="shared" si="373"/>
        <v>398.06405999999993</v>
      </c>
      <c r="GV156" s="1">
        <f t="shared" si="374"/>
        <v>0</v>
      </c>
      <c r="GW156" s="37">
        <f t="shared" si="384"/>
        <v>3.7570000000000001</v>
      </c>
      <c r="GX156" s="44">
        <f>(BT156*CB156+CO156*CW156)/GW156</f>
        <v>0.65</v>
      </c>
      <c r="GY156" s="41">
        <f>1000*GW156*GX156/100</f>
        <v>24.420500000000001</v>
      </c>
      <c r="GZ156" s="41">
        <f>SUM(FU156:GM156)</f>
        <v>429.38305766719998</v>
      </c>
      <c r="HA156" s="14">
        <f>GZ156/GW156</f>
        <v>114.28880959999999</v>
      </c>
      <c r="HB156" s="1">
        <f t="shared" si="375"/>
        <v>24.420500000000001</v>
      </c>
      <c r="HC156" s="1">
        <f t="shared" si="376"/>
        <v>0</v>
      </c>
      <c r="HD156" s="37" t="s">
        <v>2</v>
      </c>
      <c r="HE156" s="1" t="s">
        <v>31</v>
      </c>
      <c r="HF156" s="1" t="s">
        <v>193</v>
      </c>
      <c r="HG156" s="1" t="s">
        <v>193</v>
      </c>
      <c r="HI156" s="1" t="s">
        <v>96</v>
      </c>
      <c r="HJ156" s="37" t="s">
        <v>2</v>
      </c>
      <c r="JH156" s="58" t="s">
        <v>2</v>
      </c>
    </row>
    <row r="157" spans="1:268" ht="16.25" customHeight="1" x14ac:dyDescent="0.2">
      <c r="A157" s="21" t="s">
        <v>299</v>
      </c>
      <c r="B157" s="1" t="s">
        <v>69</v>
      </c>
      <c r="E157" s="1" t="s">
        <v>72</v>
      </c>
      <c r="F157" s="1" t="s">
        <v>89</v>
      </c>
      <c r="H157" s="1" t="s">
        <v>204</v>
      </c>
      <c r="I157" s="1">
        <v>0</v>
      </c>
      <c r="AD157" s="1">
        <v>0</v>
      </c>
      <c r="AY157" s="1">
        <v>33.299999999999997</v>
      </c>
      <c r="BG157" s="1">
        <v>0.81</v>
      </c>
      <c r="BH157" s="1">
        <v>7.0000000000000007E-2</v>
      </c>
      <c r="BT157" s="1">
        <v>0</v>
      </c>
      <c r="CO157" s="1">
        <v>0</v>
      </c>
      <c r="DJ157" s="1" t="s">
        <v>96</v>
      </c>
      <c r="DK157" s="1" t="s">
        <v>96</v>
      </c>
      <c r="DL157" s="1">
        <f t="shared" si="377"/>
        <v>0.81</v>
      </c>
      <c r="DM157" s="1">
        <f t="shared" si="378"/>
        <v>7.0000000000000007E-2</v>
      </c>
      <c r="DN157" s="1" t="s">
        <v>67</v>
      </c>
      <c r="DO157" s="1" t="s">
        <v>2</v>
      </c>
      <c r="DP157" s="38">
        <f t="shared" si="300"/>
        <v>0</v>
      </c>
      <c r="DQ157" s="38">
        <f t="shared" si="301"/>
        <v>0</v>
      </c>
      <c r="DR157" s="38">
        <f t="shared" si="302"/>
        <v>0</v>
      </c>
      <c r="DS157" s="38">
        <f t="shared" si="303"/>
        <v>0</v>
      </c>
      <c r="DT157" s="38">
        <f t="shared" si="304"/>
        <v>0</v>
      </c>
      <c r="DU157" s="38">
        <f t="shared" si="305"/>
        <v>0</v>
      </c>
      <c r="DV157" s="38">
        <f t="shared" si="306"/>
        <v>0</v>
      </c>
      <c r="DW157" s="38">
        <f t="shared" si="307"/>
        <v>0.26972999999999997</v>
      </c>
      <c r="DX157" s="38">
        <f t="shared" si="308"/>
        <v>2.3310000000000001E-2</v>
      </c>
      <c r="DY157" s="38">
        <f t="shared" si="309"/>
        <v>0</v>
      </c>
      <c r="DZ157" s="38">
        <f t="shared" si="310"/>
        <v>0</v>
      </c>
      <c r="EA157" s="38">
        <f t="shared" si="311"/>
        <v>0</v>
      </c>
      <c r="EB157" s="38">
        <f t="shared" si="312"/>
        <v>0</v>
      </c>
      <c r="EC157" s="38">
        <f t="shared" si="313"/>
        <v>0</v>
      </c>
      <c r="ED157" s="38">
        <f t="shared" si="314"/>
        <v>0</v>
      </c>
      <c r="EE157" s="38">
        <f t="shared" si="315"/>
        <v>0</v>
      </c>
      <c r="EG157" s="38">
        <f t="shared" si="316"/>
        <v>0</v>
      </c>
      <c r="EH157" s="38">
        <f t="shared" si="317"/>
        <v>0</v>
      </c>
      <c r="EI157" s="38">
        <f t="shared" si="318"/>
        <v>0</v>
      </c>
      <c r="EJ157" s="38">
        <f t="shared" si="319"/>
        <v>0</v>
      </c>
      <c r="EK157" s="38">
        <f t="shared" si="320"/>
        <v>0</v>
      </c>
      <c r="EL157" s="38">
        <f t="shared" si="321"/>
        <v>0</v>
      </c>
      <c r="EM157" s="38">
        <f t="shared" si="322"/>
        <v>0</v>
      </c>
      <c r="EN157" s="38">
        <f t="shared" si="323"/>
        <v>0</v>
      </c>
      <c r="EO157" s="38">
        <f t="shared" si="324"/>
        <v>0</v>
      </c>
      <c r="EP157" s="38">
        <f t="shared" si="325"/>
        <v>3537.2392199999995</v>
      </c>
      <c r="EQ157" s="38">
        <f t="shared" si="326"/>
        <v>1692.7611044399998</v>
      </c>
      <c r="ER157" s="38">
        <f t="shared" si="327"/>
        <v>0</v>
      </c>
      <c r="ES157" s="38">
        <f t="shared" si="328"/>
        <v>0</v>
      </c>
      <c r="ET157" s="38">
        <f t="shared" si="329"/>
        <v>0</v>
      </c>
      <c r="EU157" s="38">
        <f t="shared" si="330"/>
        <v>0</v>
      </c>
      <c r="EV157" s="38">
        <f t="shared" si="331"/>
        <v>0</v>
      </c>
      <c r="EW157" s="38">
        <f t="shared" si="332"/>
        <v>0</v>
      </c>
      <c r="EX157" s="38">
        <f t="shared" si="333"/>
        <v>0</v>
      </c>
      <c r="EZ157" s="38">
        <f t="shared" si="334"/>
        <v>0</v>
      </c>
      <c r="FA157" s="38">
        <f t="shared" si="335"/>
        <v>0</v>
      </c>
      <c r="FB157" s="1">
        <f t="shared" si="336"/>
        <v>0</v>
      </c>
      <c r="FC157" s="1">
        <f t="shared" si="337"/>
        <v>0</v>
      </c>
      <c r="FD157" s="1">
        <f t="shared" si="338"/>
        <v>0</v>
      </c>
      <c r="FE157" s="1">
        <f t="shared" si="339"/>
        <v>0</v>
      </c>
      <c r="FF157" s="1">
        <f t="shared" si="340"/>
        <v>0</v>
      </c>
      <c r="FG157" s="1">
        <f t="shared" si="341"/>
        <v>0</v>
      </c>
      <c r="FH157" s="1">
        <f t="shared" si="342"/>
        <v>0</v>
      </c>
      <c r="FI157" s="1">
        <f t="shared" si="343"/>
        <v>0</v>
      </c>
      <c r="FJ157" s="1">
        <f t="shared" si="344"/>
        <v>0</v>
      </c>
      <c r="FK157" s="1">
        <f t="shared" si="345"/>
        <v>0</v>
      </c>
      <c r="FL157" s="1">
        <f t="shared" si="346"/>
        <v>0</v>
      </c>
      <c r="FM157" s="1">
        <f t="shared" si="347"/>
        <v>0</v>
      </c>
      <c r="FN157" s="1">
        <f t="shared" si="348"/>
        <v>0</v>
      </c>
      <c r="FO157" s="1">
        <f t="shared" si="349"/>
        <v>0</v>
      </c>
      <c r="FP157" s="1">
        <f t="shared" si="350"/>
        <v>0</v>
      </c>
      <c r="FQ157" s="1">
        <f t="shared" si="351"/>
        <v>0</v>
      </c>
      <c r="FS157" s="1">
        <f t="shared" si="352"/>
        <v>0</v>
      </c>
      <c r="FT157" s="1">
        <f t="shared" si="353"/>
        <v>0</v>
      </c>
      <c r="FU157" s="38">
        <f t="shared" si="354"/>
        <v>0</v>
      </c>
      <c r="FV157" s="38">
        <f t="shared" si="355"/>
        <v>0</v>
      </c>
      <c r="FW157" s="38">
        <f t="shared" si="356"/>
        <v>0</v>
      </c>
      <c r="FX157" s="38">
        <f t="shared" si="357"/>
        <v>0</v>
      </c>
      <c r="FY157" s="38">
        <f t="shared" si="358"/>
        <v>0</v>
      </c>
      <c r="FZ157" s="38">
        <f t="shared" si="359"/>
        <v>0</v>
      </c>
      <c r="GA157" s="38">
        <f t="shared" si="360"/>
        <v>0</v>
      </c>
      <c r="GB157" s="38">
        <f t="shared" si="361"/>
        <v>0</v>
      </c>
      <c r="GC157" s="38">
        <f t="shared" si="362"/>
        <v>0</v>
      </c>
      <c r="GD157" s="38">
        <f t="shared" si="363"/>
        <v>0</v>
      </c>
      <c r="GE157" s="38">
        <f t="shared" si="364"/>
        <v>0</v>
      </c>
      <c r="GF157" s="38">
        <f t="shared" si="365"/>
        <v>0</v>
      </c>
      <c r="GG157" s="38">
        <f t="shared" si="366"/>
        <v>0</v>
      </c>
      <c r="GH157" s="38">
        <f t="shared" si="367"/>
        <v>0</v>
      </c>
      <c r="GI157" s="38">
        <f t="shared" si="368"/>
        <v>0</v>
      </c>
      <c r="GJ157" s="38">
        <f t="shared" si="369"/>
        <v>0</v>
      </c>
      <c r="GL157" s="38">
        <f t="shared" si="370"/>
        <v>0</v>
      </c>
      <c r="GM157" s="38">
        <f t="shared" si="371"/>
        <v>0</v>
      </c>
      <c r="GN157" s="1" t="s">
        <v>2</v>
      </c>
      <c r="GO157" s="1">
        <f t="shared" si="379"/>
        <v>33.299999999999997</v>
      </c>
      <c r="GP157" s="1">
        <f t="shared" si="380"/>
        <v>0.81</v>
      </c>
      <c r="GQ157" s="41">
        <f t="shared" si="381"/>
        <v>269.73</v>
      </c>
      <c r="GR157" s="41">
        <f t="shared" si="382"/>
        <v>5230.0003244399995</v>
      </c>
      <c r="GS157" s="14">
        <f t="shared" si="383"/>
        <v>157.0570668</v>
      </c>
      <c r="GT157" s="1">
        <f t="shared" si="372"/>
        <v>0</v>
      </c>
      <c r="GU157" s="1">
        <f t="shared" si="373"/>
        <v>0</v>
      </c>
      <c r="GV157" s="1">
        <f t="shared" si="374"/>
        <v>269.73</v>
      </c>
      <c r="GW157" s="37">
        <f t="shared" si="384"/>
        <v>0</v>
      </c>
      <c r="GX157" s="37"/>
      <c r="GY157" s="37"/>
      <c r="GZ157" s="37"/>
      <c r="HB157" s="1">
        <f t="shared" si="375"/>
        <v>0</v>
      </c>
      <c r="HC157" s="1">
        <f t="shared" si="376"/>
        <v>0</v>
      </c>
      <c r="HD157" s="37" t="s">
        <v>2</v>
      </c>
      <c r="HE157" s="1" t="s">
        <v>31</v>
      </c>
      <c r="HF157" s="1" t="s">
        <v>193</v>
      </c>
      <c r="HG157" s="1" t="s">
        <v>193</v>
      </c>
      <c r="HI157" s="1" t="s">
        <v>96</v>
      </c>
      <c r="HJ157" s="37" t="s">
        <v>2</v>
      </c>
      <c r="JH157" s="58" t="s">
        <v>2</v>
      </c>
    </row>
    <row r="158" spans="1:268" ht="16.25" customHeight="1" x14ac:dyDescent="0.2">
      <c r="A158" s="21" t="s">
        <v>305</v>
      </c>
      <c r="B158" s="1" t="s">
        <v>69</v>
      </c>
      <c r="E158" s="1" t="s">
        <v>72</v>
      </c>
      <c r="F158" s="1" t="s">
        <v>306</v>
      </c>
      <c r="H158" s="1" t="s">
        <v>211</v>
      </c>
      <c r="I158" s="1">
        <v>0</v>
      </c>
      <c r="AD158" s="1">
        <v>16.600000000000001</v>
      </c>
      <c r="AL158" s="13">
        <v>0.6</v>
      </c>
      <c r="AM158" s="1">
        <v>0.14000000000000001</v>
      </c>
      <c r="AY158" s="1">
        <v>15.34</v>
      </c>
      <c r="BG158" s="1">
        <v>0.51</v>
      </c>
      <c r="BH158" s="1">
        <v>0.11</v>
      </c>
      <c r="BT158" s="1">
        <v>0</v>
      </c>
      <c r="CO158" s="1">
        <v>0</v>
      </c>
      <c r="DJ158" s="1" t="s">
        <v>96</v>
      </c>
      <c r="DK158" s="1" t="s">
        <v>96</v>
      </c>
      <c r="DL158" s="1">
        <f t="shared" si="377"/>
        <v>0.55677520350657483</v>
      </c>
      <c r="DM158" s="1">
        <f t="shared" si="378"/>
        <v>0.1255917345021916</v>
      </c>
      <c r="DN158" s="1" t="s">
        <v>67</v>
      </c>
      <c r="DO158" s="1" t="s">
        <v>2</v>
      </c>
      <c r="DP158" s="38">
        <f t="shared" si="300"/>
        <v>0</v>
      </c>
      <c r="DQ158" s="38">
        <f t="shared" si="301"/>
        <v>0</v>
      </c>
      <c r="DR158" s="38">
        <f t="shared" si="302"/>
        <v>0</v>
      </c>
      <c r="DS158" s="38">
        <f t="shared" si="303"/>
        <v>0</v>
      </c>
      <c r="DT158" s="38">
        <f t="shared" si="304"/>
        <v>0</v>
      </c>
      <c r="DU158" s="38">
        <f t="shared" si="305"/>
        <v>0</v>
      </c>
      <c r="DV158" s="38">
        <f t="shared" si="306"/>
        <v>0</v>
      </c>
      <c r="DW158" s="38">
        <f t="shared" si="307"/>
        <v>0.17783399999999999</v>
      </c>
      <c r="DX158" s="38">
        <f t="shared" si="308"/>
        <v>4.0114000000000004E-2</v>
      </c>
      <c r="DY158" s="38">
        <f t="shared" si="309"/>
        <v>0</v>
      </c>
      <c r="DZ158" s="38">
        <f t="shared" si="310"/>
        <v>0</v>
      </c>
      <c r="EA158" s="38">
        <f t="shared" si="311"/>
        <v>0</v>
      </c>
      <c r="EB158" s="38">
        <f t="shared" si="312"/>
        <v>0</v>
      </c>
      <c r="EC158" s="38">
        <f t="shared" si="313"/>
        <v>0</v>
      </c>
      <c r="ED158" s="38">
        <f t="shared" si="314"/>
        <v>0</v>
      </c>
      <c r="EE158" s="38">
        <f t="shared" si="315"/>
        <v>0</v>
      </c>
      <c r="EG158" s="38">
        <f t="shared" si="316"/>
        <v>0</v>
      </c>
      <c r="EH158" s="38">
        <f t="shared" si="317"/>
        <v>0</v>
      </c>
      <c r="EI158" s="38">
        <f t="shared" si="318"/>
        <v>0</v>
      </c>
      <c r="EJ158" s="38">
        <f t="shared" si="319"/>
        <v>0</v>
      </c>
      <c r="EK158" s="38">
        <f t="shared" si="320"/>
        <v>0</v>
      </c>
      <c r="EL158" s="38">
        <f t="shared" si="321"/>
        <v>0</v>
      </c>
      <c r="EM158" s="38">
        <f t="shared" si="322"/>
        <v>0</v>
      </c>
      <c r="EN158" s="38">
        <f t="shared" si="323"/>
        <v>0</v>
      </c>
      <c r="EO158" s="38">
        <f t="shared" si="324"/>
        <v>0</v>
      </c>
      <c r="EP158" s="38">
        <f t="shared" si="325"/>
        <v>2332.115076</v>
      </c>
      <c r="EQ158" s="38">
        <f t="shared" si="326"/>
        <v>2913.0595857359999</v>
      </c>
      <c r="ER158" s="38">
        <f t="shared" si="327"/>
        <v>0</v>
      </c>
      <c r="ES158" s="38">
        <f t="shared" si="328"/>
        <v>0</v>
      </c>
      <c r="ET158" s="38">
        <f t="shared" si="329"/>
        <v>0</v>
      </c>
      <c r="EU158" s="38">
        <f t="shared" si="330"/>
        <v>0</v>
      </c>
      <c r="EV158" s="38">
        <f t="shared" si="331"/>
        <v>0</v>
      </c>
      <c r="EW158" s="38">
        <f t="shared" si="332"/>
        <v>0</v>
      </c>
      <c r="EX158" s="38">
        <f t="shared" si="333"/>
        <v>0</v>
      </c>
      <c r="EZ158" s="38">
        <f t="shared" si="334"/>
        <v>0</v>
      </c>
      <c r="FA158" s="38">
        <f t="shared" si="335"/>
        <v>0</v>
      </c>
      <c r="FB158" s="1">
        <f t="shared" si="336"/>
        <v>0</v>
      </c>
      <c r="FC158" s="1">
        <f t="shared" si="337"/>
        <v>0</v>
      </c>
      <c r="FD158" s="1">
        <f t="shared" si="338"/>
        <v>0</v>
      </c>
      <c r="FE158" s="1">
        <f t="shared" si="339"/>
        <v>0</v>
      </c>
      <c r="FF158" s="1">
        <f t="shared" si="340"/>
        <v>0</v>
      </c>
      <c r="FG158" s="1">
        <f t="shared" si="341"/>
        <v>0</v>
      </c>
      <c r="FH158" s="1">
        <f t="shared" si="342"/>
        <v>0</v>
      </c>
      <c r="FI158" s="1">
        <f t="shared" si="343"/>
        <v>0</v>
      </c>
      <c r="FJ158" s="1">
        <f t="shared" si="344"/>
        <v>0</v>
      </c>
      <c r="FK158" s="1">
        <f t="shared" si="345"/>
        <v>0</v>
      </c>
      <c r="FL158" s="1">
        <f t="shared" si="346"/>
        <v>0</v>
      </c>
      <c r="FM158" s="1">
        <f t="shared" si="347"/>
        <v>0</v>
      </c>
      <c r="FN158" s="1">
        <f t="shared" si="348"/>
        <v>0</v>
      </c>
      <c r="FO158" s="1">
        <f t="shared" si="349"/>
        <v>0</v>
      </c>
      <c r="FP158" s="1">
        <f t="shared" si="350"/>
        <v>0</v>
      </c>
      <c r="FQ158" s="1">
        <f t="shared" si="351"/>
        <v>0</v>
      </c>
      <c r="FS158" s="1">
        <f t="shared" si="352"/>
        <v>0</v>
      </c>
      <c r="FT158" s="1">
        <f t="shared" si="353"/>
        <v>0</v>
      </c>
      <c r="FU158" s="38">
        <f t="shared" si="354"/>
        <v>0</v>
      </c>
      <c r="FV158" s="38">
        <f t="shared" si="355"/>
        <v>0</v>
      </c>
      <c r="FW158" s="38">
        <f t="shared" si="356"/>
        <v>0</v>
      </c>
      <c r="FX158" s="38">
        <f t="shared" si="357"/>
        <v>0</v>
      </c>
      <c r="FY158" s="38">
        <f t="shared" si="358"/>
        <v>0</v>
      </c>
      <c r="FZ158" s="38">
        <f t="shared" si="359"/>
        <v>0</v>
      </c>
      <c r="GA158" s="38">
        <f t="shared" si="360"/>
        <v>0</v>
      </c>
      <c r="GB158" s="38">
        <f t="shared" si="361"/>
        <v>0</v>
      </c>
      <c r="GC158" s="38">
        <f t="shared" si="362"/>
        <v>0</v>
      </c>
      <c r="GD158" s="38">
        <f t="shared" si="363"/>
        <v>0</v>
      </c>
      <c r="GE158" s="38">
        <f t="shared" si="364"/>
        <v>0</v>
      </c>
      <c r="GF158" s="38">
        <f t="shared" si="365"/>
        <v>0</v>
      </c>
      <c r="GG158" s="38">
        <f t="shared" si="366"/>
        <v>0</v>
      </c>
      <c r="GH158" s="38">
        <f t="shared" si="367"/>
        <v>0</v>
      </c>
      <c r="GI158" s="38">
        <f t="shared" si="368"/>
        <v>0</v>
      </c>
      <c r="GJ158" s="38">
        <f t="shared" si="369"/>
        <v>0</v>
      </c>
      <c r="GL158" s="38">
        <f t="shared" si="370"/>
        <v>0</v>
      </c>
      <c r="GM158" s="38">
        <f t="shared" si="371"/>
        <v>0</v>
      </c>
      <c r="GN158" s="1" t="s">
        <v>2</v>
      </c>
      <c r="GO158" s="1">
        <f t="shared" si="379"/>
        <v>31.94</v>
      </c>
      <c r="GP158" s="13">
        <f t="shared" si="380"/>
        <v>0.55677520350657483</v>
      </c>
      <c r="GQ158" s="41">
        <f t="shared" si="381"/>
        <v>177.834</v>
      </c>
      <c r="GR158" s="41">
        <f t="shared" si="382"/>
        <v>5245.1746617360004</v>
      </c>
      <c r="GS158" s="14">
        <f t="shared" si="383"/>
        <v>164.21961996668753</v>
      </c>
      <c r="GT158" s="1">
        <f t="shared" si="372"/>
        <v>0</v>
      </c>
      <c r="GU158" s="1">
        <f t="shared" si="373"/>
        <v>99.6</v>
      </c>
      <c r="GV158" s="1">
        <f t="shared" si="374"/>
        <v>78.234000000000009</v>
      </c>
      <c r="GW158" s="37">
        <f t="shared" si="384"/>
        <v>0</v>
      </c>
      <c r="GX158" s="37"/>
      <c r="GY158" s="37"/>
      <c r="GZ158" s="37"/>
      <c r="HB158" s="1">
        <f t="shared" si="375"/>
        <v>0</v>
      </c>
      <c r="HC158" s="1">
        <f t="shared" si="376"/>
        <v>0</v>
      </c>
      <c r="HD158" s="37" t="s">
        <v>2</v>
      </c>
      <c r="HE158" s="1" t="s">
        <v>31</v>
      </c>
      <c r="HF158" s="1" t="s">
        <v>193</v>
      </c>
      <c r="HG158" s="1" t="s">
        <v>193</v>
      </c>
      <c r="HI158" s="1" t="s">
        <v>96</v>
      </c>
      <c r="HJ158" s="37" t="s">
        <v>2</v>
      </c>
      <c r="JH158" s="58" t="s">
        <v>2</v>
      </c>
    </row>
    <row r="159" spans="1:268" ht="16.25" customHeight="1" x14ac:dyDescent="0.2">
      <c r="A159" s="21" t="s">
        <v>307</v>
      </c>
      <c r="B159" s="1" t="s">
        <v>69</v>
      </c>
      <c r="E159" s="1" t="s">
        <v>72</v>
      </c>
      <c r="F159" s="1" t="s">
        <v>308</v>
      </c>
      <c r="H159" s="1" t="s">
        <v>204</v>
      </c>
      <c r="I159" s="1">
        <v>0</v>
      </c>
      <c r="AD159" s="1">
        <v>0</v>
      </c>
      <c r="AY159" s="1">
        <f>16+2+31</f>
        <v>49</v>
      </c>
      <c r="BG159" s="13">
        <f>(0.56*16+0.74*2+0.55*31)/AY159</f>
        <v>0.56102040816326537</v>
      </c>
      <c r="BH159" s="13">
        <f>(0.026*16+0*2+0.02*31)/AY159</f>
        <v>2.1142857142857144E-2</v>
      </c>
      <c r="BO159" s="14">
        <f>(0*16+0*2+11.3*31)/AY159</f>
        <v>7.1489795918367349</v>
      </c>
      <c r="BT159" s="1">
        <v>0</v>
      </c>
      <c r="CO159" s="1">
        <v>0</v>
      </c>
      <c r="DJ159" s="1" t="s">
        <v>96</v>
      </c>
      <c r="DK159" s="1" t="s">
        <v>96</v>
      </c>
      <c r="DL159" s="1">
        <f t="shared" si="377"/>
        <v>0.56102040816326537</v>
      </c>
      <c r="DM159" s="1">
        <f t="shared" si="378"/>
        <v>2.1142857142857144E-2</v>
      </c>
      <c r="DN159" s="1" t="s">
        <v>148</v>
      </c>
      <c r="DO159" s="1" t="s">
        <v>2</v>
      </c>
      <c r="DP159" s="38">
        <f t="shared" ref="DP159:DP222" si="385">(J159*$I159+AE159*$AD159+AZ159*$AY159)/100</f>
        <v>0</v>
      </c>
      <c r="DQ159" s="38">
        <f t="shared" ref="DQ159:DQ222" si="386">K159*$I159+AF159*$AD159+BA159*$AY159</f>
        <v>0</v>
      </c>
      <c r="DR159" s="38">
        <f t="shared" ref="DR159:DR222" si="387">L159*$I159+AG159*$AD159+BB159*$AY159</f>
        <v>0</v>
      </c>
      <c r="DS159" s="38">
        <f t="shared" ref="DS159:DS222" si="388">(M159*$I159+AH159*$AD159+BC159*$AY159)/100</f>
        <v>0</v>
      </c>
      <c r="DT159" s="38">
        <f t="shared" ref="DT159:DT222" si="389">(N159*$I159+AI159*$AD159+BD159*$AY159)/100</f>
        <v>0</v>
      </c>
      <c r="DU159" s="38">
        <f t="shared" ref="DU159:DU222" si="390">(O159*$I159+AJ159*$AD159+BE159*$AY159)/100</f>
        <v>0</v>
      </c>
      <c r="DV159" s="38">
        <f t="shared" ref="DV159:DV222" si="391">(P159*$I159+AK159*$AD159+BF159*$AY159)/100</f>
        <v>0</v>
      </c>
      <c r="DW159" s="38">
        <f t="shared" ref="DW159:DW222" si="392">(Q159*$I159+AL159*$AD159+BG159*$AY159)/100</f>
        <v>0.27490000000000003</v>
      </c>
      <c r="DX159" s="38">
        <f t="shared" ref="DX159:DX222" si="393">(R159*$I159+AM159*$AD159+BH159*$AY159)/100</f>
        <v>1.0360000000000001E-2</v>
      </c>
      <c r="DY159" s="38">
        <f t="shared" ref="DY159:DY222" si="394">S159*$I159+AN159*$AD159+BI159*$AY159</f>
        <v>0</v>
      </c>
      <c r="DZ159" s="38">
        <f t="shared" ref="DZ159:DZ222" si="395">T159*$I159+AO159*$AD159+BJ159*$AY159</f>
        <v>0</v>
      </c>
      <c r="EA159" s="38">
        <f t="shared" ref="EA159:EA222" si="396">U159*$I159+AP159*$AD159+BK159*$AY159</f>
        <v>0</v>
      </c>
      <c r="EB159" s="38">
        <f t="shared" ref="EB159:EB222" si="397">V159*$I159+AQ159*$AD159+BL159*$AY159</f>
        <v>0</v>
      </c>
      <c r="EC159" s="38">
        <f t="shared" ref="EC159:EC222" si="398">W159*$I159+AR159*$AD159+BM159*$AY159</f>
        <v>0</v>
      </c>
      <c r="ED159" s="38">
        <f t="shared" ref="ED159:ED222" si="399">(X159*$I159+AS159*$AD159+BN159*$AY159)/100</f>
        <v>0</v>
      </c>
      <c r="EE159" s="38">
        <f t="shared" ref="EE159:EE222" si="400">(Y159*$I159+AT159*$AD159+BO159*$AY159)/100</f>
        <v>3.5030000000000001</v>
      </c>
      <c r="EG159" s="38">
        <f t="shared" ref="EG159:EG222" si="401">AA159*$I159+AV159*$AD159+BQ159*$AY159</f>
        <v>0</v>
      </c>
      <c r="EH159" s="38">
        <f t="shared" ref="EH159:EH222" si="402">(AB159*$I159+AW159*$AD159+BR159*$AY159)/100</f>
        <v>0</v>
      </c>
      <c r="EI159" s="38">
        <f t="shared" ref="EI159:EI222" si="403">EI$1*DP159</f>
        <v>0</v>
      </c>
      <c r="EJ159" s="38">
        <f t="shared" ref="EJ159:EJ222" si="404">EJ$1*DQ159/1000000</f>
        <v>0</v>
      </c>
      <c r="EK159" s="38">
        <f t="shared" ref="EK159:EK222" si="405">EK$1*DR159/1000000</f>
        <v>0</v>
      </c>
      <c r="EL159" s="38">
        <f t="shared" ref="EL159:EL222" si="406">EL$1*DS159</f>
        <v>0</v>
      </c>
      <c r="EM159" s="38">
        <f t="shared" ref="EM159:EM222" si="407">EM$1*DT159</f>
        <v>0</v>
      </c>
      <c r="EN159" s="38">
        <f t="shared" ref="EN159:EN222" si="408">EN$1*DU159</f>
        <v>0</v>
      </c>
      <c r="EO159" s="38">
        <f t="shared" ref="EO159:EO222" si="409">EO$1*DV159</f>
        <v>0</v>
      </c>
      <c r="EP159" s="38">
        <f t="shared" ref="EP159:EP222" si="410">EP$1*DW159</f>
        <v>3605.0386000000003</v>
      </c>
      <c r="EQ159" s="38">
        <f t="shared" ref="EQ159:EQ222" si="411">EQ$1*DX159</f>
        <v>752.33826864000002</v>
      </c>
      <c r="ER159" s="38">
        <f t="shared" ref="ER159:ER222" si="412">ER$1*DY159/1000000</f>
        <v>0</v>
      </c>
      <c r="ES159" s="38">
        <f t="shared" ref="ES159:ES222" si="413">ES$1*DZ159/1000000</f>
        <v>0</v>
      </c>
      <c r="ET159" s="38">
        <f t="shared" ref="ET159:ET222" si="414">ET$1*EA159/1000000</f>
        <v>0</v>
      </c>
      <c r="EU159" s="38">
        <f t="shared" ref="EU159:EU222" si="415">EU$1*EB159/1000000</f>
        <v>0</v>
      </c>
      <c r="EV159" s="38">
        <f t="shared" ref="EV159:EV222" si="416">EV$1*EC159/1000000</f>
        <v>0</v>
      </c>
      <c r="EW159" s="38">
        <f t="shared" ref="EW159:EW222" si="417">EW$1*ED159</f>
        <v>0</v>
      </c>
      <c r="EX159" s="38">
        <f t="shared" ref="EX159:EX222" si="418">EX$1*EE159</f>
        <v>325.779</v>
      </c>
      <c r="EZ159" s="38">
        <f t="shared" ref="EZ159:EZ222" si="419">EZ$1*EG159/1000000</f>
        <v>0</v>
      </c>
      <c r="FA159" s="38">
        <f t="shared" ref="FA159:FA222" si="420">FA$1*EH159</f>
        <v>0</v>
      </c>
      <c r="FB159" s="1">
        <f t="shared" ref="FB159:FB222" si="421">(BU159*$BT159+CP159*$CO159)/100</f>
        <v>0</v>
      </c>
      <c r="FC159" s="1">
        <f t="shared" ref="FC159:FC222" si="422">BV159*$BT159+CQ159*$CO159</f>
        <v>0</v>
      </c>
      <c r="FD159" s="1">
        <f t="shared" ref="FD159:FD222" si="423">BW159*$BT159+CR159*$CO159</f>
        <v>0</v>
      </c>
      <c r="FE159" s="1">
        <f t="shared" ref="FE159:FE222" si="424">(BX159*$BT159+CS159*$CO159)/100</f>
        <v>0</v>
      </c>
      <c r="FF159" s="1">
        <f t="shared" ref="FF159:FF222" si="425">(BY159*$BT159+CT159*$CO159)/100</f>
        <v>0</v>
      </c>
      <c r="FG159" s="1">
        <f t="shared" ref="FG159:FG222" si="426">(BZ159*$BT159+CU159*$CO159)/100</f>
        <v>0</v>
      </c>
      <c r="FH159" s="1">
        <f t="shared" ref="FH159:FH222" si="427">(CA159*$BT159+CV159*$CO159)/100</f>
        <v>0</v>
      </c>
      <c r="FI159" s="1">
        <f t="shared" ref="FI159:FI222" si="428">(CB159*$BT159+CW159*$CO159)/100</f>
        <v>0</v>
      </c>
      <c r="FJ159" s="1">
        <f t="shared" ref="FJ159:FJ222" si="429">(CC159*$BT159+CX159*$CO159)/100</f>
        <v>0</v>
      </c>
      <c r="FK159" s="1">
        <f t="shared" ref="FK159:FK222" si="430">CD159*$BT159+CY159*$CO159</f>
        <v>0</v>
      </c>
      <c r="FL159" s="1">
        <f t="shared" ref="FL159:FL222" si="431">CE159*$BT159+CZ159*$CO159</f>
        <v>0</v>
      </c>
      <c r="FM159" s="1">
        <f t="shared" ref="FM159:FM222" si="432">CF159*$BT159+DA159*$CO159</f>
        <v>0</v>
      </c>
      <c r="FN159" s="1">
        <f t="shared" ref="FN159:FN222" si="433">CG159*$BT159+DB159*$CO159</f>
        <v>0</v>
      </c>
      <c r="FO159" s="1">
        <f t="shared" ref="FO159:FO222" si="434">CH159*$BT159+DC159*$CO159</f>
        <v>0</v>
      </c>
      <c r="FP159" s="1">
        <f t="shared" ref="FP159:FP222" si="435">(CI159*$BT159+DD159*$CO159)/100</f>
        <v>0</v>
      </c>
      <c r="FQ159" s="1">
        <f t="shared" ref="FQ159:FQ222" si="436">(CJ159*$BT159+DE159*$CO159)/100</f>
        <v>0</v>
      </c>
      <c r="FS159" s="1">
        <f t="shared" ref="FS159:FS222" si="437">CL159*$BT159+DG159*$CO159</f>
        <v>0</v>
      </c>
      <c r="FT159" s="1">
        <f t="shared" ref="FT159:FT222" si="438">(CM159*$BT159+DH159*$CO159)/100</f>
        <v>0</v>
      </c>
      <c r="FU159" s="38">
        <f t="shared" ref="FU159:FU222" si="439">FU$1*FB159</f>
        <v>0</v>
      </c>
      <c r="FV159" s="38">
        <f t="shared" ref="FV159:FV222" si="440">FV$1*FC159/1000000</f>
        <v>0</v>
      </c>
      <c r="FW159" s="38">
        <f t="shared" ref="FW159:FW222" si="441">FW$1*FD159/1000000</f>
        <v>0</v>
      </c>
      <c r="FX159" s="38">
        <f t="shared" ref="FX159:FX222" si="442">FX$1*FE159</f>
        <v>0</v>
      </c>
      <c r="FY159" s="38">
        <f t="shared" ref="FY159:FY222" si="443">FY$1*FF159</f>
        <v>0</v>
      </c>
      <c r="FZ159" s="38">
        <f t="shared" ref="FZ159:FZ222" si="444">FZ$1*FG159</f>
        <v>0</v>
      </c>
      <c r="GA159" s="38">
        <f t="shared" ref="GA159:GA222" si="445">GA$1*FH159</f>
        <v>0</v>
      </c>
      <c r="GB159" s="38">
        <f t="shared" ref="GB159:GB222" si="446">GB$1*FI159</f>
        <v>0</v>
      </c>
      <c r="GC159" s="38">
        <f t="shared" ref="GC159:GC222" si="447">GC$1*FJ159</f>
        <v>0</v>
      </c>
      <c r="GD159" s="38">
        <f t="shared" ref="GD159:GD222" si="448">GD$1*FK159/1000000</f>
        <v>0</v>
      </c>
      <c r="GE159" s="38">
        <f t="shared" ref="GE159:GE222" si="449">GE$1*FL159/1000000</f>
        <v>0</v>
      </c>
      <c r="GF159" s="38">
        <f t="shared" ref="GF159:GF222" si="450">GF$1*FM159/1000000</f>
        <v>0</v>
      </c>
      <c r="GG159" s="38">
        <f t="shared" ref="GG159:GG222" si="451">GG$1*FN159/1000000</f>
        <v>0</v>
      </c>
      <c r="GH159" s="38">
        <f t="shared" ref="GH159:GH222" si="452">GH$1*FO159/1000000</f>
        <v>0</v>
      </c>
      <c r="GI159" s="38">
        <f t="shared" ref="GI159:GI222" si="453">GI$1*FP159</f>
        <v>0</v>
      </c>
      <c r="GJ159" s="38">
        <f t="shared" ref="GJ159:GJ222" si="454">GJ$1*FQ159</f>
        <v>0</v>
      </c>
      <c r="GL159" s="38">
        <f t="shared" ref="GL159:GL222" si="455">GL$1*FS159/1000000</f>
        <v>0</v>
      </c>
      <c r="GM159" s="38">
        <f t="shared" ref="GM159:GM222" si="456">GM$1*FT159</f>
        <v>0</v>
      </c>
      <c r="GN159" s="1" t="s">
        <v>2</v>
      </c>
      <c r="GO159" s="1">
        <f t="shared" si="379"/>
        <v>49</v>
      </c>
      <c r="GP159" s="13">
        <f t="shared" si="380"/>
        <v>0.56102040816326537</v>
      </c>
      <c r="GQ159" s="41">
        <f t="shared" si="381"/>
        <v>274.90000000000003</v>
      </c>
      <c r="GR159" s="41">
        <f t="shared" si="382"/>
        <v>4683.1558686400003</v>
      </c>
      <c r="GS159" s="14">
        <f t="shared" si="383"/>
        <v>95.574609564081641</v>
      </c>
      <c r="GT159" s="1">
        <f t="shared" ref="GT159:GT222" si="457">1000*(Q159*$I159)/100</f>
        <v>0</v>
      </c>
      <c r="GU159" s="1">
        <f t="shared" ref="GU159:GU222" si="458">1000*(AL159*$AD159)/100</f>
        <v>0</v>
      </c>
      <c r="GV159" s="1">
        <f t="shared" ref="GV159:GV222" si="459">1000*(BG159*$AY159)/100</f>
        <v>274.90000000000003</v>
      </c>
      <c r="GW159" s="37">
        <f t="shared" si="384"/>
        <v>0</v>
      </c>
      <c r="GX159" s="37"/>
      <c r="GY159" s="37"/>
      <c r="GZ159" s="37"/>
      <c r="HB159" s="1">
        <f t="shared" ref="HB159:HB222" si="460">1000*(CB159*$BT159)/100</f>
        <v>0</v>
      </c>
      <c r="HC159" s="1">
        <f t="shared" ref="HC159:HC222" si="461">1000*(CW159*$CO159)/100</f>
        <v>0</v>
      </c>
      <c r="HD159" s="37" t="s">
        <v>2</v>
      </c>
      <c r="HE159" s="1" t="s">
        <v>31</v>
      </c>
      <c r="HF159" s="1" t="s">
        <v>193</v>
      </c>
      <c r="HG159" s="1" t="s">
        <v>193</v>
      </c>
      <c r="HI159" s="1" t="s">
        <v>96</v>
      </c>
      <c r="HJ159" s="37" t="s">
        <v>2</v>
      </c>
      <c r="JH159" s="58" t="s">
        <v>2</v>
      </c>
    </row>
    <row r="160" spans="1:268" ht="16.25" customHeight="1" x14ac:dyDescent="0.2">
      <c r="A160" s="21" t="s">
        <v>315</v>
      </c>
      <c r="B160" s="1" t="s">
        <v>69</v>
      </c>
      <c r="E160" s="1" t="s">
        <v>72</v>
      </c>
      <c r="F160" s="1" t="s">
        <v>316</v>
      </c>
      <c r="H160" s="1" t="s">
        <v>204</v>
      </c>
      <c r="I160" s="1">
        <v>7.8</v>
      </c>
      <c r="Q160" s="1">
        <v>0.96</v>
      </c>
      <c r="R160" s="1">
        <v>7.0000000000000007E-2</v>
      </c>
      <c r="AD160" s="14">
        <f>0.1+2+2.5+0.4</f>
        <v>5</v>
      </c>
      <c r="AL160" s="13">
        <f>(0.81*0.1+0.86*2+0.81*2.5+0.84*0.4)/AD160</f>
        <v>0.83240000000000014</v>
      </c>
      <c r="AM160" s="13">
        <f>(0.05*0.1+0.03*2+0.05*2.5+0.03*0.4)/AD160</f>
        <v>4.0400000000000005E-2</v>
      </c>
      <c r="AY160" s="1">
        <v>0</v>
      </c>
      <c r="BT160" s="1">
        <v>0</v>
      </c>
      <c r="CO160" s="1">
        <v>0</v>
      </c>
      <c r="DJ160" s="1" t="s">
        <v>96</v>
      </c>
      <c r="DK160" s="1" t="s">
        <v>96</v>
      </c>
      <c r="DL160" s="1">
        <f t="shared" si="377"/>
        <v>0.91015625</v>
      </c>
      <c r="DM160" s="1">
        <f t="shared" si="378"/>
        <v>5.8437499999999996E-2</v>
      </c>
      <c r="DN160" s="1" t="s">
        <v>317</v>
      </c>
      <c r="DO160" s="1" t="s">
        <v>2</v>
      </c>
      <c r="DP160" s="38">
        <f t="shared" si="385"/>
        <v>0</v>
      </c>
      <c r="DQ160" s="38">
        <f t="shared" si="386"/>
        <v>0</v>
      </c>
      <c r="DR160" s="38">
        <f t="shared" si="387"/>
        <v>0</v>
      </c>
      <c r="DS160" s="38">
        <f t="shared" si="388"/>
        <v>0</v>
      </c>
      <c r="DT160" s="38">
        <f t="shared" si="389"/>
        <v>0</v>
      </c>
      <c r="DU160" s="38">
        <f t="shared" si="390"/>
        <v>0</v>
      </c>
      <c r="DV160" s="38">
        <f t="shared" si="391"/>
        <v>0</v>
      </c>
      <c r="DW160" s="38">
        <f t="shared" si="392"/>
        <v>0.11650000000000001</v>
      </c>
      <c r="DX160" s="38">
        <f t="shared" si="393"/>
        <v>7.4799999999999997E-3</v>
      </c>
      <c r="DY160" s="38">
        <f t="shared" si="394"/>
        <v>0</v>
      </c>
      <c r="DZ160" s="38">
        <f t="shared" si="395"/>
        <v>0</v>
      </c>
      <c r="EA160" s="38">
        <f t="shared" si="396"/>
        <v>0</v>
      </c>
      <c r="EB160" s="38">
        <f t="shared" si="397"/>
        <v>0</v>
      </c>
      <c r="EC160" s="38">
        <f t="shared" si="398"/>
        <v>0</v>
      </c>
      <c r="ED160" s="38">
        <f t="shared" si="399"/>
        <v>0</v>
      </c>
      <c r="EE160" s="38">
        <f t="shared" si="400"/>
        <v>0</v>
      </c>
      <c r="EG160" s="38">
        <f t="shared" si="401"/>
        <v>0</v>
      </c>
      <c r="EH160" s="38">
        <f t="shared" si="402"/>
        <v>0</v>
      </c>
      <c r="EI160" s="38">
        <f t="shared" si="403"/>
        <v>0</v>
      </c>
      <c r="EJ160" s="38">
        <f t="shared" si="404"/>
        <v>0</v>
      </c>
      <c r="EK160" s="38">
        <f t="shared" si="405"/>
        <v>0</v>
      </c>
      <c r="EL160" s="38">
        <f t="shared" si="406"/>
        <v>0</v>
      </c>
      <c r="EM160" s="38">
        <f t="shared" si="407"/>
        <v>0</v>
      </c>
      <c r="EN160" s="38">
        <f t="shared" si="408"/>
        <v>0</v>
      </c>
      <c r="EO160" s="38">
        <f t="shared" si="409"/>
        <v>0</v>
      </c>
      <c r="EP160" s="38">
        <f t="shared" si="410"/>
        <v>1527.7810000000002</v>
      </c>
      <c r="EQ160" s="38">
        <f t="shared" si="411"/>
        <v>543.19403951999993</v>
      </c>
      <c r="ER160" s="38">
        <f t="shared" si="412"/>
        <v>0</v>
      </c>
      <c r="ES160" s="38">
        <f t="shared" si="413"/>
        <v>0</v>
      </c>
      <c r="ET160" s="38">
        <f t="shared" si="414"/>
        <v>0</v>
      </c>
      <c r="EU160" s="38">
        <f t="shared" si="415"/>
        <v>0</v>
      </c>
      <c r="EV160" s="38">
        <f t="shared" si="416"/>
        <v>0</v>
      </c>
      <c r="EW160" s="38">
        <f t="shared" si="417"/>
        <v>0</v>
      </c>
      <c r="EX160" s="38">
        <f t="shared" si="418"/>
        <v>0</v>
      </c>
      <c r="EZ160" s="38">
        <f t="shared" si="419"/>
        <v>0</v>
      </c>
      <c r="FA160" s="38">
        <f t="shared" si="420"/>
        <v>0</v>
      </c>
      <c r="FB160" s="1">
        <f t="shared" si="421"/>
        <v>0</v>
      </c>
      <c r="FC160" s="1">
        <f t="shared" si="422"/>
        <v>0</v>
      </c>
      <c r="FD160" s="1">
        <f t="shared" si="423"/>
        <v>0</v>
      </c>
      <c r="FE160" s="1">
        <f t="shared" si="424"/>
        <v>0</v>
      </c>
      <c r="FF160" s="1">
        <f t="shared" si="425"/>
        <v>0</v>
      </c>
      <c r="FG160" s="1">
        <f t="shared" si="426"/>
        <v>0</v>
      </c>
      <c r="FH160" s="1">
        <f t="shared" si="427"/>
        <v>0</v>
      </c>
      <c r="FI160" s="1">
        <f t="shared" si="428"/>
        <v>0</v>
      </c>
      <c r="FJ160" s="1">
        <f t="shared" si="429"/>
        <v>0</v>
      </c>
      <c r="FK160" s="1">
        <f t="shared" si="430"/>
        <v>0</v>
      </c>
      <c r="FL160" s="1">
        <f t="shared" si="431"/>
        <v>0</v>
      </c>
      <c r="FM160" s="1">
        <f t="shared" si="432"/>
        <v>0</v>
      </c>
      <c r="FN160" s="1">
        <f t="shared" si="433"/>
        <v>0</v>
      </c>
      <c r="FO160" s="1">
        <f t="shared" si="434"/>
        <v>0</v>
      </c>
      <c r="FP160" s="1">
        <f t="shared" si="435"/>
        <v>0</v>
      </c>
      <c r="FQ160" s="1">
        <f t="shared" si="436"/>
        <v>0</v>
      </c>
      <c r="FS160" s="1">
        <f t="shared" si="437"/>
        <v>0</v>
      </c>
      <c r="FT160" s="1">
        <f t="shared" si="438"/>
        <v>0</v>
      </c>
      <c r="FU160" s="38">
        <f t="shared" si="439"/>
        <v>0</v>
      </c>
      <c r="FV160" s="38">
        <f t="shared" si="440"/>
        <v>0</v>
      </c>
      <c r="FW160" s="38">
        <f t="shared" si="441"/>
        <v>0</v>
      </c>
      <c r="FX160" s="38">
        <f t="shared" si="442"/>
        <v>0</v>
      </c>
      <c r="FY160" s="38">
        <f t="shared" si="443"/>
        <v>0</v>
      </c>
      <c r="FZ160" s="38">
        <f t="shared" si="444"/>
        <v>0</v>
      </c>
      <c r="GA160" s="38">
        <f t="shared" si="445"/>
        <v>0</v>
      </c>
      <c r="GB160" s="38">
        <f t="shared" si="446"/>
        <v>0</v>
      </c>
      <c r="GC160" s="38">
        <f t="shared" si="447"/>
        <v>0</v>
      </c>
      <c r="GD160" s="38">
        <f t="shared" si="448"/>
        <v>0</v>
      </c>
      <c r="GE160" s="38">
        <f t="shared" si="449"/>
        <v>0</v>
      </c>
      <c r="GF160" s="38">
        <f t="shared" si="450"/>
        <v>0</v>
      </c>
      <c r="GG160" s="38">
        <f t="shared" si="451"/>
        <v>0</v>
      </c>
      <c r="GH160" s="38">
        <f t="shared" si="452"/>
        <v>0</v>
      </c>
      <c r="GI160" s="38">
        <f t="shared" si="453"/>
        <v>0</v>
      </c>
      <c r="GJ160" s="38">
        <f t="shared" si="454"/>
        <v>0</v>
      </c>
      <c r="GL160" s="38">
        <f t="shared" si="455"/>
        <v>0</v>
      </c>
      <c r="GM160" s="38">
        <f t="shared" si="456"/>
        <v>0</v>
      </c>
      <c r="GN160" s="1" t="s">
        <v>2</v>
      </c>
      <c r="GO160" s="1">
        <f t="shared" si="379"/>
        <v>12.8</v>
      </c>
      <c r="GP160" s="13">
        <f t="shared" si="380"/>
        <v>0.91015625</v>
      </c>
      <c r="GQ160" s="41">
        <f t="shared" si="381"/>
        <v>116.5</v>
      </c>
      <c r="GR160" s="41">
        <f t="shared" si="382"/>
        <v>2070.9750395199999</v>
      </c>
      <c r="GS160" s="14">
        <f t="shared" si="383"/>
        <v>161.79492496249998</v>
      </c>
      <c r="GT160" s="1">
        <f t="shared" si="457"/>
        <v>74.88</v>
      </c>
      <c r="GU160" s="1">
        <f t="shared" si="458"/>
        <v>41.620000000000012</v>
      </c>
      <c r="GV160" s="1">
        <f t="shared" si="459"/>
        <v>0</v>
      </c>
      <c r="GW160" s="37">
        <f t="shared" si="384"/>
        <v>0</v>
      </c>
      <c r="GX160" s="37"/>
      <c r="GY160" s="37"/>
      <c r="GZ160" s="37"/>
      <c r="HB160" s="1">
        <f t="shared" si="460"/>
        <v>0</v>
      </c>
      <c r="HC160" s="1">
        <f t="shared" si="461"/>
        <v>0</v>
      </c>
      <c r="HD160" s="37" t="s">
        <v>2</v>
      </c>
      <c r="HE160" s="1" t="s">
        <v>31</v>
      </c>
      <c r="HF160" s="1" t="s">
        <v>193</v>
      </c>
      <c r="HG160" s="1" t="s">
        <v>193</v>
      </c>
      <c r="HI160" s="1" t="s">
        <v>96</v>
      </c>
      <c r="HJ160" s="37" t="s">
        <v>2</v>
      </c>
      <c r="JH160" s="58" t="s">
        <v>2</v>
      </c>
    </row>
    <row r="161" spans="1:268" ht="16.25" customHeight="1" x14ac:dyDescent="0.2">
      <c r="A161" s="21" t="s">
        <v>319</v>
      </c>
      <c r="B161" s="1" t="s">
        <v>69</v>
      </c>
      <c r="E161" s="1" t="s">
        <v>72</v>
      </c>
      <c r="F161" s="1" t="s">
        <v>316</v>
      </c>
      <c r="H161" s="1" t="s">
        <v>204</v>
      </c>
      <c r="I161" s="1">
        <v>2.2000000000000002</v>
      </c>
      <c r="Q161" s="1">
        <v>0.56999999999999995</v>
      </c>
      <c r="R161" s="1">
        <v>0.11</v>
      </c>
      <c r="AA161" s="1">
        <v>80</v>
      </c>
      <c r="AD161" s="1">
        <v>17.2</v>
      </c>
      <c r="AL161" s="1">
        <v>0.56000000000000005</v>
      </c>
      <c r="AM161" s="1">
        <v>0.09</v>
      </c>
      <c r="AV161" s="1">
        <v>49</v>
      </c>
      <c r="AY161" s="1">
        <v>10.199999999999999</v>
      </c>
      <c r="BG161" s="1">
        <v>0.36</v>
      </c>
      <c r="BH161" s="1">
        <v>0.04</v>
      </c>
      <c r="BQ161" s="1">
        <v>59</v>
      </c>
      <c r="BT161" s="1">
        <v>0</v>
      </c>
      <c r="CO161" s="1">
        <v>0</v>
      </c>
      <c r="DJ161" s="1" t="s">
        <v>96</v>
      </c>
      <c r="DK161" s="1" t="s">
        <v>96</v>
      </c>
      <c r="DL161" s="1">
        <f t="shared" si="377"/>
        <v>0.49182432432432438</v>
      </c>
      <c r="DM161" s="1">
        <f t="shared" si="378"/>
        <v>7.4256756756756762E-2</v>
      </c>
      <c r="DN161" s="1" t="s">
        <v>317</v>
      </c>
      <c r="DO161" s="1" t="s">
        <v>2</v>
      </c>
      <c r="DP161" s="38">
        <f t="shared" si="385"/>
        <v>0</v>
      </c>
      <c r="DQ161" s="38">
        <f t="shared" si="386"/>
        <v>0</v>
      </c>
      <c r="DR161" s="38">
        <f t="shared" si="387"/>
        <v>0</v>
      </c>
      <c r="DS161" s="38">
        <f t="shared" si="388"/>
        <v>0</v>
      </c>
      <c r="DT161" s="38">
        <f t="shared" si="389"/>
        <v>0</v>
      </c>
      <c r="DU161" s="38">
        <f t="shared" si="390"/>
        <v>0</v>
      </c>
      <c r="DV161" s="38">
        <f t="shared" si="391"/>
        <v>0</v>
      </c>
      <c r="DW161" s="38">
        <f t="shared" si="392"/>
        <v>0.14557999999999999</v>
      </c>
      <c r="DX161" s="38">
        <f t="shared" si="393"/>
        <v>2.198E-2</v>
      </c>
      <c r="DY161" s="38">
        <f t="shared" si="394"/>
        <v>0</v>
      </c>
      <c r="DZ161" s="38">
        <f t="shared" si="395"/>
        <v>0</v>
      </c>
      <c r="EA161" s="38">
        <f t="shared" si="396"/>
        <v>0</v>
      </c>
      <c r="EB161" s="38">
        <f t="shared" si="397"/>
        <v>0</v>
      </c>
      <c r="EC161" s="38">
        <f t="shared" si="398"/>
        <v>0</v>
      </c>
      <c r="ED161" s="38">
        <f t="shared" si="399"/>
        <v>0</v>
      </c>
      <c r="EE161" s="38">
        <f t="shared" si="400"/>
        <v>0</v>
      </c>
      <c r="EG161" s="38">
        <f t="shared" si="401"/>
        <v>1620.6</v>
      </c>
      <c r="EH161" s="38">
        <f t="shared" si="402"/>
        <v>0</v>
      </c>
      <c r="EI161" s="38">
        <f t="shared" si="403"/>
        <v>0</v>
      </c>
      <c r="EJ161" s="38">
        <f t="shared" si="404"/>
        <v>0</v>
      </c>
      <c r="EK161" s="38">
        <f t="shared" si="405"/>
        <v>0</v>
      </c>
      <c r="EL161" s="38">
        <f t="shared" si="406"/>
        <v>0</v>
      </c>
      <c r="EM161" s="38">
        <f t="shared" si="407"/>
        <v>0</v>
      </c>
      <c r="EN161" s="38">
        <f t="shared" si="408"/>
        <v>0</v>
      </c>
      <c r="EO161" s="38">
        <f t="shared" si="409"/>
        <v>0</v>
      </c>
      <c r="EP161" s="38">
        <f t="shared" si="410"/>
        <v>1909.1361199999999</v>
      </c>
      <c r="EQ161" s="38">
        <f t="shared" si="411"/>
        <v>1596.1771375199999</v>
      </c>
      <c r="ER161" s="38">
        <f t="shared" si="412"/>
        <v>0</v>
      </c>
      <c r="ES161" s="38">
        <f t="shared" si="413"/>
        <v>0</v>
      </c>
      <c r="ET161" s="38">
        <f t="shared" si="414"/>
        <v>0</v>
      </c>
      <c r="EU161" s="38">
        <f t="shared" si="415"/>
        <v>0</v>
      </c>
      <c r="EV161" s="38">
        <f t="shared" si="416"/>
        <v>0</v>
      </c>
      <c r="EW161" s="38">
        <f t="shared" si="417"/>
        <v>0</v>
      </c>
      <c r="EX161" s="38">
        <f t="shared" si="418"/>
        <v>0</v>
      </c>
      <c r="EZ161" s="38">
        <f t="shared" si="419"/>
        <v>583.41600000000005</v>
      </c>
      <c r="FA161" s="38">
        <f t="shared" si="420"/>
        <v>0</v>
      </c>
      <c r="FB161" s="1">
        <f t="shared" si="421"/>
        <v>0</v>
      </c>
      <c r="FC161" s="1">
        <f t="shared" si="422"/>
        <v>0</v>
      </c>
      <c r="FD161" s="1">
        <f t="shared" si="423"/>
        <v>0</v>
      </c>
      <c r="FE161" s="1">
        <f t="shared" si="424"/>
        <v>0</v>
      </c>
      <c r="FF161" s="1">
        <f t="shared" si="425"/>
        <v>0</v>
      </c>
      <c r="FG161" s="1">
        <f t="shared" si="426"/>
        <v>0</v>
      </c>
      <c r="FH161" s="1">
        <f t="shared" si="427"/>
        <v>0</v>
      </c>
      <c r="FI161" s="1">
        <f t="shared" si="428"/>
        <v>0</v>
      </c>
      <c r="FJ161" s="1">
        <f t="shared" si="429"/>
        <v>0</v>
      </c>
      <c r="FK161" s="1">
        <f t="shared" si="430"/>
        <v>0</v>
      </c>
      <c r="FL161" s="1">
        <f t="shared" si="431"/>
        <v>0</v>
      </c>
      <c r="FM161" s="1">
        <f t="shared" si="432"/>
        <v>0</v>
      </c>
      <c r="FN161" s="1">
        <f t="shared" si="433"/>
        <v>0</v>
      </c>
      <c r="FO161" s="1">
        <f t="shared" si="434"/>
        <v>0</v>
      </c>
      <c r="FP161" s="1">
        <f t="shared" si="435"/>
        <v>0</v>
      </c>
      <c r="FQ161" s="1">
        <f t="shared" si="436"/>
        <v>0</v>
      </c>
      <c r="FS161" s="1">
        <f t="shared" si="437"/>
        <v>0</v>
      </c>
      <c r="FT161" s="1">
        <f t="shared" si="438"/>
        <v>0</v>
      </c>
      <c r="FU161" s="38">
        <f t="shared" si="439"/>
        <v>0</v>
      </c>
      <c r="FV161" s="38">
        <f t="shared" si="440"/>
        <v>0</v>
      </c>
      <c r="FW161" s="38">
        <f t="shared" si="441"/>
        <v>0</v>
      </c>
      <c r="FX161" s="38">
        <f t="shared" si="442"/>
        <v>0</v>
      </c>
      <c r="FY161" s="38">
        <f t="shared" si="443"/>
        <v>0</v>
      </c>
      <c r="FZ161" s="38">
        <f t="shared" si="444"/>
        <v>0</v>
      </c>
      <c r="GA161" s="38">
        <f t="shared" si="445"/>
        <v>0</v>
      </c>
      <c r="GB161" s="38">
        <f t="shared" si="446"/>
        <v>0</v>
      </c>
      <c r="GC161" s="38">
        <f t="shared" si="447"/>
        <v>0</v>
      </c>
      <c r="GD161" s="38">
        <f t="shared" si="448"/>
        <v>0</v>
      </c>
      <c r="GE161" s="38">
        <f t="shared" si="449"/>
        <v>0</v>
      </c>
      <c r="GF161" s="38">
        <f t="shared" si="450"/>
        <v>0</v>
      </c>
      <c r="GG161" s="38">
        <f t="shared" si="451"/>
        <v>0</v>
      </c>
      <c r="GH161" s="38">
        <f t="shared" si="452"/>
        <v>0</v>
      </c>
      <c r="GI161" s="38">
        <f t="shared" si="453"/>
        <v>0</v>
      </c>
      <c r="GJ161" s="38">
        <f t="shared" si="454"/>
        <v>0</v>
      </c>
      <c r="GL161" s="38">
        <f t="shared" si="455"/>
        <v>0</v>
      </c>
      <c r="GM161" s="38">
        <f t="shared" si="456"/>
        <v>0</v>
      </c>
      <c r="GN161" s="1" t="s">
        <v>2</v>
      </c>
      <c r="GO161" s="1">
        <f t="shared" si="379"/>
        <v>29.599999999999998</v>
      </c>
      <c r="GP161" s="13">
        <f t="shared" si="380"/>
        <v>0.49182432432432438</v>
      </c>
      <c r="GQ161" s="41">
        <f t="shared" si="381"/>
        <v>145.58000000000001</v>
      </c>
      <c r="GR161" s="41">
        <f t="shared" si="382"/>
        <v>4088.7292575199999</v>
      </c>
      <c r="GS161" s="14">
        <f t="shared" si="383"/>
        <v>138.13274518648649</v>
      </c>
      <c r="GT161" s="1">
        <f t="shared" si="457"/>
        <v>12.54</v>
      </c>
      <c r="GU161" s="1">
        <f t="shared" si="458"/>
        <v>96.32</v>
      </c>
      <c r="GV161" s="1">
        <f t="shared" si="459"/>
        <v>36.72</v>
      </c>
      <c r="GW161" s="37">
        <f t="shared" si="384"/>
        <v>0</v>
      </c>
      <c r="GX161" s="37"/>
      <c r="GY161" s="37"/>
      <c r="GZ161" s="37"/>
      <c r="HB161" s="1">
        <f t="shared" si="460"/>
        <v>0</v>
      </c>
      <c r="HC161" s="1">
        <f t="shared" si="461"/>
        <v>0</v>
      </c>
      <c r="HD161" s="37" t="s">
        <v>2</v>
      </c>
      <c r="HE161" s="1" t="s">
        <v>31</v>
      </c>
      <c r="HF161" s="1" t="s">
        <v>193</v>
      </c>
      <c r="HG161" s="1" t="s">
        <v>193</v>
      </c>
      <c r="HI161" s="1" t="s">
        <v>96</v>
      </c>
      <c r="HJ161" s="37" t="s">
        <v>2</v>
      </c>
      <c r="JH161" s="58" t="s">
        <v>2</v>
      </c>
    </row>
    <row r="162" spans="1:268" ht="16.25" customHeight="1" x14ac:dyDescent="0.2">
      <c r="A162" s="21" t="s">
        <v>320</v>
      </c>
      <c r="B162" s="1" t="s">
        <v>69</v>
      </c>
      <c r="E162" s="1" t="s">
        <v>72</v>
      </c>
      <c r="F162" s="1" t="s">
        <v>316</v>
      </c>
      <c r="H162" s="1" t="s">
        <v>204</v>
      </c>
      <c r="I162" s="1">
        <v>4.7</v>
      </c>
      <c r="Q162" s="1">
        <v>0.82</v>
      </c>
      <c r="R162" s="1">
        <v>0.05</v>
      </c>
      <c r="AD162" s="1">
        <v>0.9</v>
      </c>
      <c r="AL162" s="1">
        <v>0.78</v>
      </c>
      <c r="AM162" s="1">
        <v>0.04</v>
      </c>
      <c r="AY162" s="1">
        <v>0</v>
      </c>
      <c r="BT162" s="1">
        <v>0</v>
      </c>
      <c r="CO162" s="1">
        <v>0</v>
      </c>
      <c r="DJ162" s="1" t="s">
        <v>96</v>
      </c>
      <c r="DK162" s="1" t="s">
        <v>96</v>
      </c>
      <c r="DL162" s="1">
        <f t="shared" si="377"/>
        <v>0.8135714285714285</v>
      </c>
      <c r="DM162" s="1">
        <f t="shared" si="378"/>
        <v>4.839285714285714E-2</v>
      </c>
      <c r="DN162" s="1" t="s">
        <v>317</v>
      </c>
      <c r="DO162" s="1" t="s">
        <v>2</v>
      </c>
      <c r="DP162" s="38">
        <f t="shared" si="385"/>
        <v>0</v>
      </c>
      <c r="DQ162" s="38">
        <f t="shared" si="386"/>
        <v>0</v>
      </c>
      <c r="DR162" s="38">
        <f t="shared" si="387"/>
        <v>0</v>
      </c>
      <c r="DS162" s="38">
        <f t="shared" si="388"/>
        <v>0</v>
      </c>
      <c r="DT162" s="38">
        <f t="shared" si="389"/>
        <v>0</v>
      </c>
      <c r="DU162" s="38">
        <f t="shared" si="390"/>
        <v>0</v>
      </c>
      <c r="DV162" s="38">
        <f t="shared" si="391"/>
        <v>0</v>
      </c>
      <c r="DW162" s="38">
        <f t="shared" si="392"/>
        <v>4.5560000000000003E-2</v>
      </c>
      <c r="DX162" s="38">
        <f t="shared" si="393"/>
        <v>2.7100000000000002E-3</v>
      </c>
      <c r="DY162" s="38">
        <f t="shared" si="394"/>
        <v>0</v>
      </c>
      <c r="DZ162" s="38">
        <f t="shared" si="395"/>
        <v>0</v>
      </c>
      <c r="EA162" s="38">
        <f t="shared" si="396"/>
        <v>0</v>
      </c>
      <c r="EB162" s="38">
        <f t="shared" si="397"/>
        <v>0</v>
      </c>
      <c r="EC162" s="38">
        <f t="shared" si="398"/>
        <v>0</v>
      </c>
      <c r="ED162" s="38">
        <f t="shared" si="399"/>
        <v>0</v>
      </c>
      <c r="EE162" s="38">
        <f t="shared" si="400"/>
        <v>0</v>
      </c>
      <c r="EG162" s="38">
        <f t="shared" si="401"/>
        <v>0</v>
      </c>
      <c r="EH162" s="38">
        <f t="shared" si="402"/>
        <v>0</v>
      </c>
      <c r="EI162" s="38">
        <f t="shared" si="403"/>
        <v>0</v>
      </c>
      <c r="EJ162" s="38">
        <f t="shared" si="404"/>
        <v>0</v>
      </c>
      <c r="EK162" s="38">
        <f t="shared" si="405"/>
        <v>0</v>
      </c>
      <c r="EL162" s="38">
        <f t="shared" si="406"/>
        <v>0</v>
      </c>
      <c r="EM162" s="38">
        <f t="shared" si="407"/>
        <v>0</v>
      </c>
      <c r="EN162" s="38">
        <f t="shared" si="408"/>
        <v>0</v>
      </c>
      <c r="EO162" s="38">
        <f t="shared" si="409"/>
        <v>0</v>
      </c>
      <c r="EP162" s="38">
        <f t="shared" si="410"/>
        <v>597.47384</v>
      </c>
      <c r="EQ162" s="38">
        <f t="shared" si="411"/>
        <v>196.79891003999998</v>
      </c>
      <c r="ER162" s="38">
        <f t="shared" si="412"/>
        <v>0</v>
      </c>
      <c r="ES162" s="38">
        <f t="shared" si="413"/>
        <v>0</v>
      </c>
      <c r="ET162" s="38">
        <f t="shared" si="414"/>
        <v>0</v>
      </c>
      <c r="EU162" s="38">
        <f t="shared" si="415"/>
        <v>0</v>
      </c>
      <c r="EV162" s="38">
        <f t="shared" si="416"/>
        <v>0</v>
      </c>
      <c r="EW162" s="38">
        <f t="shared" si="417"/>
        <v>0</v>
      </c>
      <c r="EX162" s="38">
        <f t="shared" si="418"/>
        <v>0</v>
      </c>
      <c r="EZ162" s="38">
        <f t="shared" si="419"/>
        <v>0</v>
      </c>
      <c r="FA162" s="38">
        <f t="shared" si="420"/>
        <v>0</v>
      </c>
      <c r="FB162" s="1">
        <f t="shared" si="421"/>
        <v>0</v>
      </c>
      <c r="FC162" s="1">
        <f t="shared" si="422"/>
        <v>0</v>
      </c>
      <c r="FD162" s="1">
        <f t="shared" si="423"/>
        <v>0</v>
      </c>
      <c r="FE162" s="1">
        <f t="shared" si="424"/>
        <v>0</v>
      </c>
      <c r="FF162" s="1">
        <f t="shared" si="425"/>
        <v>0</v>
      </c>
      <c r="FG162" s="1">
        <f t="shared" si="426"/>
        <v>0</v>
      </c>
      <c r="FH162" s="1">
        <f t="shared" si="427"/>
        <v>0</v>
      </c>
      <c r="FI162" s="1">
        <f t="shared" si="428"/>
        <v>0</v>
      </c>
      <c r="FJ162" s="1">
        <f t="shared" si="429"/>
        <v>0</v>
      </c>
      <c r="FK162" s="1">
        <f t="shared" si="430"/>
        <v>0</v>
      </c>
      <c r="FL162" s="1">
        <f t="shared" si="431"/>
        <v>0</v>
      </c>
      <c r="FM162" s="1">
        <f t="shared" si="432"/>
        <v>0</v>
      </c>
      <c r="FN162" s="1">
        <f t="shared" si="433"/>
        <v>0</v>
      </c>
      <c r="FO162" s="1">
        <f t="shared" si="434"/>
        <v>0</v>
      </c>
      <c r="FP162" s="1">
        <f t="shared" si="435"/>
        <v>0</v>
      </c>
      <c r="FQ162" s="1">
        <f t="shared" si="436"/>
        <v>0</v>
      </c>
      <c r="FS162" s="1">
        <f t="shared" si="437"/>
        <v>0</v>
      </c>
      <c r="FT162" s="1">
        <f t="shared" si="438"/>
        <v>0</v>
      </c>
      <c r="FU162" s="38">
        <f t="shared" si="439"/>
        <v>0</v>
      </c>
      <c r="FV162" s="38">
        <f t="shared" si="440"/>
        <v>0</v>
      </c>
      <c r="FW162" s="38">
        <f t="shared" si="441"/>
        <v>0</v>
      </c>
      <c r="FX162" s="38">
        <f t="shared" si="442"/>
        <v>0</v>
      </c>
      <c r="FY162" s="38">
        <f t="shared" si="443"/>
        <v>0</v>
      </c>
      <c r="FZ162" s="38">
        <f t="shared" si="444"/>
        <v>0</v>
      </c>
      <c r="GA162" s="38">
        <f t="shared" si="445"/>
        <v>0</v>
      </c>
      <c r="GB162" s="38">
        <f t="shared" si="446"/>
        <v>0</v>
      </c>
      <c r="GC162" s="38">
        <f t="shared" si="447"/>
        <v>0</v>
      </c>
      <c r="GD162" s="38">
        <f t="shared" si="448"/>
        <v>0</v>
      </c>
      <c r="GE162" s="38">
        <f t="shared" si="449"/>
        <v>0</v>
      </c>
      <c r="GF162" s="38">
        <f t="shared" si="450"/>
        <v>0</v>
      </c>
      <c r="GG162" s="38">
        <f t="shared" si="451"/>
        <v>0</v>
      </c>
      <c r="GH162" s="38">
        <f t="shared" si="452"/>
        <v>0</v>
      </c>
      <c r="GI162" s="38">
        <f t="shared" si="453"/>
        <v>0</v>
      </c>
      <c r="GJ162" s="38">
        <f t="shared" si="454"/>
        <v>0</v>
      </c>
      <c r="GL162" s="38">
        <f t="shared" si="455"/>
        <v>0</v>
      </c>
      <c r="GM162" s="38">
        <f t="shared" si="456"/>
        <v>0</v>
      </c>
      <c r="GN162" s="1" t="s">
        <v>2</v>
      </c>
      <c r="GO162" s="1">
        <f t="shared" si="379"/>
        <v>5.6000000000000005</v>
      </c>
      <c r="GP162" s="13">
        <f t="shared" si="380"/>
        <v>0.8135714285714285</v>
      </c>
      <c r="GQ162" s="41">
        <f t="shared" si="381"/>
        <v>45.56</v>
      </c>
      <c r="GR162" s="41">
        <f t="shared" si="382"/>
        <v>794.27275004000001</v>
      </c>
      <c r="GS162" s="14">
        <f t="shared" si="383"/>
        <v>141.83441965</v>
      </c>
      <c r="GT162" s="1">
        <f t="shared" si="457"/>
        <v>38.54</v>
      </c>
      <c r="GU162" s="1">
        <f t="shared" si="458"/>
        <v>7.0200000000000014</v>
      </c>
      <c r="GV162" s="1">
        <f t="shared" si="459"/>
        <v>0</v>
      </c>
      <c r="GW162" s="37">
        <f t="shared" si="384"/>
        <v>0</v>
      </c>
      <c r="GX162" s="37"/>
      <c r="GY162" s="37"/>
      <c r="GZ162" s="37"/>
      <c r="HB162" s="1">
        <f t="shared" si="460"/>
        <v>0</v>
      </c>
      <c r="HC162" s="1">
        <f t="shared" si="461"/>
        <v>0</v>
      </c>
      <c r="HD162" s="37" t="s">
        <v>2</v>
      </c>
      <c r="HE162" s="1" t="s">
        <v>31</v>
      </c>
      <c r="HF162" s="1" t="s">
        <v>193</v>
      </c>
      <c r="HG162" s="1" t="s">
        <v>193</v>
      </c>
      <c r="HI162" s="1" t="s">
        <v>96</v>
      </c>
      <c r="HJ162" s="37" t="s">
        <v>2</v>
      </c>
      <c r="JH162" s="58" t="s">
        <v>2</v>
      </c>
    </row>
    <row r="163" spans="1:268" ht="16.25" customHeight="1" x14ac:dyDescent="0.2">
      <c r="A163" s="21" t="s">
        <v>321</v>
      </c>
      <c r="B163" s="1" t="s">
        <v>69</v>
      </c>
      <c r="E163" s="1" t="s">
        <v>72</v>
      </c>
      <c r="F163" s="1" t="s">
        <v>316</v>
      </c>
      <c r="H163" s="1" t="s">
        <v>204</v>
      </c>
      <c r="I163" s="1">
        <v>1.7</v>
      </c>
      <c r="Q163" s="1">
        <v>0.45</v>
      </c>
      <c r="R163" s="13">
        <v>0.1</v>
      </c>
      <c r="AA163" s="1">
        <v>103</v>
      </c>
      <c r="AD163" s="1">
        <v>10.6</v>
      </c>
      <c r="AL163" s="1">
        <v>0.27</v>
      </c>
      <c r="AM163" s="1">
        <v>7.0000000000000007E-2</v>
      </c>
      <c r="AV163" s="1">
        <v>128</v>
      </c>
      <c r="AY163" s="1">
        <v>1.5</v>
      </c>
      <c r="BG163" s="13">
        <v>0.4</v>
      </c>
      <c r="BH163" s="1">
        <v>7.0000000000000007E-2</v>
      </c>
      <c r="BQ163" s="1">
        <v>41</v>
      </c>
      <c r="BT163" s="1">
        <v>0</v>
      </c>
      <c r="CO163" s="1">
        <v>0</v>
      </c>
      <c r="DJ163" s="1" t="s">
        <v>96</v>
      </c>
      <c r="DK163" s="1" t="s">
        <v>96</v>
      </c>
      <c r="DL163" s="1">
        <f t="shared" si="377"/>
        <v>0.30630434782608701</v>
      </c>
      <c r="DM163" s="1">
        <f t="shared" si="378"/>
        <v>7.3695652173913065E-2</v>
      </c>
      <c r="DN163" s="1" t="s">
        <v>317</v>
      </c>
      <c r="DO163" s="1" t="s">
        <v>2</v>
      </c>
      <c r="DP163" s="38">
        <f t="shared" si="385"/>
        <v>0</v>
      </c>
      <c r="DQ163" s="38">
        <f t="shared" si="386"/>
        <v>0</v>
      </c>
      <c r="DR163" s="38">
        <f t="shared" si="387"/>
        <v>0</v>
      </c>
      <c r="DS163" s="38">
        <f t="shared" si="388"/>
        <v>0</v>
      </c>
      <c r="DT163" s="38">
        <f t="shared" si="389"/>
        <v>0</v>
      </c>
      <c r="DU163" s="38">
        <f t="shared" si="390"/>
        <v>0</v>
      </c>
      <c r="DV163" s="38">
        <f t="shared" si="391"/>
        <v>0</v>
      </c>
      <c r="DW163" s="38">
        <f t="shared" si="392"/>
        <v>4.2270000000000002E-2</v>
      </c>
      <c r="DX163" s="38">
        <f t="shared" si="393"/>
        <v>1.0170000000000002E-2</v>
      </c>
      <c r="DY163" s="38">
        <f t="shared" si="394"/>
        <v>0</v>
      </c>
      <c r="DZ163" s="38">
        <f t="shared" si="395"/>
        <v>0</v>
      </c>
      <c r="EA163" s="38">
        <f t="shared" si="396"/>
        <v>0</v>
      </c>
      <c r="EB163" s="38">
        <f t="shared" si="397"/>
        <v>0</v>
      </c>
      <c r="EC163" s="38">
        <f t="shared" si="398"/>
        <v>0</v>
      </c>
      <c r="ED163" s="38">
        <f t="shared" si="399"/>
        <v>0</v>
      </c>
      <c r="EE163" s="38">
        <f t="shared" si="400"/>
        <v>0</v>
      </c>
      <c r="EG163" s="38">
        <f t="shared" si="401"/>
        <v>1593.3999999999999</v>
      </c>
      <c r="EH163" s="38">
        <f t="shared" si="402"/>
        <v>0</v>
      </c>
      <c r="EI163" s="38">
        <f t="shared" si="403"/>
        <v>0</v>
      </c>
      <c r="EJ163" s="38">
        <f t="shared" si="404"/>
        <v>0</v>
      </c>
      <c r="EK163" s="38">
        <f t="shared" si="405"/>
        <v>0</v>
      </c>
      <c r="EL163" s="38">
        <f t="shared" si="406"/>
        <v>0</v>
      </c>
      <c r="EM163" s="38">
        <f t="shared" si="407"/>
        <v>0</v>
      </c>
      <c r="EN163" s="38">
        <f t="shared" si="408"/>
        <v>0</v>
      </c>
      <c r="EO163" s="38">
        <f t="shared" si="409"/>
        <v>0</v>
      </c>
      <c r="EP163" s="38">
        <f t="shared" si="410"/>
        <v>554.32878000000005</v>
      </c>
      <c r="EQ163" s="38">
        <f t="shared" si="411"/>
        <v>738.54055908000009</v>
      </c>
      <c r="ER163" s="38">
        <f t="shared" si="412"/>
        <v>0</v>
      </c>
      <c r="ES163" s="38">
        <f t="shared" si="413"/>
        <v>0</v>
      </c>
      <c r="ET163" s="38">
        <f t="shared" si="414"/>
        <v>0</v>
      </c>
      <c r="EU163" s="38">
        <f t="shared" si="415"/>
        <v>0</v>
      </c>
      <c r="EV163" s="38">
        <f t="shared" si="416"/>
        <v>0</v>
      </c>
      <c r="EW163" s="38">
        <f t="shared" si="417"/>
        <v>0</v>
      </c>
      <c r="EX163" s="38">
        <f t="shared" si="418"/>
        <v>0</v>
      </c>
      <c r="EZ163" s="38">
        <f t="shared" si="419"/>
        <v>573.62400000000002</v>
      </c>
      <c r="FA163" s="38">
        <f t="shared" si="420"/>
        <v>0</v>
      </c>
      <c r="FB163" s="1">
        <f t="shared" si="421"/>
        <v>0</v>
      </c>
      <c r="FC163" s="1">
        <f t="shared" si="422"/>
        <v>0</v>
      </c>
      <c r="FD163" s="1">
        <f t="shared" si="423"/>
        <v>0</v>
      </c>
      <c r="FE163" s="1">
        <f t="shared" si="424"/>
        <v>0</v>
      </c>
      <c r="FF163" s="1">
        <f t="shared" si="425"/>
        <v>0</v>
      </c>
      <c r="FG163" s="1">
        <f t="shared" si="426"/>
        <v>0</v>
      </c>
      <c r="FH163" s="1">
        <f t="shared" si="427"/>
        <v>0</v>
      </c>
      <c r="FI163" s="1">
        <f t="shared" si="428"/>
        <v>0</v>
      </c>
      <c r="FJ163" s="1">
        <f t="shared" si="429"/>
        <v>0</v>
      </c>
      <c r="FK163" s="1">
        <f t="shared" si="430"/>
        <v>0</v>
      </c>
      <c r="FL163" s="1">
        <f t="shared" si="431"/>
        <v>0</v>
      </c>
      <c r="FM163" s="1">
        <f t="shared" si="432"/>
        <v>0</v>
      </c>
      <c r="FN163" s="1">
        <f t="shared" si="433"/>
        <v>0</v>
      </c>
      <c r="FO163" s="1">
        <f t="shared" si="434"/>
        <v>0</v>
      </c>
      <c r="FP163" s="1">
        <f t="shared" si="435"/>
        <v>0</v>
      </c>
      <c r="FQ163" s="1">
        <f t="shared" si="436"/>
        <v>0</v>
      </c>
      <c r="FS163" s="1">
        <f t="shared" si="437"/>
        <v>0</v>
      </c>
      <c r="FT163" s="1">
        <f t="shared" si="438"/>
        <v>0</v>
      </c>
      <c r="FU163" s="38">
        <f t="shared" si="439"/>
        <v>0</v>
      </c>
      <c r="FV163" s="38">
        <f t="shared" si="440"/>
        <v>0</v>
      </c>
      <c r="FW163" s="38">
        <f t="shared" si="441"/>
        <v>0</v>
      </c>
      <c r="FX163" s="38">
        <f t="shared" si="442"/>
        <v>0</v>
      </c>
      <c r="FY163" s="38">
        <f t="shared" si="443"/>
        <v>0</v>
      </c>
      <c r="FZ163" s="38">
        <f t="shared" si="444"/>
        <v>0</v>
      </c>
      <c r="GA163" s="38">
        <f t="shared" si="445"/>
        <v>0</v>
      </c>
      <c r="GB163" s="38">
        <f t="shared" si="446"/>
        <v>0</v>
      </c>
      <c r="GC163" s="38">
        <f t="shared" si="447"/>
        <v>0</v>
      </c>
      <c r="GD163" s="38">
        <f t="shared" si="448"/>
        <v>0</v>
      </c>
      <c r="GE163" s="38">
        <f t="shared" si="449"/>
        <v>0</v>
      </c>
      <c r="GF163" s="38">
        <f t="shared" si="450"/>
        <v>0</v>
      </c>
      <c r="GG163" s="38">
        <f t="shared" si="451"/>
        <v>0</v>
      </c>
      <c r="GH163" s="38">
        <f t="shared" si="452"/>
        <v>0</v>
      </c>
      <c r="GI163" s="38">
        <f t="shared" si="453"/>
        <v>0</v>
      </c>
      <c r="GJ163" s="38">
        <f t="shared" si="454"/>
        <v>0</v>
      </c>
      <c r="GL163" s="38">
        <f t="shared" si="455"/>
        <v>0</v>
      </c>
      <c r="GM163" s="38">
        <f t="shared" si="456"/>
        <v>0</v>
      </c>
      <c r="GN163" s="1" t="s">
        <v>2</v>
      </c>
      <c r="GO163" s="1">
        <f t="shared" si="379"/>
        <v>13.799999999999999</v>
      </c>
      <c r="GP163" s="13">
        <f t="shared" si="380"/>
        <v>0.30630434782608701</v>
      </c>
      <c r="GQ163" s="41">
        <f t="shared" si="381"/>
        <v>42.27</v>
      </c>
      <c r="GR163" s="41">
        <f t="shared" si="382"/>
        <v>1866.4933390800002</v>
      </c>
      <c r="GS163" s="14">
        <f t="shared" si="383"/>
        <v>135.25314051304349</v>
      </c>
      <c r="GT163" s="1">
        <f t="shared" si="457"/>
        <v>7.65</v>
      </c>
      <c r="GU163" s="1">
        <f t="shared" si="458"/>
        <v>28.62</v>
      </c>
      <c r="GV163" s="1">
        <f t="shared" si="459"/>
        <v>6.0000000000000009</v>
      </c>
      <c r="GW163" s="37">
        <f t="shared" si="384"/>
        <v>0</v>
      </c>
      <c r="GX163" s="37"/>
      <c r="GY163" s="37"/>
      <c r="GZ163" s="37"/>
      <c r="HB163" s="1">
        <f t="shared" si="460"/>
        <v>0</v>
      </c>
      <c r="HC163" s="1">
        <f t="shared" si="461"/>
        <v>0</v>
      </c>
      <c r="HD163" s="37" t="s">
        <v>2</v>
      </c>
      <c r="HE163" s="1" t="s">
        <v>31</v>
      </c>
      <c r="HF163" s="1" t="s">
        <v>193</v>
      </c>
      <c r="HG163" s="1" t="s">
        <v>193</v>
      </c>
      <c r="HI163" s="1" t="s">
        <v>96</v>
      </c>
      <c r="HJ163" s="37" t="s">
        <v>2</v>
      </c>
      <c r="JH163" s="58" t="s">
        <v>2</v>
      </c>
    </row>
    <row r="164" spans="1:268" ht="16.25" customHeight="1" x14ac:dyDescent="0.2">
      <c r="A164" s="21" t="s">
        <v>348</v>
      </c>
      <c r="B164" s="1" t="s">
        <v>69</v>
      </c>
      <c r="E164" s="1" t="s">
        <v>72</v>
      </c>
      <c r="F164" s="1" t="s">
        <v>349</v>
      </c>
      <c r="H164" s="1" t="s">
        <v>211</v>
      </c>
      <c r="I164" s="1">
        <v>7.8</v>
      </c>
      <c r="Q164" s="1">
        <v>0.13</v>
      </c>
      <c r="R164" s="1">
        <v>7.0000000000000007E-2</v>
      </c>
      <c r="S164" s="1">
        <v>0.42</v>
      </c>
      <c r="AA164" s="1">
        <v>435</v>
      </c>
      <c r="AD164" s="1">
        <v>12.5</v>
      </c>
      <c r="AL164" s="1">
        <v>0.11</v>
      </c>
      <c r="AM164" s="1">
        <v>0.06</v>
      </c>
      <c r="AN164" s="1">
        <v>0.26</v>
      </c>
      <c r="AV164" s="1">
        <v>410</v>
      </c>
      <c r="AY164" s="1">
        <v>15.3</v>
      </c>
      <c r="BG164" s="1">
        <v>0.08</v>
      </c>
      <c r="BH164" s="1">
        <v>0.05</v>
      </c>
      <c r="BI164" s="1">
        <v>0.22</v>
      </c>
      <c r="BQ164" s="1">
        <v>380</v>
      </c>
      <c r="BT164" s="1">
        <v>2.2250000000000001</v>
      </c>
      <c r="CB164" s="1">
        <v>0.13</v>
      </c>
      <c r="CC164" s="1">
        <v>0.09</v>
      </c>
      <c r="CL164" s="1">
        <v>560</v>
      </c>
      <c r="CO164" s="1">
        <v>1.7649999999999999</v>
      </c>
      <c r="CW164" s="1">
        <v>0.13</v>
      </c>
      <c r="CX164" s="1">
        <v>0.08</v>
      </c>
      <c r="DG164" s="1">
        <v>540</v>
      </c>
      <c r="DJ164" s="1" t="s">
        <v>96</v>
      </c>
      <c r="DK164" s="1" t="s">
        <v>96</v>
      </c>
      <c r="DL164" s="1">
        <f t="shared" si="377"/>
        <v>0.10148876404494382</v>
      </c>
      <c r="DM164" s="1">
        <f t="shared" si="378"/>
        <v>5.7893258426966285E-2</v>
      </c>
      <c r="DN164" s="1" t="s">
        <v>67</v>
      </c>
      <c r="DO164" s="1" t="s">
        <v>2</v>
      </c>
      <c r="DP164" s="38">
        <f t="shared" si="385"/>
        <v>0</v>
      </c>
      <c r="DQ164" s="38">
        <f t="shared" si="386"/>
        <v>0</v>
      </c>
      <c r="DR164" s="38">
        <f t="shared" si="387"/>
        <v>0</v>
      </c>
      <c r="DS164" s="38">
        <f t="shared" si="388"/>
        <v>0</v>
      </c>
      <c r="DT164" s="38">
        <f t="shared" si="389"/>
        <v>0</v>
      </c>
      <c r="DU164" s="38">
        <f t="shared" si="390"/>
        <v>0</v>
      </c>
      <c r="DV164" s="38">
        <f t="shared" si="391"/>
        <v>0</v>
      </c>
      <c r="DW164" s="38">
        <f t="shared" si="392"/>
        <v>3.6130000000000002E-2</v>
      </c>
      <c r="DX164" s="38">
        <f t="shared" si="393"/>
        <v>2.061E-2</v>
      </c>
      <c r="DY164" s="38">
        <f t="shared" si="394"/>
        <v>9.8919999999999995</v>
      </c>
      <c r="DZ164" s="38">
        <f t="shared" si="395"/>
        <v>0</v>
      </c>
      <c r="EA164" s="38">
        <f t="shared" si="396"/>
        <v>0</v>
      </c>
      <c r="EB164" s="38">
        <f t="shared" si="397"/>
        <v>0</v>
      </c>
      <c r="EC164" s="38">
        <f t="shared" si="398"/>
        <v>0</v>
      </c>
      <c r="ED164" s="38">
        <f t="shared" si="399"/>
        <v>0</v>
      </c>
      <c r="EE164" s="38">
        <f t="shared" si="400"/>
        <v>0</v>
      </c>
      <c r="EG164" s="38">
        <f t="shared" si="401"/>
        <v>14332</v>
      </c>
      <c r="EH164" s="38">
        <f t="shared" si="402"/>
        <v>0</v>
      </c>
      <c r="EI164" s="38">
        <f t="shared" si="403"/>
        <v>0</v>
      </c>
      <c r="EJ164" s="38">
        <f t="shared" si="404"/>
        <v>0</v>
      </c>
      <c r="EK164" s="38">
        <f t="shared" si="405"/>
        <v>0</v>
      </c>
      <c r="EL164" s="38">
        <f t="shared" si="406"/>
        <v>0</v>
      </c>
      <c r="EM164" s="38">
        <f t="shared" si="407"/>
        <v>0</v>
      </c>
      <c r="EN164" s="38">
        <f t="shared" si="408"/>
        <v>0</v>
      </c>
      <c r="EO164" s="38">
        <f t="shared" si="409"/>
        <v>0</v>
      </c>
      <c r="EP164" s="38">
        <f t="shared" si="410"/>
        <v>473.80882000000003</v>
      </c>
      <c r="EQ164" s="38">
        <f t="shared" si="411"/>
        <v>1496.6883896399997</v>
      </c>
      <c r="ER164" s="38">
        <f t="shared" si="412"/>
        <v>280.74831897106105</v>
      </c>
      <c r="ES164" s="38">
        <f t="shared" si="413"/>
        <v>0</v>
      </c>
      <c r="ET164" s="38">
        <f t="shared" si="414"/>
        <v>0</v>
      </c>
      <c r="EU164" s="38">
        <f t="shared" si="415"/>
        <v>0</v>
      </c>
      <c r="EV164" s="38">
        <f t="shared" si="416"/>
        <v>0</v>
      </c>
      <c r="EW164" s="38">
        <f t="shared" si="417"/>
        <v>0</v>
      </c>
      <c r="EX164" s="38">
        <f t="shared" si="418"/>
        <v>0</v>
      </c>
      <c r="EZ164" s="38">
        <f t="shared" si="419"/>
        <v>5159.5200000000004</v>
      </c>
      <c r="FA164" s="38">
        <f t="shared" si="420"/>
        <v>0</v>
      </c>
      <c r="FB164" s="1">
        <f t="shared" si="421"/>
        <v>0</v>
      </c>
      <c r="FC164" s="1">
        <f t="shared" si="422"/>
        <v>0</v>
      </c>
      <c r="FD164" s="1">
        <f t="shared" si="423"/>
        <v>0</v>
      </c>
      <c r="FE164" s="1">
        <f t="shared" si="424"/>
        <v>0</v>
      </c>
      <c r="FF164" s="1">
        <f t="shared" si="425"/>
        <v>0</v>
      </c>
      <c r="FG164" s="1">
        <f t="shared" si="426"/>
        <v>0</v>
      </c>
      <c r="FH164" s="1">
        <f t="shared" si="427"/>
        <v>0</v>
      </c>
      <c r="FI164" s="1">
        <f t="shared" si="428"/>
        <v>5.1869999999999998E-3</v>
      </c>
      <c r="FJ164" s="1">
        <f t="shared" si="429"/>
        <v>3.4145000000000004E-3</v>
      </c>
      <c r="FK164" s="1">
        <f t="shared" si="430"/>
        <v>0</v>
      </c>
      <c r="FL164" s="1">
        <f t="shared" si="431"/>
        <v>0</v>
      </c>
      <c r="FM164" s="1">
        <f t="shared" si="432"/>
        <v>0</v>
      </c>
      <c r="FN164" s="1">
        <f t="shared" si="433"/>
        <v>0</v>
      </c>
      <c r="FO164" s="1">
        <f t="shared" si="434"/>
        <v>0</v>
      </c>
      <c r="FP164" s="1">
        <f t="shared" si="435"/>
        <v>0</v>
      </c>
      <c r="FQ164" s="1">
        <f t="shared" si="436"/>
        <v>0</v>
      </c>
      <c r="FS164" s="1">
        <f t="shared" si="437"/>
        <v>2199.1</v>
      </c>
      <c r="FT164" s="1">
        <f t="shared" si="438"/>
        <v>0</v>
      </c>
      <c r="FU164" s="38">
        <f t="shared" si="439"/>
        <v>0</v>
      </c>
      <c r="FV164" s="38">
        <f t="shared" si="440"/>
        <v>0</v>
      </c>
      <c r="FW164" s="38">
        <f t="shared" si="441"/>
        <v>0</v>
      </c>
      <c r="FX164" s="38">
        <f t="shared" si="442"/>
        <v>0</v>
      </c>
      <c r="FY164" s="38">
        <f t="shared" si="443"/>
        <v>0</v>
      </c>
      <c r="FZ164" s="38">
        <f t="shared" si="444"/>
        <v>0</v>
      </c>
      <c r="GA164" s="38">
        <f t="shared" si="445"/>
        <v>0</v>
      </c>
      <c r="GB164" s="38">
        <f t="shared" si="446"/>
        <v>68.022317999999999</v>
      </c>
      <c r="GC164" s="38">
        <f t="shared" si="447"/>
        <v>247.959364698</v>
      </c>
      <c r="GD164" s="38">
        <f t="shared" si="448"/>
        <v>0</v>
      </c>
      <c r="GE164" s="38">
        <f t="shared" si="449"/>
        <v>0</v>
      </c>
      <c r="GF164" s="38">
        <f t="shared" si="450"/>
        <v>0</v>
      </c>
      <c r="GG164" s="38">
        <f t="shared" si="451"/>
        <v>0</v>
      </c>
      <c r="GH164" s="38">
        <f t="shared" si="452"/>
        <v>0</v>
      </c>
      <c r="GI164" s="38">
        <f t="shared" si="453"/>
        <v>0</v>
      </c>
      <c r="GJ164" s="38">
        <f t="shared" si="454"/>
        <v>0</v>
      </c>
      <c r="GL164" s="38">
        <f t="shared" si="455"/>
        <v>791.67600000000004</v>
      </c>
      <c r="GM164" s="38">
        <f t="shared" si="456"/>
        <v>0</v>
      </c>
      <c r="GN164" s="1" t="s">
        <v>2</v>
      </c>
      <c r="GO164" s="1">
        <f t="shared" si="379"/>
        <v>35.6</v>
      </c>
      <c r="GP164" s="13">
        <f t="shared" si="380"/>
        <v>0.10148876404494382</v>
      </c>
      <c r="GQ164" s="41">
        <f t="shared" si="381"/>
        <v>36.130000000000003</v>
      </c>
      <c r="GR164" s="41">
        <f t="shared" si="382"/>
        <v>7410.7655286110612</v>
      </c>
      <c r="GS164" s="14">
        <f t="shared" si="383"/>
        <v>208.16757102840057</v>
      </c>
      <c r="GT164" s="1">
        <f t="shared" si="457"/>
        <v>10.14</v>
      </c>
      <c r="GU164" s="1">
        <f t="shared" si="458"/>
        <v>13.75</v>
      </c>
      <c r="GV164" s="1">
        <f t="shared" si="459"/>
        <v>12.24</v>
      </c>
      <c r="GW164" s="37">
        <f t="shared" si="384"/>
        <v>3.99</v>
      </c>
      <c r="GX164" s="44">
        <f>(BT164*CB164+CO164*CW164)/GW164</f>
        <v>0.12999999999999998</v>
      </c>
      <c r="GY164" s="41">
        <f>1000*GW164*GX164/100</f>
        <v>5.1869999999999994</v>
      </c>
      <c r="GZ164" s="41">
        <f>SUM(FU164:GM164)</f>
        <v>1107.6576826979999</v>
      </c>
      <c r="HA164" s="14">
        <f>GZ164/GW164</f>
        <v>277.60844177894734</v>
      </c>
      <c r="HB164" s="1">
        <f t="shared" si="460"/>
        <v>2.8925000000000001</v>
      </c>
      <c r="HC164" s="1">
        <f t="shared" si="461"/>
        <v>2.2944999999999998</v>
      </c>
      <c r="HD164" s="37" t="s">
        <v>2</v>
      </c>
      <c r="HE164" s="1" t="s">
        <v>31</v>
      </c>
      <c r="HF164" s="1" t="s">
        <v>193</v>
      </c>
      <c r="HG164" s="1" t="s">
        <v>193</v>
      </c>
      <c r="HI164" s="1" t="s">
        <v>96</v>
      </c>
      <c r="HJ164" s="37" t="s">
        <v>2</v>
      </c>
      <c r="JH164" s="58" t="s">
        <v>2</v>
      </c>
    </row>
    <row r="165" spans="1:268" ht="16.25" customHeight="1" x14ac:dyDescent="0.2">
      <c r="A165" s="21" t="s">
        <v>457</v>
      </c>
      <c r="B165" s="1" t="s">
        <v>69</v>
      </c>
      <c r="E165" s="1" t="s">
        <v>72</v>
      </c>
      <c r="F165" s="1" t="s">
        <v>429</v>
      </c>
      <c r="H165" s="1" t="s">
        <v>211</v>
      </c>
      <c r="I165" s="1">
        <v>0</v>
      </c>
      <c r="AD165" s="1">
        <v>178</v>
      </c>
      <c r="AL165" s="1">
        <v>0.64</v>
      </c>
      <c r="AM165" s="1">
        <v>0.04</v>
      </c>
      <c r="AY165" s="1">
        <v>34</v>
      </c>
      <c r="BG165" s="1">
        <v>0.6</v>
      </c>
      <c r="BH165" s="1">
        <v>4.1000000000000002E-2</v>
      </c>
      <c r="BT165" s="1">
        <v>0</v>
      </c>
      <c r="CO165" s="1">
        <v>0</v>
      </c>
      <c r="DJ165" s="1" t="s">
        <v>96</v>
      </c>
      <c r="DK165" s="1" t="s">
        <v>96</v>
      </c>
      <c r="DL165" s="1">
        <f t="shared" si="377"/>
        <v>0.63358490566037728</v>
      </c>
      <c r="DM165" s="1">
        <f t="shared" si="378"/>
        <v>4.0160377358490561E-2</v>
      </c>
      <c r="DN165" s="1" t="s">
        <v>148</v>
      </c>
      <c r="DO165" s="1" t="s">
        <v>2</v>
      </c>
      <c r="DP165" s="38">
        <f t="shared" si="385"/>
        <v>0</v>
      </c>
      <c r="DQ165" s="38">
        <f t="shared" si="386"/>
        <v>0</v>
      </c>
      <c r="DR165" s="38">
        <f t="shared" si="387"/>
        <v>0</v>
      </c>
      <c r="DS165" s="38">
        <f t="shared" si="388"/>
        <v>0</v>
      </c>
      <c r="DT165" s="38">
        <f t="shared" si="389"/>
        <v>0</v>
      </c>
      <c r="DU165" s="38">
        <f t="shared" si="390"/>
        <v>0</v>
      </c>
      <c r="DV165" s="38">
        <f t="shared" si="391"/>
        <v>0</v>
      </c>
      <c r="DW165" s="38">
        <f t="shared" si="392"/>
        <v>1.3431999999999999</v>
      </c>
      <c r="DX165" s="38">
        <f t="shared" si="393"/>
        <v>8.5139999999999993E-2</v>
      </c>
      <c r="DY165" s="38">
        <f t="shared" si="394"/>
        <v>0</v>
      </c>
      <c r="DZ165" s="38">
        <f t="shared" si="395"/>
        <v>0</v>
      </c>
      <c r="EA165" s="38">
        <f t="shared" si="396"/>
        <v>0</v>
      </c>
      <c r="EB165" s="38">
        <f t="shared" si="397"/>
        <v>0</v>
      </c>
      <c r="EC165" s="38">
        <f t="shared" si="398"/>
        <v>0</v>
      </c>
      <c r="ED165" s="38">
        <f t="shared" si="399"/>
        <v>0</v>
      </c>
      <c r="EE165" s="38">
        <f t="shared" si="400"/>
        <v>0</v>
      </c>
      <c r="EG165" s="38">
        <f t="shared" si="401"/>
        <v>0</v>
      </c>
      <c r="EH165" s="38">
        <f t="shared" si="402"/>
        <v>0</v>
      </c>
      <c r="EI165" s="38">
        <f t="shared" si="403"/>
        <v>0</v>
      </c>
      <c r="EJ165" s="38">
        <f t="shared" si="404"/>
        <v>0</v>
      </c>
      <c r="EK165" s="38">
        <f t="shared" si="405"/>
        <v>0</v>
      </c>
      <c r="EL165" s="38">
        <f t="shared" si="406"/>
        <v>0</v>
      </c>
      <c r="EM165" s="38">
        <f t="shared" si="407"/>
        <v>0</v>
      </c>
      <c r="EN165" s="38">
        <f t="shared" si="408"/>
        <v>0</v>
      </c>
      <c r="EO165" s="38">
        <f t="shared" si="409"/>
        <v>0</v>
      </c>
      <c r="EP165" s="38">
        <f t="shared" si="410"/>
        <v>17614.7248</v>
      </c>
      <c r="EQ165" s="38">
        <f t="shared" si="411"/>
        <v>6182.8262733599986</v>
      </c>
      <c r="ER165" s="38">
        <f t="shared" si="412"/>
        <v>0</v>
      </c>
      <c r="ES165" s="38">
        <f t="shared" si="413"/>
        <v>0</v>
      </c>
      <c r="ET165" s="38">
        <f t="shared" si="414"/>
        <v>0</v>
      </c>
      <c r="EU165" s="38">
        <f t="shared" si="415"/>
        <v>0</v>
      </c>
      <c r="EV165" s="38">
        <f t="shared" si="416"/>
        <v>0</v>
      </c>
      <c r="EW165" s="38">
        <f t="shared" si="417"/>
        <v>0</v>
      </c>
      <c r="EX165" s="38">
        <f t="shared" si="418"/>
        <v>0</v>
      </c>
      <c r="EZ165" s="38">
        <f t="shared" si="419"/>
        <v>0</v>
      </c>
      <c r="FA165" s="38">
        <f t="shared" si="420"/>
        <v>0</v>
      </c>
      <c r="FB165" s="1">
        <f t="shared" si="421"/>
        <v>0</v>
      </c>
      <c r="FC165" s="1">
        <f t="shared" si="422"/>
        <v>0</v>
      </c>
      <c r="FD165" s="1">
        <f t="shared" si="423"/>
        <v>0</v>
      </c>
      <c r="FE165" s="1">
        <f t="shared" si="424"/>
        <v>0</v>
      </c>
      <c r="FF165" s="1">
        <f t="shared" si="425"/>
        <v>0</v>
      </c>
      <c r="FG165" s="1">
        <f t="shared" si="426"/>
        <v>0</v>
      </c>
      <c r="FH165" s="1">
        <f t="shared" si="427"/>
        <v>0</v>
      </c>
      <c r="FI165" s="1">
        <f t="shared" si="428"/>
        <v>0</v>
      </c>
      <c r="FJ165" s="1">
        <f t="shared" si="429"/>
        <v>0</v>
      </c>
      <c r="FK165" s="1">
        <f t="shared" si="430"/>
        <v>0</v>
      </c>
      <c r="FL165" s="1">
        <f t="shared" si="431"/>
        <v>0</v>
      </c>
      <c r="FM165" s="1">
        <f t="shared" si="432"/>
        <v>0</v>
      </c>
      <c r="FN165" s="1">
        <f t="shared" si="433"/>
        <v>0</v>
      </c>
      <c r="FO165" s="1">
        <f t="shared" si="434"/>
        <v>0</v>
      </c>
      <c r="FP165" s="1">
        <f t="shared" si="435"/>
        <v>0</v>
      </c>
      <c r="FQ165" s="1">
        <f t="shared" si="436"/>
        <v>0</v>
      </c>
      <c r="FS165" s="1">
        <f t="shared" si="437"/>
        <v>0</v>
      </c>
      <c r="FT165" s="1">
        <f t="shared" si="438"/>
        <v>0</v>
      </c>
      <c r="FU165" s="38">
        <f t="shared" si="439"/>
        <v>0</v>
      </c>
      <c r="FV165" s="38">
        <f t="shared" si="440"/>
        <v>0</v>
      </c>
      <c r="FW165" s="38">
        <f t="shared" si="441"/>
        <v>0</v>
      </c>
      <c r="FX165" s="38">
        <f t="shared" si="442"/>
        <v>0</v>
      </c>
      <c r="FY165" s="38">
        <f t="shared" si="443"/>
        <v>0</v>
      </c>
      <c r="FZ165" s="38">
        <f t="shared" si="444"/>
        <v>0</v>
      </c>
      <c r="GA165" s="38">
        <f t="shared" si="445"/>
        <v>0</v>
      </c>
      <c r="GB165" s="38">
        <f t="shared" si="446"/>
        <v>0</v>
      </c>
      <c r="GC165" s="38">
        <f t="shared" si="447"/>
        <v>0</v>
      </c>
      <c r="GD165" s="38">
        <f t="shared" si="448"/>
        <v>0</v>
      </c>
      <c r="GE165" s="38">
        <f t="shared" si="449"/>
        <v>0</v>
      </c>
      <c r="GF165" s="38">
        <f t="shared" si="450"/>
        <v>0</v>
      </c>
      <c r="GG165" s="38">
        <f t="shared" si="451"/>
        <v>0</v>
      </c>
      <c r="GH165" s="38">
        <f t="shared" si="452"/>
        <v>0</v>
      </c>
      <c r="GI165" s="38">
        <f t="shared" si="453"/>
        <v>0</v>
      </c>
      <c r="GJ165" s="38">
        <f t="shared" si="454"/>
        <v>0</v>
      </c>
      <c r="GL165" s="38">
        <f t="shared" si="455"/>
        <v>0</v>
      </c>
      <c r="GM165" s="38">
        <f t="shared" si="456"/>
        <v>0</v>
      </c>
      <c r="GN165" s="1" t="s">
        <v>2</v>
      </c>
      <c r="GO165" s="1">
        <f t="shared" si="379"/>
        <v>212</v>
      </c>
      <c r="GP165" s="13">
        <f t="shared" si="380"/>
        <v>0.63358490566037728</v>
      </c>
      <c r="GQ165" s="43">
        <f t="shared" si="381"/>
        <v>1343.1999999999998</v>
      </c>
      <c r="GR165" s="41">
        <f t="shared" si="382"/>
        <v>23797.551073359999</v>
      </c>
      <c r="GS165" s="14">
        <f t="shared" si="383"/>
        <v>112.25259940264151</v>
      </c>
      <c r="GT165" s="1">
        <f t="shared" si="457"/>
        <v>0</v>
      </c>
      <c r="GU165" s="1">
        <f t="shared" si="458"/>
        <v>1139.2</v>
      </c>
      <c r="GV165" s="1">
        <f t="shared" si="459"/>
        <v>204</v>
      </c>
      <c r="GW165" s="37">
        <f t="shared" si="384"/>
        <v>0</v>
      </c>
      <c r="GX165" s="37"/>
      <c r="GY165" s="37"/>
      <c r="GZ165" s="37"/>
      <c r="HB165" s="1">
        <f t="shared" si="460"/>
        <v>0</v>
      </c>
      <c r="HC165" s="1">
        <f t="shared" si="461"/>
        <v>0</v>
      </c>
      <c r="HD165" s="37" t="s">
        <v>2</v>
      </c>
      <c r="HE165" s="1" t="s">
        <v>31</v>
      </c>
      <c r="HF165" s="1" t="s">
        <v>193</v>
      </c>
      <c r="HG165" s="1" t="s">
        <v>193</v>
      </c>
      <c r="HI165" s="1" t="s">
        <v>96</v>
      </c>
      <c r="HJ165" s="37" t="s">
        <v>2</v>
      </c>
      <c r="JH165" s="58" t="s">
        <v>2</v>
      </c>
    </row>
    <row r="166" spans="1:268" ht="16.25" customHeight="1" x14ac:dyDescent="0.2">
      <c r="A166" s="21" t="s">
        <v>458</v>
      </c>
      <c r="B166" s="1" t="s">
        <v>69</v>
      </c>
      <c r="E166" s="1" t="s">
        <v>72</v>
      </c>
      <c r="F166" s="1" t="s">
        <v>131</v>
      </c>
      <c r="H166" s="1" t="s">
        <v>204</v>
      </c>
      <c r="I166" s="1">
        <v>137</v>
      </c>
      <c r="Q166" s="1">
        <v>0.7</v>
      </c>
      <c r="R166" s="1">
        <v>3.9E-2</v>
      </c>
      <c r="AD166" s="1">
        <v>168</v>
      </c>
      <c r="AL166" s="1">
        <v>0.68</v>
      </c>
      <c r="AM166" s="1">
        <v>4.1000000000000002E-2</v>
      </c>
      <c r="AY166" s="1">
        <v>0</v>
      </c>
      <c r="BT166" s="1">
        <v>0</v>
      </c>
      <c r="CO166" s="1">
        <v>0</v>
      </c>
      <c r="DJ166" s="1" t="s">
        <v>96</v>
      </c>
      <c r="DK166" s="1" t="s">
        <v>96</v>
      </c>
      <c r="DL166" s="1">
        <f t="shared" si="377"/>
        <v>0.688983606557377</v>
      </c>
      <c r="DM166" s="1">
        <f t="shared" si="378"/>
        <v>4.0101639344262294E-2</v>
      </c>
      <c r="DN166" s="1" t="s">
        <v>148</v>
      </c>
      <c r="DO166" s="1" t="s">
        <v>2</v>
      </c>
      <c r="DP166" s="38">
        <f t="shared" si="385"/>
        <v>0</v>
      </c>
      <c r="DQ166" s="38">
        <f t="shared" si="386"/>
        <v>0</v>
      </c>
      <c r="DR166" s="38">
        <f t="shared" si="387"/>
        <v>0</v>
      </c>
      <c r="DS166" s="38">
        <f t="shared" si="388"/>
        <v>0</v>
      </c>
      <c r="DT166" s="38">
        <f t="shared" si="389"/>
        <v>0</v>
      </c>
      <c r="DU166" s="38">
        <f t="shared" si="390"/>
        <v>0</v>
      </c>
      <c r="DV166" s="38">
        <f t="shared" si="391"/>
        <v>0</v>
      </c>
      <c r="DW166" s="38">
        <f t="shared" si="392"/>
        <v>2.1013999999999999</v>
      </c>
      <c r="DX166" s="38">
        <f t="shared" si="393"/>
        <v>0.12231</v>
      </c>
      <c r="DY166" s="38">
        <f t="shared" si="394"/>
        <v>0</v>
      </c>
      <c r="DZ166" s="38">
        <f t="shared" si="395"/>
        <v>0</v>
      </c>
      <c r="EA166" s="38">
        <f t="shared" si="396"/>
        <v>0</v>
      </c>
      <c r="EB166" s="38">
        <f t="shared" si="397"/>
        <v>0</v>
      </c>
      <c r="EC166" s="38">
        <f t="shared" si="398"/>
        <v>0</v>
      </c>
      <c r="ED166" s="38">
        <f t="shared" si="399"/>
        <v>0</v>
      </c>
      <c r="EE166" s="38">
        <f t="shared" si="400"/>
        <v>0</v>
      </c>
      <c r="EG166" s="38">
        <f t="shared" si="401"/>
        <v>0</v>
      </c>
      <c r="EH166" s="38">
        <f t="shared" si="402"/>
        <v>0</v>
      </c>
      <c r="EI166" s="38">
        <f t="shared" si="403"/>
        <v>0</v>
      </c>
      <c r="EJ166" s="38">
        <f t="shared" si="404"/>
        <v>0</v>
      </c>
      <c r="EK166" s="38">
        <f t="shared" si="405"/>
        <v>0</v>
      </c>
      <c r="EL166" s="38">
        <f t="shared" si="406"/>
        <v>0</v>
      </c>
      <c r="EM166" s="38">
        <f t="shared" si="407"/>
        <v>0</v>
      </c>
      <c r="EN166" s="38">
        <f t="shared" si="408"/>
        <v>0</v>
      </c>
      <c r="EO166" s="38">
        <f t="shared" si="409"/>
        <v>0</v>
      </c>
      <c r="EP166" s="38">
        <f t="shared" si="410"/>
        <v>27557.759599999998</v>
      </c>
      <c r="EQ166" s="38">
        <f t="shared" si="411"/>
        <v>8882.0939804399986</v>
      </c>
      <c r="ER166" s="38">
        <f t="shared" si="412"/>
        <v>0</v>
      </c>
      <c r="ES166" s="38">
        <f t="shared" si="413"/>
        <v>0</v>
      </c>
      <c r="ET166" s="38">
        <f t="shared" si="414"/>
        <v>0</v>
      </c>
      <c r="EU166" s="38">
        <f t="shared" si="415"/>
        <v>0</v>
      </c>
      <c r="EV166" s="38">
        <f t="shared" si="416"/>
        <v>0</v>
      </c>
      <c r="EW166" s="38">
        <f t="shared" si="417"/>
        <v>0</v>
      </c>
      <c r="EX166" s="38">
        <f t="shared" si="418"/>
        <v>0</v>
      </c>
      <c r="EZ166" s="38">
        <f t="shared" si="419"/>
        <v>0</v>
      </c>
      <c r="FA166" s="38">
        <f t="shared" si="420"/>
        <v>0</v>
      </c>
      <c r="FB166" s="1">
        <f t="shared" si="421"/>
        <v>0</v>
      </c>
      <c r="FC166" s="1">
        <f t="shared" si="422"/>
        <v>0</v>
      </c>
      <c r="FD166" s="1">
        <f t="shared" si="423"/>
        <v>0</v>
      </c>
      <c r="FE166" s="1">
        <f t="shared" si="424"/>
        <v>0</v>
      </c>
      <c r="FF166" s="1">
        <f t="shared" si="425"/>
        <v>0</v>
      </c>
      <c r="FG166" s="1">
        <f t="shared" si="426"/>
        <v>0</v>
      </c>
      <c r="FH166" s="1">
        <f t="shared" si="427"/>
        <v>0</v>
      </c>
      <c r="FI166" s="1">
        <f t="shared" si="428"/>
        <v>0</v>
      </c>
      <c r="FJ166" s="1">
        <f t="shared" si="429"/>
        <v>0</v>
      </c>
      <c r="FK166" s="1">
        <f t="shared" si="430"/>
        <v>0</v>
      </c>
      <c r="FL166" s="1">
        <f t="shared" si="431"/>
        <v>0</v>
      </c>
      <c r="FM166" s="1">
        <f t="shared" si="432"/>
        <v>0</v>
      </c>
      <c r="FN166" s="1">
        <f t="shared" si="433"/>
        <v>0</v>
      </c>
      <c r="FO166" s="1">
        <f t="shared" si="434"/>
        <v>0</v>
      </c>
      <c r="FP166" s="1">
        <f t="shared" si="435"/>
        <v>0</v>
      </c>
      <c r="FQ166" s="1">
        <f t="shared" si="436"/>
        <v>0</v>
      </c>
      <c r="FS166" s="1">
        <f t="shared" si="437"/>
        <v>0</v>
      </c>
      <c r="FT166" s="1">
        <f t="shared" si="438"/>
        <v>0</v>
      </c>
      <c r="FU166" s="38">
        <f t="shared" si="439"/>
        <v>0</v>
      </c>
      <c r="FV166" s="38">
        <f t="shared" si="440"/>
        <v>0</v>
      </c>
      <c r="FW166" s="38">
        <f t="shared" si="441"/>
        <v>0</v>
      </c>
      <c r="FX166" s="38">
        <f t="shared" si="442"/>
        <v>0</v>
      </c>
      <c r="FY166" s="38">
        <f t="shared" si="443"/>
        <v>0</v>
      </c>
      <c r="FZ166" s="38">
        <f t="shared" si="444"/>
        <v>0</v>
      </c>
      <c r="GA166" s="38">
        <f t="shared" si="445"/>
        <v>0</v>
      </c>
      <c r="GB166" s="38">
        <f t="shared" si="446"/>
        <v>0</v>
      </c>
      <c r="GC166" s="38">
        <f t="shared" si="447"/>
        <v>0</v>
      </c>
      <c r="GD166" s="38">
        <f t="shared" si="448"/>
        <v>0</v>
      </c>
      <c r="GE166" s="38">
        <f t="shared" si="449"/>
        <v>0</v>
      </c>
      <c r="GF166" s="38">
        <f t="shared" si="450"/>
        <v>0</v>
      </c>
      <c r="GG166" s="38">
        <f t="shared" si="451"/>
        <v>0</v>
      </c>
      <c r="GH166" s="38">
        <f t="shared" si="452"/>
        <v>0</v>
      </c>
      <c r="GI166" s="38">
        <f t="shared" si="453"/>
        <v>0</v>
      </c>
      <c r="GJ166" s="38">
        <f t="shared" si="454"/>
        <v>0</v>
      </c>
      <c r="GL166" s="38">
        <f t="shared" si="455"/>
        <v>0</v>
      </c>
      <c r="GM166" s="38">
        <f t="shared" si="456"/>
        <v>0</v>
      </c>
      <c r="GN166" s="1" t="s">
        <v>2</v>
      </c>
      <c r="GO166" s="1">
        <f t="shared" si="379"/>
        <v>305</v>
      </c>
      <c r="GP166" s="13">
        <f t="shared" si="380"/>
        <v>0.688983606557377</v>
      </c>
      <c r="GQ166" s="43">
        <f t="shared" si="381"/>
        <v>2101.4</v>
      </c>
      <c r="GR166" s="41">
        <f t="shared" si="382"/>
        <v>36439.853580439994</v>
      </c>
      <c r="GS166" s="14">
        <f t="shared" si="383"/>
        <v>119.47492977193441</v>
      </c>
      <c r="GT166" s="1">
        <f t="shared" si="457"/>
        <v>958.99999999999989</v>
      </c>
      <c r="GU166" s="1">
        <f t="shared" si="458"/>
        <v>1142.4000000000001</v>
      </c>
      <c r="GV166" s="1">
        <f t="shared" si="459"/>
        <v>0</v>
      </c>
      <c r="GW166" s="37">
        <f t="shared" si="384"/>
        <v>0</v>
      </c>
      <c r="GX166" s="37"/>
      <c r="GY166" s="37"/>
      <c r="GZ166" s="37"/>
      <c r="HB166" s="1">
        <f t="shared" si="460"/>
        <v>0</v>
      </c>
      <c r="HC166" s="1">
        <f t="shared" si="461"/>
        <v>0</v>
      </c>
      <c r="HD166" s="37" t="s">
        <v>2</v>
      </c>
      <c r="HE166" s="1" t="s">
        <v>31</v>
      </c>
      <c r="HF166" s="1" t="s">
        <v>193</v>
      </c>
      <c r="HG166" s="1" t="s">
        <v>193</v>
      </c>
      <c r="HI166" s="1" t="s">
        <v>96</v>
      </c>
      <c r="HJ166" s="37" t="s">
        <v>2</v>
      </c>
      <c r="JH166" s="58" t="s">
        <v>2</v>
      </c>
    </row>
    <row r="167" spans="1:268" ht="16.25" customHeight="1" x14ac:dyDescent="0.2">
      <c r="A167" s="21" t="s">
        <v>459</v>
      </c>
      <c r="B167" s="1" t="s">
        <v>69</v>
      </c>
      <c r="E167" s="1" t="s">
        <v>72</v>
      </c>
      <c r="F167" s="1" t="s">
        <v>81</v>
      </c>
      <c r="H167" s="1" t="s">
        <v>211</v>
      </c>
      <c r="I167" s="1">
        <v>0</v>
      </c>
      <c r="AD167" s="1">
        <v>0</v>
      </c>
      <c r="AY167" s="1">
        <v>4.6500000000000004</v>
      </c>
      <c r="BG167" s="1">
        <v>0.98</v>
      </c>
      <c r="BH167" s="1">
        <v>6.9000000000000006E-2</v>
      </c>
      <c r="BO167" s="1">
        <v>18.5</v>
      </c>
      <c r="BT167" s="1">
        <v>0</v>
      </c>
      <c r="CO167" s="1">
        <v>0</v>
      </c>
      <c r="DJ167" s="1" t="s">
        <v>96</v>
      </c>
      <c r="DK167" s="1" t="s">
        <v>96</v>
      </c>
      <c r="DL167" s="1">
        <f t="shared" si="377"/>
        <v>0.98</v>
      </c>
      <c r="DM167" s="1">
        <f t="shared" si="378"/>
        <v>6.9000000000000006E-2</v>
      </c>
      <c r="DN167" s="1" t="s">
        <v>148</v>
      </c>
      <c r="DO167" s="1" t="s">
        <v>2</v>
      </c>
      <c r="DP167" s="38">
        <f t="shared" si="385"/>
        <v>0</v>
      </c>
      <c r="DQ167" s="38">
        <f t="shared" si="386"/>
        <v>0</v>
      </c>
      <c r="DR167" s="38">
        <f t="shared" si="387"/>
        <v>0</v>
      </c>
      <c r="DS167" s="38">
        <f t="shared" si="388"/>
        <v>0</v>
      </c>
      <c r="DT167" s="38">
        <f t="shared" si="389"/>
        <v>0</v>
      </c>
      <c r="DU167" s="38">
        <f t="shared" si="390"/>
        <v>0</v>
      </c>
      <c r="DV167" s="38">
        <f t="shared" si="391"/>
        <v>0</v>
      </c>
      <c r="DW167" s="38">
        <f t="shared" si="392"/>
        <v>4.5570000000000006E-2</v>
      </c>
      <c r="DX167" s="38">
        <f t="shared" si="393"/>
        <v>3.2085000000000004E-3</v>
      </c>
      <c r="DY167" s="38">
        <f t="shared" si="394"/>
        <v>0</v>
      </c>
      <c r="DZ167" s="38">
        <f t="shared" si="395"/>
        <v>0</v>
      </c>
      <c r="EA167" s="38">
        <f t="shared" si="396"/>
        <v>0</v>
      </c>
      <c r="EB167" s="38">
        <f t="shared" si="397"/>
        <v>0</v>
      </c>
      <c r="EC167" s="38">
        <f t="shared" si="398"/>
        <v>0</v>
      </c>
      <c r="ED167" s="38">
        <f t="shared" si="399"/>
        <v>0</v>
      </c>
      <c r="EE167" s="38">
        <f t="shared" si="400"/>
        <v>0.86025000000000007</v>
      </c>
      <c r="EG167" s="38">
        <f t="shared" si="401"/>
        <v>0</v>
      </c>
      <c r="EH167" s="38">
        <f t="shared" si="402"/>
        <v>0</v>
      </c>
      <c r="EI167" s="38">
        <f t="shared" si="403"/>
        <v>0</v>
      </c>
      <c r="EJ167" s="38">
        <f t="shared" si="404"/>
        <v>0</v>
      </c>
      <c r="EK167" s="38">
        <f t="shared" si="405"/>
        <v>0</v>
      </c>
      <c r="EL167" s="38">
        <f t="shared" si="406"/>
        <v>0</v>
      </c>
      <c r="EM167" s="38">
        <f t="shared" si="407"/>
        <v>0</v>
      </c>
      <c r="EN167" s="38">
        <f t="shared" si="408"/>
        <v>0</v>
      </c>
      <c r="EO167" s="38">
        <f t="shared" si="409"/>
        <v>0</v>
      </c>
      <c r="EP167" s="38">
        <f t="shared" si="410"/>
        <v>597.60498000000007</v>
      </c>
      <c r="EQ167" s="38">
        <f t="shared" si="411"/>
        <v>232.99974275400001</v>
      </c>
      <c r="ER167" s="38">
        <f t="shared" si="412"/>
        <v>0</v>
      </c>
      <c r="ES167" s="38">
        <f t="shared" si="413"/>
        <v>0</v>
      </c>
      <c r="ET167" s="38">
        <f t="shared" si="414"/>
        <v>0</v>
      </c>
      <c r="EU167" s="38">
        <f t="shared" si="415"/>
        <v>0</v>
      </c>
      <c r="EV167" s="38">
        <f t="shared" si="416"/>
        <v>0</v>
      </c>
      <c r="EW167" s="38">
        <f t="shared" si="417"/>
        <v>0</v>
      </c>
      <c r="EX167" s="38">
        <f t="shared" si="418"/>
        <v>80.003250000000008</v>
      </c>
      <c r="EZ167" s="38">
        <f t="shared" si="419"/>
        <v>0</v>
      </c>
      <c r="FA167" s="38">
        <f t="shared" si="420"/>
        <v>0</v>
      </c>
      <c r="FB167" s="1">
        <f t="shared" si="421"/>
        <v>0</v>
      </c>
      <c r="FC167" s="1">
        <f t="shared" si="422"/>
        <v>0</v>
      </c>
      <c r="FD167" s="1">
        <f t="shared" si="423"/>
        <v>0</v>
      </c>
      <c r="FE167" s="1">
        <f t="shared" si="424"/>
        <v>0</v>
      </c>
      <c r="FF167" s="1">
        <f t="shared" si="425"/>
        <v>0</v>
      </c>
      <c r="FG167" s="1">
        <f t="shared" si="426"/>
        <v>0</v>
      </c>
      <c r="FH167" s="1">
        <f t="shared" si="427"/>
        <v>0</v>
      </c>
      <c r="FI167" s="1">
        <f t="shared" si="428"/>
        <v>0</v>
      </c>
      <c r="FJ167" s="1">
        <f t="shared" si="429"/>
        <v>0</v>
      </c>
      <c r="FK167" s="1">
        <f t="shared" si="430"/>
        <v>0</v>
      </c>
      <c r="FL167" s="1">
        <f t="shared" si="431"/>
        <v>0</v>
      </c>
      <c r="FM167" s="1">
        <f t="shared" si="432"/>
        <v>0</v>
      </c>
      <c r="FN167" s="1">
        <f t="shared" si="433"/>
        <v>0</v>
      </c>
      <c r="FO167" s="1">
        <f t="shared" si="434"/>
        <v>0</v>
      </c>
      <c r="FP167" s="1">
        <f t="shared" si="435"/>
        <v>0</v>
      </c>
      <c r="FQ167" s="1">
        <f t="shared" si="436"/>
        <v>0</v>
      </c>
      <c r="FS167" s="1">
        <f t="shared" si="437"/>
        <v>0</v>
      </c>
      <c r="FT167" s="1">
        <f t="shared" si="438"/>
        <v>0</v>
      </c>
      <c r="FU167" s="38">
        <f t="shared" si="439"/>
        <v>0</v>
      </c>
      <c r="FV167" s="38">
        <f t="shared" si="440"/>
        <v>0</v>
      </c>
      <c r="FW167" s="38">
        <f t="shared" si="441"/>
        <v>0</v>
      </c>
      <c r="FX167" s="38">
        <f t="shared" si="442"/>
        <v>0</v>
      </c>
      <c r="FY167" s="38">
        <f t="shared" si="443"/>
        <v>0</v>
      </c>
      <c r="FZ167" s="38">
        <f t="shared" si="444"/>
        <v>0</v>
      </c>
      <c r="GA167" s="38">
        <f t="shared" si="445"/>
        <v>0</v>
      </c>
      <c r="GB167" s="38">
        <f t="shared" si="446"/>
        <v>0</v>
      </c>
      <c r="GC167" s="38">
        <f t="shared" si="447"/>
        <v>0</v>
      </c>
      <c r="GD167" s="38">
        <f t="shared" si="448"/>
        <v>0</v>
      </c>
      <c r="GE167" s="38">
        <f t="shared" si="449"/>
        <v>0</v>
      </c>
      <c r="GF167" s="38">
        <f t="shared" si="450"/>
        <v>0</v>
      </c>
      <c r="GG167" s="38">
        <f t="shared" si="451"/>
        <v>0</v>
      </c>
      <c r="GH167" s="38">
        <f t="shared" si="452"/>
        <v>0</v>
      </c>
      <c r="GI167" s="38">
        <f t="shared" si="453"/>
        <v>0</v>
      </c>
      <c r="GJ167" s="38">
        <f t="shared" si="454"/>
        <v>0</v>
      </c>
      <c r="GL167" s="38">
        <f t="shared" si="455"/>
        <v>0</v>
      </c>
      <c r="GM167" s="38">
        <f t="shared" si="456"/>
        <v>0</v>
      </c>
      <c r="GN167" s="1" t="s">
        <v>2</v>
      </c>
      <c r="GO167" s="1">
        <f t="shared" si="379"/>
        <v>4.6500000000000004</v>
      </c>
      <c r="GP167" s="1">
        <f t="shared" si="380"/>
        <v>0.98</v>
      </c>
      <c r="GQ167" s="41">
        <f t="shared" si="381"/>
        <v>45.57</v>
      </c>
      <c r="GR167" s="41">
        <f t="shared" si="382"/>
        <v>910.607972754</v>
      </c>
      <c r="GS167" s="14">
        <f t="shared" si="383"/>
        <v>195.82967155999998</v>
      </c>
      <c r="GT167" s="1">
        <f t="shared" si="457"/>
        <v>0</v>
      </c>
      <c r="GU167" s="1">
        <f t="shared" si="458"/>
        <v>0</v>
      </c>
      <c r="GV167" s="1">
        <f t="shared" si="459"/>
        <v>45.57</v>
      </c>
      <c r="GW167" s="37">
        <f t="shared" si="384"/>
        <v>0</v>
      </c>
      <c r="GX167" s="37"/>
      <c r="GY167" s="37"/>
      <c r="GZ167" s="37"/>
      <c r="HB167" s="1">
        <f t="shared" si="460"/>
        <v>0</v>
      </c>
      <c r="HC167" s="1">
        <f t="shared" si="461"/>
        <v>0</v>
      </c>
      <c r="HD167" s="37" t="s">
        <v>2</v>
      </c>
      <c r="HE167" s="1" t="s">
        <v>31</v>
      </c>
      <c r="HF167" s="1" t="s">
        <v>193</v>
      </c>
      <c r="HG167" s="1" t="s">
        <v>193</v>
      </c>
      <c r="HI167" s="1" t="s">
        <v>96</v>
      </c>
      <c r="HJ167" s="37" t="s">
        <v>2</v>
      </c>
      <c r="JH167" s="58" t="s">
        <v>2</v>
      </c>
    </row>
    <row r="168" spans="1:268" ht="16.25" customHeight="1" x14ac:dyDescent="0.2">
      <c r="A168" s="21" t="s">
        <v>508</v>
      </c>
      <c r="B168" s="1" t="s">
        <v>64</v>
      </c>
      <c r="E168" s="1" t="s">
        <v>72</v>
      </c>
      <c r="F168" s="1" t="s">
        <v>509</v>
      </c>
      <c r="H168" s="1" t="s">
        <v>187</v>
      </c>
      <c r="I168" s="1">
        <v>32.774999999999999</v>
      </c>
      <c r="Q168" s="1">
        <v>1.1000000000000001</v>
      </c>
      <c r="Y168" s="1">
        <v>35.200000000000003</v>
      </c>
      <c r="AD168" s="1">
        <v>21.385000000000002</v>
      </c>
      <c r="AL168" s="1">
        <v>1.2</v>
      </c>
      <c r="AT168" s="1">
        <v>25.7</v>
      </c>
      <c r="AY168" s="1">
        <v>0</v>
      </c>
      <c r="BT168" s="13">
        <v>25.081603000000001</v>
      </c>
      <c r="CB168" s="1">
        <v>1.17</v>
      </c>
      <c r="CJ168" s="1">
        <v>35.46</v>
      </c>
      <c r="CO168" s="13">
        <v>11.261068</v>
      </c>
      <c r="CW168" s="1">
        <v>1.34</v>
      </c>
      <c r="DE168" s="1">
        <v>23.37</v>
      </c>
      <c r="DJ168" s="1" t="s">
        <v>96</v>
      </c>
      <c r="DL168" s="1">
        <f t="shared" si="377"/>
        <v>1.1394848596750371</v>
      </c>
      <c r="DM168" s="1">
        <f t="shared" si="378"/>
        <v>0</v>
      </c>
      <c r="DN168" s="1" t="s">
        <v>101</v>
      </c>
      <c r="DO168" s="1" t="s">
        <v>2</v>
      </c>
      <c r="DP168" s="38">
        <f t="shared" si="385"/>
        <v>0</v>
      </c>
      <c r="DQ168" s="38">
        <f t="shared" si="386"/>
        <v>0</v>
      </c>
      <c r="DR168" s="38">
        <f t="shared" si="387"/>
        <v>0</v>
      </c>
      <c r="DS168" s="38">
        <f t="shared" si="388"/>
        <v>0</v>
      </c>
      <c r="DT168" s="38">
        <f t="shared" si="389"/>
        <v>0</v>
      </c>
      <c r="DU168" s="38">
        <f t="shared" si="390"/>
        <v>0</v>
      </c>
      <c r="DV168" s="38">
        <f t="shared" si="391"/>
        <v>0</v>
      </c>
      <c r="DW168" s="38">
        <f t="shared" si="392"/>
        <v>0.61714500000000005</v>
      </c>
      <c r="DX168" s="38">
        <f t="shared" si="393"/>
        <v>0</v>
      </c>
      <c r="DY168" s="38">
        <f t="shared" si="394"/>
        <v>0</v>
      </c>
      <c r="DZ168" s="38">
        <f t="shared" si="395"/>
        <v>0</v>
      </c>
      <c r="EA168" s="38">
        <f t="shared" si="396"/>
        <v>0</v>
      </c>
      <c r="EB168" s="38">
        <f t="shared" si="397"/>
        <v>0</v>
      </c>
      <c r="EC168" s="38">
        <f t="shared" si="398"/>
        <v>0</v>
      </c>
      <c r="ED168" s="38">
        <f t="shared" si="399"/>
        <v>0</v>
      </c>
      <c r="EE168" s="38">
        <f t="shared" si="400"/>
        <v>17.032744999999998</v>
      </c>
      <c r="EG168" s="38">
        <f t="shared" si="401"/>
        <v>0</v>
      </c>
      <c r="EH168" s="38">
        <f t="shared" si="402"/>
        <v>0</v>
      </c>
      <c r="EI168" s="38">
        <f t="shared" si="403"/>
        <v>0</v>
      </c>
      <c r="EJ168" s="38">
        <f t="shared" si="404"/>
        <v>0</v>
      </c>
      <c r="EK168" s="38">
        <f t="shared" si="405"/>
        <v>0</v>
      </c>
      <c r="EL168" s="38">
        <f t="shared" si="406"/>
        <v>0</v>
      </c>
      <c r="EM168" s="38">
        <f t="shared" si="407"/>
        <v>0</v>
      </c>
      <c r="EN168" s="38">
        <f t="shared" si="408"/>
        <v>0</v>
      </c>
      <c r="EO168" s="38">
        <f t="shared" si="409"/>
        <v>0</v>
      </c>
      <c r="EP168" s="38">
        <f t="shared" si="410"/>
        <v>8093.2395300000007</v>
      </c>
      <c r="EQ168" s="38">
        <f t="shared" si="411"/>
        <v>0</v>
      </c>
      <c r="ER168" s="38">
        <f t="shared" si="412"/>
        <v>0</v>
      </c>
      <c r="ES168" s="38">
        <f t="shared" si="413"/>
        <v>0</v>
      </c>
      <c r="ET168" s="38">
        <f t="shared" si="414"/>
        <v>0</v>
      </c>
      <c r="EU168" s="38">
        <f t="shared" si="415"/>
        <v>0</v>
      </c>
      <c r="EV168" s="38">
        <f t="shared" si="416"/>
        <v>0</v>
      </c>
      <c r="EW168" s="38">
        <f t="shared" si="417"/>
        <v>0</v>
      </c>
      <c r="EX168" s="38">
        <f t="shared" si="418"/>
        <v>1584.0452849999999</v>
      </c>
      <c r="EZ168" s="38">
        <f t="shared" si="419"/>
        <v>0</v>
      </c>
      <c r="FA168" s="38">
        <f t="shared" si="420"/>
        <v>0</v>
      </c>
      <c r="FB168" s="1">
        <f t="shared" si="421"/>
        <v>0</v>
      </c>
      <c r="FC168" s="1">
        <f t="shared" si="422"/>
        <v>0</v>
      </c>
      <c r="FD168" s="1">
        <f t="shared" si="423"/>
        <v>0</v>
      </c>
      <c r="FE168" s="1">
        <f t="shared" si="424"/>
        <v>0</v>
      </c>
      <c r="FF168" s="1">
        <f t="shared" si="425"/>
        <v>0</v>
      </c>
      <c r="FG168" s="1">
        <f t="shared" si="426"/>
        <v>0</v>
      </c>
      <c r="FH168" s="1">
        <f t="shared" si="427"/>
        <v>0</v>
      </c>
      <c r="FI168" s="1">
        <f t="shared" si="428"/>
        <v>0.44435306629999999</v>
      </c>
      <c r="FJ168" s="1">
        <f t="shared" si="429"/>
        <v>0</v>
      </c>
      <c r="FK168" s="1">
        <f t="shared" si="430"/>
        <v>0</v>
      </c>
      <c r="FL168" s="1">
        <f t="shared" si="431"/>
        <v>0</v>
      </c>
      <c r="FM168" s="1">
        <f t="shared" si="432"/>
        <v>0</v>
      </c>
      <c r="FN168" s="1">
        <f t="shared" si="433"/>
        <v>0</v>
      </c>
      <c r="FO168" s="1">
        <f t="shared" si="434"/>
        <v>0</v>
      </c>
      <c r="FP168" s="1">
        <f t="shared" si="435"/>
        <v>0</v>
      </c>
      <c r="FQ168" s="1">
        <f t="shared" si="436"/>
        <v>11.525648015400002</v>
      </c>
      <c r="FS168" s="1">
        <f t="shared" si="437"/>
        <v>0</v>
      </c>
      <c r="FT168" s="1">
        <f t="shared" si="438"/>
        <v>0</v>
      </c>
      <c r="FU168" s="38">
        <f t="shared" si="439"/>
        <v>0</v>
      </c>
      <c r="FV168" s="38">
        <f t="shared" si="440"/>
        <v>0</v>
      </c>
      <c r="FW168" s="38">
        <f t="shared" si="441"/>
        <v>0</v>
      </c>
      <c r="FX168" s="38">
        <f t="shared" si="442"/>
        <v>0</v>
      </c>
      <c r="FY168" s="38">
        <f t="shared" si="443"/>
        <v>0</v>
      </c>
      <c r="FZ168" s="38">
        <f t="shared" si="444"/>
        <v>0</v>
      </c>
      <c r="GA168" s="38">
        <f t="shared" si="445"/>
        <v>0</v>
      </c>
      <c r="GB168" s="38">
        <f t="shared" si="446"/>
        <v>5827.2461114582002</v>
      </c>
      <c r="GC168" s="38">
        <f t="shared" si="447"/>
        <v>0</v>
      </c>
      <c r="GD168" s="38">
        <f t="shared" si="448"/>
        <v>0</v>
      </c>
      <c r="GE168" s="38">
        <f t="shared" si="449"/>
        <v>0</v>
      </c>
      <c r="GF168" s="38">
        <f t="shared" si="450"/>
        <v>0</v>
      </c>
      <c r="GG168" s="38">
        <f t="shared" si="451"/>
        <v>0</v>
      </c>
      <c r="GH168" s="38">
        <f t="shared" si="452"/>
        <v>0</v>
      </c>
      <c r="GI168" s="38">
        <f t="shared" si="453"/>
        <v>0</v>
      </c>
      <c r="GJ168" s="38">
        <f t="shared" si="454"/>
        <v>1071.8852654322002</v>
      </c>
      <c r="GL168" s="38">
        <f t="shared" si="455"/>
        <v>0</v>
      </c>
      <c r="GM168" s="38">
        <f t="shared" si="456"/>
        <v>0</v>
      </c>
      <c r="GN168" s="1" t="s">
        <v>2</v>
      </c>
      <c r="GO168" s="1">
        <f t="shared" si="379"/>
        <v>54.16</v>
      </c>
      <c r="GP168" s="13">
        <f t="shared" si="380"/>
        <v>1.1394848596750371</v>
      </c>
      <c r="GQ168" s="41">
        <f t="shared" si="381"/>
        <v>617.1450000000001</v>
      </c>
      <c r="GR168" s="41">
        <f t="shared" si="382"/>
        <v>9677.2848150000009</v>
      </c>
      <c r="GS168" s="14">
        <f t="shared" si="383"/>
        <v>178.67955714549487</v>
      </c>
      <c r="GT168" s="1">
        <f t="shared" si="457"/>
        <v>360.52499999999998</v>
      </c>
      <c r="GU168" s="1">
        <f t="shared" si="458"/>
        <v>256.62000000000006</v>
      </c>
      <c r="GV168" s="1">
        <f t="shared" si="459"/>
        <v>0</v>
      </c>
      <c r="GW168" s="44">
        <f t="shared" si="384"/>
        <v>36.342671000000003</v>
      </c>
      <c r="GX168" s="44">
        <f>(BT168*CB168+CO168*CW168)/GW168</f>
        <v>1.2226758630371444</v>
      </c>
      <c r="GY168" s="41">
        <f>1000*GW168*GX168/100</f>
        <v>444.35306629999997</v>
      </c>
      <c r="GZ168" s="41">
        <f>SUM(FU168:GM168)</f>
        <v>6899.1313768904001</v>
      </c>
      <c r="HA168" s="14">
        <f>GZ168/GW168</f>
        <v>189.83556208321616</v>
      </c>
      <c r="HB168" s="1">
        <f t="shared" si="460"/>
        <v>293.4547551</v>
      </c>
      <c r="HC168" s="1">
        <f t="shared" si="461"/>
        <v>150.89831119999999</v>
      </c>
      <c r="HD168" s="37" t="s">
        <v>2</v>
      </c>
      <c r="HE168" s="1" t="s">
        <v>31</v>
      </c>
      <c r="HF168" s="1" t="s">
        <v>193</v>
      </c>
      <c r="HG168" s="1" t="s">
        <v>193</v>
      </c>
      <c r="HI168" s="1" t="s">
        <v>96</v>
      </c>
      <c r="HJ168" s="37" t="s">
        <v>2</v>
      </c>
      <c r="JH168" s="58" t="s">
        <v>2</v>
      </c>
    </row>
    <row r="169" spans="1:268" ht="16.25" customHeight="1" x14ac:dyDescent="0.2">
      <c r="A169" s="21" t="s">
        <v>510</v>
      </c>
      <c r="B169" s="1" t="s">
        <v>64</v>
      </c>
      <c r="E169" s="1" t="s">
        <v>72</v>
      </c>
      <c r="F169" s="1" t="s">
        <v>511</v>
      </c>
      <c r="H169" s="1" t="s">
        <v>187</v>
      </c>
      <c r="I169" s="1">
        <v>0</v>
      </c>
      <c r="AD169" s="13">
        <f>18.818+12.879</f>
        <v>31.697000000000003</v>
      </c>
      <c r="AL169" s="13">
        <f>(1.36*18.818+1.21*12.879)/AD169</f>
        <v>1.2990525917279239</v>
      </c>
      <c r="AT169" s="13">
        <f>(12.85*18.818+34.25*12.879)/AD169</f>
        <v>21.545163580149541</v>
      </c>
      <c r="AX169" s="13">
        <f>100*((28.96+19.851)-(18.818+12.879))/(28.96+19.851)</f>
        <v>35.061768863575828</v>
      </c>
      <c r="AY169" s="13">
        <f>1.916+0.567</f>
        <v>2.4829999999999997</v>
      </c>
      <c r="BG169" s="13">
        <f>(1.2*1.916+1.14*0.567)/AY169</f>
        <v>1.1862988320579944</v>
      </c>
      <c r="BO169" s="13">
        <f>(13.73*1.916+30.99*0.567)/AY169</f>
        <v>17.671369311316955</v>
      </c>
      <c r="BS169" s="13">
        <f>100*((2.947+0.873)-(1.916+0.567))/(2.947+0.873)</f>
        <v>35.000000000000014</v>
      </c>
      <c r="BT169" s="1">
        <v>0</v>
      </c>
      <c r="CO169" s="13">
        <f>12.82+12.395</f>
        <v>25.215</v>
      </c>
      <c r="CW169" s="13">
        <f>(1.49*12.82+1.19*12.395)/CO169</f>
        <v>1.3425282569898869</v>
      </c>
      <c r="DE169" s="13">
        <f>(17.21*12.82+27.42*12.395)/CO169</f>
        <v>22.228954987110846</v>
      </c>
      <c r="DI169" s="13">
        <f>100*((19.723+19.07)-(12.82+12.395))/(19.723+19.07)</f>
        <v>35.001160003093339</v>
      </c>
      <c r="DJ169" s="1" t="s">
        <v>96</v>
      </c>
      <c r="DL169" s="1">
        <f t="shared" si="377"/>
        <v>1.2908616149795202</v>
      </c>
      <c r="DM169" s="1">
        <f t="shared" si="378"/>
        <v>0</v>
      </c>
      <c r="DN169" s="1" t="s">
        <v>67</v>
      </c>
      <c r="DO169" s="1" t="s">
        <v>2</v>
      </c>
      <c r="DP169" s="38">
        <f t="shared" si="385"/>
        <v>0</v>
      </c>
      <c r="DQ169" s="38">
        <f t="shared" si="386"/>
        <v>0</v>
      </c>
      <c r="DR169" s="38">
        <f t="shared" si="387"/>
        <v>0</v>
      </c>
      <c r="DS169" s="38">
        <f t="shared" si="388"/>
        <v>0</v>
      </c>
      <c r="DT169" s="38">
        <f t="shared" si="389"/>
        <v>0</v>
      </c>
      <c r="DU169" s="38">
        <f t="shared" si="390"/>
        <v>0</v>
      </c>
      <c r="DV169" s="38">
        <f t="shared" si="391"/>
        <v>0</v>
      </c>
      <c r="DW169" s="38">
        <f t="shared" si="392"/>
        <v>0.44121650000000001</v>
      </c>
      <c r="DX169" s="38">
        <f t="shared" si="393"/>
        <v>0</v>
      </c>
      <c r="DY169" s="38">
        <f t="shared" si="394"/>
        <v>0</v>
      </c>
      <c r="DZ169" s="38">
        <f t="shared" si="395"/>
        <v>0</v>
      </c>
      <c r="EA169" s="38">
        <f t="shared" si="396"/>
        <v>0</v>
      </c>
      <c r="EB169" s="38">
        <f t="shared" si="397"/>
        <v>0</v>
      </c>
      <c r="EC169" s="38">
        <f t="shared" si="398"/>
        <v>0</v>
      </c>
      <c r="ED169" s="38">
        <f t="shared" si="399"/>
        <v>0</v>
      </c>
      <c r="EE169" s="38">
        <f t="shared" si="400"/>
        <v>7.2679506000000007</v>
      </c>
      <c r="EG169" s="38">
        <f t="shared" si="401"/>
        <v>0</v>
      </c>
      <c r="EH169" s="38">
        <f t="shared" si="402"/>
        <v>0</v>
      </c>
      <c r="EI169" s="38">
        <f t="shared" si="403"/>
        <v>0</v>
      </c>
      <c r="EJ169" s="38">
        <f t="shared" si="404"/>
        <v>0</v>
      </c>
      <c r="EK169" s="38">
        <f t="shared" si="405"/>
        <v>0</v>
      </c>
      <c r="EL169" s="38">
        <f t="shared" si="406"/>
        <v>0</v>
      </c>
      <c r="EM169" s="38">
        <f t="shared" si="407"/>
        <v>0</v>
      </c>
      <c r="EN169" s="38">
        <f t="shared" si="408"/>
        <v>0</v>
      </c>
      <c r="EO169" s="38">
        <f t="shared" si="409"/>
        <v>0</v>
      </c>
      <c r="EP169" s="38">
        <f t="shared" si="410"/>
        <v>5786.1131809999997</v>
      </c>
      <c r="EQ169" s="38">
        <f t="shared" si="411"/>
        <v>0</v>
      </c>
      <c r="ER169" s="38">
        <f t="shared" si="412"/>
        <v>0</v>
      </c>
      <c r="ES169" s="38">
        <f t="shared" si="413"/>
        <v>0</v>
      </c>
      <c r="ET169" s="38">
        <f t="shared" si="414"/>
        <v>0</v>
      </c>
      <c r="EU169" s="38">
        <f t="shared" si="415"/>
        <v>0</v>
      </c>
      <c r="EV169" s="38">
        <f t="shared" si="416"/>
        <v>0</v>
      </c>
      <c r="EW169" s="38">
        <f t="shared" si="417"/>
        <v>0</v>
      </c>
      <c r="EX169" s="38">
        <f t="shared" si="418"/>
        <v>675.91940580000005</v>
      </c>
      <c r="EZ169" s="38">
        <f t="shared" si="419"/>
        <v>0</v>
      </c>
      <c r="FA169" s="38">
        <f t="shared" si="420"/>
        <v>0</v>
      </c>
      <c r="FB169" s="1">
        <f t="shared" si="421"/>
        <v>0</v>
      </c>
      <c r="FC169" s="1">
        <f t="shared" si="422"/>
        <v>0</v>
      </c>
      <c r="FD169" s="1">
        <f t="shared" si="423"/>
        <v>0</v>
      </c>
      <c r="FE169" s="1">
        <f t="shared" si="424"/>
        <v>0</v>
      </c>
      <c r="FF169" s="1">
        <f t="shared" si="425"/>
        <v>0</v>
      </c>
      <c r="FG169" s="1">
        <f t="shared" si="426"/>
        <v>0</v>
      </c>
      <c r="FH169" s="1">
        <f t="shared" si="427"/>
        <v>0</v>
      </c>
      <c r="FI169" s="1">
        <f t="shared" si="428"/>
        <v>0.3385185</v>
      </c>
      <c r="FJ169" s="1">
        <f t="shared" si="429"/>
        <v>0</v>
      </c>
      <c r="FK169" s="1">
        <f t="shared" si="430"/>
        <v>0</v>
      </c>
      <c r="FL169" s="1">
        <f t="shared" si="431"/>
        <v>0</v>
      </c>
      <c r="FM169" s="1">
        <f t="shared" si="432"/>
        <v>0</v>
      </c>
      <c r="FN169" s="1">
        <f t="shared" si="433"/>
        <v>0</v>
      </c>
      <c r="FO169" s="1">
        <f t="shared" si="434"/>
        <v>0</v>
      </c>
      <c r="FP169" s="1">
        <f t="shared" si="435"/>
        <v>0</v>
      </c>
      <c r="FQ169" s="1">
        <f t="shared" si="436"/>
        <v>5.6050310000000003</v>
      </c>
      <c r="FS169" s="1">
        <f t="shared" si="437"/>
        <v>0</v>
      </c>
      <c r="FT169" s="1">
        <f t="shared" si="438"/>
        <v>0</v>
      </c>
      <c r="FU169" s="38">
        <f t="shared" si="439"/>
        <v>0</v>
      </c>
      <c r="FV169" s="38">
        <f t="shared" si="440"/>
        <v>0</v>
      </c>
      <c r="FW169" s="38">
        <f t="shared" si="441"/>
        <v>0</v>
      </c>
      <c r="FX169" s="38">
        <f t="shared" si="442"/>
        <v>0</v>
      </c>
      <c r="FY169" s="38">
        <f t="shared" si="443"/>
        <v>0</v>
      </c>
      <c r="FZ169" s="38">
        <f t="shared" si="444"/>
        <v>0</v>
      </c>
      <c r="GA169" s="38">
        <f t="shared" si="445"/>
        <v>0</v>
      </c>
      <c r="GB169" s="38">
        <f t="shared" si="446"/>
        <v>4439.3316089999998</v>
      </c>
      <c r="GC169" s="38">
        <f t="shared" si="447"/>
        <v>0</v>
      </c>
      <c r="GD169" s="38">
        <f t="shared" si="448"/>
        <v>0</v>
      </c>
      <c r="GE169" s="38">
        <f t="shared" si="449"/>
        <v>0</v>
      </c>
      <c r="GF169" s="38">
        <f t="shared" si="450"/>
        <v>0</v>
      </c>
      <c r="GG169" s="38">
        <f t="shared" si="451"/>
        <v>0</v>
      </c>
      <c r="GH169" s="38">
        <f t="shared" si="452"/>
        <v>0</v>
      </c>
      <c r="GI169" s="38">
        <f t="shared" si="453"/>
        <v>0</v>
      </c>
      <c r="GJ169" s="38">
        <f t="shared" si="454"/>
        <v>521.26788299999998</v>
      </c>
      <c r="GL169" s="38">
        <f t="shared" si="455"/>
        <v>0</v>
      </c>
      <c r="GM169" s="38">
        <f t="shared" si="456"/>
        <v>0</v>
      </c>
      <c r="GN169" s="1" t="s">
        <v>2</v>
      </c>
      <c r="GO169" s="13">
        <f t="shared" si="379"/>
        <v>34.18</v>
      </c>
      <c r="GP169" s="13">
        <f t="shared" si="380"/>
        <v>1.2908616149795202</v>
      </c>
      <c r="GQ169" s="41">
        <f t="shared" si="381"/>
        <v>441.2165</v>
      </c>
      <c r="GR169" s="41">
        <f t="shared" si="382"/>
        <v>6462.0325868</v>
      </c>
      <c r="GS169" s="14">
        <f t="shared" si="383"/>
        <v>189.05888200117028</v>
      </c>
      <c r="GT169" s="1">
        <f t="shared" si="457"/>
        <v>0</v>
      </c>
      <c r="GU169" s="1">
        <f t="shared" si="458"/>
        <v>411.76069999999999</v>
      </c>
      <c r="GV169" s="1">
        <f t="shared" si="459"/>
        <v>29.455799999999996</v>
      </c>
      <c r="GW169" s="44">
        <f t="shared" si="384"/>
        <v>25.215</v>
      </c>
      <c r="GX169" s="44">
        <f>(BT169*CB169+CO169*CW169)/GW169</f>
        <v>1.3425282569898869</v>
      </c>
      <c r="GY169" s="41">
        <f>1000*GW169*GX169/100</f>
        <v>338.51849999999996</v>
      </c>
      <c r="GZ169" s="41">
        <f>SUM(FU169:GM169)</f>
        <v>4960.5994919999994</v>
      </c>
      <c r="HA169" s="14">
        <f>GZ169/GW169</f>
        <v>196.73208375966684</v>
      </c>
      <c r="HB169" s="1">
        <f t="shared" si="460"/>
        <v>0</v>
      </c>
      <c r="HC169" s="1">
        <f t="shared" si="461"/>
        <v>338.51849999999996</v>
      </c>
      <c r="HD169" s="37" t="s">
        <v>2</v>
      </c>
      <c r="HE169" s="1" t="s">
        <v>31</v>
      </c>
      <c r="HF169" s="1" t="s">
        <v>193</v>
      </c>
      <c r="HG169" s="1" t="s">
        <v>193</v>
      </c>
      <c r="HI169" s="1" t="s">
        <v>96</v>
      </c>
      <c r="HJ169" s="37" t="s">
        <v>2</v>
      </c>
      <c r="JH169" s="58" t="s">
        <v>2</v>
      </c>
    </row>
    <row r="170" spans="1:268" ht="16.25" customHeight="1" x14ac:dyDescent="0.2">
      <c r="A170" s="21" t="s">
        <v>206</v>
      </c>
      <c r="B170" s="1" t="s">
        <v>69</v>
      </c>
      <c r="C170" s="23">
        <f>-8-46.444/60</f>
        <v>-8.7740666666666662</v>
      </c>
      <c r="D170" s="23">
        <f>147+44.454/60</f>
        <v>147.74090000000001</v>
      </c>
      <c r="E170" s="1" t="s">
        <v>72</v>
      </c>
      <c r="F170" s="1" t="s">
        <v>207</v>
      </c>
      <c r="H170" s="1" t="s">
        <v>208</v>
      </c>
      <c r="I170" s="1">
        <v>0</v>
      </c>
      <c r="AD170" s="1">
        <v>0</v>
      </c>
      <c r="AY170" s="1">
        <v>162.5</v>
      </c>
      <c r="BG170" s="1">
        <v>0.94</v>
      </c>
      <c r="BH170" s="1">
        <v>0.09</v>
      </c>
      <c r="BT170" s="1">
        <v>0</v>
      </c>
      <c r="CO170" s="1">
        <v>0</v>
      </c>
      <c r="DJ170" s="1" t="s">
        <v>96</v>
      </c>
      <c r="DK170" s="1" t="s">
        <v>96</v>
      </c>
      <c r="DL170" s="1">
        <f t="shared" si="377"/>
        <v>0.94</v>
      </c>
      <c r="DM170" s="1">
        <f t="shared" si="378"/>
        <v>0.09</v>
      </c>
      <c r="DN170" s="1" t="s">
        <v>67</v>
      </c>
      <c r="DO170" s="1" t="s">
        <v>2</v>
      </c>
      <c r="DP170" s="38">
        <f t="shared" si="385"/>
        <v>0</v>
      </c>
      <c r="DQ170" s="38">
        <f t="shared" si="386"/>
        <v>0</v>
      </c>
      <c r="DR170" s="38">
        <f t="shared" si="387"/>
        <v>0</v>
      </c>
      <c r="DS170" s="38">
        <f t="shared" si="388"/>
        <v>0</v>
      </c>
      <c r="DT170" s="38">
        <f t="shared" si="389"/>
        <v>0</v>
      </c>
      <c r="DU170" s="38">
        <f t="shared" si="390"/>
        <v>0</v>
      </c>
      <c r="DV170" s="38">
        <f t="shared" si="391"/>
        <v>0</v>
      </c>
      <c r="DW170" s="38">
        <f t="shared" si="392"/>
        <v>1.5275000000000001</v>
      </c>
      <c r="DX170" s="38">
        <f t="shared" si="393"/>
        <v>0.14624999999999999</v>
      </c>
      <c r="DY170" s="38">
        <f t="shared" si="394"/>
        <v>0</v>
      </c>
      <c r="DZ170" s="38">
        <f t="shared" si="395"/>
        <v>0</v>
      </c>
      <c r="EA170" s="38">
        <f t="shared" si="396"/>
        <v>0</v>
      </c>
      <c r="EB170" s="38">
        <f t="shared" si="397"/>
        <v>0</v>
      </c>
      <c r="EC170" s="38">
        <f t="shared" si="398"/>
        <v>0</v>
      </c>
      <c r="ED170" s="38">
        <f t="shared" si="399"/>
        <v>0</v>
      </c>
      <c r="EE170" s="38">
        <f t="shared" si="400"/>
        <v>0</v>
      </c>
      <c r="EG170" s="38">
        <f t="shared" si="401"/>
        <v>0</v>
      </c>
      <c r="EH170" s="38">
        <f t="shared" si="402"/>
        <v>0</v>
      </c>
      <c r="EI170" s="38">
        <f t="shared" si="403"/>
        <v>0</v>
      </c>
      <c r="EJ170" s="38">
        <f t="shared" si="404"/>
        <v>0</v>
      </c>
      <c r="EK170" s="38">
        <f t="shared" si="405"/>
        <v>0</v>
      </c>
      <c r="EL170" s="38">
        <f t="shared" si="406"/>
        <v>0</v>
      </c>
      <c r="EM170" s="38">
        <f t="shared" si="407"/>
        <v>0</v>
      </c>
      <c r="EN170" s="38">
        <f t="shared" si="408"/>
        <v>0</v>
      </c>
      <c r="EO170" s="38">
        <f t="shared" si="409"/>
        <v>0</v>
      </c>
      <c r="EP170" s="38">
        <f t="shared" si="410"/>
        <v>20031.635000000002</v>
      </c>
      <c r="EQ170" s="38">
        <f t="shared" si="411"/>
        <v>10620.605384999997</v>
      </c>
      <c r="ER170" s="38">
        <f t="shared" si="412"/>
        <v>0</v>
      </c>
      <c r="ES170" s="38">
        <f t="shared" si="413"/>
        <v>0</v>
      </c>
      <c r="ET170" s="38">
        <f t="shared" si="414"/>
        <v>0</v>
      </c>
      <c r="EU170" s="38">
        <f t="shared" si="415"/>
        <v>0</v>
      </c>
      <c r="EV170" s="38">
        <f t="shared" si="416"/>
        <v>0</v>
      </c>
      <c r="EW170" s="38">
        <f t="shared" si="417"/>
        <v>0</v>
      </c>
      <c r="EX170" s="38">
        <f t="shared" si="418"/>
        <v>0</v>
      </c>
      <c r="EZ170" s="38">
        <f t="shared" si="419"/>
        <v>0</v>
      </c>
      <c r="FA170" s="38">
        <f t="shared" si="420"/>
        <v>0</v>
      </c>
      <c r="FB170" s="1">
        <f t="shared" si="421"/>
        <v>0</v>
      </c>
      <c r="FC170" s="1">
        <f t="shared" si="422"/>
        <v>0</v>
      </c>
      <c r="FD170" s="1">
        <f t="shared" si="423"/>
        <v>0</v>
      </c>
      <c r="FE170" s="1">
        <f t="shared" si="424"/>
        <v>0</v>
      </c>
      <c r="FF170" s="1">
        <f t="shared" si="425"/>
        <v>0</v>
      </c>
      <c r="FG170" s="1">
        <f t="shared" si="426"/>
        <v>0</v>
      </c>
      <c r="FH170" s="1">
        <f t="shared" si="427"/>
        <v>0</v>
      </c>
      <c r="FI170" s="1">
        <f t="shared" si="428"/>
        <v>0</v>
      </c>
      <c r="FJ170" s="1">
        <f t="shared" si="429"/>
        <v>0</v>
      </c>
      <c r="FK170" s="1">
        <f t="shared" si="430"/>
        <v>0</v>
      </c>
      <c r="FL170" s="1">
        <f t="shared" si="431"/>
        <v>0</v>
      </c>
      <c r="FM170" s="1">
        <f t="shared" si="432"/>
        <v>0</v>
      </c>
      <c r="FN170" s="1">
        <f t="shared" si="433"/>
        <v>0</v>
      </c>
      <c r="FO170" s="1">
        <f t="shared" si="434"/>
        <v>0</v>
      </c>
      <c r="FP170" s="1">
        <f t="shared" si="435"/>
        <v>0</v>
      </c>
      <c r="FQ170" s="1">
        <f t="shared" si="436"/>
        <v>0</v>
      </c>
      <c r="FS170" s="1">
        <f t="shared" si="437"/>
        <v>0</v>
      </c>
      <c r="FT170" s="1">
        <f t="shared" si="438"/>
        <v>0</v>
      </c>
      <c r="FU170" s="38">
        <f t="shared" si="439"/>
        <v>0</v>
      </c>
      <c r="FV170" s="38">
        <f t="shared" si="440"/>
        <v>0</v>
      </c>
      <c r="FW170" s="38">
        <f t="shared" si="441"/>
        <v>0</v>
      </c>
      <c r="FX170" s="38">
        <f t="shared" si="442"/>
        <v>0</v>
      </c>
      <c r="FY170" s="38">
        <f t="shared" si="443"/>
        <v>0</v>
      </c>
      <c r="FZ170" s="38">
        <f t="shared" si="444"/>
        <v>0</v>
      </c>
      <c r="GA170" s="38">
        <f t="shared" si="445"/>
        <v>0</v>
      </c>
      <c r="GB170" s="38">
        <f t="shared" si="446"/>
        <v>0</v>
      </c>
      <c r="GC170" s="38">
        <f t="shared" si="447"/>
        <v>0</v>
      </c>
      <c r="GD170" s="38">
        <f t="shared" si="448"/>
        <v>0</v>
      </c>
      <c r="GE170" s="38">
        <f t="shared" si="449"/>
        <v>0</v>
      </c>
      <c r="GF170" s="38">
        <f t="shared" si="450"/>
        <v>0</v>
      </c>
      <c r="GG170" s="38">
        <f t="shared" si="451"/>
        <v>0</v>
      </c>
      <c r="GH170" s="38">
        <f t="shared" si="452"/>
        <v>0</v>
      </c>
      <c r="GI170" s="38">
        <f t="shared" si="453"/>
        <v>0</v>
      </c>
      <c r="GJ170" s="38">
        <f t="shared" si="454"/>
        <v>0</v>
      </c>
      <c r="GL170" s="38">
        <f t="shared" si="455"/>
        <v>0</v>
      </c>
      <c r="GM170" s="38">
        <f t="shared" si="456"/>
        <v>0</v>
      </c>
      <c r="GN170" s="1" t="s">
        <v>2</v>
      </c>
      <c r="GO170" s="1">
        <f t="shared" si="379"/>
        <v>162.5</v>
      </c>
      <c r="GP170" s="1">
        <f t="shared" si="380"/>
        <v>0.94</v>
      </c>
      <c r="GQ170" s="43">
        <f t="shared" si="381"/>
        <v>1527.5</v>
      </c>
      <c r="GR170" s="41">
        <f t="shared" si="382"/>
        <v>30652.240384999997</v>
      </c>
      <c r="GS170" s="14">
        <f t="shared" si="383"/>
        <v>188.62917159999998</v>
      </c>
      <c r="GT170" s="1">
        <f t="shared" si="457"/>
        <v>0</v>
      </c>
      <c r="GU170" s="1">
        <f t="shared" si="458"/>
        <v>0</v>
      </c>
      <c r="GV170" s="1">
        <f t="shared" si="459"/>
        <v>1527.5</v>
      </c>
      <c r="GW170" s="37">
        <f t="shared" si="384"/>
        <v>0</v>
      </c>
      <c r="GX170" s="37"/>
      <c r="GY170" s="37"/>
      <c r="GZ170" s="37"/>
      <c r="HB170" s="1">
        <f t="shared" si="460"/>
        <v>0</v>
      </c>
      <c r="HC170" s="1">
        <f t="shared" si="461"/>
        <v>0</v>
      </c>
      <c r="HD170" s="37" t="s">
        <v>2</v>
      </c>
      <c r="HE170" s="1" t="s">
        <v>31</v>
      </c>
      <c r="HF170" s="1" t="s">
        <v>193</v>
      </c>
      <c r="HG170" s="1" t="s">
        <v>193</v>
      </c>
      <c r="HI170" s="1" t="s">
        <v>96</v>
      </c>
      <c r="HJ170" s="37" t="s">
        <v>2</v>
      </c>
      <c r="JH170" s="58" t="s">
        <v>2</v>
      </c>
    </row>
    <row r="171" spans="1:268" ht="16.25" customHeight="1" x14ac:dyDescent="0.2">
      <c r="A171" s="21" t="s">
        <v>1032</v>
      </c>
      <c r="B171" s="1" t="s">
        <v>69</v>
      </c>
      <c r="F171" s="1" t="s">
        <v>1033</v>
      </c>
      <c r="H171" s="1" t="s">
        <v>1034</v>
      </c>
      <c r="I171" s="1">
        <v>0</v>
      </c>
      <c r="AD171" s="1">
        <f>30.5+10.9+4.7+42+13.2</f>
        <v>101.3</v>
      </c>
      <c r="AL171" s="13">
        <f>(0.87*30.5+0.97*10.9+1.01*4.7+0.93*42+0.99*13.2)/AD171</f>
        <v>0.92776900296150056</v>
      </c>
      <c r="AM171" s="2">
        <f>(0.035*30.5+0.028*10.9+0.026*4.7+0.027*42+0.019*13.2)/AD171</f>
        <v>2.8427443237907205E-2</v>
      </c>
      <c r="AT171" s="13">
        <f>((12.95*30.5+14.29*10.9+7.81*4.7+12.33*42+11.31*13.2)/AD171)*(2*55.85/(2*55.85+3*16.001))</f>
        <v>8.6623196517321048</v>
      </c>
      <c r="AU171" s="13">
        <f>(71.96*30.5+52.35*10.9+37.71*4.7+72.3*42+51.61*13.2)/AD171</f>
        <v>65.750088845014815</v>
      </c>
      <c r="AY171" s="1">
        <f>0.7+0.41+1.62+1.48+0.37+0.84</f>
        <v>5.42</v>
      </c>
      <c r="BG171" s="13">
        <f>(0.99*0.7+0.91*0.41+0.74*1.62+0.72*1.48+0.66*0.37+1*0.84)/AY171</f>
        <v>0.81452029520295199</v>
      </c>
      <c r="BH171" s="2">
        <f>(0.027*0.7+0.02*0.41+0.019*1.62+0.031*1.48+0.018*0.37+0.016*0.84)/AY171</f>
        <v>2.285239852398524E-2</v>
      </c>
      <c r="BO171" s="13">
        <f>((13.29*0.7+12.24*0.41+8.62*1.62+11.96*1.48+12.08*0.37+7.78*0.84)/AY171)*(2*55.85/(2*55.85+3*16.001))</f>
        <v>7.3544489514010944</v>
      </c>
      <c r="BP171" s="13">
        <f>(74.32*0.7+50.25*0.41+39.58*1.62+73.23*1.48+52.21*0.37+36.07*0.84)/AY171</f>
        <v>54.38062730627307</v>
      </c>
      <c r="BT171" s="1">
        <v>0</v>
      </c>
      <c r="CO171" s="1">
        <v>0</v>
      </c>
      <c r="DJ171" s="1" t="s">
        <v>96</v>
      </c>
      <c r="DK171" s="1" t="s">
        <v>96</v>
      </c>
      <c r="DL171" s="1">
        <f t="shared" si="377"/>
        <v>0.92201742878560722</v>
      </c>
      <c r="DM171" s="1">
        <f t="shared" si="378"/>
        <v>2.8144302848575709E-2</v>
      </c>
      <c r="DN171" s="1" t="s">
        <v>1035</v>
      </c>
      <c r="DO171" s="1" t="s">
        <v>2</v>
      </c>
      <c r="DP171" s="38">
        <f t="shared" si="385"/>
        <v>0</v>
      </c>
      <c r="DQ171" s="38">
        <f t="shared" si="386"/>
        <v>0</v>
      </c>
      <c r="DR171" s="38">
        <f t="shared" si="387"/>
        <v>0</v>
      </c>
      <c r="DS171" s="38">
        <f t="shared" si="388"/>
        <v>0</v>
      </c>
      <c r="DT171" s="38">
        <f t="shared" si="389"/>
        <v>0</v>
      </c>
      <c r="DU171" s="38">
        <f t="shared" si="390"/>
        <v>0</v>
      </c>
      <c r="DV171" s="38">
        <f t="shared" si="391"/>
        <v>0</v>
      </c>
      <c r="DW171" s="38">
        <f t="shared" si="392"/>
        <v>0.98397699999999999</v>
      </c>
      <c r="DX171" s="38">
        <f t="shared" si="393"/>
        <v>3.0035599999999999E-2</v>
      </c>
      <c r="DY171" s="38">
        <f t="shared" si="394"/>
        <v>0</v>
      </c>
      <c r="DZ171" s="38">
        <f t="shared" si="395"/>
        <v>0</v>
      </c>
      <c r="EA171" s="38">
        <f t="shared" si="396"/>
        <v>0</v>
      </c>
      <c r="EB171" s="38">
        <f t="shared" si="397"/>
        <v>0</v>
      </c>
      <c r="EC171" s="38">
        <f t="shared" si="398"/>
        <v>0</v>
      </c>
      <c r="ED171" s="38">
        <f t="shared" si="399"/>
        <v>0</v>
      </c>
      <c r="EE171" s="38">
        <f t="shared" si="400"/>
        <v>9.173540940370561</v>
      </c>
      <c r="EG171" s="38">
        <f t="shared" si="401"/>
        <v>0</v>
      </c>
      <c r="EH171" s="38">
        <f t="shared" si="402"/>
        <v>0</v>
      </c>
      <c r="EI171" s="38">
        <f t="shared" si="403"/>
        <v>0</v>
      </c>
      <c r="EJ171" s="38">
        <f t="shared" si="404"/>
        <v>0</v>
      </c>
      <c r="EK171" s="38">
        <f t="shared" si="405"/>
        <v>0</v>
      </c>
      <c r="EL171" s="38">
        <f t="shared" si="406"/>
        <v>0</v>
      </c>
      <c r="EM171" s="38">
        <f t="shared" si="407"/>
        <v>0</v>
      </c>
      <c r="EN171" s="38">
        <f t="shared" si="408"/>
        <v>0</v>
      </c>
      <c r="EO171" s="38">
        <f t="shared" si="409"/>
        <v>0</v>
      </c>
      <c r="EP171" s="38">
        <f t="shared" si="410"/>
        <v>12903.874378</v>
      </c>
      <c r="EQ171" s="38">
        <f t="shared" si="411"/>
        <v>2181.1709750543996</v>
      </c>
      <c r="ER171" s="38">
        <f t="shared" si="412"/>
        <v>0</v>
      </c>
      <c r="ES171" s="38">
        <f t="shared" si="413"/>
        <v>0</v>
      </c>
      <c r="ET171" s="38">
        <f t="shared" si="414"/>
        <v>0</v>
      </c>
      <c r="EU171" s="38">
        <f t="shared" si="415"/>
        <v>0</v>
      </c>
      <c r="EV171" s="38">
        <f t="shared" si="416"/>
        <v>0</v>
      </c>
      <c r="EW171" s="38">
        <f t="shared" si="417"/>
        <v>0</v>
      </c>
      <c r="EX171" s="38">
        <f t="shared" si="418"/>
        <v>853.13930745446214</v>
      </c>
      <c r="EZ171" s="38">
        <f t="shared" si="419"/>
        <v>0</v>
      </c>
      <c r="FA171" s="38">
        <f t="shared" si="420"/>
        <v>0</v>
      </c>
      <c r="FB171" s="1">
        <f t="shared" si="421"/>
        <v>0</v>
      </c>
      <c r="FC171" s="1">
        <f t="shared" si="422"/>
        <v>0</v>
      </c>
      <c r="FD171" s="1">
        <f t="shared" si="423"/>
        <v>0</v>
      </c>
      <c r="FE171" s="1">
        <f t="shared" si="424"/>
        <v>0</v>
      </c>
      <c r="FF171" s="1">
        <f t="shared" si="425"/>
        <v>0</v>
      </c>
      <c r="FG171" s="1">
        <f t="shared" si="426"/>
        <v>0</v>
      </c>
      <c r="FH171" s="1">
        <f t="shared" si="427"/>
        <v>0</v>
      </c>
      <c r="FI171" s="1">
        <f t="shared" si="428"/>
        <v>0</v>
      </c>
      <c r="FJ171" s="1">
        <f t="shared" si="429"/>
        <v>0</v>
      </c>
      <c r="FK171" s="1">
        <f t="shared" si="430"/>
        <v>0</v>
      </c>
      <c r="FL171" s="1">
        <f t="shared" si="431"/>
        <v>0</v>
      </c>
      <c r="FM171" s="1">
        <f t="shared" si="432"/>
        <v>0</v>
      </c>
      <c r="FN171" s="1">
        <f t="shared" si="433"/>
        <v>0</v>
      </c>
      <c r="FO171" s="1">
        <f t="shared" si="434"/>
        <v>0</v>
      </c>
      <c r="FP171" s="1">
        <f t="shared" si="435"/>
        <v>0</v>
      </c>
      <c r="FQ171" s="1">
        <f t="shared" si="436"/>
        <v>0</v>
      </c>
      <c r="FS171" s="1">
        <f t="shared" si="437"/>
        <v>0</v>
      </c>
      <c r="FT171" s="1">
        <f t="shared" si="438"/>
        <v>0</v>
      </c>
      <c r="FU171" s="38">
        <f t="shared" si="439"/>
        <v>0</v>
      </c>
      <c r="FV171" s="38">
        <f t="shared" si="440"/>
        <v>0</v>
      </c>
      <c r="FW171" s="38">
        <f t="shared" si="441"/>
        <v>0</v>
      </c>
      <c r="FX171" s="38">
        <f t="shared" si="442"/>
        <v>0</v>
      </c>
      <c r="FY171" s="38">
        <f t="shared" si="443"/>
        <v>0</v>
      </c>
      <c r="FZ171" s="38">
        <f t="shared" si="444"/>
        <v>0</v>
      </c>
      <c r="GA171" s="38">
        <f t="shared" si="445"/>
        <v>0</v>
      </c>
      <c r="GB171" s="38">
        <f t="shared" si="446"/>
        <v>0</v>
      </c>
      <c r="GC171" s="38">
        <f t="shared" si="447"/>
        <v>0</v>
      </c>
      <c r="GD171" s="38">
        <f t="shared" si="448"/>
        <v>0</v>
      </c>
      <c r="GE171" s="38">
        <f t="shared" si="449"/>
        <v>0</v>
      </c>
      <c r="GF171" s="38">
        <f t="shared" si="450"/>
        <v>0</v>
      </c>
      <c r="GG171" s="38">
        <f t="shared" si="451"/>
        <v>0</v>
      </c>
      <c r="GH171" s="38">
        <f t="shared" si="452"/>
        <v>0</v>
      </c>
      <c r="GI171" s="38">
        <f t="shared" si="453"/>
        <v>0</v>
      </c>
      <c r="GJ171" s="38">
        <f t="shared" si="454"/>
        <v>0</v>
      </c>
      <c r="GL171" s="38">
        <f t="shared" si="455"/>
        <v>0</v>
      </c>
      <c r="GM171" s="38">
        <f t="shared" si="456"/>
        <v>0</v>
      </c>
      <c r="GN171" s="1" t="s">
        <v>2</v>
      </c>
      <c r="GO171" s="14">
        <f t="shared" si="379"/>
        <v>106.72</v>
      </c>
      <c r="GP171" s="13">
        <f t="shared" si="380"/>
        <v>0.92201742878560722</v>
      </c>
      <c r="GQ171" s="41">
        <f t="shared" si="381"/>
        <v>983.97699999999998</v>
      </c>
      <c r="GR171" s="41">
        <f t="shared" si="382"/>
        <v>15938.184660508861</v>
      </c>
      <c r="GS171" s="14">
        <f t="shared" si="383"/>
        <v>149.34580828812651</v>
      </c>
      <c r="GT171" s="1">
        <f t="shared" si="457"/>
        <v>0</v>
      </c>
      <c r="GU171" s="1">
        <f t="shared" si="458"/>
        <v>939.83</v>
      </c>
      <c r="GV171" s="1">
        <f t="shared" si="459"/>
        <v>44.146999999999998</v>
      </c>
      <c r="GW171" s="37">
        <f t="shared" si="384"/>
        <v>0</v>
      </c>
      <c r="GX171" s="37"/>
      <c r="GY171" s="37"/>
      <c r="GZ171" s="37"/>
      <c r="HB171" s="1">
        <f t="shared" si="460"/>
        <v>0</v>
      </c>
      <c r="HC171" s="1">
        <f t="shared" si="461"/>
        <v>0</v>
      </c>
      <c r="HD171" s="37" t="s">
        <v>2</v>
      </c>
      <c r="HE171" s="1" t="s">
        <v>31</v>
      </c>
      <c r="HF171" s="1" t="s">
        <v>193</v>
      </c>
      <c r="HG171" s="1" t="s">
        <v>193</v>
      </c>
      <c r="HI171" s="1" t="s">
        <v>96</v>
      </c>
      <c r="HJ171" s="37" t="s">
        <v>2</v>
      </c>
      <c r="JH171" s="58" t="s">
        <v>2</v>
      </c>
    </row>
    <row r="172" spans="1:268" ht="16.25" customHeight="1" x14ac:dyDescent="0.2">
      <c r="A172" s="21" t="s">
        <v>344</v>
      </c>
      <c r="B172" s="1" t="s">
        <v>69</v>
      </c>
      <c r="E172" s="1" t="s">
        <v>72</v>
      </c>
      <c r="F172" s="1" t="s">
        <v>345</v>
      </c>
      <c r="H172" s="1" t="s">
        <v>211</v>
      </c>
      <c r="I172" s="1">
        <v>0</v>
      </c>
      <c r="AD172" s="1">
        <v>0</v>
      </c>
      <c r="AY172" s="1">
        <v>1</v>
      </c>
      <c r="BG172" s="1">
        <v>1</v>
      </c>
      <c r="BT172" s="1">
        <v>0</v>
      </c>
      <c r="CO172" s="1">
        <v>0</v>
      </c>
      <c r="DJ172" s="1" t="s">
        <v>96</v>
      </c>
      <c r="DL172" s="1">
        <f t="shared" si="377"/>
        <v>1</v>
      </c>
      <c r="DM172" s="1">
        <f t="shared" si="378"/>
        <v>0</v>
      </c>
      <c r="DN172" s="1" t="s">
        <v>148</v>
      </c>
      <c r="DO172" s="1" t="s">
        <v>2</v>
      </c>
      <c r="DP172" s="38">
        <f t="shared" si="385"/>
        <v>0</v>
      </c>
      <c r="DQ172" s="38">
        <f t="shared" si="386"/>
        <v>0</v>
      </c>
      <c r="DR172" s="38">
        <f t="shared" si="387"/>
        <v>0</v>
      </c>
      <c r="DS172" s="38">
        <f t="shared" si="388"/>
        <v>0</v>
      </c>
      <c r="DT172" s="38">
        <f t="shared" si="389"/>
        <v>0</v>
      </c>
      <c r="DU172" s="38">
        <f t="shared" si="390"/>
        <v>0</v>
      </c>
      <c r="DV172" s="38">
        <f t="shared" si="391"/>
        <v>0</v>
      </c>
      <c r="DW172" s="38">
        <f t="shared" si="392"/>
        <v>0.01</v>
      </c>
      <c r="DX172" s="38">
        <f t="shared" si="393"/>
        <v>0</v>
      </c>
      <c r="DY172" s="38">
        <f t="shared" si="394"/>
        <v>0</v>
      </c>
      <c r="DZ172" s="38">
        <f t="shared" si="395"/>
        <v>0</v>
      </c>
      <c r="EA172" s="38">
        <f t="shared" si="396"/>
        <v>0</v>
      </c>
      <c r="EB172" s="38">
        <f t="shared" si="397"/>
        <v>0</v>
      </c>
      <c r="EC172" s="38">
        <f t="shared" si="398"/>
        <v>0</v>
      </c>
      <c r="ED172" s="38">
        <f t="shared" si="399"/>
        <v>0</v>
      </c>
      <c r="EE172" s="38">
        <f t="shared" si="400"/>
        <v>0</v>
      </c>
      <c r="EG172" s="38">
        <f t="shared" si="401"/>
        <v>0</v>
      </c>
      <c r="EH172" s="38">
        <f t="shared" si="402"/>
        <v>0</v>
      </c>
      <c r="EI172" s="38">
        <f t="shared" si="403"/>
        <v>0</v>
      </c>
      <c r="EJ172" s="38">
        <f t="shared" si="404"/>
        <v>0</v>
      </c>
      <c r="EK172" s="38">
        <f t="shared" si="405"/>
        <v>0</v>
      </c>
      <c r="EL172" s="38">
        <f t="shared" si="406"/>
        <v>0</v>
      </c>
      <c r="EM172" s="38">
        <f t="shared" si="407"/>
        <v>0</v>
      </c>
      <c r="EN172" s="38">
        <f t="shared" si="408"/>
        <v>0</v>
      </c>
      <c r="EO172" s="38">
        <f t="shared" si="409"/>
        <v>0</v>
      </c>
      <c r="EP172" s="38">
        <f t="shared" si="410"/>
        <v>131.14000000000001</v>
      </c>
      <c r="EQ172" s="38">
        <f t="shared" si="411"/>
        <v>0</v>
      </c>
      <c r="ER172" s="38">
        <f t="shared" si="412"/>
        <v>0</v>
      </c>
      <c r="ES172" s="38">
        <f t="shared" si="413"/>
        <v>0</v>
      </c>
      <c r="ET172" s="38">
        <f t="shared" si="414"/>
        <v>0</v>
      </c>
      <c r="EU172" s="38">
        <f t="shared" si="415"/>
        <v>0</v>
      </c>
      <c r="EV172" s="38">
        <f t="shared" si="416"/>
        <v>0</v>
      </c>
      <c r="EW172" s="38">
        <f t="shared" si="417"/>
        <v>0</v>
      </c>
      <c r="EX172" s="38">
        <f t="shared" si="418"/>
        <v>0</v>
      </c>
      <c r="EZ172" s="38">
        <f t="shared" si="419"/>
        <v>0</v>
      </c>
      <c r="FA172" s="38">
        <f t="shared" si="420"/>
        <v>0</v>
      </c>
      <c r="FB172" s="1">
        <f t="shared" si="421"/>
        <v>0</v>
      </c>
      <c r="FC172" s="1">
        <f t="shared" si="422"/>
        <v>0</v>
      </c>
      <c r="FD172" s="1">
        <f t="shared" si="423"/>
        <v>0</v>
      </c>
      <c r="FE172" s="1">
        <f t="shared" si="424"/>
        <v>0</v>
      </c>
      <c r="FF172" s="1">
        <f t="shared" si="425"/>
        <v>0</v>
      </c>
      <c r="FG172" s="1">
        <f t="shared" si="426"/>
        <v>0</v>
      </c>
      <c r="FH172" s="1">
        <f t="shared" si="427"/>
        <v>0</v>
      </c>
      <c r="FI172" s="1">
        <f t="shared" si="428"/>
        <v>0</v>
      </c>
      <c r="FJ172" s="1">
        <f t="shared" si="429"/>
        <v>0</v>
      </c>
      <c r="FK172" s="1">
        <f t="shared" si="430"/>
        <v>0</v>
      </c>
      <c r="FL172" s="1">
        <f t="shared" si="431"/>
        <v>0</v>
      </c>
      <c r="FM172" s="1">
        <f t="shared" si="432"/>
        <v>0</v>
      </c>
      <c r="FN172" s="1">
        <f t="shared" si="433"/>
        <v>0</v>
      </c>
      <c r="FO172" s="1">
        <f t="shared" si="434"/>
        <v>0</v>
      </c>
      <c r="FP172" s="1">
        <f t="shared" si="435"/>
        <v>0</v>
      </c>
      <c r="FQ172" s="1">
        <f t="shared" si="436"/>
        <v>0</v>
      </c>
      <c r="FS172" s="1">
        <f t="shared" si="437"/>
        <v>0</v>
      </c>
      <c r="FT172" s="1">
        <f t="shared" si="438"/>
        <v>0</v>
      </c>
      <c r="FU172" s="38">
        <f t="shared" si="439"/>
        <v>0</v>
      </c>
      <c r="FV172" s="38">
        <f t="shared" si="440"/>
        <v>0</v>
      </c>
      <c r="FW172" s="38">
        <f t="shared" si="441"/>
        <v>0</v>
      </c>
      <c r="FX172" s="38">
        <f t="shared" si="442"/>
        <v>0</v>
      </c>
      <c r="FY172" s="38">
        <f t="shared" si="443"/>
        <v>0</v>
      </c>
      <c r="FZ172" s="38">
        <f t="shared" si="444"/>
        <v>0</v>
      </c>
      <c r="GA172" s="38">
        <f t="shared" si="445"/>
        <v>0</v>
      </c>
      <c r="GB172" s="38">
        <f t="shared" si="446"/>
        <v>0</v>
      </c>
      <c r="GC172" s="38">
        <f t="shared" si="447"/>
        <v>0</v>
      </c>
      <c r="GD172" s="38">
        <f t="shared" si="448"/>
        <v>0</v>
      </c>
      <c r="GE172" s="38">
        <f t="shared" si="449"/>
        <v>0</v>
      </c>
      <c r="GF172" s="38">
        <f t="shared" si="450"/>
        <v>0</v>
      </c>
      <c r="GG172" s="38">
        <f t="shared" si="451"/>
        <v>0</v>
      </c>
      <c r="GH172" s="38">
        <f t="shared" si="452"/>
        <v>0</v>
      </c>
      <c r="GI172" s="38">
        <f t="shared" si="453"/>
        <v>0</v>
      </c>
      <c r="GJ172" s="38">
        <f t="shared" si="454"/>
        <v>0</v>
      </c>
      <c r="GL172" s="38">
        <f t="shared" si="455"/>
        <v>0</v>
      </c>
      <c r="GM172" s="38">
        <f t="shared" si="456"/>
        <v>0</v>
      </c>
      <c r="GN172" s="1" t="s">
        <v>2</v>
      </c>
      <c r="GO172" s="1">
        <f t="shared" si="379"/>
        <v>1</v>
      </c>
      <c r="GP172" s="1">
        <f t="shared" si="380"/>
        <v>1</v>
      </c>
      <c r="GQ172" s="41">
        <f t="shared" si="381"/>
        <v>10</v>
      </c>
      <c r="GR172" s="41">
        <f t="shared" si="382"/>
        <v>131.14000000000001</v>
      </c>
      <c r="GS172" s="14">
        <f t="shared" si="383"/>
        <v>131.14000000000001</v>
      </c>
      <c r="GT172" s="1">
        <f t="shared" si="457"/>
        <v>0</v>
      </c>
      <c r="GU172" s="1">
        <f t="shared" si="458"/>
        <v>0</v>
      </c>
      <c r="GV172" s="1">
        <f t="shared" si="459"/>
        <v>10</v>
      </c>
      <c r="GW172" s="37">
        <f t="shared" si="384"/>
        <v>0</v>
      </c>
      <c r="GX172" s="37"/>
      <c r="GY172" s="37"/>
      <c r="GZ172" s="37"/>
      <c r="HB172" s="1">
        <f t="shared" si="460"/>
        <v>0</v>
      </c>
      <c r="HC172" s="1">
        <f t="shared" si="461"/>
        <v>0</v>
      </c>
      <c r="HD172" s="37" t="s">
        <v>2</v>
      </c>
      <c r="HE172" s="1" t="s">
        <v>31</v>
      </c>
      <c r="HF172" s="1" t="s">
        <v>193</v>
      </c>
      <c r="HG172" s="1" t="s">
        <v>193</v>
      </c>
      <c r="HI172" s="1" t="s">
        <v>96</v>
      </c>
      <c r="HJ172" s="37" t="s">
        <v>2</v>
      </c>
      <c r="JH172" s="58" t="s">
        <v>2</v>
      </c>
    </row>
    <row r="173" spans="1:268" ht="16.25" customHeight="1" x14ac:dyDescent="0.2">
      <c r="A173" s="21" t="s">
        <v>536</v>
      </c>
      <c r="B173" s="1" t="s">
        <v>69</v>
      </c>
      <c r="E173" s="1" t="s">
        <v>72</v>
      </c>
      <c r="F173" s="1" t="s">
        <v>131</v>
      </c>
      <c r="H173" s="1" t="s">
        <v>216</v>
      </c>
      <c r="I173" s="1">
        <v>0</v>
      </c>
      <c r="AD173" s="1">
        <v>0</v>
      </c>
      <c r="AY173" s="1">
        <v>23.5</v>
      </c>
      <c r="BG173" s="1">
        <v>1.18</v>
      </c>
      <c r="BT173" s="1">
        <v>0</v>
      </c>
      <c r="CO173" s="1">
        <v>0</v>
      </c>
      <c r="DJ173" s="1" t="s">
        <v>96</v>
      </c>
      <c r="DL173" s="1">
        <f t="shared" si="377"/>
        <v>1.18</v>
      </c>
      <c r="DM173" s="1">
        <f t="shared" si="378"/>
        <v>0</v>
      </c>
      <c r="DN173" s="1" t="s">
        <v>161</v>
      </c>
      <c r="DO173" s="1" t="s">
        <v>2</v>
      </c>
      <c r="DP173" s="38">
        <f t="shared" si="385"/>
        <v>0</v>
      </c>
      <c r="DQ173" s="38">
        <f t="shared" si="386"/>
        <v>0</v>
      </c>
      <c r="DR173" s="38">
        <f t="shared" si="387"/>
        <v>0</v>
      </c>
      <c r="DS173" s="38">
        <f t="shared" si="388"/>
        <v>0</v>
      </c>
      <c r="DT173" s="38">
        <f t="shared" si="389"/>
        <v>0</v>
      </c>
      <c r="DU173" s="38">
        <f t="shared" si="390"/>
        <v>0</v>
      </c>
      <c r="DV173" s="38">
        <f t="shared" si="391"/>
        <v>0</v>
      </c>
      <c r="DW173" s="38">
        <f t="shared" si="392"/>
        <v>0.27729999999999999</v>
      </c>
      <c r="DX173" s="38">
        <f t="shared" si="393"/>
        <v>0</v>
      </c>
      <c r="DY173" s="38">
        <f t="shared" si="394"/>
        <v>0</v>
      </c>
      <c r="DZ173" s="38">
        <f t="shared" si="395"/>
        <v>0</v>
      </c>
      <c r="EA173" s="38">
        <f t="shared" si="396"/>
        <v>0</v>
      </c>
      <c r="EB173" s="38">
        <f t="shared" si="397"/>
        <v>0</v>
      </c>
      <c r="EC173" s="38">
        <f t="shared" si="398"/>
        <v>0</v>
      </c>
      <c r="ED173" s="38">
        <f t="shared" si="399"/>
        <v>0</v>
      </c>
      <c r="EE173" s="38">
        <f t="shared" si="400"/>
        <v>0</v>
      </c>
      <c r="EG173" s="38">
        <f t="shared" si="401"/>
        <v>0</v>
      </c>
      <c r="EH173" s="38">
        <f t="shared" si="402"/>
        <v>0</v>
      </c>
      <c r="EI173" s="38">
        <f t="shared" si="403"/>
        <v>0</v>
      </c>
      <c r="EJ173" s="38">
        <f t="shared" si="404"/>
        <v>0</v>
      </c>
      <c r="EK173" s="38">
        <f t="shared" si="405"/>
        <v>0</v>
      </c>
      <c r="EL173" s="38">
        <f t="shared" si="406"/>
        <v>0</v>
      </c>
      <c r="EM173" s="38">
        <f t="shared" si="407"/>
        <v>0</v>
      </c>
      <c r="EN173" s="38">
        <f t="shared" si="408"/>
        <v>0</v>
      </c>
      <c r="EO173" s="38">
        <f t="shared" si="409"/>
        <v>0</v>
      </c>
      <c r="EP173" s="38">
        <f t="shared" si="410"/>
        <v>3636.5121999999997</v>
      </c>
      <c r="EQ173" s="38">
        <f t="shared" si="411"/>
        <v>0</v>
      </c>
      <c r="ER173" s="38">
        <f t="shared" si="412"/>
        <v>0</v>
      </c>
      <c r="ES173" s="38">
        <f t="shared" si="413"/>
        <v>0</v>
      </c>
      <c r="ET173" s="38">
        <f t="shared" si="414"/>
        <v>0</v>
      </c>
      <c r="EU173" s="38">
        <f t="shared" si="415"/>
        <v>0</v>
      </c>
      <c r="EV173" s="38">
        <f t="shared" si="416"/>
        <v>0</v>
      </c>
      <c r="EW173" s="38">
        <f t="shared" si="417"/>
        <v>0</v>
      </c>
      <c r="EX173" s="38">
        <f t="shared" si="418"/>
        <v>0</v>
      </c>
      <c r="EZ173" s="38">
        <f t="shared" si="419"/>
        <v>0</v>
      </c>
      <c r="FA173" s="38">
        <f t="shared" si="420"/>
        <v>0</v>
      </c>
      <c r="FB173" s="1">
        <f t="shared" si="421"/>
        <v>0</v>
      </c>
      <c r="FC173" s="1">
        <f t="shared" si="422"/>
        <v>0</v>
      </c>
      <c r="FD173" s="1">
        <f t="shared" si="423"/>
        <v>0</v>
      </c>
      <c r="FE173" s="1">
        <f t="shared" si="424"/>
        <v>0</v>
      </c>
      <c r="FF173" s="1">
        <f t="shared" si="425"/>
        <v>0</v>
      </c>
      <c r="FG173" s="1">
        <f t="shared" si="426"/>
        <v>0</v>
      </c>
      <c r="FH173" s="1">
        <f t="shared" si="427"/>
        <v>0</v>
      </c>
      <c r="FI173" s="1">
        <f t="shared" si="428"/>
        <v>0</v>
      </c>
      <c r="FJ173" s="1">
        <f t="shared" si="429"/>
        <v>0</v>
      </c>
      <c r="FK173" s="1">
        <f t="shared" si="430"/>
        <v>0</v>
      </c>
      <c r="FL173" s="1">
        <f t="shared" si="431"/>
        <v>0</v>
      </c>
      <c r="FM173" s="1">
        <f t="shared" si="432"/>
        <v>0</v>
      </c>
      <c r="FN173" s="1">
        <f t="shared" si="433"/>
        <v>0</v>
      </c>
      <c r="FO173" s="1">
        <f t="shared" si="434"/>
        <v>0</v>
      </c>
      <c r="FP173" s="1">
        <f t="shared" si="435"/>
        <v>0</v>
      </c>
      <c r="FQ173" s="1">
        <f t="shared" si="436"/>
        <v>0</v>
      </c>
      <c r="FS173" s="1">
        <f t="shared" si="437"/>
        <v>0</v>
      </c>
      <c r="FT173" s="1">
        <f t="shared" si="438"/>
        <v>0</v>
      </c>
      <c r="FU173" s="38">
        <f t="shared" si="439"/>
        <v>0</v>
      </c>
      <c r="FV173" s="38">
        <f t="shared" si="440"/>
        <v>0</v>
      </c>
      <c r="FW173" s="38">
        <f t="shared" si="441"/>
        <v>0</v>
      </c>
      <c r="FX173" s="38">
        <f t="shared" si="442"/>
        <v>0</v>
      </c>
      <c r="FY173" s="38">
        <f t="shared" si="443"/>
        <v>0</v>
      </c>
      <c r="FZ173" s="38">
        <f t="shared" si="444"/>
        <v>0</v>
      </c>
      <c r="GA173" s="38">
        <f t="shared" si="445"/>
        <v>0</v>
      </c>
      <c r="GB173" s="38">
        <f t="shared" si="446"/>
        <v>0</v>
      </c>
      <c r="GC173" s="38">
        <f t="shared" si="447"/>
        <v>0</v>
      </c>
      <c r="GD173" s="38">
        <f t="shared" si="448"/>
        <v>0</v>
      </c>
      <c r="GE173" s="38">
        <f t="shared" si="449"/>
        <v>0</v>
      </c>
      <c r="GF173" s="38">
        <f t="shared" si="450"/>
        <v>0</v>
      </c>
      <c r="GG173" s="38">
        <f t="shared" si="451"/>
        <v>0</v>
      </c>
      <c r="GH173" s="38">
        <f t="shared" si="452"/>
        <v>0</v>
      </c>
      <c r="GI173" s="38">
        <f t="shared" si="453"/>
        <v>0</v>
      </c>
      <c r="GJ173" s="38">
        <f t="shared" si="454"/>
        <v>0</v>
      </c>
      <c r="GL173" s="38">
        <f t="shared" si="455"/>
        <v>0</v>
      </c>
      <c r="GM173" s="38">
        <f t="shared" si="456"/>
        <v>0</v>
      </c>
      <c r="GN173" s="1" t="s">
        <v>2</v>
      </c>
      <c r="GO173" s="1">
        <f t="shared" si="379"/>
        <v>23.5</v>
      </c>
      <c r="GP173" s="13">
        <f t="shared" si="380"/>
        <v>1.18</v>
      </c>
      <c r="GQ173" s="41">
        <f t="shared" si="381"/>
        <v>277.3</v>
      </c>
      <c r="GR173" s="41">
        <f t="shared" si="382"/>
        <v>3636.5121999999997</v>
      </c>
      <c r="GS173" s="14">
        <f t="shared" si="383"/>
        <v>154.74519999999998</v>
      </c>
      <c r="GT173" s="1">
        <f t="shared" si="457"/>
        <v>0</v>
      </c>
      <c r="GU173" s="1">
        <f t="shared" si="458"/>
        <v>0</v>
      </c>
      <c r="GV173" s="1">
        <f t="shared" si="459"/>
        <v>277.29999999999995</v>
      </c>
      <c r="GW173" s="37">
        <f t="shared" si="384"/>
        <v>0</v>
      </c>
      <c r="GX173" s="37"/>
      <c r="GY173" s="37"/>
      <c r="GZ173" s="37"/>
      <c r="HB173" s="1">
        <f t="shared" si="460"/>
        <v>0</v>
      </c>
      <c r="HC173" s="1">
        <f t="shared" si="461"/>
        <v>0</v>
      </c>
      <c r="HD173" s="37" t="s">
        <v>2</v>
      </c>
      <c r="HE173" s="1" t="s">
        <v>31</v>
      </c>
      <c r="HF173" s="1" t="s">
        <v>193</v>
      </c>
      <c r="HG173" s="1" t="s">
        <v>193</v>
      </c>
      <c r="HI173" s="1" t="s">
        <v>96</v>
      </c>
      <c r="HJ173" s="37" t="s">
        <v>2</v>
      </c>
      <c r="JH173" s="58" t="s">
        <v>2</v>
      </c>
    </row>
    <row r="174" spans="1:268" ht="16.25" customHeight="1" x14ac:dyDescent="0.2">
      <c r="A174" s="21" t="s">
        <v>302</v>
      </c>
      <c r="B174" s="1" t="s">
        <v>69</v>
      </c>
      <c r="E174" s="1" t="s">
        <v>72</v>
      </c>
      <c r="F174" s="1" t="s">
        <v>303</v>
      </c>
      <c r="H174" s="1" t="s">
        <v>211</v>
      </c>
      <c r="I174" s="1">
        <v>0</v>
      </c>
      <c r="AD174" s="1">
        <v>0</v>
      </c>
      <c r="AY174" s="1">
        <v>30</v>
      </c>
      <c r="BG174" s="1">
        <v>0.64</v>
      </c>
      <c r="BH174" s="1">
        <v>0.03</v>
      </c>
      <c r="BO174" s="1">
        <v>12.98</v>
      </c>
      <c r="BT174" s="1">
        <v>0</v>
      </c>
      <c r="CO174" s="1">
        <v>0</v>
      </c>
      <c r="DJ174" s="1" t="s">
        <v>96</v>
      </c>
      <c r="DK174" s="1" t="s">
        <v>96</v>
      </c>
      <c r="DL174" s="1">
        <f t="shared" si="377"/>
        <v>0.64</v>
      </c>
      <c r="DM174" s="1">
        <f t="shared" si="378"/>
        <v>2.9999999999999995E-2</v>
      </c>
      <c r="DN174" s="1" t="s">
        <v>148</v>
      </c>
      <c r="DO174" s="1" t="s">
        <v>2</v>
      </c>
      <c r="DP174" s="38">
        <f t="shared" si="385"/>
        <v>0</v>
      </c>
      <c r="DQ174" s="38">
        <f t="shared" si="386"/>
        <v>0</v>
      </c>
      <c r="DR174" s="38">
        <f t="shared" si="387"/>
        <v>0</v>
      </c>
      <c r="DS174" s="38">
        <f t="shared" si="388"/>
        <v>0</v>
      </c>
      <c r="DT174" s="38">
        <f t="shared" si="389"/>
        <v>0</v>
      </c>
      <c r="DU174" s="38">
        <f t="shared" si="390"/>
        <v>0</v>
      </c>
      <c r="DV174" s="38">
        <f t="shared" si="391"/>
        <v>0</v>
      </c>
      <c r="DW174" s="38">
        <f t="shared" si="392"/>
        <v>0.192</v>
      </c>
      <c r="DX174" s="38">
        <f t="shared" si="393"/>
        <v>8.9999999999999993E-3</v>
      </c>
      <c r="DY174" s="38">
        <f t="shared" si="394"/>
        <v>0</v>
      </c>
      <c r="DZ174" s="38">
        <f t="shared" si="395"/>
        <v>0</v>
      </c>
      <c r="EA174" s="38">
        <f t="shared" si="396"/>
        <v>0</v>
      </c>
      <c r="EB174" s="38">
        <f t="shared" si="397"/>
        <v>0</v>
      </c>
      <c r="EC174" s="38">
        <f t="shared" si="398"/>
        <v>0</v>
      </c>
      <c r="ED174" s="38">
        <f t="shared" si="399"/>
        <v>0</v>
      </c>
      <c r="EE174" s="38">
        <f t="shared" si="400"/>
        <v>3.8940000000000001</v>
      </c>
      <c r="EG174" s="38">
        <f t="shared" si="401"/>
        <v>0</v>
      </c>
      <c r="EH174" s="38">
        <f t="shared" si="402"/>
        <v>0</v>
      </c>
      <c r="EI174" s="38">
        <f t="shared" si="403"/>
        <v>0</v>
      </c>
      <c r="EJ174" s="38">
        <f t="shared" si="404"/>
        <v>0</v>
      </c>
      <c r="EK174" s="38">
        <f t="shared" si="405"/>
        <v>0</v>
      </c>
      <c r="EL174" s="38">
        <f t="shared" si="406"/>
        <v>0</v>
      </c>
      <c r="EM174" s="38">
        <f t="shared" si="407"/>
        <v>0</v>
      </c>
      <c r="EN174" s="38">
        <f t="shared" si="408"/>
        <v>0</v>
      </c>
      <c r="EO174" s="38">
        <f t="shared" si="409"/>
        <v>0</v>
      </c>
      <c r="EP174" s="38">
        <f t="shared" si="410"/>
        <v>2517.8879999999999</v>
      </c>
      <c r="EQ174" s="38">
        <f t="shared" si="411"/>
        <v>653.57571599999983</v>
      </c>
      <c r="ER174" s="38">
        <f t="shared" si="412"/>
        <v>0</v>
      </c>
      <c r="ES174" s="38">
        <f t="shared" si="413"/>
        <v>0</v>
      </c>
      <c r="ET174" s="38">
        <f t="shared" si="414"/>
        <v>0</v>
      </c>
      <c r="EU174" s="38">
        <f t="shared" si="415"/>
        <v>0</v>
      </c>
      <c r="EV174" s="38">
        <f t="shared" si="416"/>
        <v>0</v>
      </c>
      <c r="EW174" s="38">
        <f t="shared" si="417"/>
        <v>0</v>
      </c>
      <c r="EX174" s="38">
        <f t="shared" si="418"/>
        <v>362.142</v>
      </c>
      <c r="EZ174" s="38">
        <f t="shared" si="419"/>
        <v>0</v>
      </c>
      <c r="FA174" s="38">
        <f t="shared" si="420"/>
        <v>0</v>
      </c>
      <c r="FB174" s="1">
        <f t="shared" si="421"/>
        <v>0</v>
      </c>
      <c r="FC174" s="1">
        <f t="shared" si="422"/>
        <v>0</v>
      </c>
      <c r="FD174" s="1">
        <f t="shared" si="423"/>
        <v>0</v>
      </c>
      <c r="FE174" s="1">
        <f t="shared" si="424"/>
        <v>0</v>
      </c>
      <c r="FF174" s="1">
        <f t="shared" si="425"/>
        <v>0</v>
      </c>
      <c r="FG174" s="1">
        <f t="shared" si="426"/>
        <v>0</v>
      </c>
      <c r="FH174" s="1">
        <f t="shared" si="427"/>
        <v>0</v>
      </c>
      <c r="FI174" s="1">
        <f t="shared" si="428"/>
        <v>0</v>
      </c>
      <c r="FJ174" s="1">
        <f t="shared" si="429"/>
        <v>0</v>
      </c>
      <c r="FK174" s="1">
        <f t="shared" si="430"/>
        <v>0</v>
      </c>
      <c r="FL174" s="1">
        <f t="shared" si="431"/>
        <v>0</v>
      </c>
      <c r="FM174" s="1">
        <f t="shared" si="432"/>
        <v>0</v>
      </c>
      <c r="FN174" s="1">
        <f t="shared" si="433"/>
        <v>0</v>
      </c>
      <c r="FO174" s="1">
        <f t="shared" si="434"/>
        <v>0</v>
      </c>
      <c r="FP174" s="1">
        <f t="shared" si="435"/>
        <v>0</v>
      </c>
      <c r="FQ174" s="1">
        <f t="shared" si="436"/>
        <v>0</v>
      </c>
      <c r="FS174" s="1">
        <f t="shared" si="437"/>
        <v>0</v>
      </c>
      <c r="FT174" s="1">
        <f t="shared" si="438"/>
        <v>0</v>
      </c>
      <c r="FU174" s="38">
        <f t="shared" si="439"/>
        <v>0</v>
      </c>
      <c r="FV174" s="38">
        <f t="shared" si="440"/>
        <v>0</v>
      </c>
      <c r="FW174" s="38">
        <f t="shared" si="441"/>
        <v>0</v>
      </c>
      <c r="FX174" s="38">
        <f t="shared" si="442"/>
        <v>0</v>
      </c>
      <c r="FY174" s="38">
        <f t="shared" si="443"/>
        <v>0</v>
      </c>
      <c r="FZ174" s="38">
        <f t="shared" si="444"/>
        <v>0</v>
      </c>
      <c r="GA174" s="38">
        <f t="shared" si="445"/>
        <v>0</v>
      </c>
      <c r="GB174" s="38">
        <f t="shared" si="446"/>
        <v>0</v>
      </c>
      <c r="GC174" s="38">
        <f t="shared" si="447"/>
        <v>0</v>
      </c>
      <c r="GD174" s="38">
        <f t="shared" si="448"/>
        <v>0</v>
      </c>
      <c r="GE174" s="38">
        <f t="shared" si="449"/>
        <v>0</v>
      </c>
      <c r="GF174" s="38">
        <f t="shared" si="450"/>
        <v>0</v>
      </c>
      <c r="GG174" s="38">
        <f t="shared" si="451"/>
        <v>0</v>
      </c>
      <c r="GH174" s="38">
        <f t="shared" si="452"/>
        <v>0</v>
      </c>
      <c r="GI174" s="38">
        <f t="shared" si="453"/>
        <v>0</v>
      </c>
      <c r="GJ174" s="38">
        <f t="shared" si="454"/>
        <v>0</v>
      </c>
      <c r="GL174" s="38">
        <f t="shared" si="455"/>
        <v>0</v>
      </c>
      <c r="GM174" s="38">
        <f t="shared" si="456"/>
        <v>0</v>
      </c>
      <c r="GN174" s="1" t="s">
        <v>2</v>
      </c>
      <c r="GO174" s="1">
        <f t="shared" si="379"/>
        <v>30</v>
      </c>
      <c r="GP174" s="1">
        <f t="shared" si="380"/>
        <v>0.64</v>
      </c>
      <c r="GQ174" s="41">
        <f t="shared" si="381"/>
        <v>192</v>
      </c>
      <c r="GR174" s="41">
        <f t="shared" si="382"/>
        <v>3533.6057159999996</v>
      </c>
      <c r="GS174" s="14">
        <f t="shared" si="383"/>
        <v>117.78685719999999</v>
      </c>
      <c r="GT174" s="1">
        <f t="shared" si="457"/>
        <v>0</v>
      </c>
      <c r="GU174" s="1">
        <f t="shared" si="458"/>
        <v>0</v>
      </c>
      <c r="GV174" s="1">
        <f t="shared" si="459"/>
        <v>192</v>
      </c>
      <c r="GW174" s="37">
        <f t="shared" si="384"/>
        <v>0</v>
      </c>
      <c r="GX174" s="37"/>
      <c r="GY174" s="37"/>
      <c r="GZ174" s="37"/>
      <c r="HB174" s="1">
        <f t="shared" si="460"/>
        <v>0</v>
      </c>
      <c r="HC174" s="1">
        <f t="shared" si="461"/>
        <v>0</v>
      </c>
      <c r="HD174" s="37" t="s">
        <v>2</v>
      </c>
      <c r="HE174" s="1" t="s">
        <v>31</v>
      </c>
      <c r="HF174" s="1" t="s">
        <v>193</v>
      </c>
      <c r="HG174" s="1" t="s">
        <v>193</v>
      </c>
      <c r="HI174" s="1" t="s">
        <v>96</v>
      </c>
      <c r="HJ174" s="37" t="s">
        <v>2</v>
      </c>
      <c r="JH174" s="58" t="s">
        <v>2</v>
      </c>
    </row>
    <row r="175" spans="1:268" ht="16.25" customHeight="1" x14ac:dyDescent="0.2">
      <c r="A175" s="21" t="s">
        <v>546</v>
      </c>
      <c r="B175" s="1" t="s">
        <v>69</v>
      </c>
      <c r="E175" s="1" t="s">
        <v>72</v>
      </c>
      <c r="F175" s="1" t="s">
        <v>547</v>
      </c>
      <c r="H175" s="1" t="s">
        <v>187</v>
      </c>
      <c r="I175" s="1">
        <v>13.475</v>
      </c>
      <c r="Q175" s="1">
        <v>1.22</v>
      </c>
      <c r="Y175" s="1">
        <v>32.409999999999997</v>
      </c>
      <c r="AD175" s="1">
        <v>35.534999999999997</v>
      </c>
      <c r="AL175" s="1">
        <v>1.08</v>
      </c>
      <c r="AT175" s="1">
        <v>25.21</v>
      </c>
      <c r="AY175" s="1">
        <v>3.7360000000000002</v>
      </c>
      <c r="BG175" s="1">
        <v>1.04</v>
      </c>
      <c r="BO175" s="1">
        <v>27.29</v>
      </c>
      <c r="BT175" s="1">
        <v>0</v>
      </c>
      <c r="CO175" s="1">
        <v>0</v>
      </c>
      <c r="DJ175" s="1" t="s">
        <v>96</v>
      </c>
      <c r="DL175" s="1">
        <f t="shared" si="377"/>
        <v>1.1129325446479357</v>
      </c>
      <c r="DM175" s="1">
        <f t="shared" si="378"/>
        <v>0</v>
      </c>
      <c r="DN175" s="1" t="s">
        <v>548</v>
      </c>
      <c r="DO175" s="1" t="s">
        <v>2</v>
      </c>
      <c r="DP175" s="38">
        <f t="shared" si="385"/>
        <v>0</v>
      </c>
      <c r="DQ175" s="38">
        <f t="shared" si="386"/>
        <v>0</v>
      </c>
      <c r="DR175" s="38">
        <f t="shared" si="387"/>
        <v>0</v>
      </c>
      <c r="DS175" s="38">
        <f t="shared" si="388"/>
        <v>0</v>
      </c>
      <c r="DT175" s="38">
        <f t="shared" si="389"/>
        <v>0</v>
      </c>
      <c r="DU175" s="38">
        <f t="shared" si="390"/>
        <v>0</v>
      </c>
      <c r="DV175" s="38">
        <f t="shared" si="391"/>
        <v>0</v>
      </c>
      <c r="DW175" s="38">
        <f t="shared" si="392"/>
        <v>0.58702740000000009</v>
      </c>
      <c r="DX175" s="38">
        <f t="shared" si="393"/>
        <v>0</v>
      </c>
      <c r="DY175" s="38">
        <f t="shared" si="394"/>
        <v>0</v>
      </c>
      <c r="DZ175" s="38">
        <f t="shared" si="395"/>
        <v>0</v>
      </c>
      <c r="EA175" s="38">
        <f t="shared" si="396"/>
        <v>0</v>
      </c>
      <c r="EB175" s="38">
        <f t="shared" si="397"/>
        <v>0</v>
      </c>
      <c r="EC175" s="38">
        <f t="shared" si="398"/>
        <v>0</v>
      </c>
      <c r="ED175" s="38">
        <f t="shared" si="399"/>
        <v>0</v>
      </c>
      <c r="EE175" s="38">
        <f t="shared" si="400"/>
        <v>14.345175399999999</v>
      </c>
      <c r="EG175" s="38">
        <f t="shared" si="401"/>
        <v>0</v>
      </c>
      <c r="EH175" s="38">
        <f t="shared" si="402"/>
        <v>0</v>
      </c>
      <c r="EI175" s="38">
        <f t="shared" si="403"/>
        <v>0</v>
      </c>
      <c r="EJ175" s="38">
        <f t="shared" si="404"/>
        <v>0</v>
      </c>
      <c r="EK175" s="38">
        <f t="shared" si="405"/>
        <v>0</v>
      </c>
      <c r="EL175" s="38">
        <f t="shared" si="406"/>
        <v>0</v>
      </c>
      <c r="EM175" s="38">
        <f t="shared" si="407"/>
        <v>0</v>
      </c>
      <c r="EN175" s="38">
        <f t="shared" si="408"/>
        <v>0</v>
      </c>
      <c r="EO175" s="38">
        <f t="shared" si="409"/>
        <v>0</v>
      </c>
      <c r="EP175" s="38">
        <f t="shared" si="410"/>
        <v>7698.2773236000012</v>
      </c>
      <c r="EQ175" s="38">
        <f t="shared" si="411"/>
        <v>0</v>
      </c>
      <c r="ER175" s="38">
        <f t="shared" si="412"/>
        <v>0</v>
      </c>
      <c r="ES175" s="38">
        <f t="shared" si="413"/>
        <v>0</v>
      </c>
      <c r="ET175" s="38">
        <f t="shared" si="414"/>
        <v>0</v>
      </c>
      <c r="EU175" s="38">
        <f t="shared" si="415"/>
        <v>0</v>
      </c>
      <c r="EV175" s="38">
        <f t="shared" si="416"/>
        <v>0</v>
      </c>
      <c r="EW175" s="38">
        <f t="shared" si="417"/>
        <v>0</v>
      </c>
      <c r="EX175" s="38">
        <f t="shared" si="418"/>
        <v>1334.1013121999999</v>
      </c>
      <c r="EZ175" s="38">
        <f t="shared" si="419"/>
        <v>0</v>
      </c>
      <c r="FA175" s="38">
        <f t="shared" si="420"/>
        <v>0</v>
      </c>
      <c r="FB175" s="1">
        <f t="shared" si="421"/>
        <v>0</v>
      </c>
      <c r="FC175" s="1">
        <f t="shared" si="422"/>
        <v>0</v>
      </c>
      <c r="FD175" s="1">
        <f t="shared" si="423"/>
        <v>0</v>
      </c>
      <c r="FE175" s="1">
        <f t="shared" si="424"/>
        <v>0</v>
      </c>
      <c r="FF175" s="1">
        <f t="shared" si="425"/>
        <v>0</v>
      </c>
      <c r="FG175" s="1">
        <f t="shared" si="426"/>
        <v>0</v>
      </c>
      <c r="FH175" s="1">
        <f t="shared" si="427"/>
        <v>0</v>
      </c>
      <c r="FI175" s="1">
        <f t="shared" si="428"/>
        <v>0</v>
      </c>
      <c r="FJ175" s="1">
        <f t="shared" si="429"/>
        <v>0</v>
      </c>
      <c r="FK175" s="1">
        <f t="shared" si="430"/>
        <v>0</v>
      </c>
      <c r="FL175" s="1">
        <f t="shared" si="431"/>
        <v>0</v>
      </c>
      <c r="FM175" s="1">
        <f t="shared" si="432"/>
        <v>0</v>
      </c>
      <c r="FN175" s="1">
        <f t="shared" si="433"/>
        <v>0</v>
      </c>
      <c r="FO175" s="1">
        <f t="shared" si="434"/>
        <v>0</v>
      </c>
      <c r="FP175" s="1">
        <f t="shared" si="435"/>
        <v>0</v>
      </c>
      <c r="FQ175" s="1">
        <f t="shared" si="436"/>
        <v>0</v>
      </c>
      <c r="FS175" s="1">
        <f t="shared" si="437"/>
        <v>0</v>
      </c>
      <c r="FT175" s="1">
        <f t="shared" si="438"/>
        <v>0</v>
      </c>
      <c r="FU175" s="38">
        <f t="shared" si="439"/>
        <v>0</v>
      </c>
      <c r="FV175" s="38">
        <f t="shared" si="440"/>
        <v>0</v>
      </c>
      <c r="FW175" s="38">
        <f t="shared" si="441"/>
        <v>0</v>
      </c>
      <c r="FX175" s="38">
        <f t="shared" si="442"/>
        <v>0</v>
      </c>
      <c r="FY175" s="38">
        <f t="shared" si="443"/>
        <v>0</v>
      </c>
      <c r="FZ175" s="38">
        <f t="shared" si="444"/>
        <v>0</v>
      </c>
      <c r="GA175" s="38">
        <f t="shared" si="445"/>
        <v>0</v>
      </c>
      <c r="GB175" s="38">
        <f t="shared" si="446"/>
        <v>0</v>
      </c>
      <c r="GC175" s="38">
        <f t="shared" si="447"/>
        <v>0</v>
      </c>
      <c r="GD175" s="38">
        <f t="shared" si="448"/>
        <v>0</v>
      </c>
      <c r="GE175" s="38">
        <f t="shared" si="449"/>
        <v>0</v>
      </c>
      <c r="GF175" s="38">
        <f t="shared" si="450"/>
        <v>0</v>
      </c>
      <c r="GG175" s="38">
        <f t="shared" si="451"/>
        <v>0</v>
      </c>
      <c r="GH175" s="38">
        <f t="shared" si="452"/>
        <v>0</v>
      </c>
      <c r="GI175" s="38">
        <f t="shared" si="453"/>
        <v>0</v>
      </c>
      <c r="GJ175" s="38">
        <f t="shared" si="454"/>
        <v>0</v>
      </c>
      <c r="GL175" s="38">
        <f t="shared" si="455"/>
        <v>0</v>
      </c>
      <c r="GM175" s="38">
        <f t="shared" si="456"/>
        <v>0</v>
      </c>
      <c r="GN175" s="1" t="s">
        <v>2</v>
      </c>
      <c r="GO175" s="1">
        <f t="shared" si="379"/>
        <v>52.745999999999995</v>
      </c>
      <c r="GP175" s="13">
        <f t="shared" si="380"/>
        <v>1.1129325446479357</v>
      </c>
      <c r="GQ175" s="41">
        <f t="shared" si="381"/>
        <v>587.02740000000006</v>
      </c>
      <c r="GR175" s="41">
        <f t="shared" si="382"/>
        <v>9032.3786358000016</v>
      </c>
      <c r="GS175" s="14">
        <f t="shared" si="383"/>
        <v>171.2429119895348</v>
      </c>
      <c r="GT175" s="1">
        <f t="shared" si="457"/>
        <v>164.39500000000001</v>
      </c>
      <c r="GU175" s="1">
        <f t="shared" si="458"/>
        <v>383.77800000000002</v>
      </c>
      <c r="GV175" s="1">
        <f t="shared" si="459"/>
        <v>38.854400000000005</v>
      </c>
      <c r="GW175" s="37">
        <f t="shared" si="384"/>
        <v>0</v>
      </c>
      <c r="GX175" s="37"/>
      <c r="GY175" s="37"/>
      <c r="GZ175" s="37"/>
      <c r="HB175" s="1">
        <f t="shared" si="460"/>
        <v>0</v>
      </c>
      <c r="HC175" s="1">
        <f t="shared" si="461"/>
        <v>0</v>
      </c>
      <c r="HD175" s="37" t="s">
        <v>2</v>
      </c>
      <c r="HE175" s="1" t="s">
        <v>31</v>
      </c>
      <c r="HF175" s="1" t="s">
        <v>193</v>
      </c>
      <c r="HG175" s="1" t="s">
        <v>506</v>
      </c>
      <c r="HI175" s="1" t="s">
        <v>96</v>
      </c>
      <c r="HJ175" s="37" t="s">
        <v>2</v>
      </c>
      <c r="JH175" s="58" t="s">
        <v>2</v>
      </c>
    </row>
    <row r="176" spans="1:268" ht="16.25" customHeight="1" x14ac:dyDescent="0.2">
      <c r="A176" s="21" t="s">
        <v>418</v>
      </c>
      <c r="B176" s="1" t="s">
        <v>69</v>
      </c>
      <c r="E176" s="1" t="s">
        <v>72</v>
      </c>
      <c r="F176" s="1" t="s">
        <v>274</v>
      </c>
      <c r="H176" s="1" t="s">
        <v>211</v>
      </c>
      <c r="I176" s="1">
        <v>0</v>
      </c>
      <c r="AD176" s="1">
        <v>0</v>
      </c>
      <c r="AY176" s="1">
        <v>7.5</v>
      </c>
      <c r="BG176" s="1">
        <v>0.8</v>
      </c>
      <c r="BH176" s="1">
        <v>0.09</v>
      </c>
      <c r="BT176" s="1">
        <v>0</v>
      </c>
      <c r="CO176" s="1">
        <v>0</v>
      </c>
      <c r="DJ176" s="1" t="s">
        <v>96</v>
      </c>
      <c r="DK176" s="1" t="s">
        <v>96</v>
      </c>
      <c r="DL176" s="1">
        <f t="shared" si="377"/>
        <v>0.8</v>
      </c>
      <c r="DM176" s="1">
        <f t="shared" si="378"/>
        <v>0.09</v>
      </c>
      <c r="DN176" s="1" t="s">
        <v>148</v>
      </c>
      <c r="DO176" s="1" t="s">
        <v>2</v>
      </c>
      <c r="DP176" s="38">
        <f t="shared" si="385"/>
        <v>0</v>
      </c>
      <c r="DQ176" s="38">
        <f t="shared" si="386"/>
        <v>0</v>
      </c>
      <c r="DR176" s="38">
        <f t="shared" si="387"/>
        <v>0</v>
      </c>
      <c r="DS176" s="38">
        <f t="shared" si="388"/>
        <v>0</v>
      </c>
      <c r="DT176" s="38">
        <f t="shared" si="389"/>
        <v>0</v>
      </c>
      <c r="DU176" s="38">
        <f t="shared" si="390"/>
        <v>0</v>
      </c>
      <c r="DV176" s="38">
        <f t="shared" si="391"/>
        <v>0</v>
      </c>
      <c r="DW176" s="38">
        <f t="shared" si="392"/>
        <v>0.06</v>
      </c>
      <c r="DX176" s="38">
        <f t="shared" si="393"/>
        <v>6.7499999999999991E-3</v>
      </c>
      <c r="DY176" s="38">
        <f t="shared" si="394"/>
        <v>0</v>
      </c>
      <c r="DZ176" s="38">
        <f t="shared" si="395"/>
        <v>0</v>
      </c>
      <c r="EA176" s="38">
        <f t="shared" si="396"/>
        <v>0</v>
      </c>
      <c r="EB176" s="38">
        <f t="shared" si="397"/>
        <v>0</v>
      </c>
      <c r="EC176" s="38">
        <f t="shared" si="398"/>
        <v>0</v>
      </c>
      <c r="ED176" s="38">
        <f t="shared" si="399"/>
        <v>0</v>
      </c>
      <c r="EE176" s="38">
        <f t="shared" si="400"/>
        <v>0</v>
      </c>
      <c r="EG176" s="38">
        <f t="shared" si="401"/>
        <v>0</v>
      </c>
      <c r="EH176" s="38">
        <f t="shared" si="402"/>
        <v>0</v>
      </c>
      <c r="EI176" s="38">
        <f t="shared" si="403"/>
        <v>0</v>
      </c>
      <c r="EJ176" s="38">
        <f t="shared" si="404"/>
        <v>0</v>
      </c>
      <c r="EK176" s="38">
        <f t="shared" si="405"/>
        <v>0</v>
      </c>
      <c r="EL176" s="38">
        <f t="shared" si="406"/>
        <v>0</v>
      </c>
      <c r="EM176" s="38">
        <f t="shared" si="407"/>
        <v>0</v>
      </c>
      <c r="EN176" s="38">
        <f t="shared" si="408"/>
        <v>0</v>
      </c>
      <c r="EO176" s="38">
        <f t="shared" si="409"/>
        <v>0</v>
      </c>
      <c r="EP176" s="38">
        <f t="shared" si="410"/>
        <v>786.83999999999992</v>
      </c>
      <c r="EQ176" s="38">
        <f t="shared" si="411"/>
        <v>490.18178699999987</v>
      </c>
      <c r="ER176" s="38">
        <f t="shared" si="412"/>
        <v>0</v>
      </c>
      <c r="ES176" s="38">
        <f t="shared" si="413"/>
        <v>0</v>
      </c>
      <c r="ET176" s="38">
        <f t="shared" si="414"/>
        <v>0</v>
      </c>
      <c r="EU176" s="38">
        <f t="shared" si="415"/>
        <v>0</v>
      </c>
      <c r="EV176" s="38">
        <f t="shared" si="416"/>
        <v>0</v>
      </c>
      <c r="EW176" s="38">
        <f t="shared" si="417"/>
        <v>0</v>
      </c>
      <c r="EX176" s="38">
        <f t="shared" si="418"/>
        <v>0</v>
      </c>
      <c r="EZ176" s="38">
        <f t="shared" si="419"/>
        <v>0</v>
      </c>
      <c r="FA176" s="38">
        <f t="shared" si="420"/>
        <v>0</v>
      </c>
      <c r="FB176" s="1">
        <f t="shared" si="421"/>
        <v>0</v>
      </c>
      <c r="FC176" s="1">
        <f t="shared" si="422"/>
        <v>0</v>
      </c>
      <c r="FD176" s="1">
        <f t="shared" si="423"/>
        <v>0</v>
      </c>
      <c r="FE176" s="1">
        <f t="shared" si="424"/>
        <v>0</v>
      </c>
      <c r="FF176" s="1">
        <f t="shared" si="425"/>
        <v>0</v>
      </c>
      <c r="FG176" s="1">
        <f t="shared" si="426"/>
        <v>0</v>
      </c>
      <c r="FH176" s="1">
        <f t="shared" si="427"/>
        <v>0</v>
      </c>
      <c r="FI176" s="1">
        <f t="shared" si="428"/>
        <v>0</v>
      </c>
      <c r="FJ176" s="1">
        <f t="shared" si="429"/>
        <v>0</v>
      </c>
      <c r="FK176" s="1">
        <f t="shared" si="430"/>
        <v>0</v>
      </c>
      <c r="FL176" s="1">
        <f t="shared" si="431"/>
        <v>0</v>
      </c>
      <c r="FM176" s="1">
        <f t="shared" si="432"/>
        <v>0</v>
      </c>
      <c r="FN176" s="1">
        <f t="shared" si="433"/>
        <v>0</v>
      </c>
      <c r="FO176" s="1">
        <f t="shared" si="434"/>
        <v>0</v>
      </c>
      <c r="FP176" s="1">
        <f t="shared" si="435"/>
        <v>0</v>
      </c>
      <c r="FQ176" s="1">
        <f t="shared" si="436"/>
        <v>0</v>
      </c>
      <c r="FS176" s="1">
        <f t="shared" si="437"/>
        <v>0</v>
      </c>
      <c r="FT176" s="1">
        <f t="shared" si="438"/>
        <v>0</v>
      </c>
      <c r="FU176" s="38">
        <f t="shared" si="439"/>
        <v>0</v>
      </c>
      <c r="FV176" s="38">
        <f t="shared" si="440"/>
        <v>0</v>
      </c>
      <c r="FW176" s="38">
        <f t="shared" si="441"/>
        <v>0</v>
      </c>
      <c r="FX176" s="38">
        <f t="shared" si="442"/>
        <v>0</v>
      </c>
      <c r="FY176" s="38">
        <f t="shared" si="443"/>
        <v>0</v>
      </c>
      <c r="FZ176" s="38">
        <f t="shared" si="444"/>
        <v>0</v>
      </c>
      <c r="GA176" s="38">
        <f t="shared" si="445"/>
        <v>0</v>
      </c>
      <c r="GB176" s="38">
        <f t="shared" si="446"/>
        <v>0</v>
      </c>
      <c r="GC176" s="38">
        <f t="shared" si="447"/>
        <v>0</v>
      </c>
      <c r="GD176" s="38">
        <f t="shared" si="448"/>
        <v>0</v>
      </c>
      <c r="GE176" s="38">
        <f t="shared" si="449"/>
        <v>0</v>
      </c>
      <c r="GF176" s="38">
        <f t="shared" si="450"/>
        <v>0</v>
      </c>
      <c r="GG176" s="38">
        <f t="shared" si="451"/>
        <v>0</v>
      </c>
      <c r="GH176" s="38">
        <f t="shared" si="452"/>
        <v>0</v>
      </c>
      <c r="GI176" s="38">
        <f t="shared" si="453"/>
        <v>0</v>
      </c>
      <c r="GJ176" s="38">
        <f t="shared" si="454"/>
        <v>0</v>
      </c>
      <c r="GL176" s="38">
        <f t="shared" si="455"/>
        <v>0</v>
      </c>
      <c r="GM176" s="38">
        <f t="shared" si="456"/>
        <v>0</v>
      </c>
      <c r="GN176" s="1" t="s">
        <v>2</v>
      </c>
      <c r="GO176" s="1">
        <f t="shared" si="379"/>
        <v>7.5</v>
      </c>
      <c r="GP176" s="1">
        <f t="shared" si="380"/>
        <v>0.8</v>
      </c>
      <c r="GQ176" s="41">
        <f t="shared" si="381"/>
        <v>60</v>
      </c>
      <c r="GR176" s="41">
        <f t="shared" si="382"/>
        <v>1277.0217869999997</v>
      </c>
      <c r="GS176" s="14">
        <f t="shared" si="383"/>
        <v>170.26957159999995</v>
      </c>
      <c r="GT176" s="1">
        <f t="shared" si="457"/>
        <v>0</v>
      </c>
      <c r="GU176" s="1">
        <f t="shared" si="458"/>
        <v>0</v>
      </c>
      <c r="GV176" s="1">
        <f t="shared" si="459"/>
        <v>60</v>
      </c>
      <c r="GW176" s="37">
        <f t="shared" si="384"/>
        <v>0</v>
      </c>
      <c r="GX176" s="37"/>
      <c r="GY176" s="37"/>
      <c r="GZ176" s="37"/>
      <c r="HB176" s="1">
        <f t="shared" si="460"/>
        <v>0</v>
      </c>
      <c r="HC176" s="1">
        <f t="shared" si="461"/>
        <v>0</v>
      </c>
      <c r="HD176" s="37" t="s">
        <v>2</v>
      </c>
      <c r="HE176" s="1" t="s">
        <v>31</v>
      </c>
      <c r="HF176" s="1" t="s">
        <v>193</v>
      </c>
      <c r="HI176" s="1" t="s">
        <v>96</v>
      </c>
      <c r="HJ176" s="37" t="s">
        <v>2</v>
      </c>
      <c r="JH176" s="58" t="s">
        <v>2</v>
      </c>
    </row>
    <row r="177" spans="1:268" ht="16.25" customHeight="1" x14ac:dyDescent="0.2">
      <c r="A177" s="21" t="s">
        <v>436</v>
      </c>
      <c r="B177" s="1" t="s">
        <v>69</v>
      </c>
      <c r="E177" s="1" t="s">
        <v>65</v>
      </c>
      <c r="F177" s="1" t="s">
        <v>289</v>
      </c>
      <c r="H177" s="1" t="s">
        <v>211</v>
      </c>
      <c r="I177" s="1">
        <v>0</v>
      </c>
      <c r="AD177" s="2">
        <f>3.3914+1.4289</f>
        <v>4.8202999999999996</v>
      </c>
      <c r="AL177" s="13">
        <f>(0.79*3.3914+0.83*1.4289)/AD177</f>
        <v>0.8018573532767671</v>
      </c>
      <c r="AY177" s="2">
        <f>13.295+7.8131</f>
        <v>21.1081</v>
      </c>
      <c r="BG177" s="13">
        <f>(0.7*13.295+0.78*7.8131)/AY177</f>
        <v>0.72961176041424858</v>
      </c>
      <c r="BT177" s="1">
        <v>0</v>
      </c>
      <c r="CO177" s="1">
        <v>0</v>
      </c>
      <c r="DJ177" s="1" t="s">
        <v>96</v>
      </c>
      <c r="DL177" s="1">
        <f t="shared" si="377"/>
        <v>0.74304280248684851</v>
      </c>
      <c r="DM177" s="1">
        <f t="shared" si="378"/>
        <v>0</v>
      </c>
      <c r="DN177" s="1" t="s">
        <v>148</v>
      </c>
      <c r="DO177" s="1" t="s">
        <v>2</v>
      </c>
      <c r="DP177" s="38">
        <f t="shared" si="385"/>
        <v>0</v>
      </c>
      <c r="DQ177" s="38">
        <f t="shared" si="386"/>
        <v>0</v>
      </c>
      <c r="DR177" s="38">
        <f t="shared" si="387"/>
        <v>0</v>
      </c>
      <c r="DS177" s="38">
        <f t="shared" si="388"/>
        <v>0</v>
      </c>
      <c r="DT177" s="38">
        <f t="shared" si="389"/>
        <v>0</v>
      </c>
      <c r="DU177" s="38">
        <f t="shared" si="390"/>
        <v>0</v>
      </c>
      <c r="DV177" s="38">
        <f t="shared" si="391"/>
        <v>0</v>
      </c>
      <c r="DW177" s="38">
        <f t="shared" si="392"/>
        <v>0.19265911000000002</v>
      </c>
      <c r="DX177" s="38">
        <f t="shared" si="393"/>
        <v>0</v>
      </c>
      <c r="DY177" s="38">
        <f t="shared" si="394"/>
        <v>0</v>
      </c>
      <c r="DZ177" s="38">
        <f t="shared" si="395"/>
        <v>0</v>
      </c>
      <c r="EA177" s="38">
        <f t="shared" si="396"/>
        <v>0</v>
      </c>
      <c r="EB177" s="38">
        <f t="shared" si="397"/>
        <v>0</v>
      </c>
      <c r="EC177" s="38">
        <f t="shared" si="398"/>
        <v>0</v>
      </c>
      <c r="ED177" s="38">
        <f t="shared" si="399"/>
        <v>0</v>
      </c>
      <c r="EE177" s="38">
        <f t="shared" si="400"/>
        <v>0</v>
      </c>
      <c r="EG177" s="38">
        <f t="shared" si="401"/>
        <v>0</v>
      </c>
      <c r="EH177" s="38">
        <f t="shared" si="402"/>
        <v>0</v>
      </c>
      <c r="EI177" s="38">
        <f t="shared" si="403"/>
        <v>0</v>
      </c>
      <c r="EJ177" s="38">
        <f t="shared" si="404"/>
        <v>0</v>
      </c>
      <c r="EK177" s="38">
        <f t="shared" si="405"/>
        <v>0</v>
      </c>
      <c r="EL177" s="38">
        <f t="shared" si="406"/>
        <v>0</v>
      </c>
      <c r="EM177" s="38">
        <f t="shared" si="407"/>
        <v>0</v>
      </c>
      <c r="EN177" s="38">
        <f t="shared" si="408"/>
        <v>0</v>
      </c>
      <c r="EO177" s="38">
        <f t="shared" si="409"/>
        <v>0</v>
      </c>
      <c r="EP177" s="38">
        <f t="shared" si="410"/>
        <v>2526.5315685400001</v>
      </c>
      <c r="EQ177" s="38">
        <f t="shared" si="411"/>
        <v>0</v>
      </c>
      <c r="ER177" s="38">
        <f t="shared" si="412"/>
        <v>0</v>
      </c>
      <c r="ES177" s="38">
        <f t="shared" si="413"/>
        <v>0</v>
      </c>
      <c r="ET177" s="38">
        <f t="shared" si="414"/>
        <v>0</v>
      </c>
      <c r="EU177" s="38">
        <f t="shared" si="415"/>
        <v>0</v>
      </c>
      <c r="EV177" s="38">
        <f t="shared" si="416"/>
        <v>0</v>
      </c>
      <c r="EW177" s="38">
        <f t="shared" si="417"/>
        <v>0</v>
      </c>
      <c r="EX177" s="38">
        <f t="shared" si="418"/>
        <v>0</v>
      </c>
      <c r="EZ177" s="38">
        <f t="shared" si="419"/>
        <v>0</v>
      </c>
      <c r="FA177" s="38">
        <f t="shared" si="420"/>
        <v>0</v>
      </c>
      <c r="FB177" s="1">
        <f t="shared" si="421"/>
        <v>0</v>
      </c>
      <c r="FC177" s="1">
        <f t="shared" si="422"/>
        <v>0</v>
      </c>
      <c r="FD177" s="1">
        <f t="shared" si="423"/>
        <v>0</v>
      </c>
      <c r="FE177" s="1">
        <f t="shared" si="424"/>
        <v>0</v>
      </c>
      <c r="FF177" s="1">
        <f t="shared" si="425"/>
        <v>0</v>
      </c>
      <c r="FG177" s="1">
        <f t="shared" si="426"/>
        <v>0</v>
      </c>
      <c r="FH177" s="1">
        <f t="shared" si="427"/>
        <v>0</v>
      </c>
      <c r="FI177" s="1">
        <f t="shared" si="428"/>
        <v>0</v>
      </c>
      <c r="FJ177" s="1">
        <f t="shared" si="429"/>
        <v>0</v>
      </c>
      <c r="FK177" s="1">
        <f t="shared" si="430"/>
        <v>0</v>
      </c>
      <c r="FL177" s="1">
        <f t="shared" si="431"/>
        <v>0</v>
      </c>
      <c r="FM177" s="1">
        <f t="shared" si="432"/>
        <v>0</v>
      </c>
      <c r="FN177" s="1">
        <f t="shared" si="433"/>
        <v>0</v>
      </c>
      <c r="FO177" s="1">
        <f t="shared" si="434"/>
        <v>0</v>
      </c>
      <c r="FP177" s="1">
        <f t="shared" si="435"/>
        <v>0</v>
      </c>
      <c r="FQ177" s="1">
        <f t="shared" si="436"/>
        <v>0</v>
      </c>
      <c r="FS177" s="1">
        <f t="shared" si="437"/>
        <v>0</v>
      </c>
      <c r="FT177" s="1">
        <f t="shared" si="438"/>
        <v>0</v>
      </c>
      <c r="FU177" s="38">
        <f t="shared" si="439"/>
        <v>0</v>
      </c>
      <c r="FV177" s="38">
        <f t="shared" si="440"/>
        <v>0</v>
      </c>
      <c r="FW177" s="38">
        <f t="shared" si="441"/>
        <v>0</v>
      </c>
      <c r="FX177" s="38">
        <f t="shared" si="442"/>
        <v>0</v>
      </c>
      <c r="FY177" s="38">
        <f t="shared" si="443"/>
        <v>0</v>
      </c>
      <c r="FZ177" s="38">
        <f t="shared" si="444"/>
        <v>0</v>
      </c>
      <c r="GA177" s="38">
        <f t="shared" si="445"/>
        <v>0</v>
      </c>
      <c r="GB177" s="38">
        <f t="shared" si="446"/>
        <v>0</v>
      </c>
      <c r="GC177" s="38">
        <f t="shared" si="447"/>
        <v>0</v>
      </c>
      <c r="GD177" s="38">
        <f t="shared" si="448"/>
        <v>0</v>
      </c>
      <c r="GE177" s="38">
        <f t="shared" si="449"/>
        <v>0</v>
      </c>
      <c r="GF177" s="38">
        <f t="shared" si="450"/>
        <v>0</v>
      </c>
      <c r="GG177" s="38">
        <f t="shared" si="451"/>
        <v>0</v>
      </c>
      <c r="GH177" s="38">
        <f t="shared" si="452"/>
        <v>0</v>
      </c>
      <c r="GI177" s="38">
        <f t="shared" si="453"/>
        <v>0</v>
      </c>
      <c r="GJ177" s="38">
        <f t="shared" si="454"/>
        <v>0</v>
      </c>
      <c r="GL177" s="38">
        <f t="shared" si="455"/>
        <v>0</v>
      </c>
      <c r="GM177" s="38">
        <f t="shared" si="456"/>
        <v>0</v>
      </c>
      <c r="GN177" s="1" t="s">
        <v>2</v>
      </c>
      <c r="GO177" s="13">
        <f t="shared" si="379"/>
        <v>25.9284</v>
      </c>
      <c r="GP177" s="13">
        <f t="shared" si="380"/>
        <v>0.74304280248684851</v>
      </c>
      <c r="GQ177" s="41">
        <f t="shared" si="381"/>
        <v>192.65911000000003</v>
      </c>
      <c r="GR177" s="41">
        <f t="shared" si="382"/>
        <v>2526.5315685400001</v>
      </c>
      <c r="GS177" s="14">
        <f t="shared" si="383"/>
        <v>97.4426331181253</v>
      </c>
      <c r="GT177" s="1">
        <f t="shared" si="457"/>
        <v>0</v>
      </c>
      <c r="GU177" s="1">
        <f t="shared" si="458"/>
        <v>38.65193</v>
      </c>
      <c r="GV177" s="1">
        <f t="shared" si="459"/>
        <v>154.00718000000001</v>
      </c>
      <c r="GW177" s="37">
        <f t="shared" si="384"/>
        <v>0</v>
      </c>
      <c r="GX177" s="37"/>
      <c r="GY177" s="37"/>
      <c r="GZ177" s="37"/>
      <c r="HB177" s="1">
        <f t="shared" si="460"/>
        <v>0</v>
      </c>
      <c r="HC177" s="1">
        <f t="shared" si="461"/>
        <v>0</v>
      </c>
      <c r="HD177" s="37" t="s">
        <v>2</v>
      </c>
      <c r="HE177" s="1" t="s">
        <v>31</v>
      </c>
      <c r="HF177" s="1" t="s">
        <v>193</v>
      </c>
      <c r="HI177" s="1" t="s">
        <v>96</v>
      </c>
      <c r="HJ177" s="37" t="s">
        <v>2</v>
      </c>
      <c r="JH177" s="58" t="s">
        <v>2</v>
      </c>
    </row>
    <row r="178" spans="1:268" ht="16.25" customHeight="1" x14ac:dyDescent="0.2">
      <c r="A178" s="21" t="s">
        <v>444</v>
      </c>
      <c r="B178" s="1" t="s">
        <v>69</v>
      </c>
      <c r="E178" s="1" t="s">
        <v>72</v>
      </c>
      <c r="F178" s="1" t="s">
        <v>338</v>
      </c>
      <c r="H178" s="1" t="s">
        <v>211</v>
      </c>
      <c r="I178" s="1">
        <v>0</v>
      </c>
      <c r="AD178" s="1">
        <v>4.4000000000000004</v>
      </c>
      <c r="AL178" s="1">
        <v>0.72</v>
      </c>
      <c r="AM178" s="1">
        <v>4.9000000000000002E-2</v>
      </c>
      <c r="AY178" s="1">
        <v>21.9</v>
      </c>
      <c r="BG178" s="1">
        <v>0.63</v>
      </c>
      <c r="BH178" s="1">
        <v>4.2000000000000003E-2</v>
      </c>
      <c r="BT178" s="1">
        <v>0</v>
      </c>
      <c r="CO178" s="1">
        <v>0</v>
      </c>
      <c r="DJ178" s="1" t="s">
        <v>96</v>
      </c>
      <c r="DK178" s="1" t="s">
        <v>96</v>
      </c>
      <c r="DL178" s="1">
        <f t="shared" si="377"/>
        <v>0.6450570342205324</v>
      </c>
      <c r="DM178" s="1">
        <f t="shared" si="378"/>
        <v>4.3171102661596961E-2</v>
      </c>
      <c r="DN178" s="1" t="s">
        <v>445</v>
      </c>
      <c r="DO178" s="1" t="s">
        <v>2</v>
      </c>
      <c r="DP178" s="38">
        <f t="shared" si="385"/>
        <v>0</v>
      </c>
      <c r="DQ178" s="38">
        <f t="shared" si="386"/>
        <v>0</v>
      </c>
      <c r="DR178" s="38">
        <f t="shared" si="387"/>
        <v>0</v>
      </c>
      <c r="DS178" s="38">
        <f t="shared" si="388"/>
        <v>0</v>
      </c>
      <c r="DT178" s="38">
        <f t="shared" si="389"/>
        <v>0</v>
      </c>
      <c r="DU178" s="38">
        <f t="shared" si="390"/>
        <v>0</v>
      </c>
      <c r="DV178" s="38">
        <f t="shared" si="391"/>
        <v>0</v>
      </c>
      <c r="DW178" s="38">
        <f t="shared" si="392"/>
        <v>0.16965</v>
      </c>
      <c r="DX178" s="38">
        <f t="shared" si="393"/>
        <v>1.1354E-2</v>
      </c>
      <c r="DY178" s="38">
        <f t="shared" si="394"/>
        <v>0</v>
      </c>
      <c r="DZ178" s="38">
        <f t="shared" si="395"/>
        <v>0</v>
      </c>
      <c r="EA178" s="38">
        <f t="shared" si="396"/>
        <v>0</v>
      </c>
      <c r="EB178" s="38">
        <f t="shared" si="397"/>
        <v>0</v>
      </c>
      <c r="EC178" s="38">
        <f t="shared" si="398"/>
        <v>0</v>
      </c>
      <c r="ED178" s="38">
        <f t="shared" si="399"/>
        <v>0</v>
      </c>
      <c r="EE178" s="38">
        <f t="shared" si="400"/>
        <v>0</v>
      </c>
      <c r="EG178" s="38">
        <f t="shared" si="401"/>
        <v>0</v>
      </c>
      <c r="EH178" s="38">
        <f t="shared" si="402"/>
        <v>0</v>
      </c>
      <c r="EI178" s="38">
        <f t="shared" si="403"/>
        <v>0</v>
      </c>
      <c r="EJ178" s="38">
        <f t="shared" si="404"/>
        <v>0</v>
      </c>
      <c r="EK178" s="38">
        <f t="shared" si="405"/>
        <v>0</v>
      </c>
      <c r="EL178" s="38">
        <f t="shared" si="406"/>
        <v>0</v>
      </c>
      <c r="EM178" s="38">
        <f t="shared" si="407"/>
        <v>0</v>
      </c>
      <c r="EN178" s="38">
        <f t="shared" si="408"/>
        <v>0</v>
      </c>
      <c r="EO178" s="38">
        <f t="shared" si="409"/>
        <v>0</v>
      </c>
      <c r="EP178" s="38">
        <f t="shared" si="410"/>
        <v>2224.7900999999997</v>
      </c>
      <c r="EQ178" s="38">
        <f t="shared" si="411"/>
        <v>824.52207549599984</v>
      </c>
      <c r="ER178" s="38">
        <f t="shared" si="412"/>
        <v>0</v>
      </c>
      <c r="ES178" s="38">
        <f t="shared" si="413"/>
        <v>0</v>
      </c>
      <c r="ET178" s="38">
        <f t="shared" si="414"/>
        <v>0</v>
      </c>
      <c r="EU178" s="38">
        <f t="shared" si="415"/>
        <v>0</v>
      </c>
      <c r="EV178" s="38">
        <f t="shared" si="416"/>
        <v>0</v>
      </c>
      <c r="EW178" s="38">
        <f t="shared" si="417"/>
        <v>0</v>
      </c>
      <c r="EX178" s="38">
        <f t="shared" si="418"/>
        <v>0</v>
      </c>
      <c r="EZ178" s="38">
        <f t="shared" si="419"/>
        <v>0</v>
      </c>
      <c r="FA178" s="38">
        <f t="shared" si="420"/>
        <v>0</v>
      </c>
      <c r="FB178" s="1">
        <f t="shared" si="421"/>
        <v>0</v>
      </c>
      <c r="FC178" s="1">
        <f t="shared" si="422"/>
        <v>0</v>
      </c>
      <c r="FD178" s="1">
        <f t="shared" si="423"/>
        <v>0</v>
      </c>
      <c r="FE178" s="1">
        <f t="shared" si="424"/>
        <v>0</v>
      </c>
      <c r="FF178" s="1">
        <f t="shared" si="425"/>
        <v>0</v>
      </c>
      <c r="FG178" s="1">
        <f t="shared" si="426"/>
        <v>0</v>
      </c>
      <c r="FH178" s="1">
        <f t="shared" si="427"/>
        <v>0</v>
      </c>
      <c r="FI178" s="1">
        <f t="shared" si="428"/>
        <v>0</v>
      </c>
      <c r="FJ178" s="1">
        <f t="shared" si="429"/>
        <v>0</v>
      </c>
      <c r="FK178" s="1">
        <f t="shared" si="430"/>
        <v>0</v>
      </c>
      <c r="FL178" s="1">
        <f t="shared" si="431"/>
        <v>0</v>
      </c>
      <c r="FM178" s="1">
        <f t="shared" si="432"/>
        <v>0</v>
      </c>
      <c r="FN178" s="1">
        <f t="shared" si="433"/>
        <v>0</v>
      </c>
      <c r="FO178" s="1">
        <f t="shared" si="434"/>
        <v>0</v>
      </c>
      <c r="FP178" s="1">
        <f t="shared" si="435"/>
        <v>0</v>
      </c>
      <c r="FQ178" s="1">
        <f t="shared" si="436"/>
        <v>0</v>
      </c>
      <c r="FS178" s="1">
        <f t="shared" si="437"/>
        <v>0</v>
      </c>
      <c r="FT178" s="1">
        <f t="shared" si="438"/>
        <v>0</v>
      </c>
      <c r="FU178" s="38">
        <f t="shared" si="439"/>
        <v>0</v>
      </c>
      <c r="FV178" s="38">
        <f t="shared" si="440"/>
        <v>0</v>
      </c>
      <c r="FW178" s="38">
        <f t="shared" si="441"/>
        <v>0</v>
      </c>
      <c r="FX178" s="38">
        <f t="shared" si="442"/>
        <v>0</v>
      </c>
      <c r="FY178" s="38">
        <f t="shared" si="443"/>
        <v>0</v>
      </c>
      <c r="FZ178" s="38">
        <f t="shared" si="444"/>
        <v>0</v>
      </c>
      <c r="GA178" s="38">
        <f t="shared" si="445"/>
        <v>0</v>
      </c>
      <c r="GB178" s="38">
        <f t="shared" si="446"/>
        <v>0</v>
      </c>
      <c r="GC178" s="38">
        <f t="shared" si="447"/>
        <v>0</v>
      </c>
      <c r="GD178" s="38">
        <f t="shared" si="448"/>
        <v>0</v>
      </c>
      <c r="GE178" s="38">
        <f t="shared" si="449"/>
        <v>0</v>
      </c>
      <c r="GF178" s="38">
        <f t="shared" si="450"/>
        <v>0</v>
      </c>
      <c r="GG178" s="38">
        <f t="shared" si="451"/>
        <v>0</v>
      </c>
      <c r="GH178" s="38">
        <f t="shared" si="452"/>
        <v>0</v>
      </c>
      <c r="GI178" s="38">
        <f t="shared" si="453"/>
        <v>0</v>
      </c>
      <c r="GJ178" s="38">
        <f t="shared" si="454"/>
        <v>0</v>
      </c>
      <c r="GL178" s="38">
        <f t="shared" si="455"/>
        <v>0</v>
      </c>
      <c r="GM178" s="38">
        <f t="shared" si="456"/>
        <v>0</v>
      </c>
      <c r="GN178" s="1" t="s">
        <v>2</v>
      </c>
      <c r="GO178" s="1">
        <f t="shared" si="379"/>
        <v>26.299999999999997</v>
      </c>
      <c r="GP178" s="13">
        <f t="shared" si="380"/>
        <v>0.6450570342205324</v>
      </c>
      <c r="GQ178" s="41">
        <f t="shared" si="381"/>
        <v>169.65</v>
      </c>
      <c r="GR178" s="41">
        <f t="shared" si="382"/>
        <v>3049.3121754959993</v>
      </c>
      <c r="GS178" s="14">
        <f t="shared" si="383"/>
        <v>115.94342872608364</v>
      </c>
      <c r="GT178" s="1">
        <f t="shared" si="457"/>
        <v>0</v>
      </c>
      <c r="GU178" s="1">
        <f t="shared" si="458"/>
        <v>31.68</v>
      </c>
      <c r="GV178" s="1">
        <f t="shared" si="459"/>
        <v>137.96999999999997</v>
      </c>
      <c r="GW178" s="37">
        <f t="shared" si="384"/>
        <v>0</v>
      </c>
      <c r="GX178" s="37"/>
      <c r="GY178" s="37"/>
      <c r="GZ178" s="37"/>
      <c r="HB178" s="1">
        <f t="shared" si="460"/>
        <v>0</v>
      </c>
      <c r="HC178" s="1">
        <f t="shared" si="461"/>
        <v>0</v>
      </c>
      <c r="HD178" s="37" t="s">
        <v>2</v>
      </c>
      <c r="HE178" s="1" t="s">
        <v>31</v>
      </c>
      <c r="HF178" s="1" t="s">
        <v>193</v>
      </c>
      <c r="HI178" s="1" t="s">
        <v>96</v>
      </c>
      <c r="HJ178" s="37" t="s">
        <v>2</v>
      </c>
      <c r="JH178" s="58" t="s">
        <v>2</v>
      </c>
    </row>
    <row r="179" spans="1:268" ht="16.25" customHeight="1" x14ac:dyDescent="0.2">
      <c r="A179" s="21" t="s">
        <v>250</v>
      </c>
      <c r="B179" s="1" t="s">
        <v>69</v>
      </c>
      <c r="E179" s="1" t="s">
        <v>72</v>
      </c>
      <c r="F179" s="1" t="s">
        <v>249</v>
      </c>
      <c r="H179" s="1" t="s">
        <v>211</v>
      </c>
      <c r="I179" s="1">
        <v>0</v>
      </c>
      <c r="AD179" s="1">
        <v>0</v>
      </c>
      <c r="AY179" s="1">
        <v>339</v>
      </c>
      <c r="BG179" s="1">
        <v>0.81</v>
      </c>
      <c r="BH179" s="1">
        <v>0.05</v>
      </c>
      <c r="BT179" s="1">
        <v>0</v>
      </c>
      <c r="CO179" s="1">
        <v>0</v>
      </c>
      <c r="DJ179" s="1" t="s">
        <v>96</v>
      </c>
      <c r="DL179" s="1">
        <f t="shared" si="377"/>
        <v>0.81</v>
      </c>
      <c r="DM179" s="1">
        <f t="shared" si="378"/>
        <v>4.9999999999999996E-2</v>
      </c>
      <c r="DN179" s="1" t="s">
        <v>67</v>
      </c>
      <c r="DO179" s="1" t="s">
        <v>2</v>
      </c>
      <c r="DP179" s="38">
        <f t="shared" si="385"/>
        <v>0</v>
      </c>
      <c r="DQ179" s="38">
        <f t="shared" si="386"/>
        <v>0</v>
      </c>
      <c r="DR179" s="38">
        <f t="shared" si="387"/>
        <v>0</v>
      </c>
      <c r="DS179" s="38">
        <f t="shared" si="388"/>
        <v>0</v>
      </c>
      <c r="DT179" s="38">
        <f t="shared" si="389"/>
        <v>0</v>
      </c>
      <c r="DU179" s="38">
        <f t="shared" si="390"/>
        <v>0</v>
      </c>
      <c r="DV179" s="38">
        <f t="shared" si="391"/>
        <v>0</v>
      </c>
      <c r="DW179" s="38">
        <f t="shared" si="392"/>
        <v>2.7459000000000002</v>
      </c>
      <c r="DX179" s="38">
        <f t="shared" si="393"/>
        <v>0.16949999999999998</v>
      </c>
      <c r="DY179" s="38">
        <f t="shared" si="394"/>
        <v>0</v>
      </c>
      <c r="DZ179" s="38">
        <f t="shared" si="395"/>
        <v>0</v>
      </c>
      <c r="EA179" s="38">
        <f t="shared" si="396"/>
        <v>0</v>
      </c>
      <c r="EB179" s="38">
        <f t="shared" si="397"/>
        <v>0</v>
      </c>
      <c r="EC179" s="38">
        <f t="shared" si="398"/>
        <v>0</v>
      </c>
      <c r="ED179" s="38">
        <f t="shared" si="399"/>
        <v>0</v>
      </c>
      <c r="EE179" s="38">
        <f t="shared" si="400"/>
        <v>0</v>
      </c>
      <c r="EG179" s="38">
        <f t="shared" si="401"/>
        <v>0</v>
      </c>
      <c r="EH179" s="38">
        <f t="shared" si="402"/>
        <v>0</v>
      </c>
      <c r="EI179" s="38">
        <f t="shared" si="403"/>
        <v>0</v>
      </c>
      <c r="EJ179" s="38">
        <f t="shared" si="404"/>
        <v>0</v>
      </c>
      <c r="EK179" s="38">
        <f t="shared" si="405"/>
        <v>0</v>
      </c>
      <c r="EL179" s="38">
        <f t="shared" si="406"/>
        <v>0</v>
      </c>
      <c r="EM179" s="38">
        <f t="shared" si="407"/>
        <v>0</v>
      </c>
      <c r="EN179" s="38">
        <f t="shared" si="408"/>
        <v>0</v>
      </c>
      <c r="EO179" s="38">
        <f t="shared" si="409"/>
        <v>0</v>
      </c>
      <c r="EP179" s="38">
        <f t="shared" si="410"/>
        <v>36009.732600000003</v>
      </c>
      <c r="EQ179" s="38">
        <f t="shared" si="411"/>
        <v>12309.009317999997</v>
      </c>
      <c r="ER179" s="38">
        <f t="shared" si="412"/>
        <v>0</v>
      </c>
      <c r="ES179" s="38">
        <f t="shared" si="413"/>
        <v>0</v>
      </c>
      <c r="ET179" s="38">
        <f t="shared" si="414"/>
        <v>0</v>
      </c>
      <c r="EU179" s="38">
        <f t="shared" si="415"/>
        <v>0</v>
      </c>
      <c r="EV179" s="38">
        <f t="shared" si="416"/>
        <v>0</v>
      </c>
      <c r="EW179" s="38">
        <f t="shared" si="417"/>
        <v>0</v>
      </c>
      <c r="EX179" s="38">
        <f t="shared" si="418"/>
        <v>0</v>
      </c>
      <c r="EZ179" s="38">
        <f t="shared" si="419"/>
        <v>0</v>
      </c>
      <c r="FA179" s="38">
        <f t="shared" si="420"/>
        <v>0</v>
      </c>
      <c r="FB179" s="1">
        <f t="shared" si="421"/>
        <v>0</v>
      </c>
      <c r="FC179" s="1">
        <f t="shared" si="422"/>
        <v>0</v>
      </c>
      <c r="FD179" s="1">
        <f t="shared" si="423"/>
        <v>0</v>
      </c>
      <c r="FE179" s="1">
        <f t="shared" si="424"/>
        <v>0</v>
      </c>
      <c r="FF179" s="1">
        <f t="shared" si="425"/>
        <v>0</v>
      </c>
      <c r="FG179" s="1">
        <f t="shared" si="426"/>
        <v>0</v>
      </c>
      <c r="FH179" s="1">
        <f t="shared" si="427"/>
        <v>0</v>
      </c>
      <c r="FI179" s="1">
        <f t="shared" si="428"/>
        <v>0</v>
      </c>
      <c r="FJ179" s="1">
        <f t="shared" si="429"/>
        <v>0</v>
      </c>
      <c r="FK179" s="1">
        <f t="shared" si="430"/>
        <v>0</v>
      </c>
      <c r="FL179" s="1">
        <f t="shared" si="431"/>
        <v>0</v>
      </c>
      <c r="FM179" s="1">
        <f t="shared" si="432"/>
        <v>0</v>
      </c>
      <c r="FN179" s="1">
        <f t="shared" si="433"/>
        <v>0</v>
      </c>
      <c r="FO179" s="1">
        <f t="shared" si="434"/>
        <v>0</v>
      </c>
      <c r="FP179" s="1">
        <f t="shared" si="435"/>
        <v>0</v>
      </c>
      <c r="FQ179" s="1">
        <f t="shared" si="436"/>
        <v>0</v>
      </c>
      <c r="FS179" s="1">
        <f t="shared" si="437"/>
        <v>0</v>
      </c>
      <c r="FT179" s="1">
        <f t="shared" si="438"/>
        <v>0</v>
      </c>
      <c r="FU179" s="38">
        <f t="shared" si="439"/>
        <v>0</v>
      </c>
      <c r="FV179" s="38">
        <f t="shared" si="440"/>
        <v>0</v>
      </c>
      <c r="FW179" s="38">
        <f t="shared" si="441"/>
        <v>0</v>
      </c>
      <c r="FX179" s="38">
        <f t="shared" si="442"/>
        <v>0</v>
      </c>
      <c r="FY179" s="38">
        <f t="shared" si="443"/>
        <v>0</v>
      </c>
      <c r="FZ179" s="38">
        <f t="shared" si="444"/>
        <v>0</v>
      </c>
      <c r="GA179" s="38">
        <f t="shared" si="445"/>
        <v>0</v>
      </c>
      <c r="GB179" s="38">
        <f t="shared" si="446"/>
        <v>0</v>
      </c>
      <c r="GC179" s="38">
        <f t="shared" si="447"/>
        <v>0</v>
      </c>
      <c r="GD179" s="38">
        <f t="shared" si="448"/>
        <v>0</v>
      </c>
      <c r="GE179" s="38">
        <f t="shared" si="449"/>
        <v>0</v>
      </c>
      <c r="GF179" s="38">
        <f t="shared" si="450"/>
        <v>0</v>
      </c>
      <c r="GG179" s="38">
        <f t="shared" si="451"/>
        <v>0</v>
      </c>
      <c r="GH179" s="38">
        <f t="shared" si="452"/>
        <v>0</v>
      </c>
      <c r="GI179" s="38">
        <f t="shared" si="453"/>
        <v>0</v>
      </c>
      <c r="GJ179" s="38">
        <f t="shared" si="454"/>
        <v>0</v>
      </c>
      <c r="GL179" s="38">
        <f t="shared" si="455"/>
        <v>0</v>
      </c>
      <c r="GM179" s="38">
        <f t="shared" si="456"/>
        <v>0</v>
      </c>
      <c r="GN179" s="1" t="s">
        <v>2</v>
      </c>
      <c r="GO179" s="1">
        <f t="shared" si="379"/>
        <v>339</v>
      </c>
      <c r="GP179" s="1">
        <f t="shared" si="380"/>
        <v>0.81</v>
      </c>
      <c r="GQ179" s="43">
        <f t="shared" si="381"/>
        <v>2745.9</v>
      </c>
      <c r="GR179" s="41">
        <f t="shared" si="382"/>
        <v>48318.741918</v>
      </c>
      <c r="GS179" s="14">
        <f t="shared" si="383"/>
        <v>142.533162</v>
      </c>
      <c r="GT179" s="1">
        <f t="shared" si="457"/>
        <v>0</v>
      </c>
      <c r="GU179" s="1">
        <f t="shared" si="458"/>
        <v>0</v>
      </c>
      <c r="GV179" s="1">
        <f t="shared" si="459"/>
        <v>2745.9000000000005</v>
      </c>
      <c r="GW179" s="37">
        <f t="shared" si="384"/>
        <v>0</v>
      </c>
      <c r="GX179" s="37"/>
      <c r="GY179" s="37"/>
      <c r="GZ179" s="37"/>
      <c r="HB179" s="1">
        <f t="shared" si="460"/>
        <v>0</v>
      </c>
      <c r="HC179" s="1">
        <f t="shared" si="461"/>
        <v>0</v>
      </c>
      <c r="HD179" s="37" t="s">
        <v>2</v>
      </c>
      <c r="HE179" s="1" t="s">
        <v>31</v>
      </c>
      <c r="HF179" s="1" t="s">
        <v>251</v>
      </c>
      <c r="HG179" s="1" t="s">
        <v>251</v>
      </c>
      <c r="HI179" s="1" t="s">
        <v>96</v>
      </c>
      <c r="HJ179" s="37" t="s">
        <v>2</v>
      </c>
      <c r="JH179" s="58" t="s">
        <v>2</v>
      </c>
    </row>
    <row r="180" spans="1:268" ht="16.25" customHeight="1" x14ac:dyDescent="0.2">
      <c r="A180" s="21" t="s">
        <v>290</v>
      </c>
      <c r="B180" s="1" t="s">
        <v>69</v>
      </c>
      <c r="E180" s="1" t="s">
        <v>72</v>
      </c>
      <c r="F180" s="1" t="s">
        <v>172</v>
      </c>
      <c r="H180" s="1" t="s">
        <v>204</v>
      </c>
      <c r="I180" s="1">
        <v>3.8</v>
      </c>
      <c r="Q180" s="1">
        <v>0.94</v>
      </c>
      <c r="R180" s="1">
        <v>0.05</v>
      </c>
      <c r="AD180" s="1">
        <v>41.6</v>
      </c>
      <c r="AL180" s="1">
        <v>0.78</v>
      </c>
      <c r="AM180" s="1">
        <v>0.04</v>
      </c>
      <c r="AY180" s="1">
        <v>18.399999999999999</v>
      </c>
      <c r="BG180" s="1">
        <v>0.63</v>
      </c>
      <c r="BH180" s="1">
        <v>0.03</v>
      </c>
      <c r="BT180" s="1">
        <v>0</v>
      </c>
      <c r="CO180" s="1">
        <v>0</v>
      </c>
      <c r="DJ180" s="1" t="s">
        <v>96</v>
      </c>
      <c r="DK180" s="1" t="s">
        <v>96</v>
      </c>
      <c r="DL180" s="1">
        <f t="shared" si="377"/>
        <v>0.74626959247648905</v>
      </c>
      <c r="DM180" s="1">
        <f t="shared" si="378"/>
        <v>3.7711598746081508E-2</v>
      </c>
      <c r="DN180" s="1" t="s">
        <v>67</v>
      </c>
      <c r="DO180" s="1" t="s">
        <v>2</v>
      </c>
      <c r="DP180" s="38">
        <f t="shared" si="385"/>
        <v>0</v>
      </c>
      <c r="DQ180" s="38">
        <f t="shared" si="386"/>
        <v>0</v>
      </c>
      <c r="DR180" s="38">
        <f t="shared" si="387"/>
        <v>0</v>
      </c>
      <c r="DS180" s="38">
        <f t="shared" si="388"/>
        <v>0</v>
      </c>
      <c r="DT180" s="38">
        <f t="shared" si="389"/>
        <v>0</v>
      </c>
      <c r="DU180" s="38">
        <f t="shared" si="390"/>
        <v>0</v>
      </c>
      <c r="DV180" s="38">
        <f t="shared" si="391"/>
        <v>0</v>
      </c>
      <c r="DW180" s="38">
        <f t="shared" si="392"/>
        <v>0.47612000000000004</v>
      </c>
      <c r="DX180" s="38">
        <f t="shared" si="393"/>
        <v>2.4060000000000002E-2</v>
      </c>
      <c r="DY180" s="38">
        <f t="shared" si="394"/>
        <v>0</v>
      </c>
      <c r="DZ180" s="38">
        <f t="shared" si="395"/>
        <v>0</v>
      </c>
      <c r="EA180" s="38">
        <f t="shared" si="396"/>
        <v>0</v>
      </c>
      <c r="EB180" s="38">
        <f t="shared" si="397"/>
        <v>0</v>
      </c>
      <c r="EC180" s="38">
        <f t="shared" si="398"/>
        <v>0</v>
      </c>
      <c r="ED180" s="38">
        <f t="shared" si="399"/>
        <v>0</v>
      </c>
      <c r="EE180" s="38">
        <f t="shared" si="400"/>
        <v>0</v>
      </c>
      <c r="EG180" s="38">
        <f t="shared" si="401"/>
        <v>0</v>
      </c>
      <c r="EH180" s="38">
        <f t="shared" si="402"/>
        <v>0</v>
      </c>
      <c r="EI180" s="38">
        <f t="shared" si="403"/>
        <v>0</v>
      </c>
      <c r="EJ180" s="38">
        <f t="shared" si="404"/>
        <v>0</v>
      </c>
      <c r="EK180" s="38">
        <f t="shared" si="405"/>
        <v>0</v>
      </c>
      <c r="EL180" s="38">
        <f t="shared" si="406"/>
        <v>0</v>
      </c>
      <c r="EM180" s="38">
        <f t="shared" si="407"/>
        <v>0</v>
      </c>
      <c r="EN180" s="38">
        <f t="shared" si="408"/>
        <v>0</v>
      </c>
      <c r="EO180" s="38">
        <f t="shared" si="409"/>
        <v>0</v>
      </c>
      <c r="EP180" s="38">
        <f t="shared" si="410"/>
        <v>6243.8376800000005</v>
      </c>
      <c r="EQ180" s="38">
        <f t="shared" si="411"/>
        <v>1747.2257474399999</v>
      </c>
      <c r="ER180" s="38">
        <f t="shared" si="412"/>
        <v>0</v>
      </c>
      <c r="ES180" s="38">
        <f t="shared" si="413"/>
        <v>0</v>
      </c>
      <c r="ET180" s="38">
        <f t="shared" si="414"/>
        <v>0</v>
      </c>
      <c r="EU180" s="38">
        <f t="shared" si="415"/>
        <v>0</v>
      </c>
      <c r="EV180" s="38">
        <f t="shared" si="416"/>
        <v>0</v>
      </c>
      <c r="EW180" s="38">
        <f t="shared" si="417"/>
        <v>0</v>
      </c>
      <c r="EX180" s="38">
        <f t="shared" si="418"/>
        <v>0</v>
      </c>
      <c r="EZ180" s="38">
        <f t="shared" si="419"/>
        <v>0</v>
      </c>
      <c r="FA180" s="38">
        <f t="shared" si="420"/>
        <v>0</v>
      </c>
      <c r="FB180" s="1">
        <f t="shared" si="421"/>
        <v>0</v>
      </c>
      <c r="FC180" s="1">
        <f t="shared" si="422"/>
        <v>0</v>
      </c>
      <c r="FD180" s="1">
        <f t="shared" si="423"/>
        <v>0</v>
      </c>
      <c r="FE180" s="1">
        <f t="shared" si="424"/>
        <v>0</v>
      </c>
      <c r="FF180" s="1">
        <f t="shared" si="425"/>
        <v>0</v>
      </c>
      <c r="FG180" s="1">
        <f t="shared" si="426"/>
        <v>0</v>
      </c>
      <c r="FH180" s="1">
        <f t="shared" si="427"/>
        <v>0</v>
      </c>
      <c r="FI180" s="1">
        <f t="shared" si="428"/>
        <v>0</v>
      </c>
      <c r="FJ180" s="1">
        <f t="shared" si="429"/>
        <v>0</v>
      </c>
      <c r="FK180" s="1">
        <f t="shared" si="430"/>
        <v>0</v>
      </c>
      <c r="FL180" s="1">
        <f t="shared" si="431"/>
        <v>0</v>
      </c>
      <c r="FM180" s="1">
        <f t="shared" si="432"/>
        <v>0</v>
      </c>
      <c r="FN180" s="1">
        <f t="shared" si="433"/>
        <v>0</v>
      </c>
      <c r="FO180" s="1">
        <f t="shared" si="434"/>
        <v>0</v>
      </c>
      <c r="FP180" s="1">
        <f t="shared" si="435"/>
        <v>0</v>
      </c>
      <c r="FQ180" s="1">
        <f t="shared" si="436"/>
        <v>0</v>
      </c>
      <c r="FS180" s="1">
        <f t="shared" si="437"/>
        <v>0</v>
      </c>
      <c r="FT180" s="1">
        <f t="shared" si="438"/>
        <v>0</v>
      </c>
      <c r="FU180" s="38">
        <f t="shared" si="439"/>
        <v>0</v>
      </c>
      <c r="FV180" s="38">
        <f t="shared" si="440"/>
        <v>0</v>
      </c>
      <c r="FW180" s="38">
        <f t="shared" si="441"/>
        <v>0</v>
      </c>
      <c r="FX180" s="38">
        <f t="shared" si="442"/>
        <v>0</v>
      </c>
      <c r="FY180" s="38">
        <f t="shared" si="443"/>
        <v>0</v>
      </c>
      <c r="FZ180" s="38">
        <f t="shared" si="444"/>
        <v>0</v>
      </c>
      <c r="GA180" s="38">
        <f t="shared" si="445"/>
        <v>0</v>
      </c>
      <c r="GB180" s="38">
        <f t="shared" si="446"/>
        <v>0</v>
      </c>
      <c r="GC180" s="38">
        <f t="shared" si="447"/>
        <v>0</v>
      </c>
      <c r="GD180" s="38">
        <f t="shared" si="448"/>
        <v>0</v>
      </c>
      <c r="GE180" s="38">
        <f t="shared" si="449"/>
        <v>0</v>
      </c>
      <c r="GF180" s="38">
        <f t="shared" si="450"/>
        <v>0</v>
      </c>
      <c r="GG180" s="38">
        <f t="shared" si="451"/>
        <v>0</v>
      </c>
      <c r="GH180" s="38">
        <f t="shared" si="452"/>
        <v>0</v>
      </c>
      <c r="GI180" s="38">
        <f t="shared" si="453"/>
        <v>0</v>
      </c>
      <c r="GJ180" s="38">
        <f t="shared" si="454"/>
        <v>0</v>
      </c>
      <c r="GL180" s="38">
        <f t="shared" si="455"/>
        <v>0</v>
      </c>
      <c r="GM180" s="38">
        <f t="shared" si="456"/>
        <v>0</v>
      </c>
      <c r="GN180" s="1" t="s">
        <v>2</v>
      </c>
      <c r="GO180" s="1">
        <f t="shared" si="379"/>
        <v>63.8</v>
      </c>
      <c r="GP180" s="13">
        <f t="shared" si="380"/>
        <v>0.74626959247648905</v>
      </c>
      <c r="GQ180" s="41">
        <f t="shared" si="381"/>
        <v>476.12</v>
      </c>
      <c r="GR180" s="41">
        <f t="shared" si="382"/>
        <v>7991.0634274399999</v>
      </c>
      <c r="GS180" s="14">
        <f t="shared" si="383"/>
        <v>125.25177785956113</v>
      </c>
      <c r="GT180" s="1">
        <f t="shared" si="457"/>
        <v>35.72</v>
      </c>
      <c r="GU180" s="1">
        <f t="shared" si="458"/>
        <v>324.48</v>
      </c>
      <c r="GV180" s="1">
        <f t="shared" si="459"/>
        <v>115.91999999999999</v>
      </c>
      <c r="GW180" s="37">
        <f t="shared" si="384"/>
        <v>0</v>
      </c>
      <c r="GX180" s="37"/>
      <c r="GY180" s="37"/>
      <c r="GZ180" s="37"/>
      <c r="HB180" s="1">
        <f t="shared" si="460"/>
        <v>0</v>
      </c>
      <c r="HC180" s="1">
        <f t="shared" si="461"/>
        <v>0</v>
      </c>
      <c r="HD180" s="37" t="s">
        <v>2</v>
      </c>
      <c r="HE180" s="1" t="s">
        <v>31</v>
      </c>
      <c r="HF180" s="1" t="s">
        <v>280</v>
      </c>
      <c r="HG180" s="1" t="s">
        <v>280</v>
      </c>
      <c r="HI180" s="1" t="s">
        <v>96</v>
      </c>
      <c r="HJ180" s="37" t="s">
        <v>2</v>
      </c>
      <c r="JH180" s="58" t="s">
        <v>2</v>
      </c>
    </row>
    <row r="181" spans="1:268" ht="16.25" customHeight="1" x14ac:dyDescent="0.2">
      <c r="A181" s="21" t="s">
        <v>291</v>
      </c>
      <c r="B181" s="1" t="s">
        <v>69</v>
      </c>
      <c r="E181" s="1" t="s">
        <v>72</v>
      </c>
      <c r="F181" s="1" t="s">
        <v>172</v>
      </c>
      <c r="H181" s="1" t="s">
        <v>204</v>
      </c>
      <c r="I181" s="1">
        <v>0</v>
      </c>
      <c r="AD181" s="1">
        <v>26.8</v>
      </c>
      <c r="AL181" s="1">
        <v>0.77</v>
      </c>
      <c r="AM181" s="1">
        <v>0.06</v>
      </c>
      <c r="AY181" s="1">
        <v>0</v>
      </c>
      <c r="BT181" s="1">
        <v>0</v>
      </c>
      <c r="CO181" s="1">
        <v>0</v>
      </c>
      <c r="DJ181" s="1" t="s">
        <v>96</v>
      </c>
      <c r="DK181" s="1" t="s">
        <v>96</v>
      </c>
      <c r="DL181" s="1">
        <f t="shared" si="377"/>
        <v>0.77000000000000013</v>
      </c>
      <c r="DM181" s="1">
        <f t="shared" si="378"/>
        <v>5.9999999999999991E-2</v>
      </c>
      <c r="DN181" s="1" t="s">
        <v>67</v>
      </c>
      <c r="DO181" s="1" t="s">
        <v>2</v>
      </c>
      <c r="DP181" s="38">
        <f t="shared" si="385"/>
        <v>0</v>
      </c>
      <c r="DQ181" s="38">
        <f t="shared" si="386"/>
        <v>0</v>
      </c>
      <c r="DR181" s="38">
        <f t="shared" si="387"/>
        <v>0</v>
      </c>
      <c r="DS181" s="38">
        <f t="shared" si="388"/>
        <v>0</v>
      </c>
      <c r="DT181" s="38">
        <f t="shared" si="389"/>
        <v>0</v>
      </c>
      <c r="DU181" s="38">
        <f t="shared" si="390"/>
        <v>0</v>
      </c>
      <c r="DV181" s="38">
        <f t="shared" si="391"/>
        <v>0</v>
      </c>
      <c r="DW181" s="38">
        <f t="shared" si="392"/>
        <v>0.20636000000000002</v>
      </c>
      <c r="DX181" s="38">
        <f t="shared" si="393"/>
        <v>1.6079999999999997E-2</v>
      </c>
      <c r="DY181" s="38">
        <f t="shared" si="394"/>
        <v>0</v>
      </c>
      <c r="DZ181" s="38">
        <f t="shared" si="395"/>
        <v>0</v>
      </c>
      <c r="EA181" s="38">
        <f t="shared" si="396"/>
        <v>0</v>
      </c>
      <c r="EB181" s="38">
        <f t="shared" si="397"/>
        <v>0</v>
      </c>
      <c r="EC181" s="38">
        <f t="shared" si="398"/>
        <v>0</v>
      </c>
      <c r="ED181" s="38">
        <f t="shared" si="399"/>
        <v>0</v>
      </c>
      <c r="EE181" s="38">
        <f t="shared" si="400"/>
        <v>0</v>
      </c>
      <c r="EG181" s="38">
        <f t="shared" si="401"/>
        <v>0</v>
      </c>
      <c r="EH181" s="38">
        <f t="shared" si="402"/>
        <v>0</v>
      </c>
      <c r="EI181" s="38">
        <f t="shared" si="403"/>
        <v>0</v>
      </c>
      <c r="EJ181" s="38">
        <f t="shared" si="404"/>
        <v>0</v>
      </c>
      <c r="EK181" s="38">
        <f t="shared" si="405"/>
        <v>0</v>
      </c>
      <c r="EL181" s="38">
        <f t="shared" si="406"/>
        <v>0</v>
      </c>
      <c r="EM181" s="38">
        <f t="shared" si="407"/>
        <v>0</v>
      </c>
      <c r="EN181" s="38">
        <f t="shared" si="408"/>
        <v>0</v>
      </c>
      <c r="EO181" s="38">
        <f t="shared" si="409"/>
        <v>0</v>
      </c>
      <c r="EP181" s="38">
        <f t="shared" si="410"/>
        <v>2706.2050400000003</v>
      </c>
      <c r="EQ181" s="38">
        <f t="shared" si="411"/>
        <v>1167.7219459199996</v>
      </c>
      <c r="ER181" s="38">
        <f t="shared" si="412"/>
        <v>0</v>
      </c>
      <c r="ES181" s="38">
        <f t="shared" si="413"/>
        <v>0</v>
      </c>
      <c r="ET181" s="38">
        <f t="shared" si="414"/>
        <v>0</v>
      </c>
      <c r="EU181" s="38">
        <f t="shared" si="415"/>
        <v>0</v>
      </c>
      <c r="EV181" s="38">
        <f t="shared" si="416"/>
        <v>0</v>
      </c>
      <c r="EW181" s="38">
        <f t="shared" si="417"/>
        <v>0</v>
      </c>
      <c r="EX181" s="38">
        <f t="shared" si="418"/>
        <v>0</v>
      </c>
      <c r="EZ181" s="38">
        <f t="shared" si="419"/>
        <v>0</v>
      </c>
      <c r="FA181" s="38">
        <f t="shared" si="420"/>
        <v>0</v>
      </c>
      <c r="FB181" s="1">
        <f t="shared" si="421"/>
        <v>0</v>
      </c>
      <c r="FC181" s="1">
        <f t="shared" si="422"/>
        <v>0</v>
      </c>
      <c r="FD181" s="1">
        <f t="shared" si="423"/>
        <v>0</v>
      </c>
      <c r="FE181" s="1">
        <f t="shared" si="424"/>
        <v>0</v>
      </c>
      <c r="FF181" s="1">
        <f t="shared" si="425"/>
        <v>0</v>
      </c>
      <c r="FG181" s="1">
        <f t="shared" si="426"/>
        <v>0</v>
      </c>
      <c r="FH181" s="1">
        <f t="shared" si="427"/>
        <v>0</v>
      </c>
      <c r="FI181" s="1">
        <f t="shared" si="428"/>
        <v>0</v>
      </c>
      <c r="FJ181" s="1">
        <f t="shared" si="429"/>
        <v>0</v>
      </c>
      <c r="FK181" s="1">
        <f t="shared" si="430"/>
        <v>0</v>
      </c>
      <c r="FL181" s="1">
        <f t="shared" si="431"/>
        <v>0</v>
      </c>
      <c r="FM181" s="1">
        <f t="shared" si="432"/>
        <v>0</v>
      </c>
      <c r="FN181" s="1">
        <f t="shared" si="433"/>
        <v>0</v>
      </c>
      <c r="FO181" s="1">
        <f t="shared" si="434"/>
        <v>0</v>
      </c>
      <c r="FP181" s="1">
        <f t="shared" si="435"/>
        <v>0</v>
      </c>
      <c r="FQ181" s="1">
        <f t="shared" si="436"/>
        <v>0</v>
      </c>
      <c r="FS181" s="1">
        <f t="shared" si="437"/>
        <v>0</v>
      </c>
      <c r="FT181" s="1">
        <f t="shared" si="438"/>
        <v>0</v>
      </c>
      <c r="FU181" s="38">
        <f t="shared" si="439"/>
        <v>0</v>
      </c>
      <c r="FV181" s="38">
        <f t="shared" si="440"/>
        <v>0</v>
      </c>
      <c r="FW181" s="38">
        <f t="shared" si="441"/>
        <v>0</v>
      </c>
      <c r="FX181" s="38">
        <f t="shared" si="442"/>
        <v>0</v>
      </c>
      <c r="FY181" s="38">
        <f t="shared" si="443"/>
        <v>0</v>
      </c>
      <c r="FZ181" s="38">
        <f t="shared" si="444"/>
        <v>0</v>
      </c>
      <c r="GA181" s="38">
        <f t="shared" si="445"/>
        <v>0</v>
      </c>
      <c r="GB181" s="38">
        <f t="shared" si="446"/>
        <v>0</v>
      </c>
      <c r="GC181" s="38">
        <f t="shared" si="447"/>
        <v>0</v>
      </c>
      <c r="GD181" s="38">
        <f t="shared" si="448"/>
        <v>0</v>
      </c>
      <c r="GE181" s="38">
        <f t="shared" si="449"/>
        <v>0</v>
      </c>
      <c r="GF181" s="38">
        <f t="shared" si="450"/>
        <v>0</v>
      </c>
      <c r="GG181" s="38">
        <f t="shared" si="451"/>
        <v>0</v>
      </c>
      <c r="GH181" s="38">
        <f t="shared" si="452"/>
        <v>0</v>
      </c>
      <c r="GI181" s="38">
        <f t="shared" si="453"/>
        <v>0</v>
      </c>
      <c r="GJ181" s="38">
        <f t="shared" si="454"/>
        <v>0</v>
      </c>
      <c r="GL181" s="38">
        <f t="shared" si="455"/>
        <v>0</v>
      </c>
      <c r="GM181" s="38">
        <f t="shared" si="456"/>
        <v>0</v>
      </c>
      <c r="GN181" s="1" t="s">
        <v>2</v>
      </c>
      <c r="GO181" s="1">
        <f t="shared" si="379"/>
        <v>26.8</v>
      </c>
      <c r="GP181" s="1">
        <f t="shared" si="380"/>
        <v>0.77000000000000013</v>
      </c>
      <c r="GQ181" s="41">
        <f t="shared" si="381"/>
        <v>206.36000000000004</v>
      </c>
      <c r="GR181" s="41">
        <f t="shared" si="382"/>
        <v>3873.9269859199999</v>
      </c>
      <c r="GS181" s="14">
        <f t="shared" si="383"/>
        <v>144.54951439999999</v>
      </c>
      <c r="GT181" s="1">
        <f t="shared" si="457"/>
        <v>0</v>
      </c>
      <c r="GU181" s="1">
        <f t="shared" si="458"/>
        <v>206.36000000000004</v>
      </c>
      <c r="GV181" s="1">
        <f t="shared" si="459"/>
        <v>0</v>
      </c>
      <c r="GW181" s="37">
        <f t="shared" si="384"/>
        <v>0</v>
      </c>
      <c r="GX181" s="37"/>
      <c r="GY181" s="37"/>
      <c r="GZ181" s="37"/>
      <c r="HB181" s="1">
        <f t="shared" si="460"/>
        <v>0</v>
      </c>
      <c r="HC181" s="1">
        <f t="shared" si="461"/>
        <v>0</v>
      </c>
      <c r="HD181" s="37" t="s">
        <v>2</v>
      </c>
      <c r="HE181" s="1" t="s">
        <v>31</v>
      </c>
      <c r="HF181" s="1" t="s">
        <v>280</v>
      </c>
      <c r="HG181" s="1" t="s">
        <v>280</v>
      </c>
      <c r="HI181" s="1" t="s">
        <v>96</v>
      </c>
      <c r="HJ181" s="37" t="s">
        <v>2</v>
      </c>
      <c r="JH181" s="58" t="s">
        <v>2</v>
      </c>
    </row>
    <row r="182" spans="1:268" ht="16.25" customHeight="1" x14ac:dyDescent="0.2">
      <c r="A182" s="21" t="s">
        <v>292</v>
      </c>
      <c r="B182" s="1" t="s">
        <v>69</v>
      </c>
      <c r="E182" s="1" t="s">
        <v>72</v>
      </c>
      <c r="F182" s="1" t="s">
        <v>172</v>
      </c>
      <c r="H182" s="1" t="s">
        <v>204</v>
      </c>
      <c r="I182" s="1">
        <v>0</v>
      </c>
      <c r="AD182" s="1">
        <v>0</v>
      </c>
      <c r="AY182" s="1">
        <v>49.4</v>
      </c>
      <c r="BG182" s="13">
        <v>0.7</v>
      </c>
      <c r="BH182" s="1">
        <v>7.0000000000000007E-2</v>
      </c>
      <c r="BT182" s="1">
        <v>0</v>
      </c>
      <c r="CO182" s="1">
        <v>0</v>
      </c>
      <c r="DJ182" s="1" t="s">
        <v>96</v>
      </c>
      <c r="DK182" s="1" t="s">
        <v>96</v>
      </c>
      <c r="DL182" s="1">
        <f t="shared" si="377"/>
        <v>0.7</v>
      </c>
      <c r="DM182" s="1">
        <f t="shared" si="378"/>
        <v>7.0000000000000007E-2</v>
      </c>
      <c r="DN182" s="1" t="s">
        <v>67</v>
      </c>
      <c r="DO182" s="1" t="s">
        <v>2</v>
      </c>
      <c r="DP182" s="38">
        <f t="shared" si="385"/>
        <v>0</v>
      </c>
      <c r="DQ182" s="38">
        <f t="shared" si="386"/>
        <v>0</v>
      </c>
      <c r="DR182" s="38">
        <f t="shared" si="387"/>
        <v>0</v>
      </c>
      <c r="DS182" s="38">
        <f t="shared" si="388"/>
        <v>0</v>
      </c>
      <c r="DT182" s="38">
        <f t="shared" si="389"/>
        <v>0</v>
      </c>
      <c r="DU182" s="38">
        <f t="shared" si="390"/>
        <v>0</v>
      </c>
      <c r="DV182" s="38">
        <f t="shared" si="391"/>
        <v>0</v>
      </c>
      <c r="DW182" s="38">
        <f t="shared" si="392"/>
        <v>0.3458</v>
      </c>
      <c r="DX182" s="38">
        <f t="shared" si="393"/>
        <v>3.458E-2</v>
      </c>
      <c r="DY182" s="38">
        <f t="shared" si="394"/>
        <v>0</v>
      </c>
      <c r="DZ182" s="38">
        <f t="shared" si="395"/>
        <v>0</v>
      </c>
      <c r="EA182" s="38">
        <f t="shared" si="396"/>
        <v>0</v>
      </c>
      <c r="EB182" s="38">
        <f t="shared" si="397"/>
        <v>0</v>
      </c>
      <c r="EC182" s="38">
        <f t="shared" si="398"/>
        <v>0</v>
      </c>
      <c r="ED182" s="38">
        <f t="shared" si="399"/>
        <v>0</v>
      </c>
      <c r="EE182" s="38">
        <f t="shared" si="400"/>
        <v>0</v>
      </c>
      <c r="EG182" s="38">
        <f t="shared" si="401"/>
        <v>0</v>
      </c>
      <c r="EH182" s="38">
        <f t="shared" si="402"/>
        <v>0</v>
      </c>
      <c r="EI182" s="38">
        <f t="shared" si="403"/>
        <v>0</v>
      </c>
      <c r="EJ182" s="38">
        <f t="shared" si="404"/>
        <v>0</v>
      </c>
      <c r="EK182" s="38">
        <f t="shared" si="405"/>
        <v>0</v>
      </c>
      <c r="EL182" s="38">
        <f t="shared" si="406"/>
        <v>0</v>
      </c>
      <c r="EM182" s="38">
        <f t="shared" si="407"/>
        <v>0</v>
      </c>
      <c r="EN182" s="38">
        <f t="shared" si="408"/>
        <v>0</v>
      </c>
      <c r="EO182" s="38">
        <f t="shared" si="409"/>
        <v>0</v>
      </c>
      <c r="EP182" s="38">
        <f t="shared" si="410"/>
        <v>4534.8212000000003</v>
      </c>
      <c r="EQ182" s="38">
        <f t="shared" si="411"/>
        <v>2511.1831399199996</v>
      </c>
      <c r="ER182" s="38">
        <f t="shared" si="412"/>
        <v>0</v>
      </c>
      <c r="ES182" s="38">
        <f t="shared" si="413"/>
        <v>0</v>
      </c>
      <c r="ET182" s="38">
        <f t="shared" si="414"/>
        <v>0</v>
      </c>
      <c r="EU182" s="38">
        <f t="shared" si="415"/>
        <v>0</v>
      </c>
      <c r="EV182" s="38">
        <f t="shared" si="416"/>
        <v>0</v>
      </c>
      <c r="EW182" s="38">
        <f t="shared" si="417"/>
        <v>0</v>
      </c>
      <c r="EX182" s="38">
        <f t="shared" si="418"/>
        <v>0</v>
      </c>
      <c r="EZ182" s="38">
        <f t="shared" si="419"/>
        <v>0</v>
      </c>
      <c r="FA182" s="38">
        <f t="shared" si="420"/>
        <v>0</v>
      </c>
      <c r="FB182" s="1">
        <f t="shared" si="421"/>
        <v>0</v>
      </c>
      <c r="FC182" s="1">
        <f t="shared" si="422"/>
        <v>0</v>
      </c>
      <c r="FD182" s="1">
        <f t="shared" si="423"/>
        <v>0</v>
      </c>
      <c r="FE182" s="1">
        <f t="shared" si="424"/>
        <v>0</v>
      </c>
      <c r="FF182" s="1">
        <f t="shared" si="425"/>
        <v>0</v>
      </c>
      <c r="FG182" s="1">
        <f t="shared" si="426"/>
        <v>0</v>
      </c>
      <c r="FH182" s="1">
        <f t="shared" si="427"/>
        <v>0</v>
      </c>
      <c r="FI182" s="1">
        <f t="shared" si="428"/>
        <v>0</v>
      </c>
      <c r="FJ182" s="1">
        <f t="shared" si="429"/>
        <v>0</v>
      </c>
      <c r="FK182" s="1">
        <f t="shared" si="430"/>
        <v>0</v>
      </c>
      <c r="FL182" s="1">
        <f t="shared" si="431"/>
        <v>0</v>
      </c>
      <c r="FM182" s="1">
        <f t="shared" si="432"/>
        <v>0</v>
      </c>
      <c r="FN182" s="1">
        <f t="shared" si="433"/>
        <v>0</v>
      </c>
      <c r="FO182" s="1">
        <f t="shared" si="434"/>
        <v>0</v>
      </c>
      <c r="FP182" s="1">
        <f t="shared" si="435"/>
        <v>0</v>
      </c>
      <c r="FQ182" s="1">
        <f t="shared" si="436"/>
        <v>0</v>
      </c>
      <c r="FS182" s="1">
        <f t="shared" si="437"/>
        <v>0</v>
      </c>
      <c r="FT182" s="1">
        <f t="shared" si="438"/>
        <v>0</v>
      </c>
      <c r="FU182" s="38">
        <f t="shared" si="439"/>
        <v>0</v>
      </c>
      <c r="FV182" s="38">
        <f t="shared" si="440"/>
        <v>0</v>
      </c>
      <c r="FW182" s="38">
        <f t="shared" si="441"/>
        <v>0</v>
      </c>
      <c r="FX182" s="38">
        <f t="shared" si="442"/>
        <v>0</v>
      </c>
      <c r="FY182" s="38">
        <f t="shared" si="443"/>
        <v>0</v>
      </c>
      <c r="FZ182" s="38">
        <f t="shared" si="444"/>
        <v>0</v>
      </c>
      <c r="GA182" s="38">
        <f t="shared" si="445"/>
        <v>0</v>
      </c>
      <c r="GB182" s="38">
        <f t="shared" si="446"/>
        <v>0</v>
      </c>
      <c r="GC182" s="38">
        <f t="shared" si="447"/>
        <v>0</v>
      </c>
      <c r="GD182" s="38">
        <f t="shared" si="448"/>
        <v>0</v>
      </c>
      <c r="GE182" s="38">
        <f t="shared" si="449"/>
        <v>0</v>
      </c>
      <c r="GF182" s="38">
        <f t="shared" si="450"/>
        <v>0</v>
      </c>
      <c r="GG182" s="38">
        <f t="shared" si="451"/>
        <v>0</v>
      </c>
      <c r="GH182" s="38">
        <f t="shared" si="452"/>
        <v>0</v>
      </c>
      <c r="GI182" s="38">
        <f t="shared" si="453"/>
        <v>0</v>
      </c>
      <c r="GJ182" s="38">
        <f t="shared" si="454"/>
        <v>0</v>
      </c>
      <c r="GL182" s="38">
        <f t="shared" si="455"/>
        <v>0</v>
      </c>
      <c r="GM182" s="38">
        <f t="shared" si="456"/>
        <v>0</v>
      </c>
      <c r="GN182" s="1" t="s">
        <v>2</v>
      </c>
      <c r="GO182" s="1">
        <f t="shared" si="379"/>
        <v>49.4</v>
      </c>
      <c r="GP182" s="1">
        <f t="shared" si="380"/>
        <v>0.7</v>
      </c>
      <c r="GQ182" s="41">
        <f t="shared" si="381"/>
        <v>345.8</v>
      </c>
      <c r="GR182" s="41">
        <f t="shared" si="382"/>
        <v>7046.0043399200003</v>
      </c>
      <c r="GS182" s="14">
        <f t="shared" si="383"/>
        <v>142.6316668</v>
      </c>
      <c r="GT182" s="1">
        <f t="shared" si="457"/>
        <v>0</v>
      </c>
      <c r="GU182" s="1">
        <f t="shared" si="458"/>
        <v>0</v>
      </c>
      <c r="GV182" s="1">
        <f t="shared" si="459"/>
        <v>345.8</v>
      </c>
      <c r="GW182" s="37">
        <f t="shared" si="384"/>
        <v>0</v>
      </c>
      <c r="GX182" s="37"/>
      <c r="GY182" s="37"/>
      <c r="GZ182" s="37"/>
      <c r="HB182" s="1">
        <f t="shared" si="460"/>
        <v>0</v>
      </c>
      <c r="HC182" s="1">
        <f t="shared" si="461"/>
        <v>0</v>
      </c>
      <c r="HD182" s="37" t="s">
        <v>2</v>
      </c>
      <c r="HE182" s="1" t="s">
        <v>31</v>
      </c>
      <c r="HF182" s="1" t="s">
        <v>280</v>
      </c>
      <c r="HG182" s="1" t="s">
        <v>280</v>
      </c>
      <c r="HI182" s="1" t="s">
        <v>96</v>
      </c>
      <c r="HJ182" s="37" t="s">
        <v>2</v>
      </c>
      <c r="JH182" s="58" t="s">
        <v>2</v>
      </c>
    </row>
    <row r="183" spans="1:268" ht="16.25" customHeight="1" x14ac:dyDescent="0.2">
      <c r="A183" s="21" t="s">
        <v>297</v>
      </c>
      <c r="B183" s="1" t="s">
        <v>69</v>
      </c>
      <c r="E183" s="1" t="s">
        <v>72</v>
      </c>
      <c r="F183" s="1" t="s">
        <v>298</v>
      </c>
      <c r="H183" s="1" t="s">
        <v>204</v>
      </c>
      <c r="I183" s="1">
        <v>0</v>
      </c>
      <c r="AD183" s="1">
        <v>0</v>
      </c>
      <c r="AY183" s="1">
        <v>80.5</v>
      </c>
      <c r="BG183" s="1">
        <v>0.77</v>
      </c>
      <c r="BH183" s="1">
        <v>0.06</v>
      </c>
      <c r="BT183" s="1">
        <v>0</v>
      </c>
      <c r="CO183" s="1">
        <v>0</v>
      </c>
      <c r="DJ183" s="1" t="s">
        <v>96</v>
      </c>
      <c r="DK183" s="1" t="s">
        <v>96</v>
      </c>
      <c r="DL183" s="1">
        <f t="shared" si="377"/>
        <v>0.77</v>
      </c>
      <c r="DM183" s="1">
        <f t="shared" si="378"/>
        <v>0.06</v>
      </c>
      <c r="DN183" s="1" t="s">
        <v>148</v>
      </c>
      <c r="DO183" s="1" t="s">
        <v>2</v>
      </c>
      <c r="DP183" s="38">
        <f t="shared" si="385"/>
        <v>0</v>
      </c>
      <c r="DQ183" s="38">
        <f t="shared" si="386"/>
        <v>0</v>
      </c>
      <c r="DR183" s="38">
        <f t="shared" si="387"/>
        <v>0</v>
      </c>
      <c r="DS183" s="38">
        <f t="shared" si="388"/>
        <v>0</v>
      </c>
      <c r="DT183" s="38">
        <f t="shared" si="389"/>
        <v>0</v>
      </c>
      <c r="DU183" s="38">
        <f t="shared" si="390"/>
        <v>0</v>
      </c>
      <c r="DV183" s="38">
        <f t="shared" si="391"/>
        <v>0</v>
      </c>
      <c r="DW183" s="38">
        <f t="shared" si="392"/>
        <v>0.61985000000000001</v>
      </c>
      <c r="DX183" s="38">
        <f t="shared" si="393"/>
        <v>4.8300000000000003E-2</v>
      </c>
      <c r="DY183" s="38">
        <f t="shared" si="394"/>
        <v>0</v>
      </c>
      <c r="DZ183" s="38">
        <f t="shared" si="395"/>
        <v>0</v>
      </c>
      <c r="EA183" s="38">
        <f t="shared" si="396"/>
        <v>0</v>
      </c>
      <c r="EB183" s="38">
        <f t="shared" si="397"/>
        <v>0</v>
      </c>
      <c r="EC183" s="38">
        <f t="shared" si="398"/>
        <v>0</v>
      </c>
      <c r="ED183" s="38">
        <f t="shared" si="399"/>
        <v>0</v>
      </c>
      <c r="EE183" s="38">
        <f t="shared" si="400"/>
        <v>0</v>
      </c>
      <c r="EG183" s="38">
        <f t="shared" si="401"/>
        <v>0</v>
      </c>
      <c r="EH183" s="38">
        <f t="shared" si="402"/>
        <v>0</v>
      </c>
      <c r="EI183" s="38">
        <f t="shared" si="403"/>
        <v>0</v>
      </c>
      <c r="EJ183" s="38">
        <f t="shared" si="404"/>
        <v>0</v>
      </c>
      <c r="EK183" s="38">
        <f t="shared" si="405"/>
        <v>0</v>
      </c>
      <c r="EL183" s="38">
        <f t="shared" si="406"/>
        <v>0</v>
      </c>
      <c r="EM183" s="38">
        <f t="shared" si="407"/>
        <v>0</v>
      </c>
      <c r="EN183" s="38">
        <f t="shared" si="408"/>
        <v>0</v>
      </c>
      <c r="EO183" s="38">
        <f t="shared" si="409"/>
        <v>0</v>
      </c>
      <c r="EP183" s="38">
        <f t="shared" si="410"/>
        <v>8128.7129000000004</v>
      </c>
      <c r="EQ183" s="38">
        <f t="shared" si="411"/>
        <v>3507.5230091999997</v>
      </c>
      <c r="ER183" s="38">
        <f t="shared" si="412"/>
        <v>0</v>
      </c>
      <c r="ES183" s="38">
        <f t="shared" si="413"/>
        <v>0</v>
      </c>
      <c r="ET183" s="38">
        <f t="shared" si="414"/>
        <v>0</v>
      </c>
      <c r="EU183" s="38">
        <f t="shared" si="415"/>
        <v>0</v>
      </c>
      <c r="EV183" s="38">
        <f t="shared" si="416"/>
        <v>0</v>
      </c>
      <c r="EW183" s="38">
        <f t="shared" si="417"/>
        <v>0</v>
      </c>
      <c r="EX183" s="38">
        <f t="shared" si="418"/>
        <v>0</v>
      </c>
      <c r="EZ183" s="38">
        <f t="shared" si="419"/>
        <v>0</v>
      </c>
      <c r="FA183" s="38">
        <f t="shared" si="420"/>
        <v>0</v>
      </c>
      <c r="FB183" s="1">
        <f t="shared" si="421"/>
        <v>0</v>
      </c>
      <c r="FC183" s="1">
        <f t="shared" si="422"/>
        <v>0</v>
      </c>
      <c r="FD183" s="1">
        <f t="shared" si="423"/>
        <v>0</v>
      </c>
      <c r="FE183" s="1">
        <f t="shared" si="424"/>
        <v>0</v>
      </c>
      <c r="FF183" s="1">
        <f t="shared" si="425"/>
        <v>0</v>
      </c>
      <c r="FG183" s="1">
        <f t="shared" si="426"/>
        <v>0</v>
      </c>
      <c r="FH183" s="1">
        <f t="shared" si="427"/>
        <v>0</v>
      </c>
      <c r="FI183" s="1">
        <f t="shared" si="428"/>
        <v>0</v>
      </c>
      <c r="FJ183" s="1">
        <f t="shared" si="429"/>
        <v>0</v>
      </c>
      <c r="FK183" s="1">
        <f t="shared" si="430"/>
        <v>0</v>
      </c>
      <c r="FL183" s="1">
        <f t="shared" si="431"/>
        <v>0</v>
      </c>
      <c r="FM183" s="1">
        <f t="shared" si="432"/>
        <v>0</v>
      </c>
      <c r="FN183" s="1">
        <f t="shared" si="433"/>
        <v>0</v>
      </c>
      <c r="FO183" s="1">
        <f t="shared" si="434"/>
        <v>0</v>
      </c>
      <c r="FP183" s="1">
        <f t="shared" si="435"/>
        <v>0</v>
      </c>
      <c r="FQ183" s="1">
        <f t="shared" si="436"/>
        <v>0</v>
      </c>
      <c r="FS183" s="1">
        <f t="shared" si="437"/>
        <v>0</v>
      </c>
      <c r="FT183" s="1">
        <f t="shared" si="438"/>
        <v>0</v>
      </c>
      <c r="FU183" s="38">
        <f t="shared" si="439"/>
        <v>0</v>
      </c>
      <c r="FV183" s="38">
        <f t="shared" si="440"/>
        <v>0</v>
      </c>
      <c r="FW183" s="38">
        <f t="shared" si="441"/>
        <v>0</v>
      </c>
      <c r="FX183" s="38">
        <f t="shared" si="442"/>
        <v>0</v>
      </c>
      <c r="FY183" s="38">
        <f t="shared" si="443"/>
        <v>0</v>
      </c>
      <c r="FZ183" s="38">
        <f t="shared" si="444"/>
        <v>0</v>
      </c>
      <c r="GA183" s="38">
        <f t="shared" si="445"/>
        <v>0</v>
      </c>
      <c r="GB183" s="38">
        <f t="shared" si="446"/>
        <v>0</v>
      </c>
      <c r="GC183" s="38">
        <f t="shared" si="447"/>
        <v>0</v>
      </c>
      <c r="GD183" s="38">
        <f t="shared" si="448"/>
        <v>0</v>
      </c>
      <c r="GE183" s="38">
        <f t="shared" si="449"/>
        <v>0</v>
      </c>
      <c r="GF183" s="38">
        <f t="shared" si="450"/>
        <v>0</v>
      </c>
      <c r="GG183" s="38">
        <f t="shared" si="451"/>
        <v>0</v>
      </c>
      <c r="GH183" s="38">
        <f t="shared" si="452"/>
        <v>0</v>
      </c>
      <c r="GI183" s="38">
        <f t="shared" si="453"/>
        <v>0</v>
      </c>
      <c r="GJ183" s="38">
        <f t="shared" si="454"/>
        <v>0</v>
      </c>
      <c r="GL183" s="38">
        <f t="shared" si="455"/>
        <v>0</v>
      </c>
      <c r="GM183" s="38">
        <f t="shared" si="456"/>
        <v>0</v>
      </c>
      <c r="GN183" s="1" t="s">
        <v>2</v>
      </c>
      <c r="GO183" s="1">
        <f t="shared" si="379"/>
        <v>80.5</v>
      </c>
      <c r="GP183" s="1">
        <f t="shared" si="380"/>
        <v>0.77</v>
      </c>
      <c r="GQ183" s="41">
        <f t="shared" si="381"/>
        <v>619.85</v>
      </c>
      <c r="GR183" s="41">
        <f t="shared" si="382"/>
        <v>11636.235909200001</v>
      </c>
      <c r="GS183" s="14">
        <f t="shared" si="383"/>
        <v>144.54951440000002</v>
      </c>
      <c r="GT183" s="1">
        <f t="shared" si="457"/>
        <v>0</v>
      </c>
      <c r="GU183" s="1">
        <f t="shared" si="458"/>
        <v>0</v>
      </c>
      <c r="GV183" s="1">
        <f t="shared" si="459"/>
        <v>619.85</v>
      </c>
      <c r="GW183" s="37">
        <f t="shared" si="384"/>
        <v>0</v>
      </c>
      <c r="GX183" s="37"/>
      <c r="GY183" s="37"/>
      <c r="GZ183" s="37"/>
      <c r="HB183" s="1">
        <f t="shared" si="460"/>
        <v>0</v>
      </c>
      <c r="HC183" s="1">
        <f t="shared" si="461"/>
        <v>0</v>
      </c>
      <c r="HD183" s="37" t="s">
        <v>2</v>
      </c>
      <c r="HE183" s="1" t="s">
        <v>31</v>
      </c>
      <c r="HF183" s="1" t="s">
        <v>280</v>
      </c>
      <c r="HG183" s="1" t="s">
        <v>280</v>
      </c>
      <c r="HI183" s="1" t="s">
        <v>96</v>
      </c>
      <c r="HJ183" s="37" t="s">
        <v>2</v>
      </c>
      <c r="JH183" s="58" t="s">
        <v>2</v>
      </c>
    </row>
    <row r="184" spans="1:268" ht="16.25" customHeight="1" x14ac:dyDescent="0.2">
      <c r="A184" s="21" t="s">
        <v>309</v>
      </c>
      <c r="B184" s="1" t="s">
        <v>69</v>
      </c>
      <c r="E184" s="1" t="s">
        <v>72</v>
      </c>
      <c r="F184" s="1" t="s">
        <v>310</v>
      </c>
      <c r="H184" s="1" t="s">
        <v>211</v>
      </c>
      <c r="I184" s="1">
        <v>0</v>
      </c>
      <c r="AD184" s="1">
        <v>0</v>
      </c>
      <c r="AY184" s="13">
        <v>14.701426</v>
      </c>
      <c r="BG184" s="1">
        <v>0.85</v>
      </c>
      <c r="BH184" s="1">
        <v>0.05</v>
      </c>
      <c r="BO184" s="1">
        <v>20.2</v>
      </c>
      <c r="BT184" s="1">
        <v>0</v>
      </c>
      <c r="CO184" s="1">
        <v>0</v>
      </c>
      <c r="DJ184" s="1" t="s">
        <v>96</v>
      </c>
      <c r="DK184" s="1" t="s">
        <v>96</v>
      </c>
      <c r="DL184" s="1">
        <f t="shared" si="377"/>
        <v>0.85</v>
      </c>
      <c r="DM184" s="1">
        <f t="shared" si="378"/>
        <v>0.05</v>
      </c>
      <c r="DN184" s="1" t="s">
        <v>311</v>
      </c>
      <c r="DO184" s="1" t="s">
        <v>2</v>
      </c>
      <c r="DP184" s="38">
        <f t="shared" si="385"/>
        <v>0</v>
      </c>
      <c r="DQ184" s="38">
        <f t="shared" si="386"/>
        <v>0</v>
      </c>
      <c r="DR184" s="38">
        <f t="shared" si="387"/>
        <v>0</v>
      </c>
      <c r="DS184" s="38">
        <f t="shared" si="388"/>
        <v>0</v>
      </c>
      <c r="DT184" s="38">
        <f t="shared" si="389"/>
        <v>0</v>
      </c>
      <c r="DU184" s="38">
        <f t="shared" si="390"/>
        <v>0</v>
      </c>
      <c r="DV184" s="38">
        <f t="shared" si="391"/>
        <v>0</v>
      </c>
      <c r="DW184" s="38">
        <f t="shared" si="392"/>
        <v>0.124962121</v>
      </c>
      <c r="DX184" s="38">
        <f t="shared" si="393"/>
        <v>7.350713E-3</v>
      </c>
      <c r="DY184" s="38">
        <f t="shared" si="394"/>
        <v>0</v>
      </c>
      <c r="DZ184" s="38">
        <f t="shared" si="395"/>
        <v>0</v>
      </c>
      <c r="EA184" s="38">
        <f t="shared" si="396"/>
        <v>0</v>
      </c>
      <c r="EB184" s="38">
        <f t="shared" si="397"/>
        <v>0</v>
      </c>
      <c r="EC184" s="38">
        <f t="shared" si="398"/>
        <v>0</v>
      </c>
      <c r="ED184" s="38">
        <f t="shared" si="399"/>
        <v>0</v>
      </c>
      <c r="EE184" s="38">
        <f t="shared" si="400"/>
        <v>2.9696880519999995</v>
      </c>
      <c r="EG184" s="38">
        <f t="shared" si="401"/>
        <v>0</v>
      </c>
      <c r="EH184" s="38">
        <f t="shared" si="402"/>
        <v>0</v>
      </c>
      <c r="EI184" s="38">
        <f t="shared" si="403"/>
        <v>0</v>
      </c>
      <c r="EJ184" s="38">
        <f t="shared" si="404"/>
        <v>0</v>
      </c>
      <c r="EK184" s="38">
        <f t="shared" si="405"/>
        <v>0</v>
      </c>
      <c r="EL184" s="38">
        <f t="shared" si="406"/>
        <v>0</v>
      </c>
      <c r="EM184" s="38">
        <f t="shared" si="407"/>
        <v>0</v>
      </c>
      <c r="EN184" s="38">
        <f t="shared" si="408"/>
        <v>0</v>
      </c>
      <c r="EO184" s="38">
        <f t="shared" si="409"/>
        <v>0</v>
      </c>
      <c r="EP184" s="38">
        <f t="shared" si="410"/>
        <v>1638.753254794</v>
      </c>
      <c r="EQ184" s="38">
        <f t="shared" si="411"/>
        <v>533.80527912061189</v>
      </c>
      <c r="ER184" s="38">
        <f t="shared" si="412"/>
        <v>0</v>
      </c>
      <c r="ES184" s="38">
        <f t="shared" si="413"/>
        <v>0</v>
      </c>
      <c r="ET184" s="38">
        <f t="shared" si="414"/>
        <v>0</v>
      </c>
      <c r="EU184" s="38">
        <f t="shared" si="415"/>
        <v>0</v>
      </c>
      <c r="EV184" s="38">
        <f t="shared" si="416"/>
        <v>0</v>
      </c>
      <c r="EW184" s="38">
        <f t="shared" si="417"/>
        <v>0</v>
      </c>
      <c r="EX184" s="38">
        <f t="shared" si="418"/>
        <v>276.18098883599998</v>
      </c>
      <c r="EZ184" s="38">
        <f t="shared" si="419"/>
        <v>0</v>
      </c>
      <c r="FA184" s="38">
        <f t="shared" si="420"/>
        <v>0</v>
      </c>
      <c r="FB184" s="1">
        <f t="shared" si="421"/>
        <v>0</v>
      </c>
      <c r="FC184" s="1">
        <f t="shared" si="422"/>
        <v>0</v>
      </c>
      <c r="FD184" s="1">
        <f t="shared" si="423"/>
        <v>0</v>
      </c>
      <c r="FE184" s="1">
        <f t="shared" si="424"/>
        <v>0</v>
      </c>
      <c r="FF184" s="1">
        <f t="shared" si="425"/>
        <v>0</v>
      </c>
      <c r="FG184" s="1">
        <f t="shared" si="426"/>
        <v>0</v>
      </c>
      <c r="FH184" s="1">
        <f t="shared" si="427"/>
        <v>0</v>
      </c>
      <c r="FI184" s="1">
        <f t="shared" si="428"/>
        <v>0</v>
      </c>
      <c r="FJ184" s="1">
        <f t="shared" si="429"/>
        <v>0</v>
      </c>
      <c r="FK184" s="1">
        <f t="shared" si="430"/>
        <v>0</v>
      </c>
      <c r="FL184" s="1">
        <f t="shared" si="431"/>
        <v>0</v>
      </c>
      <c r="FM184" s="1">
        <f t="shared" si="432"/>
        <v>0</v>
      </c>
      <c r="FN184" s="1">
        <f t="shared" si="433"/>
        <v>0</v>
      </c>
      <c r="FO184" s="1">
        <f t="shared" si="434"/>
        <v>0</v>
      </c>
      <c r="FP184" s="1">
        <f t="shared" si="435"/>
        <v>0</v>
      </c>
      <c r="FQ184" s="1">
        <f t="shared" si="436"/>
        <v>0</v>
      </c>
      <c r="FS184" s="1">
        <f t="shared" si="437"/>
        <v>0</v>
      </c>
      <c r="FT184" s="1">
        <f t="shared" si="438"/>
        <v>0</v>
      </c>
      <c r="FU184" s="38">
        <f t="shared" si="439"/>
        <v>0</v>
      </c>
      <c r="FV184" s="38">
        <f t="shared" si="440"/>
        <v>0</v>
      </c>
      <c r="FW184" s="38">
        <f t="shared" si="441"/>
        <v>0</v>
      </c>
      <c r="FX184" s="38">
        <f t="shared" si="442"/>
        <v>0</v>
      </c>
      <c r="FY184" s="38">
        <f t="shared" si="443"/>
        <v>0</v>
      </c>
      <c r="FZ184" s="38">
        <f t="shared" si="444"/>
        <v>0</v>
      </c>
      <c r="GA184" s="38">
        <f t="shared" si="445"/>
        <v>0</v>
      </c>
      <c r="GB184" s="38">
        <f t="shared" si="446"/>
        <v>0</v>
      </c>
      <c r="GC184" s="38">
        <f t="shared" si="447"/>
        <v>0</v>
      </c>
      <c r="GD184" s="38">
        <f t="shared" si="448"/>
        <v>0</v>
      </c>
      <c r="GE184" s="38">
        <f t="shared" si="449"/>
        <v>0</v>
      </c>
      <c r="GF184" s="38">
        <f t="shared" si="450"/>
        <v>0</v>
      </c>
      <c r="GG184" s="38">
        <f t="shared" si="451"/>
        <v>0</v>
      </c>
      <c r="GH184" s="38">
        <f t="shared" si="452"/>
        <v>0</v>
      </c>
      <c r="GI184" s="38">
        <f t="shared" si="453"/>
        <v>0</v>
      </c>
      <c r="GJ184" s="38">
        <f t="shared" si="454"/>
        <v>0</v>
      </c>
      <c r="GL184" s="38">
        <f t="shared" si="455"/>
        <v>0</v>
      </c>
      <c r="GM184" s="38">
        <f t="shared" si="456"/>
        <v>0</v>
      </c>
      <c r="GN184" s="1" t="s">
        <v>2</v>
      </c>
      <c r="GO184" s="13">
        <f t="shared" si="379"/>
        <v>14.701426</v>
      </c>
      <c r="GP184" s="1">
        <f t="shared" si="380"/>
        <v>0.85</v>
      </c>
      <c r="GQ184" s="41">
        <f t="shared" si="381"/>
        <v>124.96212099999998</v>
      </c>
      <c r="GR184" s="41">
        <f t="shared" si="382"/>
        <v>2448.7395227506117</v>
      </c>
      <c r="GS184" s="14">
        <f t="shared" si="383"/>
        <v>166.56476199999997</v>
      </c>
      <c r="GT184" s="1">
        <f t="shared" si="457"/>
        <v>0</v>
      </c>
      <c r="GU184" s="1">
        <f t="shared" si="458"/>
        <v>0</v>
      </c>
      <c r="GV184" s="1">
        <f t="shared" si="459"/>
        <v>124.96212099999998</v>
      </c>
      <c r="GW184" s="37">
        <f t="shared" si="384"/>
        <v>0</v>
      </c>
      <c r="GX184" s="37"/>
      <c r="GY184" s="37"/>
      <c r="GZ184" s="37"/>
      <c r="HB184" s="1">
        <f t="shared" si="460"/>
        <v>0</v>
      </c>
      <c r="HC184" s="1">
        <f t="shared" si="461"/>
        <v>0</v>
      </c>
      <c r="HD184" s="37" t="s">
        <v>2</v>
      </c>
      <c r="HE184" s="1" t="s">
        <v>31</v>
      </c>
      <c r="HF184" s="1" t="s">
        <v>280</v>
      </c>
      <c r="HG184" s="1" t="s">
        <v>280</v>
      </c>
      <c r="HI184" s="1" t="s">
        <v>96</v>
      </c>
      <c r="HJ184" s="37" t="s">
        <v>2</v>
      </c>
      <c r="JH184" s="58" t="s">
        <v>2</v>
      </c>
    </row>
    <row r="185" spans="1:268" ht="16.25" customHeight="1" x14ac:dyDescent="0.2">
      <c r="A185" s="21" t="s">
        <v>312</v>
      </c>
      <c r="B185" s="1" t="s">
        <v>69</v>
      </c>
      <c r="E185" s="1" t="s">
        <v>72</v>
      </c>
      <c r="F185" s="1" t="s">
        <v>310</v>
      </c>
      <c r="H185" s="1" t="s">
        <v>211</v>
      </c>
      <c r="I185" s="1">
        <v>0</v>
      </c>
      <c r="AD185" s="1">
        <v>0</v>
      </c>
      <c r="AY185" s="13">
        <v>6.63903</v>
      </c>
      <c r="BG185" s="1">
        <v>0.82</v>
      </c>
      <c r="BH185" s="1">
        <v>0.04</v>
      </c>
      <c r="BO185" s="1">
        <v>19.7</v>
      </c>
      <c r="BT185" s="1">
        <v>0</v>
      </c>
      <c r="CO185" s="1">
        <v>0</v>
      </c>
      <c r="DJ185" s="1" t="s">
        <v>96</v>
      </c>
      <c r="DK185" s="1" t="s">
        <v>96</v>
      </c>
      <c r="DL185" s="1">
        <f t="shared" si="377"/>
        <v>0.82</v>
      </c>
      <c r="DM185" s="1">
        <f t="shared" si="378"/>
        <v>0.04</v>
      </c>
      <c r="DN185" s="1" t="s">
        <v>311</v>
      </c>
      <c r="DO185" s="1" t="s">
        <v>2</v>
      </c>
      <c r="DP185" s="38">
        <f t="shared" si="385"/>
        <v>0</v>
      </c>
      <c r="DQ185" s="38">
        <f t="shared" si="386"/>
        <v>0</v>
      </c>
      <c r="DR185" s="38">
        <f t="shared" si="387"/>
        <v>0</v>
      </c>
      <c r="DS185" s="38">
        <f t="shared" si="388"/>
        <v>0</v>
      </c>
      <c r="DT185" s="38">
        <f t="shared" si="389"/>
        <v>0</v>
      </c>
      <c r="DU185" s="38">
        <f t="shared" si="390"/>
        <v>0</v>
      </c>
      <c r="DV185" s="38">
        <f t="shared" si="391"/>
        <v>0</v>
      </c>
      <c r="DW185" s="38">
        <f t="shared" si="392"/>
        <v>5.4440045999999992E-2</v>
      </c>
      <c r="DX185" s="38">
        <f t="shared" si="393"/>
        <v>2.6556119999999999E-3</v>
      </c>
      <c r="DY185" s="38">
        <f t="shared" si="394"/>
        <v>0</v>
      </c>
      <c r="DZ185" s="38">
        <f t="shared" si="395"/>
        <v>0</v>
      </c>
      <c r="EA185" s="38">
        <f t="shared" si="396"/>
        <v>0</v>
      </c>
      <c r="EB185" s="38">
        <f t="shared" si="397"/>
        <v>0</v>
      </c>
      <c r="EC185" s="38">
        <f t="shared" si="398"/>
        <v>0</v>
      </c>
      <c r="ED185" s="38">
        <f t="shared" si="399"/>
        <v>0</v>
      </c>
      <c r="EE185" s="38">
        <f t="shared" si="400"/>
        <v>1.30788891</v>
      </c>
      <c r="EG185" s="38">
        <f t="shared" si="401"/>
        <v>0</v>
      </c>
      <c r="EH185" s="38">
        <f t="shared" si="402"/>
        <v>0</v>
      </c>
      <c r="EI185" s="38">
        <f t="shared" si="403"/>
        <v>0</v>
      </c>
      <c r="EJ185" s="38">
        <f t="shared" si="404"/>
        <v>0</v>
      </c>
      <c r="EK185" s="38">
        <f t="shared" si="405"/>
        <v>0</v>
      </c>
      <c r="EL185" s="38">
        <f t="shared" si="406"/>
        <v>0</v>
      </c>
      <c r="EM185" s="38">
        <f t="shared" si="407"/>
        <v>0</v>
      </c>
      <c r="EN185" s="38">
        <f t="shared" si="408"/>
        <v>0</v>
      </c>
      <c r="EO185" s="38">
        <f t="shared" si="409"/>
        <v>0</v>
      </c>
      <c r="EP185" s="38">
        <f t="shared" si="410"/>
        <v>713.92676324399986</v>
      </c>
      <c r="EQ185" s="38">
        <f t="shared" si="411"/>
        <v>192.84927936868797</v>
      </c>
      <c r="ER185" s="38">
        <f t="shared" si="412"/>
        <v>0</v>
      </c>
      <c r="ES185" s="38">
        <f t="shared" si="413"/>
        <v>0</v>
      </c>
      <c r="ET185" s="38">
        <f t="shared" si="414"/>
        <v>0</v>
      </c>
      <c r="EU185" s="38">
        <f t="shared" si="415"/>
        <v>0</v>
      </c>
      <c r="EV185" s="38">
        <f t="shared" si="416"/>
        <v>0</v>
      </c>
      <c r="EW185" s="38">
        <f t="shared" si="417"/>
        <v>0</v>
      </c>
      <c r="EX185" s="38">
        <f t="shared" si="418"/>
        <v>121.63366863</v>
      </c>
      <c r="EZ185" s="38">
        <f t="shared" si="419"/>
        <v>0</v>
      </c>
      <c r="FA185" s="38">
        <f t="shared" si="420"/>
        <v>0</v>
      </c>
      <c r="FB185" s="1">
        <f t="shared" si="421"/>
        <v>0</v>
      </c>
      <c r="FC185" s="1">
        <f t="shared" si="422"/>
        <v>0</v>
      </c>
      <c r="FD185" s="1">
        <f t="shared" si="423"/>
        <v>0</v>
      </c>
      <c r="FE185" s="1">
        <f t="shared" si="424"/>
        <v>0</v>
      </c>
      <c r="FF185" s="1">
        <f t="shared" si="425"/>
        <v>0</v>
      </c>
      <c r="FG185" s="1">
        <f t="shared" si="426"/>
        <v>0</v>
      </c>
      <c r="FH185" s="1">
        <f t="shared" si="427"/>
        <v>0</v>
      </c>
      <c r="FI185" s="1">
        <f t="shared" si="428"/>
        <v>0</v>
      </c>
      <c r="FJ185" s="1">
        <f t="shared" si="429"/>
        <v>0</v>
      </c>
      <c r="FK185" s="1">
        <f t="shared" si="430"/>
        <v>0</v>
      </c>
      <c r="FL185" s="1">
        <f t="shared" si="431"/>
        <v>0</v>
      </c>
      <c r="FM185" s="1">
        <f t="shared" si="432"/>
        <v>0</v>
      </c>
      <c r="FN185" s="1">
        <f t="shared" si="433"/>
        <v>0</v>
      </c>
      <c r="FO185" s="1">
        <f t="shared" si="434"/>
        <v>0</v>
      </c>
      <c r="FP185" s="1">
        <f t="shared" si="435"/>
        <v>0</v>
      </c>
      <c r="FQ185" s="1">
        <f t="shared" si="436"/>
        <v>0</v>
      </c>
      <c r="FS185" s="1">
        <f t="shared" si="437"/>
        <v>0</v>
      </c>
      <c r="FT185" s="1">
        <f t="shared" si="438"/>
        <v>0</v>
      </c>
      <c r="FU185" s="38">
        <f t="shared" si="439"/>
        <v>0</v>
      </c>
      <c r="FV185" s="38">
        <f t="shared" si="440"/>
        <v>0</v>
      </c>
      <c r="FW185" s="38">
        <f t="shared" si="441"/>
        <v>0</v>
      </c>
      <c r="FX185" s="38">
        <f t="shared" si="442"/>
        <v>0</v>
      </c>
      <c r="FY185" s="38">
        <f t="shared" si="443"/>
        <v>0</v>
      </c>
      <c r="FZ185" s="38">
        <f t="shared" si="444"/>
        <v>0</v>
      </c>
      <c r="GA185" s="38">
        <f t="shared" si="445"/>
        <v>0</v>
      </c>
      <c r="GB185" s="38">
        <f t="shared" si="446"/>
        <v>0</v>
      </c>
      <c r="GC185" s="38">
        <f t="shared" si="447"/>
        <v>0</v>
      </c>
      <c r="GD185" s="38">
        <f t="shared" si="448"/>
        <v>0</v>
      </c>
      <c r="GE185" s="38">
        <f t="shared" si="449"/>
        <v>0</v>
      </c>
      <c r="GF185" s="38">
        <f t="shared" si="450"/>
        <v>0</v>
      </c>
      <c r="GG185" s="38">
        <f t="shared" si="451"/>
        <v>0</v>
      </c>
      <c r="GH185" s="38">
        <f t="shared" si="452"/>
        <v>0</v>
      </c>
      <c r="GI185" s="38">
        <f t="shared" si="453"/>
        <v>0</v>
      </c>
      <c r="GJ185" s="38">
        <f t="shared" si="454"/>
        <v>0</v>
      </c>
      <c r="GL185" s="38">
        <f t="shared" si="455"/>
        <v>0</v>
      </c>
      <c r="GM185" s="38">
        <f t="shared" si="456"/>
        <v>0</v>
      </c>
      <c r="GN185" s="1" t="s">
        <v>2</v>
      </c>
      <c r="GO185" s="2">
        <f t="shared" si="379"/>
        <v>6.63903</v>
      </c>
      <c r="GP185" s="1">
        <f t="shared" si="380"/>
        <v>0.82</v>
      </c>
      <c r="GQ185" s="41">
        <f t="shared" si="381"/>
        <v>54.440045999999995</v>
      </c>
      <c r="GR185" s="41">
        <f t="shared" si="382"/>
        <v>1028.409711242688</v>
      </c>
      <c r="GS185" s="14">
        <f t="shared" si="383"/>
        <v>154.90360960000001</v>
      </c>
      <c r="GT185" s="1">
        <f t="shared" si="457"/>
        <v>0</v>
      </c>
      <c r="GU185" s="1">
        <f t="shared" si="458"/>
        <v>0</v>
      </c>
      <c r="GV185" s="1">
        <f t="shared" si="459"/>
        <v>54.440045999999995</v>
      </c>
      <c r="GW185" s="37">
        <f t="shared" si="384"/>
        <v>0</v>
      </c>
      <c r="GX185" s="37"/>
      <c r="GY185" s="37"/>
      <c r="GZ185" s="37"/>
      <c r="HB185" s="1">
        <f t="shared" si="460"/>
        <v>0</v>
      </c>
      <c r="HC185" s="1">
        <f t="shared" si="461"/>
        <v>0</v>
      </c>
      <c r="HD185" s="37" t="s">
        <v>2</v>
      </c>
      <c r="HE185" s="1" t="s">
        <v>31</v>
      </c>
      <c r="HF185" s="1" t="s">
        <v>280</v>
      </c>
      <c r="HG185" s="1" t="s">
        <v>280</v>
      </c>
      <c r="HI185" s="1" t="s">
        <v>96</v>
      </c>
      <c r="HJ185" s="37" t="s">
        <v>2</v>
      </c>
      <c r="JH185" s="58" t="s">
        <v>2</v>
      </c>
    </row>
    <row r="186" spans="1:268" ht="16.25" customHeight="1" x14ac:dyDescent="0.2">
      <c r="A186" s="21" t="s">
        <v>332</v>
      </c>
      <c r="B186" s="1" t="s">
        <v>69</v>
      </c>
      <c r="E186" s="1" t="s">
        <v>72</v>
      </c>
      <c r="F186" s="1" t="s">
        <v>151</v>
      </c>
      <c r="H186" s="1" t="s">
        <v>211</v>
      </c>
      <c r="I186" s="1">
        <v>0</v>
      </c>
      <c r="AD186" s="1">
        <v>0</v>
      </c>
      <c r="AY186" s="1">
        <v>3.9169999999999998</v>
      </c>
      <c r="BG186" s="1">
        <v>1.04</v>
      </c>
      <c r="BH186" s="1">
        <v>0.04</v>
      </c>
      <c r="BT186" s="1">
        <v>0</v>
      </c>
      <c r="CO186" s="1">
        <v>0</v>
      </c>
      <c r="DJ186" s="1" t="s">
        <v>96</v>
      </c>
      <c r="DK186" s="1" t="s">
        <v>96</v>
      </c>
      <c r="DL186" s="1">
        <f t="shared" si="377"/>
        <v>1.04</v>
      </c>
      <c r="DM186" s="1">
        <f t="shared" si="378"/>
        <v>0.04</v>
      </c>
      <c r="DN186" s="1" t="s">
        <v>148</v>
      </c>
      <c r="DO186" s="1" t="s">
        <v>2</v>
      </c>
      <c r="DP186" s="38">
        <f t="shared" si="385"/>
        <v>0</v>
      </c>
      <c r="DQ186" s="38">
        <f t="shared" si="386"/>
        <v>0</v>
      </c>
      <c r="DR186" s="38">
        <f t="shared" si="387"/>
        <v>0</v>
      </c>
      <c r="DS186" s="38">
        <f t="shared" si="388"/>
        <v>0</v>
      </c>
      <c r="DT186" s="38">
        <f t="shared" si="389"/>
        <v>0</v>
      </c>
      <c r="DU186" s="38">
        <f t="shared" si="390"/>
        <v>0</v>
      </c>
      <c r="DV186" s="38">
        <f t="shared" si="391"/>
        <v>0</v>
      </c>
      <c r="DW186" s="38">
        <f t="shared" si="392"/>
        <v>4.0736799999999997E-2</v>
      </c>
      <c r="DX186" s="38">
        <f t="shared" si="393"/>
        <v>1.5667999999999999E-3</v>
      </c>
      <c r="DY186" s="38">
        <f t="shared" si="394"/>
        <v>0</v>
      </c>
      <c r="DZ186" s="38">
        <f t="shared" si="395"/>
        <v>0</v>
      </c>
      <c r="EA186" s="38">
        <f t="shared" si="396"/>
        <v>0</v>
      </c>
      <c r="EB186" s="38">
        <f t="shared" si="397"/>
        <v>0</v>
      </c>
      <c r="EC186" s="38">
        <f t="shared" si="398"/>
        <v>0</v>
      </c>
      <c r="ED186" s="38">
        <f t="shared" si="399"/>
        <v>0</v>
      </c>
      <c r="EE186" s="38">
        <f t="shared" si="400"/>
        <v>0</v>
      </c>
      <c r="EG186" s="38">
        <f t="shared" si="401"/>
        <v>0</v>
      </c>
      <c r="EH186" s="38">
        <f t="shared" si="402"/>
        <v>0</v>
      </c>
      <c r="EI186" s="38">
        <f t="shared" si="403"/>
        <v>0</v>
      </c>
      <c r="EJ186" s="38">
        <f t="shared" si="404"/>
        <v>0</v>
      </c>
      <c r="EK186" s="38">
        <f t="shared" si="405"/>
        <v>0</v>
      </c>
      <c r="EL186" s="38">
        <f t="shared" si="406"/>
        <v>0</v>
      </c>
      <c r="EM186" s="38">
        <f t="shared" si="407"/>
        <v>0</v>
      </c>
      <c r="EN186" s="38">
        <f t="shared" si="408"/>
        <v>0</v>
      </c>
      <c r="EO186" s="38">
        <f t="shared" si="409"/>
        <v>0</v>
      </c>
      <c r="EP186" s="38">
        <f t="shared" si="410"/>
        <v>534.22239519999994</v>
      </c>
      <c r="EQ186" s="38">
        <f t="shared" si="411"/>
        <v>113.78027020319998</v>
      </c>
      <c r="ER186" s="38">
        <f t="shared" si="412"/>
        <v>0</v>
      </c>
      <c r="ES186" s="38">
        <f t="shared" si="413"/>
        <v>0</v>
      </c>
      <c r="ET186" s="38">
        <f t="shared" si="414"/>
        <v>0</v>
      </c>
      <c r="EU186" s="38">
        <f t="shared" si="415"/>
        <v>0</v>
      </c>
      <c r="EV186" s="38">
        <f t="shared" si="416"/>
        <v>0</v>
      </c>
      <c r="EW186" s="38">
        <f t="shared" si="417"/>
        <v>0</v>
      </c>
      <c r="EX186" s="38">
        <f t="shared" si="418"/>
        <v>0</v>
      </c>
      <c r="EZ186" s="38">
        <f t="shared" si="419"/>
        <v>0</v>
      </c>
      <c r="FA186" s="38">
        <f t="shared" si="420"/>
        <v>0</v>
      </c>
      <c r="FB186" s="1">
        <f t="shared" si="421"/>
        <v>0</v>
      </c>
      <c r="FC186" s="1">
        <f t="shared" si="422"/>
        <v>0</v>
      </c>
      <c r="FD186" s="1">
        <f t="shared" si="423"/>
        <v>0</v>
      </c>
      <c r="FE186" s="1">
        <f t="shared" si="424"/>
        <v>0</v>
      </c>
      <c r="FF186" s="1">
        <f t="shared" si="425"/>
        <v>0</v>
      </c>
      <c r="FG186" s="1">
        <f t="shared" si="426"/>
        <v>0</v>
      </c>
      <c r="FH186" s="1">
        <f t="shared" si="427"/>
        <v>0</v>
      </c>
      <c r="FI186" s="1">
        <f t="shared" si="428"/>
        <v>0</v>
      </c>
      <c r="FJ186" s="1">
        <f t="shared" si="429"/>
        <v>0</v>
      </c>
      <c r="FK186" s="1">
        <f t="shared" si="430"/>
        <v>0</v>
      </c>
      <c r="FL186" s="1">
        <f t="shared" si="431"/>
        <v>0</v>
      </c>
      <c r="FM186" s="1">
        <f t="shared" si="432"/>
        <v>0</v>
      </c>
      <c r="FN186" s="1">
        <f t="shared" si="433"/>
        <v>0</v>
      </c>
      <c r="FO186" s="1">
        <f t="shared" si="434"/>
        <v>0</v>
      </c>
      <c r="FP186" s="1">
        <f t="shared" si="435"/>
        <v>0</v>
      </c>
      <c r="FQ186" s="1">
        <f t="shared" si="436"/>
        <v>0</v>
      </c>
      <c r="FS186" s="1">
        <f t="shared" si="437"/>
        <v>0</v>
      </c>
      <c r="FT186" s="1">
        <f t="shared" si="438"/>
        <v>0</v>
      </c>
      <c r="FU186" s="38">
        <f t="shared" si="439"/>
        <v>0</v>
      </c>
      <c r="FV186" s="38">
        <f t="shared" si="440"/>
        <v>0</v>
      </c>
      <c r="FW186" s="38">
        <f t="shared" si="441"/>
        <v>0</v>
      </c>
      <c r="FX186" s="38">
        <f t="shared" si="442"/>
        <v>0</v>
      </c>
      <c r="FY186" s="38">
        <f t="shared" si="443"/>
        <v>0</v>
      </c>
      <c r="FZ186" s="38">
        <f t="shared" si="444"/>
        <v>0</v>
      </c>
      <c r="GA186" s="38">
        <f t="shared" si="445"/>
        <v>0</v>
      </c>
      <c r="GB186" s="38">
        <f t="shared" si="446"/>
        <v>0</v>
      </c>
      <c r="GC186" s="38">
        <f t="shared" si="447"/>
        <v>0</v>
      </c>
      <c r="GD186" s="38">
        <f t="shared" si="448"/>
        <v>0</v>
      </c>
      <c r="GE186" s="38">
        <f t="shared" si="449"/>
        <v>0</v>
      </c>
      <c r="GF186" s="38">
        <f t="shared" si="450"/>
        <v>0</v>
      </c>
      <c r="GG186" s="38">
        <f t="shared" si="451"/>
        <v>0</v>
      </c>
      <c r="GH186" s="38">
        <f t="shared" si="452"/>
        <v>0</v>
      </c>
      <c r="GI186" s="38">
        <f t="shared" si="453"/>
        <v>0</v>
      </c>
      <c r="GJ186" s="38">
        <f t="shared" si="454"/>
        <v>0</v>
      </c>
      <c r="GL186" s="38">
        <f t="shared" si="455"/>
        <v>0</v>
      </c>
      <c r="GM186" s="38">
        <f t="shared" si="456"/>
        <v>0</v>
      </c>
      <c r="GN186" s="1" t="s">
        <v>2</v>
      </c>
      <c r="GO186" s="1">
        <f t="shared" si="379"/>
        <v>3.9169999999999998</v>
      </c>
      <c r="GP186" s="1">
        <f t="shared" si="380"/>
        <v>1.04</v>
      </c>
      <c r="GQ186" s="41">
        <f t="shared" si="381"/>
        <v>40.736800000000002</v>
      </c>
      <c r="GR186" s="41">
        <f t="shared" si="382"/>
        <v>648.0026654031999</v>
      </c>
      <c r="GS186" s="14">
        <f t="shared" si="383"/>
        <v>165.43340959999998</v>
      </c>
      <c r="GT186" s="1">
        <f t="shared" si="457"/>
        <v>0</v>
      </c>
      <c r="GU186" s="1">
        <f t="shared" si="458"/>
        <v>0</v>
      </c>
      <c r="GV186" s="1">
        <f t="shared" si="459"/>
        <v>40.736799999999995</v>
      </c>
      <c r="GW186" s="37">
        <f t="shared" si="384"/>
        <v>0</v>
      </c>
      <c r="GX186" s="37"/>
      <c r="GY186" s="37"/>
      <c r="GZ186" s="37"/>
      <c r="HB186" s="1">
        <f t="shared" si="460"/>
        <v>0</v>
      </c>
      <c r="HC186" s="1">
        <f t="shared" si="461"/>
        <v>0</v>
      </c>
      <c r="HD186" s="37" t="s">
        <v>2</v>
      </c>
      <c r="HE186" s="1" t="s">
        <v>31</v>
      </c>
      <c r="HF186" s="1" t="s">
        <v>280</v>
      </c>
      <c r="HG186" s="1" t="s">
        <v>280</v>
      </c>
      <c r="HI186" s="1" t="s">
        <v>96</v>
      </c>
      <c r="HJ186" s="37" t="s">
        <v>2</v>
      </c>
      <c r="JH186" s="58" t="s">
        <v>2</v>
      </c>
    </row>
    <row r="187" spans="1:268" ht="16.25" customHeight="1" x14ac:dyDescent="0.2">
      <c r="A187" s="21" t="s">
        <v>335</v>
      </c>
      <c r="B187" s="1" t="s">
        <v>69</v>
      </c>
      <c r="E187" s="1" t="s">
        <v>72</v>
      </c>
      <c r="F187" s="1" t="s">
        <v>336</v>
      </c>
      <c r="H187" s="1" t="s">
        <v>211</v>
      </c>
      <c r="I187" s="1">
        <v>0</v>
      </c>
      <c r="AD187" s="13">
        <v>2.1958500000000001</v>
      </c>
      <c r="AL187" s="1">
        <v>1.01</v>
      </c>
      <c r="AM187" s="1">
        <v>0.06</v>
      </c>
      <c r="AY187" s="1">
        <v>0</v>
      </c>
      <c r="BT187" s="1">
        <v>0</v>
      </c>
      <c r="CO187" s="1">
        <v>0</v>
      </c>
      <c r="DJ187" s="1" t="s">
        <v>96</v>
      </c>
      <c r="DK187" s="1" t="s">
        <v>96</v>
      </c>
      <c r="DL187" s="1">
        <f t="shared" si="377"/>
        <v>1.01</v>
      </c>
      <c r="DM187" s="1">
        <f t="shared" si="378"/>
        <v>0.06</v>
      </c>
      <c r="DN187" s="1" t="s">
        <v>148</v>
      </c>
      <c r="DO187" s="1" t="s">
        <v>2</v>
      </c>
      <c r="DP187" s="38">
        <f t="shared" si="385"/>
        <v>0</v>
      </c>
      <c r="DQ187" s="38">
        <f t="shared" si="386"/>
        <v>0</v>
      </c>
      <c r="DR187" s="38">
        <f t="shared" si="387"/>
        <v>0</v>
      </c>
      <c r="DS187" s="38">
        <f t="shared" si="388"/>
        <v>0</v>
      </c>
      <c r="DT187" s="38">
        <f t="shared" si="389"/>
        <v>0</v>
      </c>
      <c r="DU187" s="38">
        <f t="shared" si="390"/>
        <v>0</v>
      </c>
      <c r="DV187" s="38">
        <f t="shared" si="391"/>
        <v>0</v>
      </c>
      <c r="DW187" s="38">
        <f t="shared" si="392"/>
        <v>2.2178085000000004E-2</v>
      </c>
      <c r="DX187" s="38">
        <f t="shared" si="393"/>
        <v>1.31751E-3</v>
      </c>
      <c r="DY187" s="38">
        <f t="shared" si="394"/>
        <v>0</v>
      </c>
      <c r="DZ187" s="38">
        <f t="shared" si="395"/>
        <v>0</v>
      </c>
      <c r="EA187" s="38">
        <f t="shared" si="396"/>
        <v>0</v>
      </c>
      <c r="EB187" s="38">
        <f t="shared" si="397"/>
        <v>0</v>
      </c>
      <c r="EC187" s="38">
        <f t="shared" si="398"/>
        <v>0</v>
      </c>
      <c r="ED187" s="38">
        <f t="shared" si="399"/>
        <v>0</v>
      </c>
      <c r="EE187" s="38">
        <f t="shared" si="400"/>
        <v>0</v>
      </c>
      <c r="EG187" s="38">
        <f t="shared" si="401"/>
        <v>0</v>
      </c>
      <c r="EH187" s="38">
        <f t="shared" si="402"/>
        <v>0</v>
      </c>
      <c r="EI187" s="38">
        <f t="shared" si="403"/>
        <v>0</v>
      </c>
      <c r="EJ187" s="38">
        <f t="shared" si="404"/>
        <v>0</v>
      </c>
      <c r="EK187" s="38">
        <f t="shared" si="405"/>
        <v>0</v>
      </c>
      <c r="EL187" s="38">
        <f t="shared" si="406"/>
        <v>0</v>
      </c>
      <c r="EM187" s="38">
        <f t="shared" si="407"/>
        <v>0</v>
      </c>
      <c r="EN187" s="38">
        <f t="shared" si="408"/>
        <v>0</v>
      </c>
      <c r="EO187" s="38">
        <f t="shared" si="409"/>
        <v>0</v>
      </c>
      <c r="EP187" s="38">
        <f t="shared" si="410"/>
        <v>290.84340669000005</v>
      </c>
      <c r="EQ187" s="38">
        <f t="shared" si="411"/>
        <v>95.676949065239995</v>
      </c>
      <c r="ER187" s="38">
        <f t="shared" si="412"/>
        <v>0</v>
      </c>
      <c r="ES187" s="38">
        <f t="shared" si="413"/>
        <v>0</v>
      </c>
      <c r="ET187" s="38">
        <f t="shared" si="414"/>
        <v>0</v>
      </c>
      <c r="EU187" s="38">
        <f t="shared" si="415"/>
        <v>0</v>
      </c>
      <c r="EV187" s="38">
        <f t="shared" si="416"/>
        <v>0</v>
      </c>
      <c r="EW187" s="38">
        <f t="shared" si="417"/>
        <v>0</v>
      </c>
      <c r="EX187" s="38">
        <f t="shared" si="418"/>
        <v>0</v>
      </c>
      <c r="EZ187" s="38">
        <f t="shared" si="419"/>
        <v>0</v>
      </c>
      <c r="FA187" s="38">
        <f t="shared" si="420"/>
        <v>0</v>
      </c>
      <c r="FB187" s="1">
        <f t="shared" si="421"/>
        <v>0</v>
      </c>
      <c r="FC187" s="1">
        <f t="shared" si="422"/>
        <v>0</v>
      </c>
      <c r="FD187" s="1">
        <f t="shared" si="423"/>
        <v>0</v>
      </c>
      <c r="FE187" s="1">
        <f t="shared" si="424"/>
        <v>0</v>
      </c>
      <c r="FF187" s="1">
        <f t="shared" si="425"/>
        <v>0</v>
      </c>
      <c r="FG187" s="1">
        <f t="shared" si="426"/>
        <v>0</v>
      </c>
      <c r="FH187" s="1">
        <f t="shared" si="427"/>
        <v>0</v>
      </c>
      <c r="FI187" s="1">
        <f t="shared" si="428"/>
        <v>0</v>
      </c>
      <c r="FJ187" s="1">
        <f t="shared" si="429"/>
        <v>0</v>
      </c>
      <c r="FK187" s="1">
        <f t="shared" si="430"/>
        <v>0</v>
      </c>
      <c r="FL187" s="1">
        <f t="shared" si="431"/>
        <v>0</v>
      </c>
      <c r="FM187" s="1">
        <f t="shared" si="432"/>
        <v>0</v>
      </c>
      <c r="FN187" s="1">
        <f t="shared" si="433"/>
        <v>0</v>
      </c>
      <c r="FO187" s="1">
        <f t="shared" si="434"/>
        <v>0</v>
      </c>
      <c r="FP187" s="1">
        <f t="shared" si="435"/>
        <v>0</v>
      </c>
      <c r="FQ187" s="1">
        <f t="shared" si="436"/>
        <v>0</v>
      </c>
      <c r="FS187" s="1">
        <f t="shared" si="437"/>
        <v>0</v>
      </c>
      <c r="FT187" s="1">
        <f t="shared" si="438"/>
        <v>0</v>
      </c>
      <c r="FU187" s="38">
        <f t="shared" si="439"/>
        <v>0</v>
      </c>
      <c r="FV187" s="38">
        <f t="shared" si="440"/>
        <v>0</v>
      </c>
      <c r="FW187" s="38">
        <f t="shared" si="441"/>
        <v>0</v>
      </c>
      <c r="FX187" s="38">
        <f t="shared" si="442"/>
        <v>0</v>
      </c>
      <c r="FY187" s="38">
        <f t="shared" si="443"/>
        <v>0</v>
      </c>
      <c r="FZ187" s="38">
        <f t="shared" si="444"/>
        <v>0</v>
      </c>
      <c r="GA187" s="38">
        <f t="shared" si="445"/>
        <v>0</v>
      </c>
      <c r="GB187" s="38">
        <f t="shared" si="446"/>
        <v>0</v>
      </c>
      <c r="GC187" s="38">
        <f t="shared" si="447"/>
        <v>0</v>
      </c>
      <c r="GD187" s="38">
        <f t="shared" si="448"/>
        <v>0</v>
      </c>
      <c r="GE187" s="38">
        <f t="shared" si="449"/>
        <v>0</v>
      </c>
      <c r="GF187" s="38">
        <f t="shared" si="450"/>
        <v>0</v>
      </c>
      <c r="GG187" s="38">
        <f t="shared" si="451"/>
        <v>0</v>
      </c>
      <c r="GH187" s="38">
        <f t="shared" si="452"/>
        <v>0</v>
      </c>
      <c r="GI187" s="38">
        <f t="shared" si="453"/>
        <v>0</v>
      </c>
      <c r="GJ187" s="38">
        <f t="shared" si="454"/>
        <v>0</v>
      </c>
      <c r="GL187" s="38">
        <f t="shared" si="455"/>
        <v>0</v>
      </c>
      <c r="GM187" s="38">
        <f t="shared" si="456"/>
        <v>0</v>
      </c>
      <c r="GN187" s="1" t="s">
        <v>2</v>
      </c>
      <c r="GO187" s="2">
        <f t="shared" si="379"/>
        <v>2.1958500000000001</v>
      </c>
      <c r="GP187" s="1">
        <f t="shared" si="380"/>
        <v>1.01</v>
      </c>
      <c r="GQ187" s="41">
        <f t="shared" si="381"/>
        <v>22.178084999999999</v>
      </c>
      <c r="GR187" s="41">
        <f t="shared" si="382"/>
        <v>386.52035575524008</v>
      </c>
      <c r="GS187" s="14">
        <f t="shared" si="383"/>
        <v>176.02311440000003</v>
      </c>
      <c r="GT187" s="1">
        <f t="shared" si="457"/>
        <v>0</v>
      </c>
      <c r="GU187" s="1">
        <f t="shared" si="458"/>
        <v>22.178084999999999</v>
      </c>
      <c r="GV187" s="1">
        <f t="shared" si="459"/>
        <v>0</v>
      </c>
      <c r="GW187" s="37">
        <f t="shared" si="384"/>
        <v>0</v>
      </c>
      <c r="GX187" s="37"/>
      <c r="GY187" s="37"/>
      <c r="GZ187" s="37"/>
      <c r="HB187" s="1">
        <f t="shared" si="460"/>
        <v>0</v>
      </c>
      <c r="HC187" s="1">
        <f t="shared" si="461"/>
        <v>0</v>
      </c>
      <c r="HD187" s="37" t="s">
        <v>2</v>
      </c>
      <c r="HE187" s="1" t="s">
        <v>31</v>
      </c>
      <c r="HF187" s="1" t="s">
        <v>233</v>
      </c>
      <c r="HG187" s="1" t="s">
        <v>280</v>
      </c>
      <c r="HI187" s="1" t="s">
        <v>96</v>
      </c>
      <c r="HJ187" s="37" t="s">
        <v>2</v>
      </c>
      <c r="JH187" s="58" t="s">
        <v>2</v>
      </c>
    </row>
    <row r="188" spans="1:268" ht="16.25" customHeight="1" x14ac:dyDescent="0.2">
      <c r="A188" s="21" t="s">
        <v>337</v>
      </c>
      <c r="B188" s="1" t="s">
        <v>69</v>
      </c>
      <c r="E188" s="1" t="s">
        <v>72</v>
      </c>
      <c r="F188" s="1" t="s">
        <v>338</v>
      </c>
      <c r="H188" s="1" t="s">
        <v>211</v>
      </c>
      <c r="I188" s="1">
        <v>0</v>
      </c>
      <c r="AD188" s="1">
        <v>0</v>
      </c>
      <c r="AY188" s="1">
        <v>2.5299999999999998</v>
      </c>
      <c r="BG188" s="1">
        <v>0.7</v>
      </c>
      <c r="BH188" s="1">
        <v>0.05</v>
      </c>
      <c r="BT188" s="1">
        <v>0</v>
      </c>
      <c r="CO188" s="1">
        <v>0</v>
      </c>
      <c r="DJ188" s="1" t="s">
        <v>96</v>
      </c>
      <c r="DK188" s="1" t="s">
        <v>96</v>
      </c>
      <c r="DL188" s="1">
        <f t="shared" si="377"/>
        <v>0.7</v>
      </c>
      <c r="DM188" s="1">
        <f t="shared" si="378"/>
        <v>0.05</v>
      </c>
      <c r="DN188" s="1" t="s">
        <v>148</v>
      </c>
      <c r="DO188" s="1" t="s">
        <v>2</v>
      </c>
      <c r="DP188" s="38">
        <f t="shared" si="385"/>
        <v>0</v>
      </c>
      <c r="DQ188" s="38">
        <f t="shared" si="386"/>
        <v>0</v>
      </c>
      <c r="DR188" s="38">
        <f t="shared" si="387"/>
        <v>0</v>
      </c>
      <c r="DS188" s="38">
        <f t="shared" si="388"/>
        <v>0</v>
      </c>
      <c r="DT188" s="38">
        <f t="shared" si="389"/>
        <v>0</v>
      </c>
      <c r="DU188" s="38">
        <f t="shared" si="390"/>
        <v>0</v>
      </c>
      <c r="DV188" s="38">
        <f t="shared" si="391"/>
        <v>0</v>
      </c>
      <c r="DW188" s="38">
        <f t="shared" si="392"/>
        <v>1.7709999999999997E-2</v>
      </c>
      <c r="DX188" s="38">
        <f t="shared" si="393"/>
        <v>1.2650000000000001E-3</v>
      </c>
      <c r="DY188" s="38">
        <f t="shared" si="394"/>
        <v>0</v>
      </c>
      <c r="DZ188" s="38">
        <f t="shared" si="395"/>
        <v>0</v>
      </c>
      <c r="EA188" s="38">
        <f t="shared" si="396"/>
        <v>0</v>
      </c>
      <c r="EB188" s="38">
        <f t="shared" si="397"/>
        <v>0</v>
      </c>
      <c r="EC188" s="38">
        <f t="shared" si="398"/>
        <v>0</v>
      </c>
      <c r="ED188" s="38">
        <f t="shared" si="399"/>
        <v>0</v>
      </c>
      <c r="EE188" s="38">
        <f t="shared" si="400"/>
        <v>0</v>
      </c>
      <c r="EG188" s="38">
        <f t="shared" si="401"/>
        <v>0</v>
      </c>
      <c r="EH188" s="38">
        <f t="shared" si="402"/>
        <v>0</v>
      </c>
      <c r="EI188" s="38">
        <f t="shared" si="403"/>
        <v>0</v>
      </c>
      <c r="EJ188" s="38">
        <f t="shared" si="404"/>
        <v>0</v>
      </c>
      <c r="EK188" s="38">
        <f t="shared" si="405"/>
        <v>0</v>
      </c>
      <c r="EL188" s="38">
        <f t="shared" si="406"/>
        <v>0</v>
      </c>
      <c r="EM188" s="38">
        <f t="shared" si="407"/>
        <v>0</v>
      </c>
      <c r="EN188" s="38">
        <f t="shared" si="408"/>
        <v>0</v>
      </c>
      <c r="EO188" s="38">
        <f t="shared" si="409"/>
        <v>0</v>
      </c>
      <c r="EP188" s="38">
        <f t="shared" si="410"/>
        <v>232.24893999999995</v>
      </c>
      <c r="EQ188" s="38">
        <f t="shared" si="411"/>
        <v>91.863697859999988</v>
      </c>
      <c r="ER188" s="38">
        <f t="shared" si="412"/>
        <v>0</v>
      </c>
      <c r="ES188" s="38">
        <f t="shared" si="413"/>
        <v>0</v>
      </c>
      <c r="ET188" s="38">
        <f t="shared" si="414"/>
        <v>0</v>
      </c>
      <c r="EU188" s="38">
        <f t="shared" si="415"/>
        <v>0</v>
      </c>
      <c r="EV188" s="38">
        <f t="shared" si="416"/>
        <v>0</v>
      </c>
      <c r="EW188" s="38">
        <f t="shared" si="417"/>
        <v>0</v>
      </c>
      <c r="EX188" s="38">
        <f t="shared" si="418"/>
        <v>0</v>
      </c>
      <c r="EZ188" s="38">
        <f t="shared" si="419"/>
        <v>0</v>
      </c>
      <c r="FA188" s="38">
        <f t="shared" si="420"/>
        <v>0</v>
      </c>
      <c r="FB188" s="1">
        <f t="shared" si="421"/>
        <v>0</v>
      </c>
      <c r="FC188" s="1">
        <f t="shared" si="422"/>
        <v>0</v>
      </c>
      <c r="FD188" s="1">
        <f t="shared" si="423"/>
        <v>0</v>
      </c>
      <c r="FE188" s="1">
        <f t="shared" si="424"/>
        <v>0</v>
      </c>
      <c r="FF188" s="1">
        <f t="shared" si="425"/>
        <v>0</v>
      </c>
      <c r="FG188" s="1">
        <f t="shared" si="426"/>
        <v>0</v>
      </c>
      <c r="FH188" s="1">
        <f t="shared" si="427"/>
        <v>0</v>
      </c>
      <c r="FI188" s="1">
        <f t="shared" si="428"/>
        <v>0</v>
      </c>
      <c r="FJ188" s="1">
        <f t="shared" si="429"/>
        <v>0</v>
      </c>
      <c r="FK188" s="1">
        <f t="shared" si="430"/>
        <v>0</v>
      </c>
      <c r="FL188" s="1">
        <f t="shared" si="431"/>
        <v>0</v>
      </c>
      <c r="FM188" s="1">
        <f t="shared" si="432"/>
        <v>0</v>
      </c>
      <c r="FN188" s="1">
        <f t="shared" si="433"/>
        <v>0</v>
      </c>
      <c r="FO188" s="1">
        <f t="shared" si="434"/>
        <v>0</v>
      </c>
      <c r="FP188" s="1">
        <f t="shared" si="435"/>
        <v>0</v>
      </c>
      <c r="FQ188" s="1">
        <f t="shared" si="436"/>
        <v>0</v>
      </c>
      <c r="FS188" s="1">
        <f t="shared" si="437"/>
        <v>0</v>
      </c>
      <c r="FT188" s="1">
        <f t="shared" si="438"/>
        <v>0</v>
      </c>
      <c r="FU188" s="38">
        <f t="shared" si="439"/>
        <v>0</v>
      </c>
      <c r="FV188" s="38">
        <f t="shared" si="440"/>
        <v>0</v>
      </c>
      <c r="FW188" s="38">
        <f t="shared" si="441"/>
        <v>0</v>
      </c>
      <c r="FX188" s="38">
        <f t="shared" si="442"/>
        <v>0</v>
      </c>
      <c r="FY188" s="38">
        <f t="shared" si="443"/>
        <v>0</v>
      </c>
      <c r="FZ188" s="38">
        <f t="shared" si="444"/>
        <v>0</v>
      </c>
      <c r="GA188" s="38">
        <f t="shared" si="445"/>
        <v>0</v>
      </c>
      <c r="GB188" s="38">
        <f t="shared" si="446"/>
        <v>0</v>
      </c>
      <c r="GC188" s="38">
        <f t="shared" si="447"/>
        <v>0</v>
      </c>
      <c r="GD188" s="38">
        <f t="shared" si="448"/>
        <v>0</v>
      </c>
      <c r="GE188" s="38">
        <f t="shared" si="449"/>
        <v>0</v>
      </c>
      <c r="GF188" s="38">
        <f t="shared" si="450"/>
        <v>0</v>
      </c>
      <c r="GG188" s="38">
        <f t="shared" si="451"/>
        <v>0</v>
      </c>
      <c r="GH188" s="38">
        <f t="shared" si="452"/>
        <v>0</v>
      </c>
      <c r="GI188" s="38">
        <f t="shared" si="453"/>
        <v>0</v>
      </c>
      <c r="GJ188" s="38">
        <f t="shared" si="454"/>
        <v>0</v>
      </c>
      <c r="GL188" s="38">
        <f t="shared" si="455"/>
        <v>0</v>
      </c>
      <c r="GM188" s="38">
        <f t="shared" si="456"/>
        <v>0</v>
      </c>
      <c r="GN188" s="1" t="s">
        <v>2</v>
      </c>
      <c r="GO188" s="1">
        <f t="shared" si="379"/>
        <v>2.5299999999999998</v>
      </c>
      <c r="GP188" s="1">
        <f t="shared" si="380"/>
        <v>0.7</v>
      </c>
      <c r="GQ188" s="41">
        <f t="shared" si="381"/>
        <v>17.71</v>
      </c>
      <c r="GR188" s="41">
        <f t="shared" si="382"/>
        <v>324.11263785999995</v>
      </c>
      <c r="GS188" s="14">
        <f t="shared" si="383"/>
        <v>128.10776199999998</v>
      </c>
      <c r="GT188" s="1">
        <f t="shared" si="457"/>
        <v>0</v>
      </c>
      <c r="GU188" s="1">
        <f t="shared" si="458"/>
        <v>0</v>
      </c>
      <c r="GV188" s="1">
        <f t="shared" si="459"/>
        <v>17.709999999999997</v>
      </c>
      <c r="GW188" s="37">
        <f t="shared" si="384"/>
        <v>0</v>
      </c>
      <c r="GX188" s="37"/>
      <c r="GY188" s="37"/>
      <c r="GZ188" s="37"/>
      <c r="HB188" s="1">
        <f t="shared" si="460"/>
        <v>0</v>
      </c>
      <c r="HC188" s="1">
        <f t="shared" si="461"/>
        <v>0</v>
      </c>
      <c r="HD188" s="37" t="s">
        <v>2</v>
      </c>
      <c r="HE188" s="1" t="s">
        <v>31</v>
      </c>
      <c r="HF188" s="1" t="s">
        <v>280</v>
      </c>
      <c r="HG188" s="1" t="s">
        <v>280</v>
      </c>
      <c r="HI188" s="1" t="s">
        <v>96</v>
      </c>
      <c r="HJ188" s="37" t="s">
        <v>2</v>
      </c>
      <c r="JH188" s="58" t="s">
        <v>2</v>
      </c>
    </row>
    <row r="189" spans="1:268" ht="16.25" customHeight="1" x14ac:dyDescent="0.2">
      <c r="A189" s="21" t="s">
        <v>454</v>
      </c>
      <c r="B189" s="1" t="s">
        <v>69</v>
      </c>
      <c r="E189" s="1" t="s">
        <v>72</v>
      </c>
      <c r="F189" s="1" t="s">
        <v>455</v>
      </c>
      <c r="H189" s="1" t="s">
        <v>211</v>
      </c>
      <c r="I189" s="1">
        <v>0</v>
      </c>
      <c r="AD189" s="1">
        <v>0</v>
      </c>
      <c r="AY189" s="1">
        <v>2.8</v>
      </c>
      <c r="BG189" s="1">
        <v>1.1100000000000001</v>
      </c>
      <c r="BH189" s="1">
        <v>4.8000000000000001E-2</v>
      </c>
      <c r="BT189" s="1">
        <v>0</v>
      </c>
      <c r="CO189" s="1">
        <v>0</v>
      </c>
      <c r="DJ189" s="1" t="s">
        <v>96</v>
      </c>
      <c r="DK189" s="1" t="s">
        <v>96</v>
      </c>
      <c r="DL189" s="1">
        <f t="shared" si="377"/>
        <v>1.1100000000000001</v>
      </c>
      <c r="DM189" s="1">
        <f t="shared" si="378"/>
        <v>4.8000000000000001E-2</v>
      </c>
      <c r="DN189" s="1" t="s">
        <v>148</v>
      </c>
      <c r="DO189" s="1" t="s">
        <v>2</v>
      </c>
      <c r="DP189" s="38">
        <f t="shared" si="385"/>
        <v>0</v>
      </c>
      <c r="DQ189" s="38">
        <f t="shared" si="386"/>
        <v>0</v>
      </c>
      <c r="DR189" s="38">
        <f t="shared" si="387"/>
        <v>0</v>
      </c>
      <c r="DS189" s="38">
        <f t="shared" si="388"/>
        <v>0</v>
      </c>
      <c r="DT189" s="38">
        <f t="shared" si="389"/>
        <v>0</v>
      </c>
      <c r="DU189" s="38">
        <f t="shared" si="390"/>
        <v>0</v>
      </c>
      <c r="DV189" s="38">
        <f t="shared" si="391"/>
        <v>0</v>
      </c>
      <c r="DW189" s="38">
        <f t="shared" si="392"/>
        <v>3.108E-2</v>
      </c>
      <c r="DX189" s="38">
        <f t="shared" si="393"/>
        <v>1.3439999999999999E-3</v>
      </c>
      <c r="DY189" s="38">
        <f t="shared" si="394"/>
        <v>0</v>
      </c>
      <c r="DZ189" s="38">
        <f t="shared" si="395"/>
        <v>0</v>
      </c>
      <c r="EA189" s="38">
        <f t="shared" si="396"/>
        <v>0</v>
      </c>
      <c r="EB189" s="38">
        <f t="shared" si="397"/>
        <v>0</v>
      </c>
      <c r="EC189" s="38">
        <f t="shared" si="398"/>
        <v>0</v>
      </c>
      <c r="ED189" s="38">
        <f t="shared" si="399"/>
        <v>0</v>
      </c>
      <c r="EE189" s="38">
        <f t="shared" si="400"/>
        <v>0</v>
      </c>
      <c r="EG189" s="38">
        <f t="shared" si="401"/>
        <v>0</v>
      </c>
      <c r="EH189" s="38">
        <f t="shared" si="402"/>
        <v>0</v>
      </c>
      <c r="EI189" s="38">
        <f t="shared" si="403"/>
        <v>0</v>
      </c>
      <c r="EJ189" s="38">
        <f t="shared" si="404"/>
        <v>0</v>
      </c>
      <c r="EK189" s="38">
        <f t="shared" si="405"/>
        <v>0</v>
      </c>
      <c r="EL189" s="38">
        <f t="shared" si="406"/>
        <v>0</v>
      </c>
      <c r="EM189" s="38">
        <f t="shared" si="407"/>
        <v>0</v>
      </c>
      <c r="EN189" s="38">
        <f t="shared" si="408"/>
        <v>0</v>
      </c>
      <c r="EO189" s="38">
        <f t="shared" si="409"/>
        <v>0</v>
      </c>
      <c r="EP189" s="38">
        <f t="shared" si="410"/>
        <v>407.58312000000001</v>
      </c>
      <c r="EQ189" s="38">
        <f t="shared" si="411"/>
        <v>97.600640255999977</v>
      </c>
      <c r="ER189" s="38">
        <f t="shared" si="412"/>
        <v>0</v>
      </c>
      <c r="ES189" s="38">
        <f t="shared" si="413"/>
        <v>0</v>
      </c>
      <c r="ET189" s="38">
        <f t="shared" si="414"/>
        <v>0</v>
      </c>
      <c r="EU189" s="38">
        <f t="shared" si="415"/>
        <v>0</v>
      </c>
      <c r="EV189" s="38">
        <f t="shared" si="416"/>
        <v>0</v>
      </c>
      <c r="EW189" s="38">
        <f t="shared" si="417"/>
        <v>0</v>
      </c>
      <c r="EX189" s="38">
        <f t="shared" si="418"/>
        <v>0</v>
      </c>
      <c r="EZ189" s="38">
        <f t="shared" si="419"/>
        <v>0</v>
      </c>
      <c r="FA189" s="38">
        <f t="shared" si="420"/>
        <v>0</v>
      </c>
      <c r="FB189" s="1">
        <f t="shared" si="421"/>
        <v>0</v>
      </c>
      <c r="FC189" s="1">
        <f t="shared" si="422"/>
        <v>0</v>
      </c>
      <c r="FD189" s="1">
        <f t="shared" si="423"/>
        <v>0</v>
      </c>
      <c r="FE189" s="1">
        <f t="shared" si="424"/>
        <v>0</v>
      </c>
      <c r="FF189" s="1">
        <f t="shared" si="425"/>
        <v>0</v>
      </c>
      <c r="FG189" s="1">
        <f t="shared" si="426"/>
        <v>0</v>
      </c>
      <c r="FH189" s="1">
        <f t="shared" si="427"/>
        <v>0</v>
      </c>
      <c r="FI189" s="1">
        <f t="shared" si="428"/>
        <v>0</v>
      </c>
      <c r="FJ189" s="1">
        <f t="shared" si="429"/>
        <v>0</v>
      </c>
      <c r="FK189" s="1">
        <f t="shared" si="430"/>
        <v>0</v>
      </c>
      <c r="FL189" s="1">
        <f t="shared" si="431"/>
        <v>0</v>
      </c>
      <c r="FM189" s="1">
        <f t="shared" si="432"/>
        <v>0</v>
      </c>
      <c r="FN189" s="1">
        <f t="shared" si="433"/>
        <v>0</v>
      </c>
      <c r="FO189" s="1">
        <f t="shared" si="434"/>
        <v>0</v>
      </c>
      <c r="FP189" s="1">
        <f t="shared" si="435"/>
        <v>0</v>
      </c>
      <c r="FQ189" s="1">
        <f t="shared" si="436"/>
        <v>0</v>
      </c>
      <c r="FS189" s="1">
        <f t="shared" si="437"/>
        <v>0</v>
      </c>
      <c r="FT189" s="1">
        <f t="shared" si="438"/>
        <v>0</v>
      </c>
      <c r="FU189" s="38">
        <f t="shared" si="439"/>
        <v>0</v>
      </c>
      <c r="FV189" s="38">
        <f t="shared" si="440"/>
        <v>0</v>
      </c>
      <c r="FW189" s="38">
        <f t="shared" si="441"/>
        <v>0</v>
      </c>
      <c r="FX189" s="38">
        <f t="shared" si="442"/>
        <v>0</v>
      </c>
      <c r="FY189" s="38">
        <f t="shared" si="443"/>
        <v>0</v>
      </c>
      <c r="FZ189" s="38">
        <f t="shared" si="444"/>
        <v>0</v>
      </c>
      <c r="GA189" s="38">
        <f t="shared" si="445"/>
        <v>0</v>
      </c>
      <c r="GB189" s="38">
        <f t="shared" si="446"/>
        <v>0</v>
      </c>
      <c r="GC189" s="38">
        <f t="shared" si="447"/>
        <v>0</v>
      </c>
      <c r="GD189" s="38">
        <f t="shared" si="448"/>
        <v>0</v>
      </c>
      <c r="GE189" s="38">
        <f t="shared" si="449"/>
        <v>0</v>
      </c>
      <c r="GF189" s="38">
        <f t="shared" si="450"/>
        <v>0</v>
      </c>
      <c r="GG189" s="38">
        <f t="shared" si="451"/>
        <v>0</v>
      </c>
      <c r="GH189" s="38">
        <f t="shared" si="452"/>
        <v>0</v>
      </c>
      <c r="GI189" s="38">
        <f t="shared" si="453"/>
        <v>0</v>
      </c>
      <c r="GJ189" s="38">
        <f t="shared" si="454"/>
        <v>0</v>
      </c>
      <c r="GL189" s="38">
        <f t="shared" si="455"/>
        <v>0</v>
      </c>
      <c r="GM189" s="38">
        <f t="shared" si="456"/>
        <v>0</v>
      </c>
      <c r="GN189" s="1" t="s">
        <v>2</v>
      </c>
      <c r="GO189" s="1">
        <f t="shared" si="379"/>
        <v>2.8</v>
      </c>
      <c r="GP189" s="1">
        <f t="shared" si="380"/>
        <v>1.1100000000000001</v>
      </c>
      <c r="GQ189" s="41">
        <f t="shared" si="381"/>
        <v>31.080000000000005</v>
      </c>
      <c r="GR189" s="41">
        <f t="shared" si="382"/>
        <v>505.18376025599997</v>
      </c>
      <c r="GS189" s="14">
        <f t="shared" si="383"/>
        <v>180.42277152</v>
      </c>
      <c r="GT189" s="1">
        <f t="shared" si="457"/>
        <v>0</v>
      </c>
      <c r="GU189" s="1">
        <f t="shared" si="458"/>
        <v>0</v>
      </c>
      <c r="GV189" s="1">
        <f t="shared" si="459"/>
        <v>31.08</v>
      </c>
      <c r="GW189" s="37">
        <f t="shared" si="384"/>
        <v>0</v>
      </c>
      <c r="GX189" s="37"/>
      <c r="GY189" s="37"/>
      <c r="GZ189" s="37"/>
      <c r="HB189" s="1">
        <f t="shared" si="460"/>
        <v>0</v>
      </c>
      <c r="HC189" s="1">
        <f t="shared" si="461"/>
        <v>0</v>
      </c>
      <c r="HD189" s="37" t="s">
        <v>2</v>
      </c>
      <c r="HE189" s="1" t="s">
        <v>31</v>
      </c>
      <c r="HF189" s="1" t="s">
        <v>280</v>
      </c>
      <c r="HG189" s="1" t="s">
        <v>280</v>
      </c>
      <c r="HI189" s="1" t="s">
        <v>96</v>
      </c>
      <c r="HJ189" s="37" t="s">
        <v>2</v>
      </c>
      <c r="JH189" s="58" t="s">
        <v>2</v>
      </c>
    </row>
    <row r="190" spans="1:268" ht="16.25" customHeight="1" x14ac:dyDescent="0.2">
      <c r="A190" s="21" t="s">
        <v>1158</v>
      </c>
      <c r="B190" s="1" t="s">
        <v>69</v>
      </c>
      <c r="F190" s="1" t="s">
        <v>1159</v>
      </c>
      <c r="I190" s="1">
        <v>59.805</v>
      </c>
      <c r="Q190" s="1">
        <v>0.68</v>
      </c>
      <c r="R190" s="1">
        <v>0.24</v>
      </c>
      <c r="AD190" s="1">
        <f>20.918+33.251</f>
        <v>54.168999999999997</v>
      </c>
      <c r="AL190" s="13">
        <f>(0.67*20.918+0.6*33.251)/AD190</f>
        <v>0.62703132788126048</v>
      </c>
      <c r="AM190" s="13">
        <f>(0.19*20.918+0.21*33.251)/AD190</f>
        <v>0.20227676346249701</v>
      </c>
      <c r="AY190" s="14">
        <f>19.929+182.621</f>
        <v>202.55</v>
      </c>
      <c r="BG190" s="13">
        <f>(0.65*19.929+0.58*182.621)/AY190</f>
        <v>0.58688733646013325</v>
      </c>
      <c r="BH190" s="13">
        <f>(0.19*19.929+0.2*182.621)/AY190</f>
        <v>0.19901609479140953</v>
      </c>
      <c r="BT190" s="1">
        <v>0</v>
      </c>
      <c r="CO190" s="1">
        <v>68.132000000000005</v>
      </c>
      <c r="CW190" s="1">
        <v>0.66</v>
      </c>
      <c r="CX190" s="1">
        <v>0.26</v>
      </c>
      <c r="DJ190" s="1" t="s">
        <v>96</v>
      </c>
      <c r="DK190" s="1" t="s">
        <v>96</v>
      </c>
      <c r="DL190" s="1">
        <f t="shared" si="377"/>
        <v>0.61135045051876002</v>
      </c>
      <c r="DM190" s="1">
        <f t="shared" si="378"/>
        <v>0.20731773893922734</v>
      </c>
      <c r="DN190" s="1" t="s">
        <v>580</v>
      </c>
      <c r="DO190" s="1" t="s">
        <v>2</v>
      </c>
      <c r="DP190" s="38">
        <f t="shared" si="385"/>
        <v>0</v>
      </c>
      <c r="DQ190" s="38">
        <f t="shared" si="386"/>
        <v>0</v>
      </c>
      <c r="DR190" s="38">
        <f t="shared" si="387"/>
        <v>0</v>
      </c>
      <c r="DS190" s="38">
        <f t="shared" si="388"/>
        <v>0</v>
      </c>
      <c r="DT190" s="38">
        <f t="shared" si="389"/>
        <v>0</v>
      </c>
      <c r="DU190" s="38">
        <f t="shared" si="390"/>
        <v>0</v>
      </c>
      <c r="DV190" s="38">
        <f t="shared" si="391"/>
        <v>0</v>
      </c>
      <c r="DW190" s="38">
        <f t="shared" si="392"/>
        <v>1.9350709000000001</v>
      </c>
      <c r="DX190" s="38">
        <f t="shared" si="393"/>
        <v>0.65621039999999997</v>
      </c>
      <c r="DY190" s="38">
        <f t="shared" si="394"/>
        <v>0</v>
      </c>
      <c r="DZ190" s="38">
        <f t="shared" si="395"/>
        <v>0</v>
      </c>
      <c r="EA190" s="38">
        <f t="shared" si="396"/>
        <v>0</v>
      </c>
      <c r="EB190" s="38">
        <f t="shared" si="397"/>
        <v>0</v>
      </c>
      <c r="EC190" s="38">
        <f t="shared" si="398"/>
        <v>0</v>
      </c>
      <c r="ED190" s="38">
        <f t="shared" si="399"/>
        <v>0</v>
      </c>
      <c r="EE190" s="38">
        <f t="shared" si="400"/>
        <v>0</v>
      </c>
      <c r="EG190" s="38">
        <f t="shared" si="401"/>
        <v>0</v>
      </c>
      <c r="EH190" s="38">
        <f t="shared" si="402"/>
        <v>0</v>
      </c>
      <c r="EI190" s="38">
        <f t="shared" si="403"/>
        <v>0</v>
      </c>
      <c r="EJ190" s="38">
        <f t="shared" si="404"/>
        <v>0</v>
      </c>
      <c r="EK190" s="38">
        <f t="shared" si="405"/>
        <v>0</v>
      </c>
      <c r="EL190" s="38">
        <f t="shared" si="406"/>
        <v>0</v>
      </c>
      <c r="EM190" s="38">
        <f t="shared" si="407"/>
        <v>0</v>
      </c>
      <c r="EN190" s="38">
        <f t="shared" si="408"/>
        <v>0</v>
      </c>
      <c r="EO190" s="38">
        <f t="shared" si="409"/>
        <v>0</v>
      </c>
      <c r="EP190" s="38">
        <f t="shared" si="410"/>
        <v>25376.5197826</v>
      </c>
      <c r="EQ190" s="38">
        <f t="shared" si="411"/>
        <v>47653.686891849589</v>
      </c>
      <c r="ER190" s="38">
        <f t="shared" si="412"/>
        <v>0</v>
      </c>
      <c r="ES190" s="38">
        <f t="shared" si="413"/>
        <v>0</v>
      </c>
      <c r="ET190" s="38">
        <f t="shared" si="414"/>
        <v>0</v>
      </c>
      <c r="EU190" s="38">
        <f t="shared" si="415"/>
        <v>0</v>
      </c>
      <c r="EV190" s="38">
        <f t="shared" si="416"/>
        <v>0</v>
      </c>
      <c r="EW190" s="38">
        <f t="shared" si="417"/>
        <v>0</v>
      </c>
      <c r="EX190" s="38">
        <f t="shared" si="418"/>
        <v>0</v>
      </c>
      <c r="EZ190" s="38">
        <f t="shared" si="419"/>
        <v>0</v>
      </c>
      <c r="FA190" s="38">
        <f t="shared" si="420"/>
        <v>0</v>
      </c>
      <c r="FB190" s="1">
        <f t="shared" si="421"/>
        <v>0</v>
      </c>
      <c r="FC190" s="1">
        <f t="shared" si="422"/>
        <v>0</v>
      </c>
      <c r="FD190" s="1">
        <f t="shared" si="423"/>
        <v>0</v>
      </c>
      <c r="FE190" s="1">
        <f t="shared" si="424"/>
        <v>0</v>
      </c>
      <c r="FF190" s="1">
        <f t="shared" si="425"/>
        <v>0</v>
      </c>
      <c r="FG190" s="1">
        <f t="shared" si="426"/>
        <v>0</v>
      </c>
      <c r="FH190" s="1">
        <f t="shared" si="427"/>
        <v>0</v>
      </c>
      <c r="FI190" s="1">
        <f t="shared" si="428"/>
        <v>0.4496712000000001</v>
      </c>
      <c r="FJ190" s="1">
        <f t="shared" si="429"/>
        <v>0.1771432</v>
      </c>
      <c r="FK190" s="1">
        <f t="shared" si="430"/>
        <v>0</v>
      </c>
      <c r="FL190" s="1">
        <f t="shared" si="431"/>
        <v>0</v>
      </c>
      <c r="FM190" s="1">
        <f t="shared" si="432"/>
        <v>0</v>
      </c>
      <c r="FN190" s="1">
        <f t="shared" si="433"/>
        <v>0</v>
      </c>
      <c r="FO190" s="1">
        <f t="shared" si="434"/>
        <v>0</v>
      </c>
      <c r="FP190" s="1">
        <f t="shared" si="435"/>
        <v>0</v>
      </c>
      <c r="FQ190" s="1">
        <f t="shared" si="436"/>
        <v>0</v>
      </c>
      <c r="FS190" s="1">
        <f t="shared" si="437"/>
        <v>0</v>
      </c>
      <c r="FT190" s="1">
        <f t="shared" si="438"/>
        <v>0</v>
      </c>
      <c r="FU190" s="38">
        <f t="shared" si="439"/>
        <v>0</v>
      </c>
      <c r="FV190" s="38">
        <f t="shared" si="440"/>
        <v>0</v>
      </c>
      <c r="FW190" s="38">
        <f t="shared" si="441"/>
        <v>0</v>
      </c>
      <c r="FX190" s="38">
        <f t="shared" si="442"/>
        <v>0</v>
      </c>
      <c r="FY190" s="38">
        <f t="shared" si="443"/>
        <v>0</v>
      </c>
      <c r="FZ190" s="38">
        <f t="shared" si="444"/>
        <v>0</v>
      </c>
      <c r="GA190" s="38">
        <f t="shared" si="445"/>
        <v>0</v>
      </c>
      <c r="GB190" s="38">
        <f t="shared" si="446"/>
        <v>5896.9881168000011</v>
      </c>
      <c r="GC190" s="38">
        <f t="shared" si="447"/>
        <v>12864.054863836798</v>
      </c>
      <c r="GD190" s="38">
        <f t="shared" si="448"/>
        <v>0</v>
      </c>
      <c r="GE190" s="38">
        <f t="shared" si="449"/>
        <v>0</v>
      </c>
      <c r="GF190" s="38">
        <f t="shared" si="450"/>
        <v>0</v>
      </c>
      <c r="GG190" s="38">
        <f t="shared" si="451"/>
        <v>0</v>
      </c>
      <c r="GH190" s="38">
        <f t="shared" si="452"/>
        <v>0</v>
      </c>
      <c r="GI190" s="38">
        <f t="shared" si="453"/>
        <v>0</v>
      </c>
      <c r="GJ190" s="38">
        <f t="shared" si="454"/>
        <v>0</v>
      </c>
      <c r="GL190" s="38">
        <f t="shared" si="455"/>
        <v>0</v>
      </c>
      <c r="GM190" s="38">
        <f t="shared" si="456"/>
        <v>0</v>
      </c>
      <c r="GN190" s="1" t="s">
        <v>2</v>
      </c>
      <c r="GO190" s="14">
        <f t="shared" si="379"/>
        <v>316.524</v>
      </c>
      <c r="GP190" s="13">
        <f t="shared" si="380"/>
        <v>0.61135045051876002</v>
      </c>
      <c r="GQ190" s="43">
        <f t="shared" si="381"/>
        <v>1935.0708999999999</v>
      </c>
      <c r="GR190" s="41">
        <f t="shared" si="382"/>
        <v>73030.206674449582</v>
      </c>
      <c r="GS190" s="14">
        <f t="shared" si="383"/>
        <v>230.72565326625968</v>
      </c>
      <c r="GT190" s="1">
        <f t="shared" si="457"/>
        <v>406.67400000000004</v>
      </c>
      <c r="GU190" s="1">
        <f t="shared" si="458"/>
        <v>339.65659999999997</v>
      </c>
      <c r="GV190" s="1">
        <f t="shared" si="459"/>
        <v>1188.7402999999999</v>
      </c>
      <c r="GW190" s="44">
        <f t="shared" si="384"/>
        <v>68.132000000000005</v>
      </c>
      <c r="GX190" s="37">
        <f>(BT190*CB190+CO190*CW190)/GW190</f>
        <v>0.66</v>
      </c>
      <c r="GY190" s="41">
        <f>1000*GW190*GX190/100</f>
        <v>449.6712</v>
      </c>
      <c r="GZ190" s="41">
        <f>SUM(FU190:GM190)</f>
        <v>18761.042980636797</v>
      </c>
      <c r="HA190" s="14">
        <f>GZ190/GW190</f>
        <v>275.36316239999996</v>
      </c>
      <c r="HB190" s="1">
        <f t="shared" si="460"/>
        <v>0</v>
      </c>
      <c r="HC190" s="1">
        <f t="shared" si="461"/>
        <v>449.67120000000011</v>
      </c>
      <c r="HD190" s="37" t="s">
        <v>2</v>
      </c>
      <c r="HE190" s="1" t="s">
        <v>31</v>
      </c>
      <c r="HF190" s="1" t="s">
        <v>280</v>
      </c>
      <c r="HG190" s="1" t="s">
        <v>280</v>
      </c>
      <c r="HI190" s="1" t="s">
        <v>96</v>
      </c>
      <c r="HJ190" s="37" t="s">
        <v>2</v>
      </c>
      <c r="JH190" s="58" t="s">
        <v>2</v>
      </c>
    </row>
    <row r="191" spans="1:268" ht="16.25" customHeight="1" x14ac:dyDescent="0.2">
      <c r="A191" s="21" t="s">
        <v>537</v>
      </c>
      <c r="B191" s="1" t="s">
        <v>157</v>
      </c>
      <c r="E191" s="1" t="s">
        <v>72</v>
      </c>
      <c r="F191" s="1" t="s">
        <v>131</v>
      </c>
      <c r="H191" s="1" t="s">
        <v>204</v>
      </c>
      <c r="I191" s="1">
        <v>0</v>
      </c>
      <c r="AD191" s="1">
        <v>30.76</v>
      </c>
      <c r="AL191" s="1">
        <v>1.1200000000000001</v>
      </c>
      <c r="AM191" s="1">
        <v>0.05</v>
      </c>
      <c r="AY191" s="1">
        <v>0</v>
      </c>
      <c r="BT191" s="1">
        <v>0</v>
      </c>
      <c r="CO191" s="1">
        <v>0</v>
      </c>
      <c r="DJ191" s="1" t="s">
        <v>96</v>
      </c>
      <c r="DK191" s="1" t="s">
        <v>96</v>
      </c>
      <c r="DL191" s="1">
        <f t="shared" si="377"/>
        <v>1.1200000000000001</v>
      </c>
      <c r="DM191" s="1">
        <f t="shared" si="378"/>
        <v>0.05</v>
      </c>
      <c r="DN191" s="1" t="s">
        <v>156</v>
      </c>
      <c r="DO191" s="1" t="s">
        <v>2</v>
      </c>
      <c r="DP191" s="38">
        <f t="shared" si="385"/>
        <v>0</v>
      </c>
      <c r="DQ191" s="38">
        <f t="shared" si="386"/>
        <v>0</v>
      </c>
      <c r="DR191" s="38">
        <f t="shared" si="387"/>
        <v>0</v>
      </c>
      <c r="DS191" s="38">
        <f t="shared" si="388"/>
        <v>0</v>
      </c>
      <c r="DT191" s="38">
        <f t="shared" si="389"/>
        <v>0</v>
      </c>
      <c r="DU191" s="38">
        <f t="shared" si="390"/>
        <v>0</v>
      </c>
      <c r="DV191" s="38">
        <f t="shared" si="391"/>
        <v>0</v>
      </c>
      <c r="DW191" s="38">
        <f t="shared" si="392"/>
        <v>0.3445120000000001</v>
      </c>
      <c r="DX191" s="38">
        <f t="shared" si="393"/>
        <v>1.5380000000000003E-2</v>
      </c>
      <c r="DY191" s="38">
        <f t="shared" si="394"/>
        <v>0</v>
      </c>
      <c r="DZ191" s="38">
        <f t="shared" si="395"/>
        <v>0</v>
      </c>
      <c r="EA191" s="38">
        <f t="shared" si="396"/>
        <v>0</v>
      </c>
      <c r="EB191" s="38">
        <f t="shared" si="397"/>
        <v>0</v>
      </c>
      <c r="EC191" s="38">
        <f t="shared" si="398"/>
        <v>0</v>
      </c>
      <c r="ED191" s="38">
        <f t="shared" si="399"/>
        <v>0</v>
      </c>
      <c r="EE191" s="38">
        <f t="shared" si="400"/>
        <v>0</v>
      </c>
      <c r="EG191" s="38">
        <f t="shared" si="401"/>
        <v>0</v>
      </c>
      <c r="EH191" s="38">
        <f t="shared" si="402"/>
        <v>0</v>
      </c>
      <c r="EI191" s="38">
        <f t="shared" si="403"/>
        <v>0</v>
      </c>
      <c r="EJ191" s="38">
        <f t="shared" si="404"/>
        <v>0</v>
      </c>
      <c r="EK191" s="38">
        <f t="shared" si="405"/>
        <v>0</v>
      </c>
      <c r="EL191" s="38">
        <f t="shared" si="406"/>
        <v>0</v>
      </c>
      <c r="EM191" s="38">
        <f t="shared" si="407"/>
        <v>0</v>
      </c>
      <c r="EN191" s="38">
        <f t="shared" si="408"/>
        <v>0</v>
      </c>
      <c r="EO191" s="38">
        <f t="shared" si="409"/>
        <v>0</v>
      </c>
      <c r="EP191" s="38">
        <f t="shared" si="410"/>
        <v>4517.9303680000012</v>
      </c>
      <c r="EQ191" s="38">
        <f t="shared" si="411"/>
        <v>1116.8882791200001</v>
      </c>
      <c r="ER191" s="38">
        <f t="shared" si="412"/>
        <v>0</v>
      </c>
      <c r="ES191" s="38">
        <f t="shared" si="413"/>
        <v>0</v>
      </c>
      <c r="ET191" s="38">
        <f t="shared" si="414"/>
        <v>0</v>
      </c>
      <c r="EU191" s="38">
        <f t="shared" si="415"/>
        <v>0</v>
      </c>
      <c r="EV191" s="38">
        <f t="shared" si="416"/>
        <v>0</v>
      </c>
      <c r="EW191" s="38">
        <f t="shared" si="417"/>
        <v>0</v>
      </c>
      <c r="EX191" s="38">
        <f t="shared" si="418"/>
        <v>0</v>
      </c>
      <c r="EZ191" s="38">
        <f t="shared" si="419"/>
        <v>0</v>
      </c>
      <c r="FA191" s="38">
        <f t="shared" si="420"/>
        <v>0</v>
      </c>
      <c r="FB191" s="1">
        <f t="shared" si="421"/>
        <v>0</v>
      </c>
      <c r="FC191" s="1">
        <f t="shared" si="422"/>
        <v>0</v>
      </c>
      <c r="FD191" s="1">
        <f t="shared" si="423"/>
        <v>0</v>
      </c>
      <c r="FE191" s="1">
        <f t="shared" si="424"/>
        <v>0</v>
      </c>
      <c r="FF191" s="1">
        <f t="shared" si="425"/>
        <v>0</v>
      </c>
      <c r="FG191" s="1">
        <f t="shared" si="426"/>
        <v>0</v>
      </c>
      <c r="FH191" s="1">
        <f t="shared" si="427"/>
        <v>0</v>
      </c>
      <c r="FI191" s="1">
        <f t="shared" si="428"/>
        <v>0</v>
      </c>
      <c r="FJ191" s="1">
        <f t="shared" si="429"/>
        <v>0</v>
      </c>
      <c r="FK191" s="1">
        <f t="shared" si="430"/>
        <v>0</v>
      </c>
      <c r="FL191" s="1">
        <f t="shared" si="431"/>
        <v>0</v>
      </c>
      <c r="FM191" s="1">
        <f t="shared" si="432"/>
        <v>0</v>
      </c>
      <c r="FN191" s="1">
        <f t="shared" si="433"/>
        <v>0</v>
      </c>
      <c r="FO191" s="1">
        <f t="shared" si="434"/>
        <v>0</v>
      </c>
      <c r="FP191" s="1">
        <f t="shared" si="435"/>
        <v>0</v>
      </c>
      <c r="FQ191" s="1">
        <f t="shared" si="436"/>
        <v>0</v>
      </c>
      <c r="FS191" s="1">
        <f t="shared" si="437"/>
        <v>0</v>
      </c>
      <c r="FT191" s="1">
        <f t="shared" si="438"/>
        <v>0</v>
      </c>
      <c r="FU191" s="38">
        <f t="shared" si="439"/>
        <v>0</v>
      </c>
      <c r="FV191" s="38">
        <f t="shared" si="440"/>
        <v>0</v>
      </c>
      <c r="FW191" s="38">
        <f t="shared" si="441"/>
        <v>0</v>
      </c>
      <c r="FX191" s="38">
        <f t="shared" si="442"/>
        <v>0</v>
      </c>
      <c r="FY191" s="38">
        <f t="shared" si="443"/>
        <v>0</v>
      </c>
      <c r="FZ191" s="38">
        <f t="shared" si="444"/>
        <v>0</v>
      </c>
      <c r="GA191" s="38">
        <f t="shared" si="445"/>
        <v>0</v>
      </c>
      <c r="GB191" s="38">
        <f t="shared" si="446"/>
        <v>0</v>
      </c>
      <c r="GC191" s="38">
        <f t="shared" si="447"/>
        <v>0</v>
      </c>
      <c r="GD191" s="38">
        <f t="shared" si="448"/>
        <v>0</v>
      </c>
      <c r="GE191" s="38">
        <f t="shared" si="449"/>
        <v>0</v>
      </c>
      <c r="GF191" s="38">
        <f t="shared" si="450"/>
        <v>0</v>
      </c>
      <c r="GG191" s="38">
        <f t="shared" si="451"/>
        <v>0</v>
      </c>
      <c r="GH191" s="38">
        <f t="shared" si="452"/>
        <v>0</v>
      </c>
      <c r="GI191" s="38">
        <f t="shared" si="453"/>
        <v>0</v>
      </c>
      <c r="GJ191" s="38">
        <f t="shared" si="454"/>
        <v>0</v>
      </c>
      <c r="GL191" s="38">
        <f t="shared" si="455"/>
        <v>0</v>
      </c>
      <c r="GM191" s="38">
        <f t="shared" si="456"/>
        <v>0</v>
      </c>
      <c r="GN191" s="1" t="s">
        <v>2</v>
      </c>
      <c r="GO191" s="1">
        <f t="shared" si="379"/>
        <v>30.76</v>
      </c>
      <c r="GP191" s="13">
        <f t="shared" si="380"/>
        <v>1.1200000000000001</v>
      </c>
      <c r="GQ191" s="41">
        <f t="shared" si="381"/>
        <v>344.51200000000006</v>
      </c>
      <c r="GR191" s="41">
        <f t="shared" si="382"/>
        <v>5634.8186471200015</v>
      </c>
      <c r="GS191" s="14">
        <f t="shared" si="383"/>
        <v>183.18656200000004</v>
      </c>
      <c r="GT191" s="1">
        <f t="shared" si="457"/>
        <v>0</v>
      </c>
      <c r="GU191" s="1">
        <f t="shared" si="458"/>
        <v>344.51200000000006</v>
      </c>
      <c r="GV191" s="1">
        <f t="shared" si="459"/>
        <v>0</v>
      </c>
      <c r="GW191" s="37">
        <f t="shared" si="384"/>
        <v>0</v>
      </c>
      <c r="GX191" s="37"/>
      <c r="GY191" s="37"/>
      <c r="GZ191" s="37"/>
      <c r="HB191" s="1">
        <f t="shared" si="460"/>
        <v>0</v>
      </c>
      <c r="HC191" s="1">
        <f t="shared" si="461"/>
        <v>0</v>
      </c>
      <c r="HD191" s="37" t="s">
        <v>2</v>
      </c>
      <c r="HE191" s="1" t="s">
        <v>31</v>
      </c>
      <c r="HF191" s="1" t="s">
        <v>233</v>
      </c>
      <c r="HG191" s="1" t="s">
        <v>233</v>
      </c>
      <c r="HI191" s="1" t="s">
        <v>96</v>
      </c>
      <c r="HJ191" s="37" t="s">
        <v>2</v>
      </c>
      <c r="JH191" s="58" t="s">
        <v>2</v>
      </c>
    </row>
    <row r="192" spans="1:268" ht="16.25" customHeight="1" x14ac:dyDescent="0.2">
      <c r="A192" s="21" t="s">
        <v>322</v>
      </c>
      <c r="B192" s="1" t="s">
        <v>69</v>
      </c>
      <c r="E192" s="1" t="s">
        <v>72</v>
      </c>
      <c r="F192" s="1" t="s">
        <v>196</v>
      </c>
      <c r="H192" s="1" t="s">
        <v>211</v>
      </c>
      <c r="I192" s="1">
        <v>0</v>
      </c>
      <c r="AD192" s="1">
        <v>2.2000000000000002</v>
      </c>
      <c r="AL192" s="1">
        <v>0.97</v>
      </c>
      <c r="AM192" s="1">
        <v>0.04</v>
      </c>
      <c r="AT192" s="1">
        <v>19</v>
      </c>
      <c r="AY192" s="1">
        <v>18.8</v>
      </c>
      <c r="BG192" s="1">
        <v>0.84</v>
      </c>
      <c r="BH192" s="1">
        <v>0.06</v>
      </c>
      <c r="BO192" s="1">
        <v>23</v>
      </c>
      <c r="BT192" s="1">
        <v>0</v>
      </c>
      <c r="CO192" s="1">
        <v>0</v>
      </c>
      <c r="DJ192" s="1" t="s">
        <v>96</v>
      </c>
      <c r="DK192" s="1" t="s">
        <v>96</v>
      </c>
      <c r="DL192" s="1">
        <f t="shared" si="377"/>
        <v>0.8536190476190475</v>
      </c>
      <c r="DM192" s="1">
        <f t="shared" si="378"/>
        <v>5.7904761904761903E-2</v>
      </c>
      <c r="DN192" s="1" t="s">
        <v>67</v>
      </c>
      <c r="DO192" s="1" t="s">
        <v>2</v>
      </c>
      <c r="DP192" s="38">
        <f t="shared" si="385"/>
        <v>0</v>
      </c>
      <c r="DQ192" s="38">
        <f t="shared" si="386"/>
        <v>0</v>
      </c>
      <c r="DR192" s="38">
        <f t="shared" si="387"/>
        <v>0</v>
      </c>
      <c r="DS192" s="38">
        <f t="shared" si="388"/>
        <v>0</v>
      </c>
      <c r="DT192" s="38">
        <f t="shared" si="389"/>
        <v>0</v>
      </c>
      <c r="DU192" s="38">
        <f t="shared" si="390"/>
        <v>0</v>
      </c>
      <c r="DV192" s="38">
        <f t="shared" si="391"/>
        <v>0</v>
      </c>
      <c r="DW192" s="38">
        <f t="shared" si="392"/>
        <v>0.17925999999999997</v>
      </c>
      <c r="DX192" s="38">
        <f t="shared" si="393"/>
        <v>1.2159999999999999E-2</v>
      </c>
      <c r="DY192" s="38">
        <f t="shared" si="394"/>
        <v>0</v>
      </c>
      <c r="DZ192" s="38">
        <f t="shared" si="395"/>
        <v>0</v>
      </c>
      <c r="EA192" s="38">
        <f t="shared" si="396"/>
        <v>0</v>
      </c>
      <c r="EB192" s="38">
        <f t="shared" si="397"/>
        <v>0</v>
      </c>
      <c r="EC192" s="38">
        <f t="shared" si="398"/>
        <v>0</v>
      </c>
      <c r="ED192" s="38">
        <f t="shared" si="399"/>
        <v>0</v>
      </c>
      <c r="EE192" s="38">
        <f t="shared" si="400"/>
        <v>4.7420000000000009</v>
      </c>
      <c r="EG192" s="38">
        <f t="shared" si="401"/>
        <v>0</v>
      </c>
      <c r="EH192" s="38">
        <f t="shared" si="402"/>
        <v>0</v>
      </c>
      <c r="EI192" s="38">
        <f t="shared" si="403"/>
        <v>0</v>
      </c>
      <c r="EJ192" s="38">
        <f t="shared" si="404"/>
        <v>0</v>
      </c>
      <c r="EK192" s="38">
        <f t="shared" si="405"/>
        <v>0</v>
      </c>
      <c r="EL192" s="38">
        <f t="shared" si="406"/>
        <v>0</v>
      </c>
      <c r="EM192" s="38">
        <f t="shared" si="407"/>
        <v>0</v>
      </c>
      <c r="EN192" s="38">
        <f t="shared" si="408"/>
        <v>0</v>
      </c>
      <c r="EO192" s="38">
        <f t="shared" si="409"/>
        <v>0</v>
      </c>
      <c r="EP192" s="38">
        <f t="shared" si="410"/>
        <v>2350.8156399999998</v>
      </c>
      <c r="EQ192" s="38">
        <f t="shared" si="411"/>
        <v>883.05341183999985</v>
      </c>
      <c r="ER192" s="38">
        <f t="shared" si="412"/>
        <v>0</v>
      </c>
      <c r="ES192" s="38">
        <f t="shared" si="413"/>
        <v>0</v>
      </c>
      <c r="ET192" s="38">
        <f t="shared" si="414"/>
        <v>0</v>
      </c>
      <c r="EU192" s="38">
        <f t="shared" si="415"/>
        <v>0</v>
      </c>
      <c r="EV192" s="38">
        <f t="shared" si="416"/>
        <v>0</v>
      </c>
      <c r="EW192" s="38">
        <f t="shared" si="417"/>
        <v>0</v>
      </c>
      <c r="EX192" s="38">
        <f t="shared" si="418"/>
        <v>441.00600000000009</v>
      </c>
      <c r="EZ192" s="38">
        <f t="shared" si="419"/>
        <v>0</v>
      </c>
      <c r="FA192" s="38">
        <f t="shared" si="420"/>
        <v>0</v>
      </c>
      <c r="FB192" s="1">
        <f t="shared" si="421"/>
        <v>0</v>
      </c>
      <c r="FC192" s="1">
        <f t="shared" si="422"/>
        <v>0</v>
      </c>
      <c r="FD192" s="1">
        <f t="shared" si="423"/>
        <v>0</v>
      </c>
      <c r="FE192" s="1">
        <f t="shared" si="424"/>
        <v>0</v>
      </c>
      <c r="FF192" s="1">
        <f t="shared" si="425"/>
        <v>0</v>
      </c>
      <c r="FG192" s="1">
        <f t="shared" si="426"/>
        <v>0</v>
      </c>
      <c r="FH192" s="1">
        <f t="shared" si="427"/>
        <v>0</v>
      </c>
      <c r="FI192" s="1">
        <f t="shared" si="428"/>
        <v>0</v>
      </c>
      <c r="FJ192" s="1">
        <f t="shared" si="429"/>
        <v>0</v>
      </c>
      <c r="FK192" s="1">
        <f t="shared" si="430"/>
        <v>0</v>
      </c>
      <c r="FL192" s="1">
        <f t="shared" si="431"/>
        <v>0</v>
      </c>
      <c r="FM192" s="1">
        <f t="shared" si="432"/>
        <v>0</v>
      </c>
      <c r="FN192" s="1">
        <f t="shared" si="433"/>
        <v>0</v>
      </c>
      <c r="FO192" s="1">
        <f t="shared" si="434"/>
        <v>0</v>
      </c>
      <c r="FP192" s="1">
        <f t="shared" si="435"/>
        <v>0</v>
      </c>
      <c r="FQ192" s="1">
        <f t="shared" si="436"/>
        <v>0</v>
      </c>
      <c r="FS192" s="1">
        <f t="shared" si="437"/>
        <v>0</v>
      </c>
      <c r="FT192" s="1">
        <f t="shared" si="438"/>
        <v>0</v>
      </c>
      <c r="FU192" s="38">
        <f t="shared" si="439"/>
        <v>0</v>
      </c>
      <c r="FV192" s="38">
        <f t="shared" si="440"/>
        <v>0</v>
      </c>
      <c r="FW192" s="38">
        <f t="shared" si="441"/>
        <v>0</v>
      </c>
      <c r="FX192" s="38">
        <f t="shared" si="442"/>
        <v>0</v>
      </c>
      <c r="FY192" s="38">
        <f t="shared" si="443"/>
        <v>0</v>
      </c>
      <c r="FZ192" s="38">
        <f t="shared" si="444"/>
        <v>0</v>
      </c>
      <c r="GA192" s="38">
        <f t="shared" si="445"/>
        <v>0</v>
      </c>
      <c r="GB192" s="38">
        <f t="shared" si="446"/>
        <v>0</v>
      </c>
      <c r="GC192" s="38">
        <f t="shared" si="447"/>
        <v>0</v>
      </c>
      <c r="GD192" s="38">
        <f t="shared" si="448"/>
        <v>0</v>
      </c>
      <c r="GE192" s="38">
        <f t="shared" si="449"/>
        <v>0</v>
      </c>
      <c r="GF192" s="38">
        <f t="shared" si="450"/>
        <v>0</v>
      </c>
      <c r="GG192" s="38">
        <f t="shared" si="451"/>
        <v>0</v>
      </c>
      <c r="GH192" s="38">
        <f t="shared" si="452"/>
        <v>0</v>
      </c>
      <c r="GI192" s="38">
        <f t="shared" si="453"/>
        <v>0</v>
      </c>
      <c r="GJ192" s="38">
        <f t="shared" si="454"/>
        <v>0</v>
      </c>
      <c r="GL192" s="38">
        <f t="shared" si="455"/>
        <v>0</v>
      </c>
      <c r="GM192" s="38">
        <f t="shared" si="456"/>
        <v>0</v>
      </c>
      <c r="GN192" s="1" t="s">
        <v>2</v>
      </c>
      <c r="GO192" s="1">
        <f t="shared" si="379"/>
        <v>21</v>
      </c>
      <c r="GP192" s="13">
        <f t="shared" si="380"/>
        <v>0.8536190476190475</v>
      </c>
      <c r="GQ192" s="41">
        <f t="shared" si="381"/>
        <v>179.25999999999996</v>
      </c>
      <c r="GR192" s="41">
        <f t="shared" si="382"/>
        <v>3674.8750518400002</v>
      </c>
      <c r="GS192" s="14">
        <f t="shared" si="383"/>
        <v>174.99405008761906</v>
      </c>
      <c r="GT192" s="1">
        <f t="shared" si="457"/>
        <v>0</v>
      </c>
      <c r="GU192" s="1">
        <f t="shared" si="458"/>
        <v>21.34</v>
      </c>
      <c r="GV192" s="1">
        <f t="shared" si="459"/>
        <v>157.91999999999999</v>
      </c>
      <c r="GW192" s="37">
        <f t="shared" si="384"/>
        <v>0</v>
      </c>
      <c r="GX192" s="37"/>
      <c r="GY192" s="37"/>
      <c r="GZ192" s="37"/>
      <c r="HB192" s="1">
        <f t="shared" si="460"/>
        <v>0</v>
      </c>
      <c r="HC192" s="1">
        <f t="shared" si="461"/>
        <v>0</v>
      </c>
      <c r="HD192" s="37" t="s">
        <v>2</v>
      </c>
      <c r="HE192" s="1" t="s">
        <v>31</v>
      </c>
      <c r="HF192" s="1" t="s">
        <v>233</v>
      </c>
      <c r="HG192" s="1" t="s">
        <v>233</v>
      </c>
      <c r="HI192" s="1" t="s">
        <v>96</v>
      </c>
      <c r="HJ192" s="37" t="s">
        <v>2</v>
      </c>
      <c r="JH192" s="58" t="s">
        <v>2</v>
      </c>
    </row>
    <row r="193" spans="1:268" ht="16.25" customHeight="1" x14ac:dyDescent="0.2">
      <c r="A193" s="21" t="s">
        <v>328</v>
      </c>
      <c r="B193" s="1" t="s">
        <v>69</v>
      </c>
      <c r="E193" s="1" t="s">
        <v>72</v>
      </c>
      <c r="F193" s="1" t="s">
        <v>329</v>
      </c>
      <c r="H193" s="1" t="s">
        <v>211</v>
      </c>
      <c r="I193" s="1">
        <v>0</v>
      </c>
      <c r="AD193" s="1">
        <v>0</v>
      </c>
      <c r="AY193" s="1">
        <v>4.3099999999999996</v>
      </c>
      <c r="BG193" s="1">
        <v>1.02</v>
      </c>
      <c r="BH193" s="1">
        <v>6.3E-2</v>
      </c>
      <c r="BT193" s="1">
        <v>0</v>
      </c>
      <c r="CO193" s="1">
        <v>0</v>
      </c>
      <c r="DJ193" s="1" t="s">
        <v>96</v>
      </c>
      <c r="DK193" s="1" t="s">
        <v>96</v>
      </c>
      <c r="DL193" s="1">
        <f t="shared" si="377"/>
        <v>1.02</v>
      </c>
      <c r="DM193" s="1">
        <f t="shared" si="378"/>
        <v>6.3E-2</v>
      </c>
      <c r="DN193" s="1" t="s">
        <v>148</v>
      </c>
      <c r="DO193" s="1" t="s">
        <v>2</v>
      </c>
      <c r="DP193" s="38">
        <f t="shared" si="385"/>
        <v>0</v>
      </c>
      <c r="DQ193" s="38">
        <f t="shared" si="386"/>
        <v>0</v>
      </c>
      <c r="DR193" s="38">
        <f t="shared" si="387"/>
        <v>0</v>
      </c>
      <c r="DS193" s="38">
        <f t="shared" si="388"/>
        <v>0</v>
      </c>
      <c r="DT193" s="38">
        <f t="shared" si="389"/>
        <v>0</v>
      </c>
      <c r="DU193" s="38">
        <f t="shared" si="390"/>
        <v>0</v>
      </c>
      <c r="DV193" s="38">
        <f t="shared" si="391"/>
        <v>0</v>
      </c>
      <c r="DW193" s="38">
        <f t="shared" si="392"/>
        <v>4.3961999999999994E-2</v>
      </c>
      <c r="DX193" s="38">
        <f t="shared" si="393"/>
        <v>2.7152999999999999E-3</v>
      </c>
      <c r="DY193" s="38">
        <f t="shared" si="394"/>
        <v>0</v>
      </c>
      <c r="DZ193" s="38">
        <f t="shared" si="395"/>
        <v>0</v>
      </c>
      <c r="EA193" s="38">
        <f t="shared" si="396"/>
        <v>0</v>
      </c>
      <c r="EB193" s="38">
        <f t="shared" si="397"/>
        <v>0</v>
      </c>
      <c r="EC193" s="38">
        <f t="shared" si="398"/>
        <v>0</v>
      </c>
      <c r="ED193" s="38">
        <f t="shared" si="399"/>
        <v>0</v>
      </c>
      <c r="EE193" s="38">
        <f t="shared" si="400"/>
        <v>0</v>
      </c>
      <c r="EG193" s="38">
        <f t="shared" si="401"/>
        <v>0</v>
      </c>
      <c r="EH193" s="38">
        <f t="shared" si="402"/>
        <v>0</v>
      </c>
      <c r="EI193" s="38">
        <f t="shared" si="403"/>
        <v>0</v>
      </c>
      <c r="EJ193" s="38">
        <f t="shared" si="404"/>
        <v>0</v>
      </c>
      <c r="EK193" s="38">
        <f t="shared" si="405"/>
        <v>0</v>
      </c>
      <c r="EL193" s="38">
        <f t="shared" si="406"/>
        <v>0</v>
      </c>
      <c r="EM193" s="38">
        <f t="shared" si="407"/>
        <v>0</v>
      </c>
      <c r="EN193" s="38">
        <f t="shared" si="408"/>
        <v>0</v>
      </c>
      <c r="EO193" s="38">
        <f t="shared" si="409"/>
        <v>0</v>
      </c>
      <c r="EP193" s="38">
        <f t="shared" si="410"/>
        <v>576.51766799999996</v>
      </c>
      <c r="EQ193" s="38">
        <f t="shared" si="411"/>
        <v>197.18379351719997</v>
      </c>
      <c r="ER193" s="38">
        <f t="shared" si="412"/>
        <v>0</v>
      </c>
      <c r="ES193" s="38">
        <f t="shared" si="413"/>
        <v>0</v>
      </c>
      <c r="ET193" s="38">
        <f t="shared" si="414"/>
        <v>0</v>
      </c>
      <c r="EU193" s="38">
        <f t="shared" si="415"/>
        <v>0</v>
      </c>
      <c r="EV193" s="38">
        <f t="shared" si="416"/>
        <v>0</v>
      </c>
      <c r="EW193" s="38">
        <f t="shared" si="417"/>
        <v>0</v>
      </c>
      <c r="EX193" s="38">
        <f t="shared" si="418"/>
        <v>0</v>
      </c>
      <c r="EZ193" s="38">
        <f t="shared" si="419"/>
        <v>0</v>
      </c>
      <c r="FA193" s="38">
        <f t="shared" si="420"/>
        <v>0</v>
      </c>
      <c r="FB193" s="1">
        <f t="shared" si="421"/>
        <v>0</v>
      </c>
      <c r="FC193" s="1">
        <f t="shared" si="422"/>
        <v>0</v>
      </c>
      <c r="FD193" s="1">
        <f t="shared" si="423"/>
        <v>0</v>
      </c>
      <c r="FE193" s="1">
        <f t="shared" si="424"/>
        <v>0</v>
      </c>
      <c r="FF193" s="1">
        <f t="shared" si="425"/>
        <v>0</v>
      </c>
      <c r="FG193" s="1">
        <f t="shared" si="426"/>
        <v>0</v>
      </c>
      <c r="FH193" s="1">
        <f t="shared" si="427"/>
        <v>0</v>
      </c>
      <c r="FI193" s="1">
        <f t="shared" si="428"/>
        <v>0</v>
      </c>
      <c r="FJ193" s="1">
        <f t="shared" si="429"/>
        <v>0</v>
      </c>
      <c r="FK193" s="1">
        <f t="shared" si="430"/>
        <v>0</v>
      </c>
      <c r="FL193" s="1">
        <f t="shared" si="431"/>
        <v>0</v>
      </c>
      <c r="FM193" s="1">
        <f t="shared" si="432"/>
        <v>0</v>
      </c>
      <c r="FN193" s="1">
        <f t="shared" si="433"/>
        <v>0</v>
      </c>
      <c r="FO193" s="1">
        <f t="shared" si="434"/>
        <v>0</v>
      </c>
      <c r="FP193" s="1">
        <f t="shared" si="435"/>
        <v>0</v>
      </c>
      <c r="FQ193" s="1">
        <f t="shared" si="436"/>
        <v>0</v>
      </c>
      <c r="FS193" s="1">
        <f t="shared" si="437"/>
        <v>0</v>
      </c>
      <c r="FT193" s="1">
        <f t="shared" si="438"/>
        <v>0</v>
      </c>
      <c r="FU193" s="38">
        <f t="shared" si="439"/>
        <v>0</v>
      </c>
      <c r="FV193" s="38">
        <f t="shared" si="440"/>
        <v>0</v>
      </c>
      <c r="FW193" s="38">
        <f t="shared" si="441"/>
        <v>0</v>
      </c>
      <c r="FX193" s="38">
        <f t="shared" si="442"/>
        <v>0</v>
      </c>
      <c r="FY193" s="38">
        <f t="shared" si="443"/>
        <v>0</v>
      </c>
      <c r="FZ193" s="38">
        <f t="shared" si="444"/>
        <v>0</v>
      </c>
      <c r="GA193" s="38">
        <f t="shared" si="445"/>
        <v>0</v>
      </c>
      <c r="GB193" s="38">
        <f t="shared" si="446"/>
        <v>0</v>
      </c>
      <c r="GC193" s="38">
        <f t="shared" si="447"/>
        <v>0</v>
      </c>
      <c r="GD193" s="38">
        <f t="shared" si="448"/>
        <v>0</v>
      </c>
      <c r="GE193" s="38">
        <f t="shared" si="449"/>
        <v>0</v>
      </c>
      <c r="GF193" s="38">
        <f t="shared" si="450"/>
        <v>0</v>
      </c>
      <c r="GG193" s="38">
        <f t="shared" si="451"/>
        <v>0</v>
      </c>
      <c r="GH193" s="38">
        <f t="shared" si="452"/>
        <v>0</v>
      </c>
      <c r="GI193" s="38">
        <f t="shared" si="453"/>
        <v>0</v>
      </c>
      <c r="GJ193" s="38">
        <f t="shared" si="454"/>
        <v>0</v>
      </c>
      <c r="GL193" s="38">
        <f t="shared" si="455"/>
        <v>0</v>
      </c>
      <c r="GM193" s="38">
        <f t="shared" si="456"/>
        <v>0</v>
      </c>
      <c r="GN193" s="1" t="s">
        <v>2</v>
      </c>
      <c r="GO193" s="1">
        <f t="shared" si="379"/>
        <v>4.3099999999999996</v>
      </c>
      <c r="GP193" s="1">
        <f t="shared" si="380"/>
        <v>1.02</v>
      </c>
      <c r="GQ193" s="41">
        <f t="shared" si="381"/>
        <v>43.961999999999996</v>
      </c>
      <c r="GR193" s="41">
        <f t="shared" si="382"/>
        <v>773.70146151719996</v>
      </c>
      <c r="GS193" s="14">
        <f t="shared" si="383"/>
        <v>179.51310012000002</v>
      </c>
      <c r="GT193" s="1">
        <f t="shared" si="457"/>
        <v>0</v>
      </c>
      <c r="GU193" s="1">
        <f t="shared" si="458"/>
        <v>0</v>
      </c>
      <c r="GV193" s="1">
        <f t="shared" si="459"/>
        <v>43.961999999999996</v>
      </c>
      <c r="GW193" s="37">
        <f t="shared" si="384"/>
        <v>0</v>
      </c>
      <c r="GX193" s="37"/>
      <c r="GY193" s="37"/>
      <c r="GZ193" s="37"/>
      <c r="HB193" s="1">
        <f t="shared" si="460"/>
        <v>0</v>
      </c>
      <c r="HC193" s="1">
        <f t="shared" si="461"/>
        <v>0</v>
      </c>
      <c r="HD193" s="37" t="s">
        <v>2</v>
      </c>
      <c r="HE193" s="1" t="s">
        <v>31</v>
      </c>
      <c r="HF193" s="1" t="s">
        <v>233</v>
      </c>
      <c r="HG193" s="1" t="s">
        <v>233</v>
      </c>
      <c r="HI193" s="1" t="s">
        <v>96</v>
      </c>
      <c r="HJ193" s="37" t="s">
        <v>2</v>
      </c>
      <c r="JH193" s="58" t="s">
        <v>2</v>
      </c>
    </row>
    <row r="194" spans="1:268" ht="16.25" customHeight="1" x14ac:dyDescent="0.2">
      <c r="A194" s="21" t="s">
        <v>232</v>
      </c>
      <c r="B194" s="1" t="s">
        <v>69</v>
      </c>
      <c r="E194" s="1" t="s">
        <v>72</v>
      </c>
      <c r="F194" s="1" t="s">
        <v>172</v>
      </c>
      <c r="H194" s="1" t="s">
        <v>204</v>
      </c>
      <c r="I194" s="1">
        <v>0</v>
      </c>
      <c r="AD194" s="1">
        <v>0</v>
      </c>
      <c r="AY194" s="1">
        <v>53.6</v>
      </c>
      <c r="BG194" s="13">
        <v>0.6</v>
      </c>
      <c r="BH194" s="1">
        <v>0.04</v>
      </c>
      <c r="BT194" s="1">
        <v>0</v>
      </c>
      <c r="CO194" s="1">
        <v>0</v>
      </c>
      <c r="DJ194" s="1" t="s">
        <v>96</v>
      </c>
      <c r="DK194" s="1" t="s">
        <v>96</v>
      </c>
      <c r="DL194" s="1">
        <f t="shared" si="377"/>
        <v>0.59999999999999987</v>
      </c>
      <c r="DM194" s="1">
        <f t="shared" si="378"/>
        <v>0.04</v>
      </c>
      <c r="DN194" s="1" t="s">
        <v>67</v>
      </c>
      <c r="DO194" s="1" t="s">
        <v>2</v>
      </c>
      <c r="DP194" s="38">
        <f t="shared" si="385"/>
        <v>0</v>
      </c>
      <c r="DQ194" s="38">
        <f t="shared" si="386"/>
        <v>0</v>
      </c>
      <c r="DR194" s="38">
        <f t="shared" si="387"/>
        <v>0</v>
      </c>
      <c r="DS194" s="38">
        <f t="shared" si="388"/>
        <v>0</v>
      </c>
      <c r="DT194" s="38">
        <f t="shared" si="389"/>
        <v>0</v>
      </c>
      <c r="DU194" s="38">
        <f t="shared" si="390"/>
        <v>0</v>
      </c>
      <c r="DV194" s="38">
        <f t="shared" si="391"/>
        <v>0</v>
      </c>
      <c r="DW194" s="38">
        <f t="shared" si="392"/>
        <v>0.32159999999999994</v>
      </c>
      <c r="DX194" s="38">
        <f t="shared" si="393"/>
        <v>2.1440000000000001E-2</v>
      </c>
      <c r="DY194" s="38">
        <f t="shared" si="394"/>
        <v>0</v>
      </c>
      <c r="DZ194" s="38">
        <f t="shared" si="395"/>
        <v>0</v>
      </c>
      <c r="EA194" s="38">
        <f t="shared" si="396"/>
        <v>0</v>
      </c>
      <c r="EB194" s="38">
        <f t="shared" si="397"/>
        <v>0</v>
      </c>
      <c r="EC194" s="38">
        <f t="shared" si="398"/>
        <v>0</v>
      </c>
      <c r="ED194" s="38">
        <f t="shared" si="399"/>
        <v>0</v>
      </c>
      <c r="EE194" s="38">
        <f t="shared" si="400"/>
        <v>0</v>
      </c>
      <c r="EG194" s="38">
        <f t="shared" si="401"/>
        <v>0</v>
      </c>
      <c r="EH194" s="38">
        <f t="shared" si="402"/>
        <v>0</v>
      </c>
      <c r="EI194" s="38">
        <f t="shared" si="403"/>
        <v>0</v>
      </c>
      <c r="EJ194" s="38">
        <f t="shared" si="404"/>
        <v>0</v>
      </c>
      <c r="EK194" s="38">
        <f t="shared" si="405"/>
        <v>0</v>
      </c>
      <c r="EL194" s="38">
        <f t="shared" si="406"/>
        <v>0</v>
      </c>
      <c r="EM194" s="38">
        <f t="shared" si="407"/>
        <v>0</v>
      </c>
      <c r="EN194" s="38">
        <f t="shared" si="408"/>
        <v>0</v>
      </c>
      <c r="EO194" s="38">
        <f t="shared" si="409"/>
        <v>0</v>
      </c>
      <c r="EP194" s="38">
        <f t="shared" si="410"/>
        <v>4217.4623999999994</v>
      </c>
      <c r="EQ194" s="38">
        <f t="shared" si="411"/>
        <v>1556.9625945599998</v>
      </c>
      <c r="ER194" s="38">
        <f t="shared" si="412"/>
        <v>0</v>
      </c>
      <c r="ES194" s="38">
        <f t="shared" si="413"/>
        <v>0</v>
      </c>
      <c r="ET194" s="38">
        <f t="shared" si="414"/>
        <v>0</v>
      </c>
      <c r="EU194" s="38">
        <f t="shared" si="415"/>
        <v>0</v>
      </c>
      <c r="EV194" s="38">
        <f t="shared" si="416"/>
        <v>0</v>
      </c>
      <c r="EW194" s="38">
        <f t="shared" si="417"/>
        <v>0</v>
      </c>
      <c r="EX194" s="38">
        <f t="shared" si="418"/>
        <v>0</v>
      </c>
      <c r="EZ194" s="38">
        <f t="shared" si="419"/>
        <v>0</v>
      </c>
      <c r="FA194" s="38">
        <f t="shared" si="420"/>
        <v>0</v>
      </c>
      <c r="FB194" s="1">
        <f t="shared" si="421"/>
        <v>0</v>
      </c>
      <c r="FC194" s="1">
        <f t="shared" si="422"/>
        <v>0</v>
      </c>
      <c r="FD194" s="1">
        <f t="shared" si="423"/>
        <v>0</v>
      </c>
      <c r="FE194" s="1">
        <f t="shared" si="424"/>
        <v>0</v>
      </c>
      <c r="FF194" s="1">
        <f t="shared" si="425"/>
        <v>0</v>
      </c>
      <c r="FG194" s="1">
        <f t="shared" si="426"/>
        <v>0</v>
      </c>
      <c r="FH194" s="1">
        <f t="shared" si="427"/>
        <v>0</v>
      </c>
      <c r="FI194" s="1">
        <f t="shared" si="428"/>
        <v>0</v>
      </c>
      <c r="FJ194" s="1">
        <f t="shared" si="429"/>
        <v>0</v>
      </c>
      <c r="FK194" s="1">
        <f t="shared" si="430"/>
        <v>0</v>
      </c>
      <c r="FL194" s="1">
        <f t="shared" si="431"/>
        <v>0</v>
      </c>
      <c r="FM194" s="1">
        <f t="shared" si="432"/>
        <v>0</v>
      </c>
      <c r="FN194" s="1">
        <f t="shared" si="433"/>
        <v>0</v>
      </c>
      <c r="FO194" s="1">
        <f t="shared" si="434"/>
        <v>0</v>
      </c>
      <c r="FP194" s="1">
        <f t="shared" si="435"/>
        <v>0</v>
      </c>
      <c r="FQ194" s="1">
        <f t="shared" si="436"/>
        <v>0</v>
      </c>
      <c r="FS194" s="1">
        <f t="shared" si="437"/>
        <v>0</v>
      </c>
      <c r="FT194" s="1">
        <f t="shared" si="438"/>
        <v>0</v>
      </c>
      <c r="FU194" s="38">
        <f t="shared" si="439"/>
        <v>0</v>
      </c>
      <c r="FV194" s="38">
        <f t="shared" si="440"/>
        <v>0</v>
      </c>
      <c r="FW194" s="38">
        <f t="shared" si="441"/>
        <v>0</v>
      </c>
      <c r="FX194" s="38">
        <f t="shared" si="442"/>
        <v>0</v>
      </c>
      <c r="FY194" s="38">
        <f t="shared" si="443"/>
        <v>0</v>
      </c>
      <c r="FZ194" s="38">
        <f t="shared" si="444"/>
        <v>0</v>
      </c>
      <c r="GA194" s="38">
        <f t="shared" si="445"/>
        <v>0</v>
      </c>
      <c r="GB194" s="38">
        <f t="shared" si="446"/>
        <v>0</v>
      </c>
      <c r="GC194" s="38">
        <f t="shared" si="447"/>
        <v>0</v>
      </c>
      <c r="GD194" s="38">
        <f t="shared" si="448"/>
        <v>0</v>
      </c>
      <c r="GE194" s="38">
        <f t="shared" si="449"/>
        <v>0</v>
      </c>
      <c r="GF194" s="38">
        <f t="shared" si="450"/>
        <v>0</v>
      </c>
      <c r="GG194" s="38">
        <f t="shared" si="451"/>
        <v>0</v>
      </c>
      <c r="GH194" s="38">
        <f t="shared" si="452"/>
        <v>0</v>
      </c>
      <c r="GI194" s="38">
        <f t="shared" si="453"/>
        <v>0</v>
      </c>
      <c r="GJ194" s="38">
        <f t="shared" si="454"/>
        <v>0</v>
      </c>
      <c r="GL194" s="38">
        <f t="shared" si="455"/>
        <v>0</v>
      </c>
      <c r="GM194" s="38">
        <f t="shared" si="456"/>
        <v>0</v>
      </c>
      <c r="GN194" s="1" t="s">
        <v>2</v>
      </c>
      <c r="GO194" s="1">
        <f t="shared" si="379"/>
        <v>53.6</v>
      </c>
      <c r="GP194" s="1">
        <f t="shared" si="380"/>
        <v>0.59999999999999987</v>
      </c>
      <c r="GQ194" s="41">
        <f t="shared" si="381"/>
        <v>321.59999999999991</v>
      </c>
      <c r="GR194" s="41">
        <f t="shared" si="382"/>
        <v>5774.4249945599995</v>
      </c>
      <c r="GS194" s="14">
        <f t="shared" si="383"/>
        <v>107.73180959999999</v>
      </c>
      <c r="GT194" s="1">
        <f t="shared" si="457"/>
        <v>0</v>
      </c>
      <c r="GU194" s="1">
        <f t="shared" si="458"/>
        <v>0</v>
      </c>
      <c r="GV194" s="1">
        <f t="shared" si="459"/>
        <v>321.59999999999997</v>
      </c>
      <c r="GW194" s="37">
        <f t="shared" si="384"/>
        <v>0</v>
      </c>
      <c r="GX194" s="37"/>
      <c r="GY194" s="37"/>
      <c r="GZ194" s="37"/>
      <c r="HB194" s="1">
        <f t="shared" si="460"/>
        <v>0</v>
      </c>
      <c r="HC194" s="1">
        <f t="shared" si="461"/>
        <v>0</v>
      </c>
      <c r="HD194" s="37" t="s">
        <v>2</v>
      </c>
      <c r="HE194" s="1" t="s">
        <v>31</v>
      </c>
      <c r="HF194" s="1" t="s">
        <v>233</v>
      </c>
      <c r="HG194" s="1" t="s">
        <v>205</v>
      </c>
      <c r="HI194" s="1" t="s">
        <v>96</v>
      </c>
      <c r="HJ194" s="37" t="s">
        <v>2</v>
      </c>
      <c r="JH194" s="58" t="s">
        <v>2</v>
      </c>
    </row>
    <row r="195" spans="1:268" ht="16.25" customHeight="1" x14ac:dyDescent="0.2">
      <c r="A195" s="21" t="s">
        <v>237</v>
      </c>
      <c r="B195" s="1" t="s">
        <v>69</v>
      </c>
      <c r="E195" s="1" t="s">
        <v>72</v>
      </c>
      <c r="F195" s="1" t="s">
        <v>172</v>
      </c>
      <c r="H195" s="1" t="s">
        <v>204</v>
      </c>
      <c r="I195" s="1">
        <v>0</v>
      </c>
      <c r="AD195" s="1">
        <v>0</v>
      </c>
      <c r="AY195" s="1">
        <v>96.5</v>
      </c>
      <c r="BG195" s="1">
        <v>0.65</v>
      </c>
      <c r="BH195" s="1">
        <v>0.03</v>
      </c>
      <c r="BT195" s="1">
        <v>0</v>
      </c>
      <c r="CO195" s="1">
        <v>0</v>
      </c>
      <c r="DJ195" s="1" t="s">
        <v>96</v>
      </c>
      <c r="DK195" s="1" t="s">
        <v>96</v>
      </c>
      <c r="DL195" s="1">
        <f t="shared" si="377"/>
        <v>0.65</v>
      </c>
      <c r="DM195" s="1">
        <f t="shared" si="378"/>
        <v>0.03</v>
      </c>
      <c r="DN195" s="1" t="s">
        <v>67</v>
      </c>
      <c r="DO195" s="1" t="s">
        <v>2</v>
      </c>
      <c r="DP195" s="38">
        <f t="shared" si="385"/>
        <v>0</v>
      </c>
      <c r="DQ195" s="38">
        <f t="shared" si="386"/>
        <v>0</v>
      </c>
      <c r="DR195" s="38">
        <f t="shared" si="387"/>
        <v>0</v>
      </c>
      <c r="DS195" s="38">
        <f t="shared" si="388"/>
        <v>0</v>
      </c>
      <c r="DT195" s="38">
        <f t="shared" si="389"/>
        <v>0</v>
      </c>
      <c r="DU195" s="38">
        <f t="shared" si="390"/>
        <v>0</v>
      </c>
      <c r="DV195" s="38">
        <f t="shared" si="391"/>
        <v>0</v>
      </c>
      <c r="DW195" s="38">
        <f t="shared" si="392"/>
        <v>0.62724999999999997</v>
      </c>
      <c r="DX195" s="38">
        <f t="shared" si="393"/>
        <v>2.895E-2</v>
      </c>
      <c r="DY195" s="38">
        <f t="shared" si="394"/>
        <v>0</v>
      </c>
      <c r="DZ195" s="38">
        <f t="shared" si="395"/>
        <v>0</v>
      </c>
      <c r="EA195" s="38">
        <f t="shared" si="396"/>
        <v>0</v>
      </c>
      <c r="EB195" s="38">
        <f t="shared" si="397"/>
        <v>0</v>
      </c>
      <c r="EC195" s="38">
        <f t="shared" si="398"/>
        <v>0</v>
      </c>
      <c r="ED195" s="38">
        <f t="shared" si="399"/>
        <v>0</v>
      </c>
      <c r="EE195" s="38">
        <f t="shared" si="400"/>
        <v>0</v>
      </c>
      <c r="EG195" s="38">
        <f t="shared" si="401"/>
        <v>0</v>
      </c>
      <c r="EH195" s="38">
        <f t="shared" si="402"/>
        <v>0</v>
      </c>
      <c r="EI195" s="38">
        <f t="shared" si="403"/>
        <v>0</v>
      </c>
      <c r="EJ195" s="38">
        <f t="shared" si="404"/>
        <v>0</v>
      </c>
      <c r="EK195" s="38">
        <f t="shared" si="405"/>
        <v>0</v>
      </c>
      <c r="EL195" s="38">
        <f t="shared" si="406"/>
        <v>0</v>
      </c>
      <c r="EM195" s="38">
        <f t="shared" si="407"/>
        <v>0</v>
      </c>
      <c r="EN195" s="38">
        <f t="shared" si="408"/>
        <v>0</v>
      </c>
      <c r="EO195" s="38">
        <f t="shared" si="409"/>
        <v>0</v>
      </c>
      <c r="EP195" s="38">
        <f t="shared" si="410"/>
        <v>8225.7564999999995</v>
      </c>
      <c r="EQ195" s="38">
        <f t="shared" si="411"/>
        <v>2102.3352197999998</v>
      </c>
      <c r="ER195" s="38">
        <f t="shared" si="412"/>
        <v>0</v>
      </c>
      <c r="ES195" s="38">
        <f t="shared" si="413"/>
        <v>0</v>
      </c>
      <c r="ET195" s="38">
        <f t="shared" si="414"/>
        <v>0</v>
      </c>
      <c r="EU195" s="38">
        <f t="shared" si="415"/>
        <v>0</v>
      </c>
      <c r="EV195" s="38">
        <f t="shared" si="416"/>
        <v>0</v>
      </c>
      <c r="EW195" s="38">
        <f t="shared" si="417"/>
        <v>0</v>
      </c>
      <c r="EX195" s="38">
        <f t="shared" si="418"/>
        <v>0</v>
      </c>
      <c r="EZ195" s="38">
        <f t="shared" si="419"/>
        <v>0</v>
      </c>
      <c r="FA195" s="38">
        <f t="shared" si="420"/>
        <v>0</v>
      </c>
      <c r="FB195" s="1">
        <f t="shared" si="421"/>
        <v>0</v>
      </c>
      <c r="FC195" s="1">
        <f t="shared" si="422"/>
        <v>0</v>
      </c>
      <c r="FD195" s="1">
        <f t="shared" si="423"/>
        <v>0</v>
      </c>
      <c r="FE195" s="1">
        <f t="shared" si="424"/>
        <v>0</v>
      </c>
      <c r="FF195" s="1">
        <f t="shared" si="425"/>
        <v>0</v>
      </c>
      <c r="FG195" s="1">
        <f t="shared" si="426"/>
        <v>0</v>
      </c>
      <c r="FH195" s="1">
        <f t="shared" si="427"/>
        <v>0</v>
      </c>
      <c r="FI195" s="1">
        <f t="shared" si="428"/>
        <v>0</v>
      </c>
      <c r="FJ195" s="1">
        <f t="shared" si="429"/>
        <v>0</v>
      </c>
      <c r="FK195" s="1">
        <f t="shared" si="430"/>
        <v>0</v>
      </c>
      <c r="FL195" s="1">
        <f t="shared" si="431"/>
        <v>0</v>
      </c>
      <c r="FM195" s="1">
        <f t="shared" si="432"/>
        <v>0</v>
      </c>
      <c r="FN195" s="1">
        <f t="shared" si="433"/>
        <v>0</v>
      </c>
      <c r="FO195" s="1">
        <f t="shared" si="434"/>
        <v>0</v>
      </c>
      <c r="FP195" s="1">
        <f t="shared" si="435"/>
        <v>0</v>
      </c>
      <c r="FQ195" s="1">
        <f t="shared" si="436"/>
        <v>0</v>
      </c>
      <c r="FS195" s="1">
        <f t="shared" si="437"/>
        <v>0</v>
      </c>
      <c r="FT195" s="1">
        <f t="shared" si="438"/>
        <v>0</v>
      </c>
      <c r="FU195" s="38">
        <f t="shared" si="439"/>
        <v>0</v>
      </c>
      <c r="FV195" s="38">
        <f t="shared" si="440"/>
        <v>0</v>
      </c>
      <c r="FW195" s="38">
        <f t="shared" si="441"/>
        <v>0</v>
      </c>
      <c r="FX195" s="38">
        <f t="shared" si="442"/>
        <v>0</v>
      </c>
      <c r="FY195" s="38">
        <f t="shared" si="443"/>
        <v>0</v>
      </c>
      <c r="FZ195" s="38">
        <f t="shared" si="444"/>
        <v>0</v>
      </c>
      <c r="GA195" s="38">
        <f t="shared" si="445"/>
        <v>0</v>
      </c>
      <c r="GB195" s="38">
        <f t="shared" si="446"/>
        <v>0</v>
      </c>
      <c r="GC195" s="38">
        <f t="shared" si="447"/>
        <v>0</v>
      </c>
      <c r="GD195" s="38">
        <f t="shared" si="448"/>
        <v>0</v>
      </c>
      <c r="GE195" s="38">
        <f t="shared" si="449"/>
        <v>0</v>
      </c>
      <c r="GF195" s="38">
        <f t="shared" si="450"/>
        <v>0</v>
      </c>
      <c r="GG195" s="38">
        <f t="shared" si="451"/>
        <v>0</v>
      </c>
      <c r="GH195" s="38">
        <f t="shared" si="452"/>
        <v>0</v>
      </c>
      <c r="GI195" s="38">
        <f t="shared" si="453"/>
        <v>0</v>
      </c>
      <c r="GJ195" s="38">
        <f t="shared" si="454"/>
        <v>0</v>
      </c>
      <c r="GL195" s="38">
        <f t="shared" si="455"/>
        <v>0</v>
      </c>
      <c r="GM195" s="38">
        <f t="shared" si="456"/>
        <v>0</v>
      </c>
      <c r="GN195" s="1" t="s">
        <v>2</v>
      </c>
      <c r="GO195" s="1">
        <f t="shared" si="379"/>
        <v>96.5</v>
      </c>
      <c r="GP195" s="1">
        <f t="shared" si="380"/>
        <v>0.65</v>
      </c>
      <c r="GQ195" s="41">
        <f t="shared" si="381"/>
        <v>627.25</v>
      </c>
      <c r="GR195" s="41">
        <f t="shared" si="382"/>
        <v>10328.091719799999</v>
      </c>
      <c r="GS195" s="14">
        <f t="shared" si="383"/>
        <v>107.02685719999999</v>
      </c>
      <c r="GT195" s="1">
        <f t="shared" si="457"/>
        <v>0</v>
      </c>
      <c r="GU195" s="1">
        <f t="shared" si="458"/>
        <v>0</v>
      </c>
      <c r="GV195" s="1">
        <f t="shared" si="459"/>
        <v>627.25</v>
      </c>
      <c r="GW195" s="37">
        <f t="shared" si="384"/>
        <v>0</v>
      </c>
      <c r="GX195" s="37"/>
      <c r="GY195" s="37"/>
      <c r="GZ195" s="37"/>
      <c r="HB195" s="1">
        <f t="shared" si="460"/>
        <v>0</v>
      </c>
      <c r="HC195" s="1">
        <f t="shared" si="461"/>
        <v>0</v>
      </c>
      <c r="HD195" s="37" t="s">
        <v>2</v>
      </c>
      <c r="HE195" s="1" t="s">
        <v>31</v>
      </c>
      <c r="HF195" s="1" t="s">
        <v>233</v>
      </c>
      <c r="HG195" s="1" t="s">
        <v>205</v>
      </c>
      <c r="HI195" s="1" t="s">
        <v>96</v>
      </c>
      <c r="HJ195" s="37" t="s">
        <v>2</v>
      </c>
      <c r="JH195" s="58" t="s">
        <v>2</v>
      </c>
    </row>
    <row r="196" spans="1:268" ht="16.25" customHeight="1" x14ac:dyDescent="0.2">
      <c r="A196" s="21" t="s">
        <v>238</v>
      </c>
      <c r="B196" s="1" t="s">
        <v>69</v>
      </c>
      <c r="E196" s="1" t="s">
        <v>72</v>
      </c>
      <c r="F196" s="1" t="s">
        <v>172</v>
      </c>
      <c r="H196" s="1" t="s">
        <v>204</v>
      </c>
      <c r="I196" s="1">
        <v>0</v>
      </c>
      <c r="AD196" s="14">
        <v>10</v>
      </c>
      <c r="AL196" s="1">
        <v>0.64</v>
      </c>
      <c r="AM196" s="1">
        <v>0.05</v>
      </c>
      <c r="AY196" s="1">
        <v>53.3</v>
      </c>
      <c r="BG196" s="1">
        <v>0.65</v>
      </c>
      <c r="BH196" s="1">
        <v>0.04</v>
      </c>
      <c r="BT196" s="1">
        <v>0</v>
      </c>
      <c r="CO196" s="1">
        <v>0</v>
      </c>
      <c r="DJ196" s="1" t="s">
        <v>96</v>
      </c>
      <c r="DK196" s="1" t="s">
        <v>96</v>
      </c>
      <c r="DL196" s="1">
        <f t="shared" si="377"/>
        <v>0.6484202211690363</v>
      </c>
      <c r="DM196" s="1">
        <f t="shared" si="378"/>
        <v>4.1579778830963671E-2</v>
      </c>
      <c r="DN196" s="1" t="s">
        <v>67</v>
      </c>
      <c r="DO196" s="1" t="s">
        <v>2</v>
      </c>
      <c r="DP196" s="38">
        <f t="shared" si="385"/>
        <v>0</v>
      </c>
      <c r="DQ196" s="38">
        <f t="shared" si="386"/>
        <v>0</v>
      </c>
      <c r="DR196" s="38">
        <f t="shared" si="387"/>
        <v>0</v>
      </c>
      <c r="DS196" s="38">
        <f t="shared" si="388"/>
        <v>0</v>
      </c>
      <c r="DT196" s="38">
        <f t="shared" si="389"/>
        <v>0</v>
      </c>
      <c r="DU196" s="38">
        <f t="shared" si="390"/>
        <v>0</v>
      </c>
      <c r="DV196" s="38">
        <f t="shared" si="391"/>
        <v>0</v>
      </c>
      <c r="DW196" s="38">
        <f t="shared" si="392"/>
        <v>0.41044999999999993</v>
      </c>
      <c r="DX196" s="38">
        <f t="shared" si="393"/>
        <v>2.632E-2</v>
      </c>
      <c r="DY196" s="38">
        <f t="shared" si="394"/>
        <v>0</v>
      </c>
      <c r="DZ196" s="38">
        <f t="shared" si="395"/>
        <v>0</v>
      </c>
      <c r="EA196" s="38">
        <f t="shared" si="396"/>
        <v>0</v>
      </c>
      <c r="EB196" s="38">
        <f t="shared" si="397"/>
        <v>0</v>
      </c>
      <c r="EC196" s="38">
        <f t="shared" si="398"/>
        <v>0</v>
      </c>
      <c r="ED196" s="38">
        <f t="shared" si="399"/>
        <v>0</v>
      </c>
      <c r="EE196" s="38">
        <f t="shared" si="400"/>
        <v>0</v>
      </c>
      <c r="EG196" s="38">
        <f t="shared" si="401"/>
        <v>0</v>
      </c>
      <c r="EH196" s="38">
        <f t="shared" si="402"/>
        <v>0</v>
      </c>
      <c r="EI196" s="38">
        <f t="shared" si="403"/>
        <v>0</v>
      </c>
      <c r="EJ196" s="38">
        <f t="shared" si="404"/>
        <v>0</v>
      </c>
      <c r="EK196" s="38">
        <f t="shared" si="405"/>
        <v>0</v>
      </c>
      <c r="EL196" s="38">
        <f t="shared" si="406"/>
        <v>0</v>
      </c>
      <c r="EM196" s="38">
        <f t="shared" si="407"/>
        <v>0</v>
      </c>
      <c r="EN196" s="38">
        <f t="shared" si="408"/>
        <v>0</v>
      </c>
      <c r="EO196" s="38">
        <f t="shared" si="409"/>
        <v>0</v>
      </c>
      <c r="EP196" s="38">
        <f t="shared" si="410"/>
        <v>5382.6412999999993</v>
      </c>
      <c r="EQ196" s="38">
        <f t="shared" si="411"/>
        <v>1911.3458716799996</v>
      </c>
      <c r="ER196" s="38">
        <f t="shared" si="412"/>
        <v>0</v>
      </c>
      <c r="ES196" s="38">
        <f t="shared" si="413"/>
        <v>0</v>
      </c>
      <c r="ET196" s="38">
        <f t="shared" si="414"/>
        <v>0</v>
      </c>
      <c r="EU196" s="38">
        <f t="shared" si="415"/>
        <v>0</v>
      </c>
      <c r="EV196" s="38">
        <f t="shared" si="416"/>
        <v>0</v>
      </c>
      <c r="EW196" s="38">
        <f t="shared" si="417"/>
        <v>0</v>
      </c>
      <c r="EX196" s="38">
        <f t="shared" si="418"/>
        <v>0</v>
      </c>
      <c r="EZ196" s="38">
        <f t="shared" si="419"/>
        <v>0</v>
      </c>
      <c r="FA196" s="38">
        <f t="shared" si="420"/>
        <v>0</v>
      </c>
      <c r="FB196" s="1">
        <f t="shared" si="421"/>
        <v>0</v>
      </c>
      <c r="FC196" s="1">
        <f t="shared" si="422"/>
        <v>0</v>
      </c>
      <c r="FD196" s="1">
        <f t="shared" si="423"/>
        <v>0</v>
      </c>
      <c r="FE196" s="1">
        <f t="shared" si="424"/>
        <v>0</v>
      </c>
      <c r="FF196" s="1">
        <f t="shared" si="425"/>
        <v>0</v>
      </c>
      <c r="FG196" s="1">
        <f t="shared" si="426"/>
        <v>0</v>
      </c>
      <c r="FH196" s="1">
        <f t="shared" si="427"/>
        <v>0</v>
      </c>
      <c r="FI196" s="1">
        <f t="shared" si="428"/>
        <v>0</v>
      </c>
      <c r="FJ196" s="1">
        <f t="shared" si="429"/>
        <v>0</v>
      </c>
      <c r="FK196" s="1">
        <f t="shared" si="430"/>
        <v>0</v>
      </c>
      <c r="FL196" s="1">
        <f t="shared" si="431"/>
        <v>0</v>
      </c>
      <c r="FM196" s="1">
        <f t="shared" si="432"/>
        <v>0</v>
      </c>
      <c r="FN196" s="1">
        <f t="shared" si="433"/>
        <v>0</v>
      </c>
      <c r="FO196" s="1">
        <f t="shared" si="434"/>
        <v>0</v>
      </c>
      <c r="FP196" s="1">
        <f t="shared" si="435"/>
        <v>0</v>
      </c>
      <c r="FQ196" s="1">
        <f t="shared" si="436"/>
        <v>0</v>
      </c>
      <c r="FS196" s="1">
        <f t="shared" si="437"/>
        <v>0</v>
      </c>
      <c r="FT196" s="1">
        <f t="shared" si="438"/>
        <v>0</v>
      </c>
      <c r="FU196" s="38">
        <f t="shared" si="439"/>
        <v>0</v>
      </c>
      <c r="FV196" s="38">
        <f t="shared" si="440"/>
        <v>0</v>
      </c>
      <c r="FW196" s="38">
        <f t="shared" si="441"/>
        <v>0</v>
      </c>
      <c r="FX196" s="38">
        <f t="shared" si="442"/>
        <v>0</v>
      </c>
      <c r="FY196" s="38">
        <f t="shared" si="443"/>
        <v>0</v>
      </c>
      <c r="FZ196" s="38">
        <f t="shared" si="444"/>
        <v>0</v>
      </c>
      <c r="GA196" s="38">
        <f t="shared" si="445"/>
        <v>0</v>
      </c>
      <c r="GB196" s="38">
        <f t="shared" si="446"/>
        <v>0</v>
      </c>
      <c r="GC196" s="38">
        <f t="shared" si="447"/>
        <v>0</v>
      </c>
      <c r="GD196" s="38">
        <f t="shared" si="448"/>
        <v>0</v>
      </c>
      <c r="GE196" s="38">
        <f t="shared" si="449"/>
        <v>0</v>
      </c>
      <c r="GF196" s="38">
        <f t="shared" si="450"/>
        <v>0</v>
      </c>
      <c r="GG196" s="38">
        <f t="shared" si="451"/>
        <v>0</v>
      </c>
      <c r="GH196" s="38">
        <f t="shared" si="452"/>
        <v>0</v>
      </c>
      <c r="GI196" s="38">
        <f t="shared" si="453"/>
        <v>0</v>
      </c>
      <c r="GJ196" s="38">
        <f t="shared" si="454"/>
        <v>0</v>
      </c>
      <c r="GL196" s="38">
        <f t="shared" si="455"/>
        <v>0</v>
      </c>
      <c r="GM196" s="38">
        <f t="shared" si="456"/>
        <v>0</v>
      </c>
      <c r="GN196" s="1" t="s">
        <v>2</v>
      </c>
      <c r="GO196" s="1">
        <f t="shared" si="379"/>
        <v>63.3</v>
      </c>
      <c r="GP196" s="13">
        <f t="shared" si="380"/>
        <v>0.6484202211690363</v>
      </c>
      <c r="GQ196" s="41">
        <f t="shared" si="381"/>
        <v>410.45</v>
      </c>
      <c r="GR196" s="41">
        <f t="shared" si="382"/>
        <v>7293.9871716799989</v>
      </c>
      <c r="GS196" s="14">
        <f t="shared" si="383"/>
        <v>115.22886527140599</v>
      </c>
      <c r="GT196" s="1">
        <f t="shared" si="457"/>
        <v>0</v>
      </c>
      <c r="GU196" s="1">
        <f t="shared" si="458"/>
        <v>64</v>
      </c>
      <c r="GV196" s="1">
        <f t="shared" si="459"/>
        <v>346.44999999999993</v>
      </c>
      <c r="GW196" s="37">
        <f t="shared" si="384"/>
        <v>0</v>
      </c>
      <c r="GX196" s="37"/>
      <c r="GY196" s="37"/>
      <c r="GZ196" s="37"/>
      <c r="HB196" s="1">
        <f t="shared" si="460"/>
        <v>0</v>
      </c>
      <c r="HC196" s="1">
        <f t="shared" si="461"/>
        <v>0</v>
      </c>
      <c r="HD196" s="37" t="s">
        <v>2</v>
      </c>
      <c r="HE196" s="1" t="s">
        <v>31</v>
      </c>
      <c r="HF196" s="1" t="s">
        <v>233</v>
      </c>
      <c r="HG196" s="1" t="s">
        <v>205</v>
      </c>
      <c r="HI196" s="1" t="s">
        <v>96</v>
      </c>
      <c r="HJ196" s="37" t="s">
        <v>2</v>
      </c>
      <c r="JH196" s="58" t="s">
        <v>2</v>
      </c>
    </row>
    <row r="197" spans="1:268" ht="16.25" customHeight="1" x14ac:dyDescent="0.2">
      <c r="A197" s="21" t="s">
        <v>239</v>
      </c>
      <c r="B197" s="1" t="s">
        <v>69</v>
      </c>
      <c r="E197" s="1" t="s">
        <v>72</v>
      </c>
      <c r="F197" s="1" t="s">
        <v>172</v>
      </c>
      <c r="H197" s="1" t="s">
        <v>204</v>
      </c>
      <c r="I197" s="1">
        <v>0</v>
      </c>
      <c r="AD197" s="1">
        <v>0</v>
      </c>
      <c r="AY197" s="1">
        <v>20.100000000000001</v>
      </c>
      <c r="BG197" s="1">
        <v>0.75</v>
      </c>
      <c r="BH197" s="13">
        <v>0.10299999999999999</v>
      </c>
      <c r="BI197" s="1">
        <v>0.09</v>
      </c>
      <c r="BJ197" s="1">
        <v>0.13</v>
      </c>
      <c r="BQ197" s="1">
        <v>33.4</v>
      </c>
      <c r="BT197" s="1">
        <v>0</v>
      </c>
      <c r="CO197" s="1">
        <v>0</v>
      </c>
      <c r="DJ197" s="1" t="s">
        <v>96</v>
      </c>
      <c r="DK197" s="1" t="s">
        <v>96</v>
      </c>
      <c r="DL197" s="1">
        <f t="shared" ref="DL197:DL260" si="462">(Q197*I197+AL197*AD197+BG197*AY197)/(I197+AD197+AY197)</f>
        <v>0.75</v>
      </c>
      <c r="DM197" s="1">
        <f t="shared" ref="DM197:DM260" si="463">(R197*I197+AM197*AD197+BH197*AY197)/(I197+AD197+AY197)</f>
        <v>0.10299999999999999</v>
      </c>
      <c r="DN197" s="1" t="s">
        <v>67</v>
      </c>
      <c r="DO197" s="1" t="s">
        <v>2</v>
      </c>
      <c r="DP197" s="38">
        <f t="shared" si="385"/>
        <v>0</v>
      </c>
      <c r="DQ197" s="38">
        <f t="shared" si="386"/>
        <v>0</v>
      </c>
      <c r="DR197" s="38">
        <f t="shared" si="387"/>
        <v>0</v>
      </c>
      <c r="DS197" s="38">
        <f t="shared" si="388"/>
        <v>0</v>
      </c>
      <c r="DT197" s="38">
        <f t="shared" si="389"/>
        <v>0</v>
      </c>
      <c r="DU197" s="38">
        <f t="shared" si="390"/>
        <v>0</v>
      </c>
      <c r="DV197" s="38">
        <f t="shared" si="391"/>
        <v>0</v>
      </c>
      <c r="DW197" s="38">
        <f t="shared" si="392"/>
        <v>0.15075000000000002</v>
      </c>
      <c r="DX197" s="38">
        <f t="shared" si="393"/>
        <v>2.0702999999999999E-2</v>
      </c>
      <c r="DY197" s="38">
        <f t="shared" si="394"/>
        <v>1.8090000000000002</v>
      </c>
      <c r="DZ197" s="38">
        <f t="shared" si="395"/>
        <v>2.6130000000000004</v>
      </c>
      <c r="EA197" s="38">
        <f t="shared" si="396"/>
        <v>0</v>
      </c>
      <c r="EB197" s="38">
        <f t="shared" si="397"/>
        <v>0</v>
      </c>
      <c r="EC197" s="38">
        <f t="shared" si="398"/>
        <v>0</v>
      </c>
      <c r="ED197" s="38">
        <f t="shared" si="399"/>
        <v>0</v>
      </c>
      <c r="EE197" s="38">
        <f t="shared" si="400"/>
        <v>0</v>
      </c>
      <c r="EG197" s="38">
        <f t="shared" si="401"/>
        <v>671.34</v>
      </c>
      <c r="EH197" s="38">
        <f t="shared" si="402"/>
        <v>0</v>
      </c>
      <c r="EI197" s="38">
        <f t="shared" si="403"/>
        <v>0</v>
      </c>
      <c r="EJ197" s="38">
        <f t="shared" si="404"/>
        <v>0</v>
      </c>
      <c r="EK197" s="38">
        <f t="shared" si="405"/>
        <v>0</v>
      </c>
      <c r="EL197" s="38">
        <f t="shared" si="406"/>
        <v>0</v>
      </c>
      <c r="EM197" s="38">
        <f t="shared" si="407"/>
        <v>0</v>
      </c>
      <c r="EN197" s="38">
        <f t="shared" si="408"/>
        <v>0</v>
      </c>
      <c r="EO197" s="38">
        <f t="shared" si="409"/>
        <v>0</v>
      </c>
      <c r="EP197" s="38">
        <f t="shared" si="410"/>
        <v>1976.9355000000003</v>
      </c>
      <c r="EQ197" s="38">
        <f t="shared" si="411"/>
        <v>1503.4420053719998</v>
      </c>
      <c r="ER197" s="38">
        <f t="shared" si="412"/>
        <v>51.341863022508029</v>
      </c>
      <c r="ES197" s="38">
        <f t="shared" si="413"/>
        <v>87.080115434083623</v>
      </c>
      <c r="ET197" s="38">
        <f t="shared" si="414"/>
        <v>0</v>
      </c>
      <c r="EU197" s="38">
        <f t="shared" si="415"/>
        <v>0</v>
      </c>
      <c r="EV197" s="38">
        <f t="shared" si="416"/>
        <v>0</v>
      </c>
      <c r="EW197" s="38">
        <f t="shared" si="417"/>
        <v>0</v>
      </c>
      <c r="EX197" s="38">
        <f t="shared" si="418"/>
        <v>0</v>
      </c>
      <c r="EZ197" s="38">
        <f t="shared" si="419"/>
        <v>241.6824</v>
      </c>
      <c r="FA197" s="38">
        <f t="shared" si="420"/>
        <v>0</v>
      </c>
      <c r="FB197" s="1">
        <f t="shared" si="421"/>
        <v>0</v>
      </c>
      <c r="FC197" s="1">
        <f t="shared" si="422"/>
        <v>0</v>
      </c>
      <c r="FD197" s="1">
        <f t="shared" si="423"/>
        <v>0</v>
      </c>
      <c r="FE197" s="1">
        <f t="shared" si="424"/>
        <v>0</v>
      </c>
      <c r="FF197" s="1">
        <f t="shared" si="425"/>
        <v>0</v>
      </c>
      <c r="FG197" s="1">
        <f t="shared" si="426"/>
        <v>0</v>
      </c>
      <c r="FH197" s="1">
        <f t="shared" si="427"/>
        <v>0</v>
      </c>
      <c r="FI197" s="1">
        <f t="shared" si="428"/>
        <v>0</v>
      </c>
      <c r="FJ197" s="1">
        <f t="shared" si="429"/>
        <v>0</v>
      </c>
      <c r="FK197" s="1">
        <f t="shared" si="430"/>
        <v>0</v>
      </c>
      <c r="FL197" s="1">
        <f t="shared" si="431"/>
        <v>0</v>
      </c>
      <c r="FM197" s="1">
        <f t="shared" si="432"/>
        <v>0</v>
      </c>
      <c r="FN197" s="1">
        <f t="shared" si="433"/>
        <v>0</v>
      </c>
      <c r="FO197" s="1">
        <f t="shared" si="434"/>
        <v>0</v>
      </c>
      <c r="FP197" s="1">
        <f t="shared" si="435"/>
        <v>0</v>
      </c>
      <c r="FQ197" s="1">
        <f t="shared" si="436"/>
        <v>0</v>
      </c>
      <c r="FS197" s="1">
        <f t="shared" si="437"/>
        <v>0</v>
      </c>
      <c r="FT197" s="1">
        <f t="shared" si="438"/>
        <v>0</v>
      </c>
      <c r="FU197" s="38">
        <f t="shared" si="439"/>
        <v>0</v>
      </c>
      <c r="FV197" s="38">
        <f t="shared" si="440"/>
        <v>0</v>
      </c>
      <c r="FW197" s="38">
        <f t="shared" si="441"/>
        <v>0</v>
      </c>
      <c r="FX197" s="38">
        <f t="shared" si="442"/>
        <v>0</v>
      </c>
      <c r="FY197" s="38">
        <f t="shared" si="443"/>
        <v>0</v>
      </c>
      <c r="FZ197" s="38">
        <f t="shared" si="444"/>
        <v>0</v>
      </c>
      <c r="GA197" s="38">
        <f t="shared" si="445"/>
        <v>0</v>
      </c>
      <c r="GB197" s="38">
        <f t="shared" si="446"/>
        <v>0</v>
      </c>
      <c r="GC197" s="38">
        <f t="shared" si="447"/>
        <v>0</v>
      </c>
      <c r="GD197" s="38">
        <f t="shared" si="448"/>
        <v>0</v>
      </c>
      <c r="GE197" s="38">
        <f t="shared" si="449"/>
        <v>0</v>
      </c>
      <c r="GF197" s="38">
        <f t="shared" si="450"/>
        <v>0</v>
      </c>
      <c r="GG197" s="38">
        <f t="shared" si="451"/>
        <v>0</v>
      </c>
      <c r="GH197" s="38">
        <f t="shared" si="452"/>
        <v>0</v>
      </c>
      <c r="GI197" s="38">
        <f t="shared" si="453"/>
        <v>0</v>
      </c>
      <c r="GJ197" s="38">
        <f t="shared" si="454"/>
        <v>0</v>
      </c>
      <c r="GL197" s="38">
        <f t="shared" si="455"/>
        <v>0</v>
      </c>
      <c r="GM197" s="38">
        <f t="shared" si="456"/>
        <v>0</v>
      </c>
      <c r="GN197" s="1" t="s">
        <v>2</v>
      </c>
      <c r="GO197" s="1">
        <f t="shared" ref="GO197:GO260" si="464">I197+AD197+AY197</f>
        <v>20.100000000000001</v>
      </c>
      <c r="GP197" s="1">
        <f t="shared" ref="GP197:GP260" si="465">(I197*Q197+AD197*AL197+AY197*BG197)/GO197</f>
        <v>0.75</v>
      </c>
      <c r="GQ197" s="41">
        <f t="shared" ref="GQ197:GQ260" si="466">1000*GO197*GP197/100</f>
        <v>150.75</v>
      </c>
      <c r="GR197" s="41">
        <f t="shared" ref="GR197:GR260" si="467">SUM(EI197:FA197)</f>
        <v>3860.4818838285919</v>
      </c>
      <c r="GS197" s="14">
        <f t="shared" ref="GS197:GS260" si="468">GR197/GO197</f>
        <v>192.06377531485529</v>
      </c>
      <c r="GT197" s="1">
        <f t="shared" si="457"/>
        <v>0</v>
      </c>
      <c r="GU197" s="1">
        <f t="shared" si="458"/>
        <v>0</v>
      </c>
      <c r="GV197" s="1">
        <f t="shared" si="459"/>
        <v>150.75000000000003</v>
      </c>
      <c r="GW197" s="37">
        <f t="shared" ref="GW197:GW260" si="469">BT197+CO197</f>
        <v>0</v>
      </c>
      <c r="GX197" s="37"/>
      <c r="GY197" s="37"/>
      <c r="GZ197" s="37"/>
      <c r="HB197" s="1">
        <f t="shared" si="460"/>
        <v>0</v>
      </c>
      <c r="HC197" s="1">
        <f t="shared" si="461"/>
        <v>0</v>
      </c>
      <c r="HD197" s="37" t="s">
        <v>2</v>
      </c>
      <c r="HE197" s="1" t="s">
        <v>31</v>
      </c>
      <c r="HF197" s="1" t="s">
        <v>233</v>
      </c>
      <c r="HG197" s="1" t="s">
        <v>205</v>
      </c>
      <c r="HI197" s="1" t="s">
        <v>96</v>
      </c>
      <c r="HJ197" s="37" t="s">
        <v>2</v>
      </c>
      <c r="JH197" s="58" t="s">
        <v>2</v>
      </c>
    </row>
    <row r="198" spans="1:268" ht="16.25" customHeight="1" x14ac:dyDescent="0.2">
      <c r="A198" s="21" t="s">
        <v>240</v>
      </c>
      <c r="B198" s="1" t="s">
        <v>69</v>
      </c>
      <c r="E198" s="1" t="s">
        <v>72</v>
      </c>
      <c r="F198" s="1" t="s">
        <v>172</v>
      </c>
      <c r="H198" s="1" t="s">
        <v>204</v>
      </c>
      <c r="I198" s="1">
        <v>0</v>
      </c>
      <c r="AD198" s="1">
        <v>0</v>
      </c>
      <c r="AY198" s="1">
        <v>47.3</v>
      </c>
      <c r="BG198" s="1">
        <v>0.66</v>
      </c>
      <c r="BH198" s="1">
        <v>0.04</v>
      </c>
      <c r="BT198" s="1">
        <v>0</v>
      </c>
      <c r="CO198" s="1">
        <v>0</v>
      </c>
      <c r="DJ198" s="1" t="s">
        <v>96</v>
      </c>
      <c r="DK198" s="1" t="s">
        <v>96</v>
      </c>
      <c r="DL198" s="1">
        <f t="shared" si="462"/>
        <v>0.66</v>
      </c>
      <c r="DM198" s="1">
        <f t="shared" si="463"/>
        <v>0.04</v>
      </c>
      <c r="DN198" s="1" t="s">
        <v>67</v>
      </c>
      <c r="DO198" s="1" t="s">
        <v>2</v>
      </c>
      <c r="DP198" s="38">
        <f t="shared" si="385"/>
        <v>0</v>
      </c>
      <c r="DQ198" s="38">
        <f t="shared" si="386"/>
        <v>0</v>
      </c>
      <c r="DR198" s="38">
        <f t="shared" si="387"/>
        <v>0</v>
      </c>
      <c r="DS198" s="38">
        <f t="shared" si="388"/>
        <v>0</v>
      </c>
      <c r="DT198" s="38">
        <f t="shared" si="389"/>
        <v>0</v>
      </c>
      <c r="DU198" s="38">
        <f t="shared" si="390"/>
        <v>0</v>
      </c>
      <c r="DV198" s="38">
        <f t="shared" si="391"/>
        <v>0</v>
      </c>
      <c r="DW198" s="38">
        <f t="shared" si="392"/>
        <v>0.31218000000000001</v>
      </c>
      <c r="DX198" s="38">
        <f t="shared" si="393"/>
        <v>1.8919999999999999E-2</v>
      </c>
      <c r="DY198" s="38">
        <f t="shared" si="394"/>
        <v>0</v>
      </c>
      <c r="DZ198" s="38">
        <f t="shared" si="395"/>
        <v>0</v>
      </c>
      <c r="EA198" s="38">
        <f t="shared" si="396"/>
        <v>0</v>
      </c>
      <c r="EB198" s="38">
        <f t="shared" si="397"/>
        <v>0</v>
      </c>
      <c r="EC198" s="38">
        <f t="shared" si="398"/>
        <v>0</v>
      </c>
      <c r="ED198" s="38">
        <f t="shared" si="399"/>
        <v>0</v>
      </c>
      <c r="EE198" s="38">
        <f t="shared" si="400"/>
        <v>0</v>
      </c>
      <c r="EG198" s="38">
        <f t="shared" si="401"/>
        <v>0</v>
      </c>
      <c r="EH198" s="38">
        <f t="shared" si="402"/>
        <v>0</v>
      </c>
      <c r="EI198" s="38">
        <f t="shared" si="403"/>
        <v>0</v>
      </c>
      <c r="EJ198" s="38">
        <f t="shared" si="404"/>
        <v>0</v>
      </c>
      <c r="EK198" s="38">
        <f t="shared" si="405"/>
        <v>0</v>
      </c>
      <c r="EL198" s="38">
        <f t="shared" si="406"/>
        <v>0</v>
      </c>
      <c r="EM198" s="38">
        <f t="shared" si="407"/>
        <v>0</v>
      </c>
      <c r="EN198" s="38">
        <f t="shared" si="408"/>
        <v>0</v>
      </c>
      <c r="EO198" s="38">
        <f t="shared" si="409"/>
        <v>0</v>
      </c>
      <c r="EP198" s="38">
        <f t="shared" si="410"/>
        <v>4093.9285200000004</v>
      </c>
      <c r="EQ198" s="38">
        <f t="shared" si="411"/>
        <v>1373.9613940799998</v>
      </c>
      <c r="ER198" s="38">
        <f t="shared" si="412"/>
        <v>0</v>
      </c>
      <c r="ES198" s="38">
        <f t="shared" si="413"/>
        <v>0</v>
      </c>
      <c r="ET198" s="38">
        <f t="shared" si="414"/>
        <v>0</v>
      </c>
      <c r="EU198" s="38">
        <f t="shared" si="415"/>
        <v>0</v>
      </c>
      <c r="EV198" s="38">
        <f t="shared" si="416"/>
        <v>0</v>
      </c>
      <c r="EW198" s="38">
        <f t="shared" si="417"/>
        <v>0</v>
      </c>
      <c r="EX198" s="38">
        <f t="shared" si="418"/>
        <v>0</v>
      </c>
      <c r="EZ198" s="38">
        <f t="shared" si="419"/>
        <v>0</v>
      </c>
      <c r="FA198" s="38">
        <f t="shared" si="420"/>
        <v>0</v>
      </c>
      <c r="FB198" s="1">
        <f t="shared" si="421"/>
        <v>0</v>
      </c>
      <c r="FC198" s="1">
        <f t="shared" si="422"/>
        <v>0</v>
      </c>
      <c r="FD198" s="1">
        <f t="shared" si="423"/>
        <v>0</v>
      </c>
      <c r="FE198" s="1">
        <f t="shared" si="424"/>
        <v>0</v>
      </c>
      <c r="FF198" s="1">
        <f t="shared" si="425"/>
        <v>0</v>
      </c>
      <c r="FG198" s="1">
        <f t="shared" si="426"/>
        <v>0</v>
      </c>
      <c r="FH198" s="1">
        <f t="shared" si="427"/>
        <v>0</v>
      </c>
      <c r="FI198" s="1">
        <f t="shared" si="428"/>
        <v>0</v>
      </c>
      <c r="FJ198" s="1">
        <f t="shared" si="429"/>
        <v>0</v>
      </c>
      <c r="FK198" s="1">
        <f t="shared" si="430"/>
        <v>0</v>
      </c>
      <c r="FL198" s="1">
        <f t="shared" si="431"/>
        <v>0</v>
      </c>
      <c r="FM198" s="1">
        <f t="shared" si="432"/>
        <v>0</v>
      </c>
      <c r="FN198" s="1">
        <f t="shared" si="433"/>
        <v>0</v>
      </c>
      <c r="FO198" s="1">
        <f t="shared" si="434"/>
        <v>0</v>
      </c>
      <c r="FP198" s="1">
        <f t="shared" si="435"/>
        <v>0</v>
      </c>
      <c r="FQ198" s="1">
        <f t="shared" si="436"/>
        <v>0</v>
      </c>
      <c r="FS198" s="1">
        <f t="shared" si="437"/>
        <v>0</v>
      </c>
      <c r="FT198" s="1">
        <f t="shared" si="438"/>
        <v>0</v>
      </c>
      <c r="FU198" s="38">
        <f t="shared" si="439"/>
        <v>0</v>
      </c>
      <c r="FV198" s="38">
        <f t="shared" si="440"/>
        <v>0</v>
      </c>
      <c r="FW198" s="38">
        <f t="shared" si="441"/>
        <v>0</v>
      </c>
      <c r="FX198" s="38">
        <f t="shared" si="442"/>
        <v>0</v>
      </c>
      <c r="FY198" s="38">
        <f t="shared" si="443"/>
        <v>0</v>
      </c>
      <c r="FZ198" s="38">
        <f t="shared" si="444"/>
        <v>0</v>
      </c>
      <c r="GA198" s="38">
        <f t="shared" si="445"/>
        <v>0</v>
      </c>
      <c r="GB198" s="38">
        <f t="shared" si="446"/>
        <v>0</v>
      </c>
      <c r="GC198" s="38">
        <f t="shared" si="447"/>
        <v>0</v>
      </c>
      <c r="GD198" s="38">
        <f t="shared" si="448"/>
        <v>0</v>
      </c>
      <c r="GE198" s="38">
        <f t="shared" si="449"/>
        <v>0</v>
      </c>
      <c r="GF198" s="38">
        <f t="shared" si="450"/>
        <v>0</v>
      </c>
      <c r="GG198" s="38">
        <f t="shared" si="451"/>
        <v>0</v>
      </c>
      <c r="GH198" s="38">
        <f t="shared" si="452"/>
        <v>0</v>
      </c>
      <c r="GI198" s="38">
        <f t="shared" si="453"/>
        <v>0</v>
      </c>
      <c r="GJ198" s="38">
        <f t="shared" si="454"/>
        <v>0</v>
      </c>
      <c r="GL198" s="38">
        <f t="shared" si="455"/>
        <v>0</v>
      </c>
      <c r="GM198" s="38">
        <f t="shared" si="456"/>
        <v>0</v>
      </c>
      <c r="GN198" s="1" t="s">
        <v>2</v>
      </c>
      <c r="GO198" s="1">
        <f t="shared" si="464"/>
        <v>47.3</v>
      </c>
      <c r="GP198" s="1">
        <f t="shared" si="465"/>
        <v>0.66</v>
      </c>
      <c r="GQ198" s="41">
        <f t="shared" si="466"/>
        <v>312.18</v>
      </c>
      <c r="GR198" s="41">
        <f t="shared" si="467"/>
        <v>5467.8899140800004</v>
      </c>
      <c r="GS198" s="14">
        <f t="shared" si="468"/>
        <v>115.60020960000001</v>
      </c>
      <c r="GT198" s="1">
        <f t="shared" si="457"/>
        <v>0</v>
      </c>
      <c r="GU198" s="1">
        <f t="shared" si="458"/>
        <v>0</v>
      </c>
      <c r="GV198" s="1">
        <f t="shared" si="459"/>
        <v>312.18</v>
      </c>
      <c r="GW198" s="37">
        <f t="shared" si="469"/>
        <v>0</v>
      </c>
      <c r="GX198" s="37"/>
      <c r="GY198" s="37"/>
      <c r="GZ198" s="37"/>
      <c r="HB198" s="1">
        <f t="shared" si="460"/>
        <v>0</v>
      </c>
      <c r="HC198" s="1">
        <f t="shared" si="461"/>
        <v>0</v>
      </c>
      <c r="HD198" s="37" t="s">
        <v>2</v>
      </c>
      <c r="HE198" s="1" t="s">
        <v>31</v>
      </c>
      <c r="HF198" s="1" t="s">
        <v>233</v>
      </c>
      <c r="HG198" s="1" t="s">
        <v>205</v>
      </c>
      <c r="HI198" s="1" t="s">
        <v>96</v>
      </c>
      <c r="HJ198" s="37" t="s">
        <v>2</v>
      </c>
      <c r="JH198" s="58" t="s">
        <v>2</v>
      </c>
    </row>
    <row r="199" spans="1:268" ht="16.25" customHeight="1" x14ac:dyDescent="0.2">
      <c r="A199" s="21" t="s">
        <v>277</v>
      </c>
      <c r="B199" s="1" t="s">
        <v>69</v>
      </c>
      <c r="E199" s="1" t="s">
        <v>72</v>
      </c>
      <c r="F199" s="1" t="s">
        <v>278</v>
      </c>
      <c r="H199" s="1" t="s">
        <v>211</v>
      </c>
      <c r="I199" s="1">
        <v>0</v>
      </c>
      <c r="AD199" s="1">
        <v>0</v>
      </c>
      <c r="AY199" s="1">
        <v>53.6</v>
      </c>
      <c r="BG199" s="1">
        <v>0.66</v>
      </c>
      <c r="BH199" s="1">
        <v>0.05</v>
      </c>
      <c r="BK199" s="11"/>
      <c r="BL199" s="11"/>
      <c r="BM199" s="11"/>
      <c r="BQ199" s="11">
        <v>50</v>
      </c>
      <c r="BT199" s="1">
        <v>0</v>
      </c>
      <c r="CO199" s="1">
        <v>0</v>
      </c>
      <c r="DJ199" s="1" t="s">
        <v>96</v>
      </c>
      <c r="DK199" s="1" t="s">
        <v>96</v>
      </c>
      <c r="DL199" s="1">
        <f t="shared" si="462"/>
        <v>0.66</v>
      </c>
      <c r="DM199" s="1">
        <f t="shared" si="463"/>
        <v>0.05</v>
      </c>
      <c r="DN199" s="1" t="s">
        <v>279</v>
      </c>
      <c r="DO199" s="1" t="s">
        <v>2</v>
      </c>
      <c r="DP199" s="38">
        <f t="shared" si="385"/>
        <v>0</v>
      </c>
      <c r="DQ199" s="38">
        <f t="shared" si="386"/>
        <v>0</v>
      </c>
      <c r="DR199" s="38">
        <f t="shared" si="387"/>
        <v>0</v>
      </c>
      <c r="DS199" s="38">
        <f t="shared" si="388"/>
        <v>0</v>
      </c>
      <c r="DT199" s="38">
        <f t="shared" si="389"/>
        <v>0</v>
      </c>
      <c r="DU199" s="38">
        <f t="shared" si="390"/>
        <v>0</v>
      </c>
      <c r="DV199" s="38">
        <f t="shared" si="391"/>
        <v>0</v>
      </c>
      <c r="DW199" s="38">
        <f t="shared" si="392"/>
        <v>0.35376000000000007</v>
      </c>
      <c r="DX199" s="38">
        <f t="shared" si="393"/>
        <v>2.6800000000000001E-2</v>
      </c>
      <c r="DY199" s="38">
        <f t="shared" si="394"/>
        <v>0</v>
      </c>
      <c r="DZ199" s="38">
        <f t="shared" si="395"/>
        <v>0</v>
      </c>
      <c r="EA199" s="38">
        <f t="shared" si="396"/>
        <v>0</v>
      </c>
      <c r="EB199" s="38">
        <f t="shared" si="397"/>
        <v>0</v>
      </c>
      <c r="EC199" s="38">
        <f t="shared" si="398"/>
        <v>0</v>
      </c>
      <c r="ED199" s="38">
        <f t="shared" si="399"/>
        <v>0</v>
      </c>
      <c r="EE199" s="38">
        <f t="shared" si="400"/>
        <v>0</v>
      </c>
      <c r="EG199" s="38">
        <f t="shared" si="401"/>
        <v>2680</v>
      </c>
      <c r="EH199" s="38">
        <f t="shared" si="402"/>
        <v>0</v>
      </c>
      <c r="EI199" s="38">
        <f t="shared" si="403"/>
        <v>0</v>
      </c>
      <c r="EJ199" s="38">
        <f t="shared" si="404"/>
        <v>0</v>
      </c>
      <c r="EK199" s="38">
        <f t="shared" si="405"/>
        <v>0</v>
      </c>
      <c r="EL199" s="38">
        <f t="shared" si="406"/>
        <v>0</v>
      </c>
      <c r="EM199" s="38">
        <f t="shared" si="407"/>
        <v>0</v>
      </c>
      <c r="EN199" s="38">
        <f t="shared" si="408"/>
        <v>0</v>
      </c>
      <c r="EO199" s="38">
        <f t="shared" si="409"/>
        <v>0</v>
      </c>
      <c r="EP199" s="38">
        <f t="shared" si="410"/>
        <v>4639.2086400000007</v>
      </c>
      <c r="EQ199" s="38">
        <f t="shared" si="411"/>
        <v>1946.2032431999999</v>
      </c>
      <c r="ER199" s="38">
        <f t="shared" si="412"/>
        <v>0</v>
      </c>
      <c r="ES199" s="38">
        <f t="shared" si="413"/>
        <v>0</v>
      </c>
      <c r="ET199" s="38">
        <f t="shared" si="414"/>
        <v>0</v>
      </c>
      <c r="EU199" s="38">
        <f t="shared" si="415"/>
        <v>0</v>
      </c>
      <c r="EV199" s="38">
        <f t="shared" si="416"/>
        <v>0</v>
      </c>
      <c r="EW199" s="38">
        <f t="shared" si="417"/>
        <v>0</v>
      </c>
      <c r="EX199" s="38">
        <f t="shared" si="418"/>
        <v>0</v>
      </c>
      <c r="EZ199" s="38">
        <f t="shared" si="419"/>
        <v>964.8</v>
      </c>
      <c r="FA199" s="38">
        <f t="shared" si="420"/>
        <v>0</v>
      </c>
      <c r="FB199" s="1">
        <f t="shared" si="421"/>
        <v>0</v>
      </c>
      <c r="FC199" s="1">
        <f t="shared" si="422"/>
        <v>0</v>
      </c>
      <c r="FD199" s="1">
        <f t="shared" si="423"/>
        <v>0</v>
      </c>
      <c r="FE199" s="1">
        <f t="shared" si="424"/>
        <v>0</v>
      </c>
      <c r="FF199" s="1">
        <f t="shared" si="425"/>
        <v>0</v>
      </c>
      <c r="FG199" s="1">
        <f t="shared" si="426"/>
        <v>0</v>
      </c>
      <c r="FH199" s="1">
        <f t="shared" si="427"/>
        <v>0</v>
      </c>
      <c r="FI199" s="1">
        <f t="shared" si="428"/>
        <v>0</v>
      </c>
      <c r="FJ199" s="1">
        <f t="shared" si="429"/>
        <v>0</v>
      </c>
      <c r="FK199" s="1">
        <f t="shared" si="430"/>
        <v>0</v>
      </c>
      <c r="FL199" s="1">
        <f t="shared" si="431"/>
        <v>0</v>
      </c>
      <c r="FM199" s="1">
        <f t="shared" si="432"/>
        <v>0</v>
      </c>
      <c r="FN199" s="1">
        <f t="shared" si="433"/>
        <v>0</v>
      </c>
      <c r="FO199" s="1">
        <f t="shared" si="434"/>
        <v>0</v>
      </c>
      <c r="FP199" s="1">
        <f t="shared" si="435"/>
        <v>0</v>
      </c>
      <c r="FQ199" s="1">
        <f t="shared" si="436"/>
        <v>0</v>
      </c>
      <c r="FS199" s="1">
        <f t="shared" si="437"/>
        <v>0</v>
      </c>
      <c r="FT199" s="1">
        <f t="shared" si="438"/>
        <v>0</v>
      </c>
      <c r="FU199" s="38">
        <f t="shared" si="439"/>
        <v>0</v>
      </c>
      <c r="FV199" s="38">
        <f t="shared" si="440"/>
        <v>0</v>
      </c>
      <c r="FW199" s="38">
        <f t="shared" si="441"/>
        <v>0</v>
      </c>
      <c r="FX199" s="38">
        <f t="shared" si="442"/>
        <v>0</v>
      </c>
      <c r="FY199" s="38">
        <f t="shared" si="443"/>
        <v>0</v>
      </c>
      <c r="FZ199" s="38">
        <f t="shared" si="444"/>
        <v>0</v>
      </c>
      <c r="GA199" s="38">
        <f t="shared" si="445"/>
        <v>0</v>
      </c>
      <c r="GB199" s="38">
        <f t="shared" si="446"/>
        <v>0</v>
      </c>
      <c r="GC199" s="38">
        <f t="shared" si="447"/>
        <v>0</v>
      </c>
      <c r="GD199" s="38">
        <f t="shared" si="448"/>
        <v>0</v>
      </c>
      <c r="GE199" s="38">
        <f t="shared" si="449"/>
        <v>0</v>
      </c>
      <c r="GF199" s="38">
        <f t="shared" si="450"/>
        <v>0</v>
      </c>
      <c r="GG199" s="38">
        <f t="shared" si="451"/>
        <v>0</v>
      </c>
      <c r="GH199" s="38">
        <f t="shared" si="452"/>
        <v>0</v>
      </c>
      <c r="GI199" s="38">
        <f t="shared" si="453"/>
        <v>0</v>
      </c>
      <c r="GJ199" s="38">
        <f t="shared" si="454"/>
        <v>0</v>
      </c>
      <c r="GL199" s="38">
        <f t="shared" si="455"/>
        <v>0</v>
      </c>
      <c r="GM199" s="38">
        <f t="shared" si="456"/>
        <v>0</v>
      </c>
      <c r="GN199" s="1" t="s">
        <v>2</v>
      </c>
      <c r="GO199" s="1">
        <f t="shared" si="464"/>
        <v>53.6</v>
      </c>
      <c r="GP199" s="1">
        <f t="shared" si="465"/>
        <v>0.66</v>
      </c>
      <c r="GQ199" s="41">
        <f t="shared" si="466"/>
        <v>353.76</v>
      </c>
      <c r="GR199" s="41">
        <f t="shared" si="467"/>
        <v>7550.2118832000006</v>
      </c>
      <c r="GS199" s="14">
        <f t="shared" si="468"/>
        <v>140.86216200000001</v>
      </c>
      <c r="GT199" s="1">
        <f t="shared" si="457"/>
        <v>0</v>
      </c>
      <c r="GU199" s="1">
        <f t="shared" si="458"/>
        <v>0</v>
      </c>
      <c r="GV199" s="1">
        <f t="shared" si="459"/>
        <v>353.76000000000005</v>
      </c>
      <c r="GW199" s="37">
        <f t="shared" si="469"/>
        <v>0</v>
      </c>
      <c r="GX199" s="37"/>
      <c r="GY199" s="37"/>
      <c r="GZ199" s="37"/>
      <c r="HB199" s="1">
        <f t="shared" si="460"/>
        <v>0</v>
      </c>
      <c r="HC199" s="1">
        <f t="shared" si="461"/>
        <v>0</v>
      </c>
      <c r="HD199" s="37" t="s">
        <v>2</v>
      </c>
      <c r="HE199" s="1" t="s">
        <v>31</v>
      </c>
      <c r="HF199" s="1" t="s">
        <v>280</v>
      </c>
      <c r="HI199" s="1" t="s">
        <v>96</v>
      </c>
      <c r="HJ199" s="37" t="s">
        <v>2</v>
      </c>
      <c r="JH199" s="58" t="s">
        <v>2</v>
      </c>
    </row>
    <row r="200" spans="1:268" ht="16.25" customHeight="1" x14ac:dyDescent="0.2">
      <c r="A200" s="21" t="s">
        <v>281</v>
      </c>
      <c r="B200" s="1" t="s">
        <v>69</v>
      </c>
      <c r="E200" s="1" t="s">
        <v>72</v>
      </c>
      <c r="F200" s="1" t="s">
        <v>278</v>
      </c>
      <c r="H200" s="1" t="s">
        <v>211</v>
      </c>
      <c r="I200" s="1">
        <v>0</v>
      </c>
      <c r="AD200" s="1">
        <v>0</v>
      </c>
      <c r="AY200" s="1">
        <v>114.3</v>
      </c>
      <c r="BG200" s="1">
        <v>0.56000000000000005</v>
      </c>
      <c r="BH200" s="1">
        <v>0.06</v>
      </c>
      <c r="BK200" s="11"/>
      <c r="BL200" s="11"/>
      <c r="BM200" s="11"/>
      <c r="BQ200" s="11">
        <v>50</v>
      </c>
      <c r="BT200" s="1">
        <v>0</v>
      </c>
      <c r="CO200" s="1">
        <v>0</v>
      </c>
      <c r="DJ200" s="1" t="s">
        <v>96</v>
      </c>
      <c r="DK200" s="1" t="s">
        <v>96</v>
      </c>
      <c r="DL200" s="1">
        <f t="shared" si="462"/>
        <v>0.56000000000000005</v>
      </c>
      <c r="DM200" s="1">
        <f t="shared" si="463"/>
        <v>0.06</v>
      </c>
      <c r="DN200" s="1" t="s">
        <v>279</v>
      </c>
      <c r="DO200" s="1" t="s">
        <v>2</v>
      </c>
      <c r="DP200" s="38">
        <f t="shared" si="385"/>
        <v>0</v>
      </c>
      <c r="DQ200" s="38">
        <f t="shared" si="386"/>
        <v>0</v>
      </c>
      <c r="DR200" s="38">
        <f t="shared" si="387"/>
        <v>0</v>
      </c>
      <c r="DS200" s="38">
        <f t="shared" si="388"/>
        <v>0</v>
      </c>
      <c r="DT200" s="38">
        <f t="shared" si="389"/>
        <v>0</v>
      </c>
      <c r="DU200" s="38">
        <f t="shared" si="390"/>
        <v>0</v>
      </c>
      <c r="DV200" s="38">
        <f t="shared" si="391"/>
        <v>0</v>
      </c>
      <c r="DW200" s="38">
        <f t="shared" si="392"/>
        <v>0.64008000000000009</v>
      </c>
      <c r="DX200" s="38">
        <f t="shared" si="393"/>
        <v>6.8580000000000002E-2</v>
      </c>
      <c r="DY200" s="38">
        <f t="shared" si="394"/>
        <v>0</v>
      </c>
      <c r="DZ200" s="38">
        <f t="shared" si="395"/>
        <v>0</v>
      </c>
      <c r="EA200" s="38">
        <f t="shared" si="396"/>
        <v>0</v>
      </c>
      <c r="EB200" s="38">
        <f t="shared" si="397"/>
        <v>0</v>
      </c>
      <c r="EC200" s="38">
        <f t="shared" si="398"/>
        <v>0</v>
      </c>
      <c r="ED200" s="38">
        <f t="shared" si="399"/>
        <v>0</v>
      </c>
      <c r="EE200" s="38">
        <f t="shared" si="400"/>
        <v>0</v>
      </c>
      <c r="EG200" s="38">
        <f t="shared" si="401"/>
        <v>5715</v>
      </c>
      <c r="EH200" s="38">
        <f t="shared" si="402"/>
        <v>0</v>
      </c>
      <c r="EI200" s="38">
        <f t="shared" si="403"/>
        <v>0</v>
      </c>
      <c r="EJ200" s="38">
        <f t="shared" si="404"/>
        <v>0</v>
      </c>
      <c r="EK200" s="38">
        <f t="shared" si="405"/>
        <v>0</v>
      </c>
      <c r="EL200" s="38">
        <f t="shared" si="406"/>
        <v>0</v>
      </c>
      <c r="EM200" s="38">
        <f t="shared" si="407"/>
        <v>0</v>
      </c>
      <c r="EN200" s="38">
        <f t="shared" si="408"/>
        <v>0</v>
      </c>
      <c r="EO200" s="38">
        <f t="shared" si="409"/>
        <v>0</v>
      </c>
      <c r="EP200" s="38">
        <f t="shared" si="410"/>
        <v>8394.0091200000006</v>
      </c>
      <c r="EQ200" s="38">
        <f t="shared" si="411"/>
        <v>4980.2469559199999</v>
      </c>
      <c r="ER200" s="38">
        <f t="shared" si="412"/>
        <v>0</v>
      </c>
      <c r="ES200" s="38">
        <f t="shared" si="413"/>
        <v>0</v>
      </c>
      <c r="ET200" s="38">
        <f t="shared" si="414"/>
        <v>0</v>
      </c>
      <c r="EU200" s="38">
        <f t="shared" si="415"/>
        <v>0</v>
      </c>
      <c r="EV200" s="38">
        <f t="shared" si="416"/>
        <v>0</v>
      </c>
      <c r="EW200" s="38">
        <f t="shared" si="417"/>
        <v>0</v>
      </c>
      <c r="EX200" s="38">
        <f t="shared" si="418"/>
        <v>0</v>
      </c>
      <c r="EZ200" s="38">
        <f t="shared" si="419"/>
        <v>2057.4</v>
      </c>
      <c r="FA200" s="38">
        <f t="shared" si="420"/>
        <v>0</v>
      </c>
      <c r="FB200" s="1">
        <f t="shared" si="421"/>
        <v>0</v>
      </c>
      <c r="FC200" s="1">
        <f t="shared" si="422"/>
        <v>0</v>
      </c>
      <c r="FD200" s="1">
        <f t="shared" si="423"/>
        <v>0</v>
      </c>
      <c r="FE200" s="1">
        <f t="shared" si="424"/>
        <v>0</v>
      </c>
      <c r="FF200" s="1">
        <f t="shared" si="425"/>
        <v>0</v>
      </c>
      <c r="FG200" s="1">
        <f t="shared" si="426"/>
        <v>0</v>
      </c>
      <c r="FH200" s="1">
        <f t="shared" si="427"/>
        <v>0</v>
      </c>
      <c r="FI200" s="1">
        <f t="shared" si="428"/>
        <v>0</v>
      </c>
      <c r="FJ200" s="1">
        <f t="shared" si="429"/>
        <v>0</v>
      </c>
      <c r="FK200" s="1">
        <f t="shared" si="430"/>
        <v>0</v>
      </c>
      <c r="FL200" s="1">
        <f t="shared" si="431"/>
        <v>0</v>
      </c>
      <c r="FM200" s="1">
        <f t="shared" si="432"/>
        <v>0</v>
      </c>
      <c r="FN200" s="1">
        <f t="shared" si="433"/>
        <v>0</v>
      </c>
      <c r="FO200" s="1">
        <f t="shared" si="434"/>
        <v>0</v>
      </c>
      <c r="FP200" s="1">
        <f t="shared" si="435"/>
        <v>0</v>
      </c>
      <c r="FQ200" s="1">
        <f t="shared" si="436"/>
        <v>0</v>
      </c>
      <c r="FS200" s="1">
        <f t="shared" si="437"/>
        <v>0</v>
      </c>
      <c r="FT200" s="1">
        <f t="shared" si="438"/>
        <v>0</v>
      </c>
      <c r="FU200" s="38">
        <f t="shared" si="439"/>
        <v>0</v>
      </c>
      <c r="FV200" s="38">
        <f t="shared" si="440"/>
        <v>0</v>
      </c>
      <c r="FW200" s="38">
        <f t="shared" si="441"/>
        <v>0</v>
      </c>
      <c r="FX200" s="38">
        <f t="shared" si="442"/>
        <v>0</v>
      </c>
      <c r="FY200" s="38">
        <f t="shared" si="443"/>
        <v>0</v>
      </c>
      <c r="FZ200" s="38">
        <f t="shared" si="444"/>
        <v>0</v>
      </c>
      <c r="GA200" s="38">
        <f t="shared" si="445"/>
        <v>0</v>
      </c>
      <c r="GB200" s="38">
        <f t="shared" si="446"/>
        <v>0</v>
      </c>
      <c r="GC200" s="38">
        <f t="shared" si="447"/>
        <v>0</v>
      </c>
      <c r="GD200" s="38">
        <f t="shared" si="448"/>
        <v>0</v>
      </c>
      <c r="GE200" s="38">
        <f t="shared" si="449"/>
        <v>0</v>
      </c>
      <c r="GF200" s="38">
        <f t="shared" si="450"/>
        <v>0</v>
      </c>
      <c r="GG200" s="38">
        <f t="shared" si="451"/>
        <v>0</v>
      </c>
      <c r="GH200" s="38">
        <f t="shared" si="452"/>
        <v>0</v>
      </c>
      <c r="GI200" s="38">
        <f t="shared" si="453"/>
        <v>0</v>
      </c>
      <c r="GJ200" s="38">
        <f t="shared" si="454"/>
        <v>0</v>
      </c>
      <c r="GL200" s="38">
        <f t="shared" si="455"/>
        <v>0</v>
      </c>
      <c r="GM200" s="38">
        <f t="shared" si="456"/>
        <v>0</v>
      </c>
      <c r="GN200" s="1" t="s">
        <v>2</v>
      </c>
      <c r="GO200" s="1">
        <f t="shared" si="464"/>
        <v>114.3</v>
      </c>
      <c r="GP200" s="1">
        <f t="shared" si="465"/>
        <v>0.56000000000000005</v>
      </c>
      <c r="GQ200" s="41">
        <f t="shared" si="466"/>
        <v>640.08000000000004</v>
      </c>
      <c r="GR200" s="41">
        <f t="shared" si="467"/>
        <v>15431.65607592</v>
      </c>
      <c r="GS200" s="14">
        <f t="shared" si="468"/>
        <v>135.01011439999999</v>
      </c>
      <c r="GT200" s="1">
        <f t="shared" si="457"/>
        <v>0</v>
      </c>
      <c r="GU200" s="1">
        <f t="shared" si="458"/>
        <v>0</v>
      </c>
      <c r="GV200" s="1">
        <f t="shared" si="459"/>
        <v>640.08000000000004</v>
      </c>
      <c r="GW200" s="37">
        <f t="shared" si="469"/>
        <v>0</v>
      </c>
      <c r="GX200" s="37"/>
      <c r="GY200" s="37"/>
      <c r="GZ200" s="37"/>
      <c r="HB200" s="1">
        <f t="shared" si="460"/>
        <v>0</v>
      </c>
      <c r="HC200" s="1">
        <f t="shared" si="461"/>
        <v>0</v>
      </c>
      <c r="HD200" s="37" t="s">
        <v>2</v>
      </c>
      <c r="HE200" s="1" t="s">
        <v>31</v>
      </c>
      <c r="HF200" s="1" t="s">
        <v>280</v>
      </c>
      <c r="HI200" s="1" t="s">
        <v>96</v>
      </c>
      <c r="HJ200" s="37" t="s">
        <v>2</v>
      </c>
      <c r="JH200" s="58" t="s">
        <v>2</v>
      </c>
    </row>
    <row r="201" spans="1:268" ht="16.25" customHeight="1" x14ac:dyDescent="0.2">
      <c r="A201" s="21" t="s">
        <v>525</v>
      </c>
      <c r="B201" s="1" t="s">
        <v>518</v>
      </c>
      <c r="E201" s="1" t="s">
        <v>72</v>
      </c>
      <c r="F201" s="1" t="s">
        <v>526</v>
      </c>
      <c r="H201" s="1" t="s">
        <v>187</v>
      </c>
      <c r="I201" s="13">
        <v>36.451190000000004</v>
      </c>
      <c r="Q201" s="13">
        <v>1.0448611142736355</v>
      </c>
      <c r="AD201" s="1">
        <v>8.67</v>
      </c>
      <c r="AL201" s="1">
        <v>1.1000000000000001</v>
      </c>
      <c r="AY201" s="1">
        <v>10.71</v>
      </c>
      <c r="BG201" s="1">
        <v>1.1000000000000001</v>
      </c>
      <c r="BT201" s="1">
        <v>0</v>
      </c>
      <c r="CO201" s="1">
        <v>0</v>
      </c>
      <c r="DJ201" s="1" t="s">
        <v>96</v>
      </c>
      <c r="DL201" s="1">
        <f t="shared" si="462"/>
        <v>1.0640008031353083</v>
      </c>
      <c r="DM201" s="1">
        <f t="shared" si="463"/>
        <v>0</v>
      </c>
      <c r="DN201" s="1" t="s">
        <v>527</v>
      </c>
      <c r="DO201" s="1" t="s">
        <v>2</v>
      </c>
      <c r="DP201" s="38">
        <f t="shared" si="385"/>
        <v>0</v>
      </c>
      <c r="DQ201" s="38">
        <f t="shared" si="386"/>
        <v>0</v>
      </c>
      <c r="DR201" s="38">
        <f t="shared" si="387"/>
        <v>0</v>
      </c>
      <c r="DS201" s="38">
        <f t="shared" si="388"/>
        <v>0</v>
      </c>
      <c r="DT201" s="38">
        <f t="shared" si="389"/>
        <v>0</v>
      </c>
      <c r="DU201" s="38">
        <f t="shared" si="390"/>
        <v>0</v>
      </c>
      <c r="DV201" s="38">
        <f t="shared" si="391"/>
        <v>0</v>
      </c>
      <c r="DW201" s="38">
        <f t="shared" si="392"/>
        <v>0.59404431000000002</v>
      </c>
      <c r="DX201" s="38">
        <f t="shared" si="393"/>
        <v>0</v>
      </c>
      <c r="DY201" s="38">
        <f t="shared" si="394"/>
        <v>0</v>
      </c>
      <c r="DZ201" s="38">
        <f t="shared" si="395"/>
        <v>0</v>
      </c>
      <c r="EA201" s="38">
        <f t="shared" si="396"/>
        <v>0</v>
      </c>
      <c r="EB201" s="38">
        <f t="shared" si="397"/>
        <v>0</v>
      </c>
      <c r="EC201" s="38">
        <f t="shared" si="398"/>
        <v>0</v>
      </c>
      <c r="ED201" s="38">
        <f t="shared" si="399"/>
        <v>0</v>
      </c>
      <c r="EE201" s="38">
        <f t="shared" si="400"/>
        <v>0</v>
      </c>
      <c r="EG201" s="38">
        <f t="shared" si="401"/>
        <v>0</v>
      </c>
      <c r="EH201" s="38">
        <f t="shared" si="402"/>
        <v>0</v>
      </c>
      <c r="EI201" s="38">
        <f t="shared" si="403"/>
        <v>0</v>
      </c>
      <c r="EJ201" s="38">
        <f t="shared" si="404"/>
        <v>0</v>
      </c>
      <c r="EK201" s="38">
        <f t="shared" si="405"/>
        <v>0</v>
      </c>
      <c r="EL201" s="38">
        <f t="shared" si="406"/>
        <v>0</v>
      </c>
      <c r="EM201" s="38">
        <f t="shared" si="407"/>
        <v>0</v>
      </c>
      <c r="EN201" s="38">
        <f t="shared" si="408"/>
        <v>0</v>
      </c>
      <c r="EO201" s="38">
        <f t="shared" si="409"/>
        <v>0</v>
      </c>
      <c r="EP201" s="38">
        <f t="shared" si="410"/>
        <v>7790.2970813400007</v>
      </c>
      <c r="EQ201" s="38">
        <f t="shared" si="411"/>
        <v>0</v>
      </c>
      <c r="ER201" s="38">
        <f t="shared" si="412"/>
        <v>0</v>
      </c>
      <c r="ES201" s="38">
        <f t="shared" si="413"/>
        <v>0</v>
      </c>
      <c r="ET201" s="38">
        <f t="shared" si="414"/>
        <v>0</v>
      </c>
      <c r="EU201" s="38">
        <f t="shared" si="415"/>
        <v>0</v>
      </c>
      <c r="EV201" s="38">
        <f t="shared" si="416"/>
        <v>0</v>
      </c>
      <c r="EW201" s="38">
        <f t="shared" si="417"/>
        <v>0</v>
      </c>
      <c r="EX201" s="38">
        <f t="shared" si="418"/>
        <v>0</v>
      </c>
      <c r="EZ201" s="38">
        <f t="shared" si="419"/>
        <v>0</v>
      </c>
      <c r="FA201" s="38">
        <f t="shared" si="420"/>
        <v>0</v>
      </c>
      <c r="FB201" s="1">
        <f t="shared" si="421"/>
        <v>0</v>
      </c>
      <c r="FC201" s="1">
        <f t="shared" si="422"/>
        <v>0</v>
      </c>
      <c r="FD201" s="1">
        <f t="shared" si="423"/>
        <v>0</v>
      </c>
      <c r="FE201" s="1">
        <f t="shared" si="424"/>
        <v>0</v>
      </c>
      <c r="FF201" s="1">
        <f t="shared" si="425"/>
        <v>0</v>
      </c>
      <c r="FG201" s="1">
        <f t="shared" si="426"/>
        <v>0</v>
      </c>
      <c r="FH201" s="1">
        <f t="shared" si="427"/>
        <v>0</v>
      </c>
      <c r="FI201" s="1">
        <f t="shared" si="428"/>
        <v>0</v>
      </c>
      <c r="FJ201" s="1">
        <f t="shared" si="429"/>
        <v>0</v>
      </c>
      <c r="FK201" s="1">
        <f t="shared" si="430"/>
        <v>0</v>
      </c>
      <c r="FL201" s="1">
        <f t="shared" si="431"/>
        <v>0</v>
      </c>
      <c r="FM201" s="1">
        <f t="shared" si="432"/>
        <v>0</v>
      </c>
      <c r="FN201" s="1">
        <f t="shared" si="433"/>
        <v>0</v>
      </c>
      <c r="FO201" s="1">
        <f t="shared" si="434"/>
        <v>0</v>
      </c>
      <c r="FP201" s="1">
        <f t="shared" si="435"/>
        <v>0</v>
      </c>
      <c r="FQ201" s="1">
        <f t="shared" si="436"/>
        <v>0</v>
      </c>
      <c r="FS201" s="1">
        <f t="shared" si="437"/>
        <v>0</v>
      </c>
      <c r="FT201" s="1">
        <f t="shared" si="438"/>
        <v>0</v>
      </c>
      <c r="FU201" s="38">
        <f t="shared" si="439"/>
        <v>0</v>
      </c>
      <c r="FV201" s="38">
        <f t="shared" si="440"/>
        <v>0</v>
      </c>
      <c r="FW201" s="38">
        <f t="shared" si="441"/>
        <v>0</v>
      </c>
      <c r="FX201" s="38">
        <f t="shared" si="442"/>
        <v>0</v>
      </c>
      <c r="FY201" s="38">
        <f t="shared" si="443"/>
        <v>0</v>
      </c>
      <c r="FZ201" s="38">
        <f t="shared" si="444"/>
        <v>0</v>
      </c>
      <c r="GA201" s="38">
        <f t="shared" si="445"/>
        <v>0</v>
      </c>
      <c r="GB201" s="38">
        <f t="shared" si="446"/>
        <v>0</v>
      </c>
      <c r="GC201" s="38">
        <f t="shared" si="447"/>
        <v>0</v>
      </c>
      <c r="GD201" s="38">
        <f t="shared" si="448"/>
        <v>0</v>
      </c>
      <c r="GE201" s="38">
        <f t="shared" si="449"/>
        <v>0</v>
      </c>
      <c r="GF201" s="38">
        <f t="shared" si="450"/>
        <v>0</v>
      </c>
      <c r="GG201" s="38">
        <f t="shared" si="451"/>
        <v>0</v>
      </c>
      <c r="GH201" s="38">
        <f t="shared" si="452"/>
        <v>0</v>
      </c>
      <c r="GI201" s="38">
        <f t="shared" si="453"/>
        <v>0</v>
      </c>
      <c r="GJ201" s="38">
        <f t="shared" si="454"/>
        <v>0</v>
      </c>
      <c r="GL201" s="38">
        <f t="shared" si="455"/>
        <v>0</v>
      </c>
      <c r="GM201" s="38">
        <f t="shared" si="456"/>
        <v>0</v>
      </c>
      <c r="GN201" s="1" t="s">
        <v>2</v>
      </c>
      <c r="GO201" s="13">
        <f t="shared" si="464"/>
        <v>55.831190000000007</v>
      </c>
      <c r="GP201" s="13">
        <f t="shared" si="465"/>
        <v>1.0640008031353083</v>
      </c>
      <c r="GQ201" s="41">
        <f t="shared" si="466"/>
        <v>594.04431</v>
      </c>
      <c r="GR201" s="41">
        <f t="shared" si="467"/>
        <v>7790.2970813400007</v>
      </c>
      <c r="GS201" s="14">
        <f t="shared" si="468"/>
        <v>139.53306532316435</v>
      </c>
      <c r="GT201" s="1">
        <f t="shared" si="457"/>
        <v>380.86431000000005</v>
      </c>
      <c r="GU201" s="1">
        <f t="shared" si="458"/>
        <v>95.37</v>
      </c>
      <c r="GV201" s="1">
        <f t="shared" si="459"/>
        <v>117.81000000000002</v>
      </c>
      <c r="GW201" s="37">
        <f t="shared" si="469"/>
        <v>0</v>
      </c>
      <c r="GX201" s="37"/>
      <c r="GY201" s="37"/>
      <c r="GZ201" s="37"/>
      <c r="HB201" s="1">
        <f t="shared" si="460"/>
        <v>0</v>
      </c>
      <c r="HC201" s="1">
        <f t="shared" si="461"/>
        <v>0</v>
      </c>
      <c r="HD201" s="37" t="s">
        <v>2</v>
      </c>
      <c r="HE201" s="1" t="s">
        <v>31</v>
      </c>
      <c r="HF201" s="1" t="s">
        <v>233</v>
      </c>
      <c r="HI201" s="1" t="s">
        <v>96</v>
      </c>
      <c r="HJ201" s="37" t="s">
        <v>2</v>
      </c>
      <c r="JH201" s="58" t="s">
        <v>2</v>
      </c>
    </row>
    <row r="202" spans="1:268" ht="16.25" customHeight="1" x14ac:dyDescent="0.2">
      <c r="A202" s="21" t="s">
        <v>255</v>
      </c>
      <c r="B202" s="1" t="s">
        <v>69</v>
      </c>
      <c r="E202" s="1" t="s">
        <v>72</v>
      </c>
      <c r="F202" s="1" t="s">
        <v>256</v>
      </c>
      <c r="H202" s="1" t="s">
        <v>257</v>
      </c>
      <c r="I202" s="1">
        <v>0</v>
      </c>
      <c r="AD202" s="1">
        <v>0</v>
      </c>
      <c r="AY202" s="1">
        <v>63.5</v>
      </c>
      <c r="BG202" s="1">
        <v>0.38</v>
      </c>
      <c r="BN202" s="1">
        <v>5.22</v>
      </c>
      <c r="BO202" s="1">
        <v>38.08</v>
      </c>
      <c r="BT202" s="1">
        <v>0</v>
      </c>
      <c r="CO202" s="1">
        <v>0</v>
      </c>
      <c r="DJ202" s="1" t="s">
        <v>96</v>
      </c>
      <c r="DL202" s="1">
        <f t="shared" si="462"/>
        <v>0.38</v>
      </c>
      <c r="DM202" s="1">
        <f t="shared" si="463"/>
        <v>0</v>
      </c>
      <c r="DN202" s="1" t="s">
        <v>148</v>
      </c>
      <c r="DO202" s="1" t="s">
        <v>2</v>
      </c>
      <c r="DP202" s="38">
        <f t="shared" si="385"/>
        <v>0</v>
      </c>
      <c r="DQ202" s="38">
        <f t="shared" si="386"/>
        <v>0</v>
      </c>
      <c r="DR202" s="38">
        <f t="shared" si="387"/>
        <v>0</v>
      </c>
      <c r="DS202" s="38">
        <f t="shared" si="388"/>
        <v>0</v>
      </c>
      <c r="DT202" s="38">
        <f t="shared" si="389"/>
        <v>0</v>
      </c>
      <c r="DU202" s="38">
        <f t="shared" si="390"/>
        <v>0</v>
      </c>
      <c r="DV202" s="38">
        <f t="shared" si="391"/>
        <v>0</v>
      </c>
      <c r="DW202" s="38">
        <f t="shared" si="392"/>
        <v>0.24129999999999999</v>
      </c>
      <c r="DX202" s="38">
        <f t="shared" si="393"/>
        <v>0</v>
      </c>
      <c r="DY202" s="38">
        <f t="shared" si="394"/>
        <v>0</v>
      </c>
      <c r="DZ202" s="38">
        <f t="shared" si="395"/>
        <v>0</v>
      </c>
      <c r="EA202" s="38">
        <f t="shared" si="396"/>
        <v>0</v>
      </c>
      <c r="EB202" s="38">
        <f t="shared" si="397"/>
        <v>0</v>
      </c>
      <c r="EC202" s="38">
        <f t="shared" si="398"/>
        <v>0</v>
      </c>
      <c r="ED202" s="38">
        <f t="shared" si="399"/>
        <v>3.3146999999999998</v>
      </c>
      <c r="EE202" s="38">
        <f t="shared" si="400"/>
        <v>24.180799999999998</v>
      </c>
      <c r="EG202" s="38">
        <f t="shared" si="401"/>
        <v>0</v>
      </c>
      <c r="EH202" s="38">
        <f t="shared" si="402"/>
        <v>0</v>
      </c>
      <c r="EI202" s="38">
        <f t="shared" si="403"/>
        <v>0</v>
      </c>
      <c r="EJ202" s="38">
        <f t="shared" si="404"/>
        <v>0</v>
      </c>
      <c r="EK202" s="38">
        <f t="shared" si="405"/>
        <v>0</v>
      </c>
      <c r="EL202" s="38">
        <f t="shared" si="406"/>
        <v>0</v>
      </c>
      <c r="EM202" s="38">
        <f t="shared" si="407"/>
        <v>0</v>
      </c>
      <c r="EN202" s="38">
        <f t="shared" si="408"/>
        <v>0</v>
      </c>
      <c r="EO202" s="38">
        <f t="shared" si="409"/>
        <v>0</v>
      </c>
      <c r="EP202" s="38">
        <f t="shared" si="410"/>
        <v>3164.4081999999999</v>
      </c>
      <c r="EQ202" s="38">
        <f t="shared" si="411"/>
        <v>0</v>
      </c>
      <c r="ER202" s="38">
        <f t="shared" si="412"/>
        <v>0</v>
      </c>
      <c r="ES202" s="38">
        <f t="shared" si="413"/>
        <v>0</v>
      </c>
      <c r="ET202" s="38">
        <f t="shared" si="414"/>
        <v>0</v>
      </c>
      <c r="EU202" s="38">
        <f t="shared" si="415"/>
        <v>0</v>
      </c>
      <c r="EV202" s="38">
        <f t="shared" si="416"/>
        <v>0</v>
      </c>
      <c r="EW202" s="38">
        <f t="shared" si="417"/>
        <v>924.80129999999997</v>
      </c>
      <c r="EX202" s="38">
        <f t="shared" si="418"/>
        <v>2248.8143999999998</v>
      </c>
      <c r="EZ202" s="38">
        <f t="shared" si="419"/>
        <v>0</v>
      </c>
      <c r="FA202" s="38">
        <f t="shared" si="420"/>
        <v>0</v>
      </c>
      <c r="FB202" s="1">
        <f t="shared" si="421"/>
        <v>0</v>
      </c>
      <c r="FC202" s="1">
        <f t="shared" si="422"/>
        <v>0</v>
      </c>
      <c r="FD202" s="1">
        <f t="shared" si="423"/>
        <v>0</v>
      </c>
      <c r="FE202" s="1">
        <f t="shared" si="424"/>
        <v>0</v>
      </c>
      <c r="FF202" s="1">
        <f t="shared" si="425"/>
        <v>0</v>
      </c>
      <c r="FG202" s="1">
        <f t="shared" si="426"/>
        <v>0</v>
      </c>
      <c r="FH202" s="1">
        <f t="shared" si="427"/>
        <v>0</v>
      </c>
      <c r="FI202" s="1">
        <f t="shared" si="428"/>
        <v>0</v>
      </c>
      <c r="FJ202" s="1">
        <f t="shared" si="429"/>
        <v>0</v>
      </c>
      <c r="FK202" s="1">
        <f t="shared" si="430"/>
        <v>0</v>
      </c>
      <c r="FL202" s="1">
        <f t="shared" si="431"/>
        <v>0</v>
      </c>
      <c r="FM202" s="1">
        <f t="shared" si="432"/>
        <v>0</v>
      </c>
      <c r="FN202" s="1">
        <f t="shared" si="433"/>
        <v>0</v>
      </c>
      <c r="FO202" s="1">
        <f t="shared" si="434"/>
        <v>0</v>
      </c>
      <c r="FP202" s="1">
        <f t="shared" si="435"/>
        <v>0</v>
      </c>
      <c r="FQ202" s="1">
        <f t="shared" si="436"/>
        <v>0</v>
      </c>
      <c r="FS202" s="1">
        <f t="shared" si="437"/>
        <v>0</v>
      </c>
      <c r="FT202" s="1">
        <f t="shared" si="438"/>
        <v>0</v>
      </c>
      <c r="FU202" s="38">
        <f t="shared" si="439"/>
        <v>0</v>
      </c>
      <c r="FV202" s="38">
        <f t="shared" si="440"/>
        <v>0</v>
      </c>
      <c r="FW202" s="38">
        <f t="shared" si="441"/>
        <v>0</v>
      </c>
      <c r="FX202" s="38">
        <f t="shared" si="442"/>
        <v>0</v>
      </c>
      <c r="FY202" s="38">
        <f t="shared" si="443"/>
        <v>0</v>
      </c>
      <c r="FZ202" s="38">
        <f t="shared" si="444"/>
        <v>0</v>
      </c>
      <c r="GA202" s="38">
        <f t="shared" si="445"/>
        <v>0</v>
      </c>
      <c r="GB202" s="38">
        <f t="shared" si="446"/>
        <v>0</v>
      </c>
      <c r="GC202" s="38">
        <f t="shared" si="447"/>
        <v>0</v>
      </c>
      <c r="GD202" s="38">
        <f t="shared" si="448"/>
        <v>0</v>
      </c>
      <c r="GE202" s="38">
        <f t="shared" si="449"/>
        <v>0</v>
      </c>
      <c r="GF202" s="38">
        <f t="shared" si="450"/>
        <v>0</v>
      </c>
      <c r="GG202" s="38">
        <f t="shared" si="451"/>
        <v>0</v>
      </c>
      <c r="GH202" s="38">
        <f t="shared" si="452"/>
        <v>0</v>
      </c>
      <c r="GI202" s="38">
        <f t="shared" si="453"/>
        <v>0</v>
      </c>
      <c r="GJ202" s="38">
        <f t="shared" si="454"/>
        <v>0</v>
      </c>
      <c r="GL202" s="38">
        <f t="shared" si="455"/>
        <v>0</v>
      </c>
      <c r="GM202" s="38">
        <f t="shared" si="456"/>
        <v>0</v>
      </c>
      <c r="GN202" s="1" t="s">
        <v>2</v>
      </c>
      <c r="GO202" s="1">
        <f t="shared" si="464"/>
        <v>63.5</v>
      </c>
      <c r="GP202" s="1">
        <f t="shared" si="465"/>
        <v>0.38</v>
      </c>
      <c r="GQ202" s="41">
        <f t="shared" si="466"/>
        <v>241.3</v>
      </c>
      <c r="GR202" s="41">
        <f t="shared" si="467"/>
        <v>6338.0239000000001</v>
      </c>
      <c r="GS202" s="14">
        <f t="shared" si="468"/>
        <v>99.811400000000006</v>
      </c>
      <c r="GT202" s="1">
        <f t="shared" si="457"/>
        <v>0</v>
      </c>
      <c r="GU202" s="1">
        <f t="shared" si="458"/>
        <v>0</v>
      </c>
      <c r="GV202" s="1">
        <f t="shared" si="459"/>
        <v>241.3</v>
      </c>
      <c r="GW202" s="37">
        <f t="shared" si="469"/>
        <v>0</v>
      </c>
      <c r="GX202" s="37"/>
      <c r="GY202" s="37"/>
      <c r="GZ202" s="37"/>
      <c r="HB202" s="1">
        <f t="shared" si="460"/>
        <v>0</v>
      </c>
      <c r="HC202" s="1">
        <f t="shared" si="461"/>
        <v>0</v>
      </c>
      <c r="HD202" s="37" t="s">
        <v>2</v>
      </c>
      <c r="HE202" s="1" t="s">
        <v>31</v>
      </c>
      <c r="HF202" s="1" t="s">
        <v>205</v>
      </c>
      <c r="HG202" s="1" t="s">
        <v>205</v>
      </c>
      <c r="HI202" s="1" t="s">
        <v>96</v>
      </c>
      <c r="HJ202" s="37" t="s">
        <v>2</v>
      </c>
      <c r="JH202" s="58" t="s">
        <v>2</v>
      </c>
    </row>
    <row r="203" spans="1:268" ht="16.25" customHeight="1" x14ac:dyDescent="0.2">
      <c r="A203" s="21" t="s">
        <v>258</v>
      </c>
      <c r="B203" s="1" t="s">
        <v>69</v>
      </c>
      <c r="E203" s="1" t="s">
        <v>72</v>
      </c>
      <c r="F203" s="1" t="s">
        <v>256</v>
      </c>
      <c r="H203" s="1" t="s">
        <v>70</v>
      </c>
      <c r="I203" s="1">
        <v>0</v>
      </c>
      <c r="AD203" s="1">
        <v>0</v>
      </c>
      <c r="AY203" s="1">
        <v>330</v>
      </c>
      <c r="BG203" s="1">
        <v>0.75</v>
      </c>
      <c r="BH203" s="1">
        <v>0.06</v>
      </c>
      <c r="BT203" s="1">
        <v>0</v>
      </c>
      <c r="CO203" s="1">
        <v>0</v>
      </c>
      <c r="DJ203" s="1" t="s">
        <v>96</v>
      </c>
      <c r="DL203" s="1">
        <f t="shared" si="462"/>
        <v>0.75</v>
      </c>
      <c r="DM203" s="1">
        <f t="shared" si="463"/>
        <v>6.0000000000000005E-2</v>
      </c>
      <c r="DN203" s="1" t="s">
        <v>148</v>
      </c>
      <c r="DO203" s="1" t="s">
        <v>2</v>
      </c>
      <c r="DP203" s="38">
        <f t="shared" si="385"/>
        <v>0</v>
      </c>
      <c r="DQ203" s="38">
        <f t="shared" si="386"/>
        <v>0</v>
      </c>
      <c r="DR203" s="38">
        <f t="shared" si="387"/>
        <v>0</v>
      </c>
      <c r="DS203" s="38">
        <f t="shared" si="388"/>
        <v>0</v>
      </c>
      <c r="DT203" s="38">
        <f t="shared" si="389"/>
        <v>0</v>
      </c>
      <c r="DU203" s="38">
        <f t="shared" si="390"/>
        <v>0</v>
      </c>
      <c r="DV203" s="38">
        <f t="shared" si="391"/>
        <v>0</v>
      </c>
      <c r="DW203" s="38">
        <f t="shared" si="392"/>
        <v>2.4750000000000001</v>
      </c>
      <c r="DX203" s="38">
        <f t="shared" si="393"/>
        <v>0.19800000000000001</v>
      </c>
      <c r="DY203" s="38">
        <f t="shared" si="394"/>
        <v>0</v>
      </c>
      <c r="DZ203" s="38">
        <f t="shared" si="395"/>
        <v>0</v>
      </c>
      <c r="EA203" s="38">
        <f t="shared" si="396"/>
        <v>0</v>
      </c>
      <c r="EB203" s="38">
        <f t="shared" si="397"/>
        <v>0</v>
      </c>
      <c r="EC203" s="38">
        <f t="shared" si="398"/>
        <v>0</v>
      </c>
      <c r="ED203" s="38">
        <f t="shared" si="399"/>
        <v>0</v>
      </c>
      <c r="EE203" s="38">
        <f t="shared" si="400"/>
        <v>0</v>
      </c>
      <c r="EG203" s="38">
        <f t="shared" si="401"/>
        <v>0</v>
      </c>
      <c r="EH203" s="38">
        <f t="shared" si="402"/>
        <v>0</v>
      </c>
      <c r="EI203" s="38">
        <f t="shared" si="403"/>
        <v>0</v>
      </c>
      <c r="EJ203" s="38">
        <f t="shared" si="404"/>
        <v>0</v>
      </c>
      <c r="EK203" s="38">
        <f t="shared" si="405"/>
        <v>0</v>
      </c>
      <c r="EL203" s="38">
        <f t="shared" si="406"/>
        <v>0</v>
      </c>
      <c r="EM203" s="38">
        <f t="shared" si="407"/>
        <v>0</v>
      </c>
      <c r="EN203" s="38">
        <f t="shared" si="408"/>
        <v>0</v>
      </c>
      <c r="EO203" s="38">
        <f t="shared" si="409"/>
        <v>0</v>
      </c>
      <c r="EP203" s="38">
        <f t="shared" si="410"/>
        <v>32457.15</v>
      </c>
      <c r="EQ203" s="38">
        <f t="shared" si="411"/>
        <v>14378.665751999999</v>
      </c>
      <c r="ER203" s="38">
        <f t="shared" si="412"/>
        <v>0</v>
      </c>
      <c r="ES203" s="38">
        <f t="shared" si="413"/>
        <v>0</v>
      </c>
      <c r="ET203" s="38">
        <f t="shared" si="414"/>
        <v>0</v>
      </c>
      <c r="EU203" s="38">
        <f t="shared" si="415"/>
        <v>0</v>
      </c>
      <c r="EV203" s="38">
        <f t="shared" si="416"/>
        <v>0</v>
      </c>
      <c r="EW203" s="38">
        <f t="shared" si="417"/>
        <v>0</v>
      </c>
      <c r="EX203" s="38">
        <f t="shared" si="418"/>
        <v>0</v>
      </c>
      <c r="EZ203" s="38">
        <f t="shared" si="419"/>
        <v>0</v>
      </c>
      <c r="FA203" s="38">
        <f t="shared" si="420"/>
        <v>0</v>
      </c>
      <c r="FB203" s="1">
        <f t="shared" si="421"/>
        <v>0</v>
      </c>
      <c r="FC203" s="1">
        <f t="shared" si="422"/>
        <v>0</v>
      </c>
      <c r="FD203" s="1">
        <f t="shared" si="423"/>
        <v>0</v>
      </c>
      <c r="FE203" s="1">
        <f t="shared" si="424"/>
        <v>0</v>
      </c>
      <c r="FF203" s="1">
        <f t="shared" si="425"/>
        <v>0</v>
      </c>
      <c r="FG203" s="1">
        <f t="shared" si="426"/>
        <v>0</v>
      </c>
      <c r="FH203" s="1">
        <f t="shared" si="427"/>
        <v>0</v>
      </c>
      <c r="FI203" s="1">
        <f t="shared" si="428"/>
        <v>0</v>
      </c>
      <c r="FJ203" s="1">
        <f t="shared" si="429"/>
        <v>0</v>
      </c>
      <c r="FK203" s="1">
        <f t="shared" si="430"/>
        <v>0</v>
      </c>
      <c r="FL203" s="1">
        <f t="shared" si="431"/>
        <v>0</v>
      </c>
      <c r="FM203" s="1">
        <f t="shared" si="432"/>
        <v>0</v>
      </c>
      <c r="FN203" s="1">
        <f t="shared" si="433"/>
        <v>0</v>
      </c>
      <c r="FO203" s="1">
        <f t="shared" si="434"/>
        <v>0</v>
      </c>
      <c r="FP203" s="1">
        <f t="shared" si="435"/>
        <v>0</v>
      </c>
      <c r="FQ203" s="1">
        <f t="shared" si="436"/>
        <v>0</v>
      </c>
      <c r="FS203" s="1">
        <f t="shared" si="437"/>
        <v>0</v>
      </c>
      <c r="FT203" s="1">
        <f t="shared" si="438"/>
        <v>0</v>
      </c>
      <c r="FU203" s="38">
        <f t="shared" si="439"/>
        <v>0</v>
      </c>
      <c r="FV203" s="38">
        <f t="shared" si="440"/>
        <v>0</v>
      </c>
      <c r="FW203" s="38">
        <f t="shared" si="441"/>
        <v>0</v>
      </c>
      <c r="FX203" s="38">
        <f t="shared" si="442"/>
        <v>0</v>
      </c>
      <c r="FY203" s="38">
        <f t="shared" si="443"/>
        <v>0</v>
      </c>
      <c r="FZ203" s="38">
        <f t="shared" si="444"/>
        <v>0</v>
      </c>
      <c r="GA203" s="38">
        <f t="shared" si="445"/>
        <v>0</v>
      </c>
      <c r="GB203" s="38">
        <f t="shared" si="446"/>
        <v>0</v>
      </c>
      <c r="GC203" s="38">
        <f t="shared" si="447"/>
        <v>0</v>
      </c>
      <c r="GD203" s="38">
        <f t="shared" si="448"/>
        <v>0</v>
      </c>
      <c r="GE203" s="38">
        <f t="shared" si="449"/>
        <v>0</v>
      </c>
      <c r="GF203" s="38">
        <f t="shared" si="450"/>
        <v>0</v>
      </c>
      <c r="GG203" s="38">
        <f t="shared" si="451"/>
        <v>0</v>
      </c>
      <c r="GH203" s="38">
        <f t="shared" si="452"/>
        <v>0</v>
      </c>
      <c r="GI203" s="38">
        <f t="shared" si="453"/>
        <v>0</v>
      </c>
      <c r="GJ203" s="38">
        <f t="shared" si="454"/>
        <v>0</v>
      </c>
      <c r="GL203" s="38">
        <f t="shared" si="455"/>
        <v>0</v>
      </c>
      <c r="GM203" s="38">
        <f t="shared" si="456"/>
        <v>0</v>
      </c>
      <c r="GN203" s="1" t="s">
        <v>2</v>
      </c>
      <c r="GO203" s="1">
        <f t="shared" si="464"/>
        <v>330</v>
      </c>
      <c r="GP203" s="1">
        <f t="shared" si="465"/>
        <v>0.75</v>
      </c>
      <c r="GQ203" s="43">
        <f t="shared" si="466"/>
        <v>2475</v>
      </c>
      <c r="GR203" s="41">
        <f t="shared" si="467"/>
        <v>46835.815752000002</v>
      </c>
      <c r="GS203" s="14">
        <f t="shared" si="468"/>
        <v>141.92671440000001</v>
      </c>
      <c r="GT203" s="1">
        <f t="shared" si="457"/>
        <v>0</v>
      </c>
      <c r="GU203" s="1">
        <f t="shared" si="458"/>
        <v>0</v>
      </c>
      <c r="GV203" s="1">
        <f t="shared" si="459"/>
        <v>2475</v>
      </c>
      <c r="GW203" s="37">
        <f t="shared" si="469"/>
        <v>0</v>
      </c>
      <c r="GX203" s="37"/>
      <c r="GY203" s="37"/>
      <c r="GZ203" s="37"/>
      <c r="HB203" s="1">
        <f t="shared" si="460"/>
        <v>0</v>
      </c>
      <c r="HC203" s="1">
        <f t="shared" si="461"/>
        <v>0</v>
      </c>
      <c r="HD203" s="37" t="s">
        <v>2</v>
      </c>
      <c r="HE203" s="1" t="s">
        <v>31</v>
      </c>
      <c r="HF203" s="1" t="s">
        <v>205</v>
      </c>
      <c r="HG203" s="1" t="s">
        <v>205</v>
      </c>
      <c r="HI203" s="1" t="s">
        <v>96</v>
      </c>
      <c r="HJ203" s="37" t="s">
        <v>2</v>
      </c>
      <c r="JH203" s="58" t="s">
        <v>2</v>
      </c>
    </row>
    <row r="204" spans="1:268" ht="16.25" customHeight="1" x14ac:dyDescent="0.2">
      <c r="A204" s="21" t="s">
        <v>294</v>
      </c>
      <c r="B204" s="1" t="s">
        <v>69</v>
      </c>
      <c r="E204" s="1" t="s">
        <v>72</v>
      </c>
      <c r="F204" s="1" t="s">
        <v>295</v>
      </c>
      <c r="H204" s="1" t="s">
        <v>204</v>
      </c>
      <c r="I204" s="1">
        <v>68.8</v>
      </c>
      <c r="Q204" s="1">
        <v>0.63</v>
      </c>
      <c r="R204" s="13">
        <v>0.1</v>
      </c>
      <c r="AA204" s="1">
        <v>62</v>
      </c>
      <c r="AD204" s="1">
        <v>93.9</v>
      </c>
      <c r="AL204" s="1">
        <v>0.47</v>
      </c>
      <c r="AM204" s="1">
        <v>0.08</v>
      </c>
      <c r="AV204" s="1">
        <v>86</v>
      </c>
      <c r="AY204" s="1">
        <v>20.6</v>
      </c>
      <c r="BG204" s="1">
        <v>0.23</v>
      </c>
      <c r="BH204" s="1">
        <v>0.09</v>
      </c>
      <c r="BQ204" s="1">
        <v>283</v>
      </c>
      <c r="BT204" s="1">
        <v>65.5</v>
      </c>
      <c r="CB204" s="1">
        <v>0.65</v>
      </c>
      <c r="CC204" s="13">
        <v>0.1</v>
      </c>
      <c r="CL204" s="1">
        <v>48</v>
      </c>
      <c r="CO204" s="1">
        <v>81.900000000000006</v>
      </c>
      <c r="CW204" s="1">
        <v>0.49</v>
      </c>
      <c r="CX204" s="1">
        <v>0.08</v>
      </c>
      <c r="DG204" s="1">
        <v>57</v>
      </c>
      <c r="DJ204" s="1" t="s">
        <v>96</v>
      </c>
      <c r="DK204" s="1" t="s">
        <v>96</v>
      </c>
      <c r="DL204" s="1">
        <f t="shared" si="462"/>
        <v>0.50308237861429361</v>
      </c>
      <c r="DM204" s="1">
        <f t="shared" si="463"/>
        <v>8.8630660120021826E-2</v>
      </c>
      <c r="DN204" s="1" t="s">
        <v>296</v>
      </c>
      <c r="DO204" s="1" t="s">
        <v>2</v>
      </c>
      <c r="DP204" s="38">
        <f t="shared" si="385"/>
        <v>0</v>
      </c>
      <c r="DQ204" s="38">
        <f t="shared" si="386"/>
        <v>0</v>
      </c>
      <c r="DR204" s="38">
        <f t="shared" si="387"/>
        <v>0</v>
      </c>
      <c r="DS204" s="38">
        <f t="shared" si="388"/>
        <v>0</v>
      </c>
      <c r="DT204" s="38">
        <f t="shared" si="389"/>
        <v>0</v>
      </c>
      <c r="DU204" s="38">
        <f t="shared" si="390"/>
        <v>0</v>
      </c>
      <c r="DV204" s="38">
        <f t="shared" si="391"/>
        <v>0</v>
      </c>
      <c r="DW204" s="38">
        <f t="shared" si="392"/>
        <v>0.92215000000000003</v>
      </c>
      <c r="DX204" s="38">
        <f t="shared" si="393"/>
        <v>0.16245999999999999</v>
      </c>
      <c r="DY204" s="38">
        <f t="shared" si="394"/>
        <v>0</v>
      </c>
      <c r="DZ204" s="38">
        <f t="shared" si="395"/>
        <v>0</v>
      </c>
      <c r="EA204" s="38">
        <f t="shared" si="396"/>
        <v>0</v>
      </c>
      <c r="EB204" s="38">
        <f t="shared" si="397"/>
        <v>0</v>
      </c>
      <c r="EC204" s="38">
        <f t="shared" si="398"/>
        <v>0</v>
      </c>
      <c r="ED204" s="38">
        <f t="shared" si="399"/>
        <v>0</v>
      </c>
      <c r="EE204" s="38">
        <f t="shared" si="400"/>
        <v>0</v>
      </c>
      <c r="EG204" s="38">
        <f t="shared" si="401"/>
        <v>18170.8</v>
      </c>
      <c r="EH204" s="38">
        <f t="shared" si="402"/>
        <v>0</v>
      </c>
      <c r="EI204" s="38">
        <f t="shared" si="403"/>
        <v>0</v>
      </c>
      <c r="EJ204" s="38">
        <f t="shared" si="404"/>
        <v>0</v>
      </c>
      <c r="EK204" s="38">
        <f t="shared" si="405"/>
        <v>0</v>
      </c>
      <c r="EL204" s="38">
        <f t="shared" si="406"/>
        <v>0</v>
      </c>
      <c r="EM204" s="38">
        <f t="shared" si="407"/>
        <v>0</v>
      </c>
      <c r="EN204" s="38">
        <f t="shared" si="408"/>
        <v>0</v>
      </c>
      <c r="EO204" s="38">
        <f t="shared" si="409"/>
        <v>0</v>
      </c>
      <c r="EP204" s="38">
        <f t="shared" si="410"/>
        <v>12093.0751</v>
      </c>
      <c r="EQ204" s="38">
        <f t="shared" si="411"/>
        <v>11797.767869039997</v>
      </c>
      <c r="ER204" s="38">
        <f t="shared" si="412"/>
        <v>0</v>
      </c>
      <c r="ES204" s="38">
        <f t="shared" si="413"/>
        <v>0</v>
      </c>
      <c r="ET204" s="38">
        <f t="shared" si="414"/>
        <v>0</v>
      </c>
      <c r="EU204" s="38">
        <f t="shared" si="415"/>
        <v>0</v>
      </c>
      <c r="EV204" s="38">
        <f t="shared" si="416"/>
        <v>0</v>
      </c>
      <c r="EW204" s="38">
        <f t="shared" si="417"/>
        <v>0</v>
      </c>
      <c r="EX204" s="38">
        <f t="shared" si="418"/>
        <v>0</v>
      </c>
      <c r="EZ204" s="38">
        <f t="shared" si="419"/>
        <v>6541.4880000000003</v>
      </c>
      <c r="FA204" s="38">
        <f t="shared" si="420"/>
        <v>0</v>
      </c>
      <c r="FB204" s="1">
        <f t="shared" si="421"/>
        <v>0</v>
      </c>
      <c r="FC204" s="1">
        <f t="shared" si="422"/>
        <v>0</v>
      </c>
      <c r="FD204" s="1">
        <f t="shared" si="423"/>
        <v>0</v>
      </c>
      <c r="FE204" s="1">
        <f t="shared" si="424"/>
        <v>0</v>
      </c>
      <c r="FF204" s="1">
        <f t="shared" si="425"/>
        <v>0</v>
      </c>
      <c r="FG204" s="1">
        <f t="shared" si="426"/>
        <v>0</v>
      </c>
      <c r="FH204" s="1">
        <f t="shared" si="427"/>
        <v>0</v>
      </c>
      <c r="FI204" s="1">
        <f t="shared" si="428"/>
        <v>0.82706000000000002</v>
      </c>
      <c r="FJ204" s="1">
        <f t="shared" si="429"/>
        <v>0.13102</v>
      </c>
      <c r="FK204" s="1">
        <f t="shared" si="430"/>
        <v>0</v>
      </c>
      <c r="FL204" s="1">
        <f t="shared" si="431"/>
        <v>0</v>
      </c>
      <c r="FM204" s="1">
        <f t="shared" si="432"/>
        <v>0</v>
      </c>
      <c r="FN204" s="1">
        <f t="shared" si="433"/>
        <v>0</v>
      </c>
      <c r="FO204" s="1">
        <f t="shared" si="434"/>
        <v>0</v>
      </c>
      <c r="FP204" s="1">
        <f t="shared" si="435"/>
        <v>0</v>
      </c>
      <c r="FQ204" s="1">
        <f t="shared" si="436"/>
        <v>0</v>
      </c>
      <c r="FS204" s="1">
        <f t="shared" si="437"/>
        <v>7812.3</v>
      </c>
      <c r="FT204" s="1">
        <f t="shared" si="438"/>
        <v>0</v>
      </c>
      <c r="FU204" s="38">
        <f t="shared" si="439"/>
        <v>0</v>
      </c>
      <c r="FV204" s="38">
        <f t="shared" si="440"/>
        <v>0</v>
      </c>
      <c r="FW204" s="38">
        <f t="shared" si="441"/>
        <v>0</v>
      </c>
      <c r="FX204" s="38">
        <f t="shared" si="442"/>
        <v>0</v>
      </c>
      <c r="FY204" s="38">
        <f t="shared" si="443"/>
        <v>0</v>
      </c>
      <c r="FZ204" s="38">
        <f t="shared" si="444"/>
        <v>0</v>
      </c>
      <c r="GA204" s="38">
        <f t="shared" si="445"/>
        <v>0</v>
      </c>
      <c r="GB204" s="38">
        <f t="shared" si="446"/>
        <v>10846.064840000001</v>
      </c>
      <c r="GC204" s="38">
        <f t="shared" si="447"/>
        <v>9514.6100344799979</v>
      </c>
      <c r="GD204" s="38">
        <f t="shared" si="448"/>
        <v>0</v>
      </c>
      <c r="GE204" s="38">
        <f t="shared" si="449"/>
        <v>0</v>
      </c>
      <c r="GF204" s="38">
        <f t="shared" si="450"/>
        <v>0</v>
      </c>
      <c r="GG204" s="38">
        <f t="shared" si="451"/>
        <v>0</v>
      </c>
      <c r="GH204" s="38">
        <f t="shared" si="452"/>
        <v>0</v>
      </c>
      <c r="GI204" s="38">
        <f t="shared" si="453"/>
        <v>0</v>
      </c>
      <c r="GJ204" s="38">
        <f t="shared" si="454"/>
        <v>0</v>
      </c>
      <c r="GL204" s="38">
        <f t="shared" si="455"/>
        <v>2812.4279999999999</v>
      </c>
      <c r="GM204" s="38">
        <f t="shared" si="456"/>
        <v>0</v>
      </c>
      <c r="GN204" s="1" t="s">
        <v>2</v>
      </c>
      <c r="GO204" s="1">
        <f t="shared" si="464"/>
        <v>183.29999999999998</v>
      </c>
      <c r="GP204" s="13">
        <f t="shared" si="465"/>
        <v>0.50308237861429361</v>
      </c>
      <c r="GQ204" s="41">
        <f t="shared" si="466"/>
        <v>922.15</v>
      </c>
      <c r="GR204" s="41">
        <f t="shared" si="467"/>
        <v>30432.330969039998</v>
      </c>
      <c r="GS204" s="14">
        <f t="shared" si="468"/>
        <v>166.02471887092199</v>
      </c>
      <c r="GT204" s="1">
        <f t="shared" si="457"/>
        <v>433.44</v>
      </c>
      <c r="GU204" s="1">
        <f t="shared" si="458"/>
        <v>441.33</v>
      </c>
      <c r="GV204" s="1">
        <f t="shared" si="459"/>
        <v>47.38</v>
      </c>
      <c r="GW204" s="37">
        <f t="shared" si="469"/>
        <v>147.4</v>
      </c>
      <c r="GX204" s="44">
        <f>(BT204*CB204+CO204*CW204)/GW204</f>
        <v>0.56109905020352779</v>
      </c>
      <c r="GY204" s="41">
        <f>1000*GW204*GX204/100</f>
        <v>827.06</v>
      </c>
      <c r="GZ204" s="41">
        <f>SUM(FU204:GM204)</f>
        <v>23173.102874479999</v>
      </c>
      <c r="HA204" s="14">
        <f>GZ204/GW204</f>
        <v>157.21236685535956</v>
      </c>
      <c r="HB204" s="1">
        <f t="shared" si="460"/>
        <v>425.75</v>
      </c>
      <c r="HC204" s="1">
        <f t="shared" si="461"/>
        <v>401.31</v>
      </c>
      <c r="HD204" s="37" t="s">
        <v>2</v>
      </c>
      <c r="HE204" s="1" t="s">
        <v>31</v>
      </c>
      <c r="HF204" s="1" t="s">
        <v>205</v>
      </c>
      <c r="HG204" s="1" t="s">
        <v>205</v>
      </c>
      <c r="HI204" s="1" t="s">
        <v>96</v>
      </c>
      <c r="HJ204" s="37" t="s">
        <v>2</v>
      </c>
      <c r="JH204" s="58" t="s">
        <v>2</v>
      </c>
    </row>
    <row r="205" spans="1:268" ht="16.25" customHeight="1" x14ac:dyDescent="0.2">
      <c r="A205" s="21" t="s">
        <v>318</v>
      </c>
      <c r="B205" s="1" t="s">
        <v>69</v>
      </c>
      <c r="E205" s="1" t="s">
        <v>72</v>
      </c>
      <c r="F205" s="1" t="s">
        <v>316</v>
      </c>
      <c r="H205" s="1" t="s">
        <v>204</v>
      </c>
      <c r="I205" s="1">
        <v>5.4</v>
      </c>
      <c r="Q205" s="1">
        <v>0.77</v>
      </c>
      <c r="R205" s="1">
        <v>6.2E-2</v>
      </c>
      <c r="Y205" s="14">
        <v>25</v>
      </c>
      <c r="AA205" s="1">
        <v>39</v>
      </c>
      <c r="AD205" s="1">
        <f>9.9+0.6</f>
        <v>10.5</v>
      </c>
      <c r="AL205" s="13">
        <f>(0.71*9.9+0.75*0.6)/AD205</f>
        <v>0.7122857142857143</v>
      </c>
      <c r="AM205" s="2">
        <f>(0.051*9.9+0.054*0.6)/AD205</f>
        <v>5.1171428571428569E-2</v>
      </c>
      <c r="AP205" s="17"/>
      <c r="AQ205" s="17"/>
      <c r="AR205" s="17"/>
      <c r="AT205" s="14">
        <f>(22.2*9.9+12.1*0.6)/AD205</f>
        <v>21.622857142857143</v>
      </c>
      <c r="AV205" s="17">
        <f>(37*9.9+18*0.6)/AD205</f>
        <v>35.914285714285718</v>
      </c>
      <c r="AY205" s="1">
        <f>1+10.5</f>
        <v>11.5</v>
      </c>
      <c r="BG205" s="13">
        <f>(0.72*1+0.4*10.5)/AY205</f>
        <v>0.42782608695652175</v>
      </c>
      <c r="BH205" s="2">
        <f>(0.052*1+0.033*10.5)/AY205</f>
        <v>3.4652173913043482E-2</v>
      </c>
      <c r="BK205" s="17"/>
      <c r="BL205" s="17"/>
      <c r="BM205" s="17"/>
      <c r="BO205" s="14">
        <f>(22.2*1+31.8*10.5)/AY205</f>
        <v>30.96521739130435</v>
      </c>
      <c r="BQ205" s="17">
        <f>(36*1+45*10.5)/AY205</f>
        <v>44.217391304347828</v>
      </c>
      <c r="BT205" s="1">
        <v>0</v>
      </c>
      <c r="CO205" s="1">
        <v>0</v>
      </c>
      <c r="DJ205" s="1" t="s">
        <v>96</v>
      </c>
      <c r="DK205" s="1" t="s">
        <v>96</v>
      </c>
      <c r="DL205" s="1">
        <f t="shared" si="462"/>
        <v>0.60427007299270086</v>
      </c>
      <c r="DM205" s="1">
        <f t="shared" si="463"/>
        <v>4.6372262773722639E-2</v>
      </c>
      <c r="DN205" s="1" t="s">
        <v>317</v>
      </c>
      <c r="DO205" s="1" t="s">
        <v>2</v>
      </c>
      <c r="DP205" s="38">
        <f t="shared" si="385"/>
        <v>0</v>
      </c>
      <c r="DQ205" s="38">
        <f t="shared" si="386"/>
        <v>0</v>
      </c>
      <c r="DR205" s="38">
        <f t="shared" si="387"/>
        <v>0</v>
      </c>
      <c r="DS205" s="38">
        <f t="shared" si="388"/>
        <v>0</v>
      </c>
      <c r="DT205" s="38">
        <f t="shared" si="389"/>
        <v>0</v>
      </c>
      <c r="DU205" s="38">
        <f t="shared" si="390"/>
        <v>0</v>
      </c>
      <c r="DV205" s="38">
        <f t="shared" si="391"/>
        <v>0</v>
      </c>
      <c r="DW205" s="38">
        <f t="shared" si="392"/>
        <v>0.16557000000000002</v>
      </c>
      <c r="DX205" s="38">
        <f t="shared" si="393"/>
        <v>1.2706000000000002E-2</v>
      </c>
      <c r="DY205" s="38">
        <f t="shared" si="394"/>
        <v>0</v>
      </c>
      <c r="DZ205" s="38">
        <f t="shared" si="395"/>
        <v>0</v>
      </c>
      <c r="EA205" s="38">
        <f t="shared" si="396"/>
        <v>0</v>
      </c>
      <c r="EB205" s="38">
        <f t="shared" si="397"/>
        <v>0</v>
      </c>
      <c r="EC205" s="38">
        <f t="shared" si="398"/>
        <v>0</v>
      </c>
      <c r="ED205" s="38">
        <f t="shared" si="399"/>
        <v>0</v>
      </c>
      <c r="EE205" s="38">
        <f t="shared" si="400"/>
        <v>7.1814</v>
      </c>
      <c r="EG205" s="38">
        <f t="shared" si="401"/>
        <v>1096.2</v>
      </c>
      <c r="EH205" s="38">
        <f t="shared" si="402"/>
        <v>0</v>
      </c>
      <c r="EI205" s="38">
        <f t="shared" si="403"/>
        <v>0</v>
      </c>
      <c r="EJ205" s="38">
        <f t="shared" si="404"/>
        <v>0</v>
      </c>
      <c r="EK205" s="38">
        <f t="shared" si="405"/>
        <v>0</v>
      </c>
      <c r="EL205" s="38">
        <f t="shared" si="406"/>
        <v>0</v>
      </c>
      <c r="EM205" s="38">
        <f t="shared" si="407"/>
        <v>0</v>
      </c>
      <c r="EN205" s="38">
        <f t="shared" si="408"/>
        <v>0</v>
      </c>
      <c r="EO205" s="38">
        <f t="shared" si="409"/>
        <v>0</v>
      </c>
      <c r="EP205" s="38">
        <f t="shared" si="410"/>
        <v>2171.2849800000004</v>
      </c>
      <c r="EQ205" s="38">
        <f t="shared" si="411"/>
        <v>922.70367194400001</v>
      </c>
      <c r="ER205" s="38">
        <f t="shared" si="412"/>
        <v>0</v>
      </c>
      <c r="ES205" s="38">
        <f t="shared" si="413"/>
        <v>0</v>
      </c>
      <c r="ET205" s="38">
        <f t="shared" si="414"/>
        <v>0</v>
      </c>
      <c r="EU205" s="38">
        <f t="shared" si="415"/>
        <v>0</v>
      </c>
      <c r="EV205" s="38">
        <f t="shared" si="416"/>
        <v>0</v>
      </c>
      <c r="EW205" s="38">
        <f t="shared" si="417"/>
        <v>0</v>
      </c>
      <c r="EX205" s="38">
        <f t="shared" si="418"/>
        <v>667.87019999999995</v>
      </c>
      <c r="EZ205" s="38">
        <f t="shared" si="419"/>
        <v>394.63200000000001</v>
      </c>
      <c r="FA205" s="38">
        <f t="shared" si="420"/>
        <v>0</v>
      </c>
      <c r="FB205" s="1">
        <f t="shared" si="421"/>
        <v>0</v>
      </c>
      <c r="FC205" s="1">
        <f t="shared" si="422"/>
        <v>0</v>
      </c>
      <c r="FD205" s="1">
        <f t="shared" si="423"/>
        <v>0</v>
      </c>
      <c r="FE205" s="1">
        <f t="shared" si="424"/>
        <v>0</v>
      </c>
      <c r="FF205" s="1">
        <f t="shared" si="425"/>
        <v>0</v>
      </c>
      <c r="FG205" s="1">
        <f t="shared" si="426"/>
        <v>0</v>
      </c>
      <c r="FH205" s="1">
        <f t="shared" si="427"/>
        <v>0</v>
      </c>
      <c r="FI205" s="1">
        <f t="shared" si="428"/>
        <v>0</v>
      </c>
      <c r="FJ205" s="1">
        <f t="shared" si="429"/>
        <v>0</v>
      </c>
      <c r="FK205" s="1">
        <f t="shared" si="430"/>
        <v>0</v>
      </c>
      <c r="FL205" s="1">
        <f t="shared" si="431"/>
        <v>0</v>
      </c>
      <c r="FM205" s="1">
        <f t="shared" si="432"/>
        <v>0</v>
      </c>
      <c r="FN205" s="1">
        <f t="shared" si="433"/>
        <v>0</v>
      </c>
      <c r="FO205" s="1">
        <f t="shared" si="434"/>
        <v>0</v>
      </c>
      <c r="FP205" s="1">
        <f t="shared" si="435"/>
        <v>0</v>
      </c>
      <c r="FQ205" s="1">
        <f t="shared" si="436"/>
        <v>0</v>
      </c>
      <c r="FS205" s="1">
        <f t="shared" si="437"/>
        <v>0</v>
      </c>
      <c r="FT205" s="1">
        <f t="shared" si="438"/>
        <v>0</v>
      </c>
      <c r="FU205" s="38">
        <f t="shared" si="439"/>
        <v>0</v>
      </c>
      <c r="FV205" s="38">
        <f t="shared" si="440"/>
        <v>0</v>
      </c>
      <c r="FW205" s="38">
        <f t="shared" si="441"/>
        <v>0</v>
      </c>
      <c r="FX205" s="38">
        <f t="shared" si="442"/>
        <v>0</v>
      </c>
      <c r="FY205" s="38">
        <f t="shared" si="443"/>
        <v>0</v>
      </c>
      <c r="FZ205" s="38">
        <f t="shared" si="444"/>
        <v>0</v>
      </c>
      <c r="GA205" s="38">
        <f t="shared" si="445"/>
        <v>0</v>
      </c>
      <c r="GB205" s="38">
        <f t="shared" si="446"/>
        <v>0</v>
      </c>
      <c r="GC205" s="38">
        <f t="shared" si="447"/>
        <v>0</v>
      </c>
      <c r="GD205" s="38">
        <f t="shared" si="448"/>
        <v>0</v>
      </c>
      <c r="GE205" s="38">
        <f t="shared" si="449"/>
        <v>0</v>
      </c>
      <c r="GF205" s="38">
        <f t="shared" si="450"/>
        <v>0</v>
      </c>
      <c r="GG205" s="38">
        <f t="shared" si="451"/>
        <v>0</v>
      </c>
      <c r="GH205" s="38">
        <f t="shared" si="452"/>
        <v>0</v>
      </c>
      <c r="GI205" s="38">
        <f t="shared" si="453"/>
        <v>0</v>
      </c>
      <c r="GJ205" s="38">
        <f t="shared" si="454"/>
        <v>0</v>
      </c>
      <c r="GL205" s="38">
        <f t="shared" si="455"/>
        <v>0</v>
      </c>
      <c r="GM205" s="38">
        <f t="shared" si="456"/>
        <v>0</v>
      </c>
      <c r="GN205" s="1" t="s">
        <v>2</v>
      </c>
      <c r="GO205" s="1">
        <f t="shared" si="464"/>
        <v>27.4</v>
      </c>
      <c r="GP205" s="13">
        <f t="shared" si="465"/>
        <v>0.60427007299270086</v>
      </c>
      <c r="GQ205" s="41">
        <f t="shared" si="466"/>
        <v>165.57000000000005</v>
      </c>
      <c r="GR205" s="41">
        <f t="shared" si="467"/>
        <v>4156.4908519440005</v>
      </c>
      <c r="GS205" s="14">
        <f t="shared" si="468"/>
        <v>151.69674642131389</v>
      </c>
      <c r="GT205" s="1">
        <f t="shared" si="457"/>
        <v>41.58</v>
      </c>
      <c r="GU205" s="1">
        <f t="shared" si="458"/>
        <v>74.790000000000006</v>
      </c>
      <c r="GV205" s="1">
        <f t="shared" si="459"/>
        <v>49.2</v>
      </c>
      <c r="GW205" s="37">
        <f t="shared" si="469"/>
        <v>0</v>
      </c>
      <c r="GX205" s="37"/>
      <c r="GY205" s="37"/>
      <c r="GZ205" s="37"/>
      <c r="HB205" s="1">
        <f t="shared" si="460"/>
        <v>0</v>
      </c>
      <c r="HC205" s="1">
        <f t="shared" si="461"/>
        <v>0</v>
      </c>
      <c r="HD205" s="37" t="s">
        <v>2</v>
      </c>
      <c r="HE205" s="1" t="s">
        <v>31</v>
      </c>
      <c r="HF205" s="1" t="s">
        <v>205</v>
      </c>
      <c r="HG205" s="1" t="s">
        <v>205</v>
      </c>
      <c r="HI205" s="1" t="s">
        <v>96</v>
      </c>
      <c r="HJ205" s="37" t="s">
        <v>2</v>
      </c>
      <c r="JH205" s="58" t="s">
        <v>2</v>
      </c>
    </row>
    <row r="206" spans="1:268" ht="16.25" customHeight="1" x14ac:dyDescent="0.2">
      <c r="A206" s="21" t="s">
        <v>619</v>
      </c>
      <c r="B206" s="1" t="s">
        <v>69</v>
      </c>
      <c r="F206" s="1" t="s">
        <v>611</v>
      </c>
      <c r="I206" s="1">
        <v>6.3</v>
      </c>
      <c r="Q206" s="1">
        <v>1.1499999999999999</v>
      </c>
      <c r="AD206" s="1">
        <f>53.8+39.6</f>
        <v>93.4</v>
      </c>
      <c r="AL206" s="13">
        <f>(1.21*53.8+1.49*39.6)/AD206</f>
        <v>1.3287152034261243</v>
      </c>
      <c r="AY206" s="1">
        <f>125+81.9</f>
        <v>206.9</v>
      </c>
      <c r="BG206" s="13">
        <f>(1.17*125+1.39*81.9)/AY206</f>
        <v>1.2570855485741905</v>
      </c>
      <c r="BT206" s="1">
        <v>0</v>
      </c>
      <c r="CO206" s="1">
        <v>0</v>
      </c>
      <c r="DJ206" s="1" t="s">
        <v>96</v>
      </c>
      <c r="DL206" s="1">
        <f t="shared" si="462"/>
        <v>1.276705805609915</v>
      </c>
      <c r="DM206" s="1">
        <f t="shared" si="463"/>
        <v>0</v>
      </c>
      <c r="DN206" s="1" t="s">
        <v>73</v>
      </c>
      <c r="DO206" s="1" t="s">
        <v>2</v>
      </c>
      <c r="DP206" s="38">
        <f t="shared" si="385"/>
        <v>0</v>
      </c>
      <c r="DQ206" s="38">
        <f t="shared" si="386"/>
        <v>0</v>
      </c>
      <c r="DR206" s="38">
        <f t="shared" si="387"/>
        <v>0</v>
      </c>
      <c r="DS206" s="38">
        <f t="shared" si="388"/>
        <v>0</v>
      </c>
      <c r="DT206" s="38">
        <f t="shared" si="389"/>
        <v>0</v>
      </c>
      <c r="DU206" s="38">
        <f t="shared" si="390"/>
        <v>0</v>
      </c>
      <c r="DV206" s="38">
        <f t="shared" si="391"/>
        <v>0</v>
      </c>
      <c r="DW206" s="38">
        <f t="shared" si="392"/>
        <v>3.91438</v>
      </c>
      <c r="DX206" s="38">
        <f t="shared" si="393"/>
        <v>0</v>
      </c>
      <c r="DY206" s="38">
        <f t="shared" si="394"/>
        <v>0</v>
      </c>
      <c r="DZ206" s="38">
        <f t="shared" si="395"/>
        <v>0</v>
      </c>
      <c r="EA206" s="38">
        <f t="shared" si="396"/>
        <v>0</v>
      </c>
      <c r="EB206" s="38">
        <f t="shared" si="397"/>
        <v>0</v>
      </c>
      <c r="EC206" s="38">
        <f t="shared" si="398"/>
        <v>0</v>
      </c>
      <c r="ED206" s="38">
        <f t="shared" si="399"/>
        <v>0</v>
      </c>
      <c r="EE206" s="38">
        <f t="shared" si="400"/>
        <v>0</v>
      </c>
      <c r="EG206" s="38">
        <f t="shared" si="401"/>
        <v>0</v>
      </c>
      <c r="EH206" s="38">
        <f t="shared" si="402"/>
        <v>0</v>
      </c>
      <c r="EI206" s="38">
        <f t="shared" si="403"/>
        <v>0</v>
      </c>
      <c r="EJ206" s="38">
        <f t="shared" si="404"/>
        <v>0</v>
      </c>
      <c r="EK206" s="38">
        <f t="shared" si="405"/>
        <v>0</v>
      </c>
      <c r="EL206" s="38">
        <f t="shared" si="406"/>
        <v>0</v>
      </c>
      <c r="EM206" s="38">
        <f t="shared" si="407"/>
        <v>0</v>
      </c>
      <c r="EN206" s="38">
        <f t="shared" si="408"/>
        <v>0</v>
      </c>
      <c r="EO206" s="38">
        <f t="shared" si="409"/>
        <v>0</v>
      </c>
      <c r="EP206" s="38">
        <f t="shared" si="410"/>
        <v>51333.179320000003</v>
      </c>
      <c r="EQ206" s="38">
        <f t="shared" si="411"/>
        <v>0</v>
      </c>
      <c r="ER206" s="38">
        <f t="shared" si="412"/>
        <v>0</v>
      </c>
      <c r="ES206" s="38">
        <f t="shared" si="413"/>
        <v>0</v>
      </c>
      <c r="ET206" s="38">
        <f t="shared" si="414"/>
        <v>0</v>
      </c>
      <c r="EU206" s="38">
        <f t="shared" si="415"/>
        <v>0</v>
      </c>
      <c r="EV206" s="38">
        <f t="shared" si="416"/>
        <v>0</v>
      </c>
      <c r="EW206" s="38">
        <f t="shared" si="417"/>
        <v>0</v>
      </c>
      <c r="EX206" s="38">
        <f t="shared" si="418"/>
        <v>0</v>
      </c>
      <c r="EZ206" s="38">
        <f t="shared" si="419"/>
        <v>0</v>
      </c>
      <c r="FA206" s="38">
        <f t="shared" si="420"/>
        <v>0</v>
      </c>
      <c r="FB206" s="1">
        <f t="shared" si="421"/>
        <v>0</v>
      </c>
      <c r="FC206" s="1">
        <f t="shared" si="422"/>
        <v>0</v>
      </c>
      <c r="FD206" s="1">
        <f t="shared" si="423"/>
        <v>0</v>
      </c>
      <c r="FE206" s="1">
        <f t="shared" si="424"/>
        <v>0</v>
      </c>
      <c r="FF206" s="1">
        <f t="shared" si="425"/>
        <v>0</v>
      </c>
      <c r="FG206" s="1">
        <f t="shared" si="426"/>
        <v>0</v>
      </c>
      <c r="FH206" s="1">
        <f t="shared" si="427"/>
        <v>0</v>
      </c>
      <c r="FI206" s="1">
        <f t="shared" si="428"/>
        <v>0</v>
      </c>
      <c r="FJ206" s="1">
        <f t="shared" si="429"/>
        <v>0</v>
      </c>
      <c r="FK206" s="1">
        <f t="shared" si="430"/>
        <v>0</v>
      </c>
      <c r="FL206" s="1">
        <f t="shared" si="431"/>
        <v>0</v>
      </c>
      <c r="FM206" s="1">
        <f t="shared" si="432"/>
        <v>0</v>
      </c>
      <c r="FN206" s="1">
        <f t="shared" si="433"/>
        <v>0</v>
      </c>
      <c r="FO206" s="1">
        <f t="shared" si="434"/>
        <v>0</v>
      </c>
      <c r="FP206" s="1">
        <f t="shared" si="435"/>
        <v>0</v>
      </c>
      <c r="FQ206" s="1">
        <f t="shared" si="436"/>
        <v>0</v>
      </c>
      <c r="FS206" s="1">
        <f t="shared" si="437"/>
        <v>0</v>
      </c>
      <c r="FT206" s="1">
        <f t="shared" si="438"/>
        <v>0</v>
      </c>
      <c r="FU206" s="38">
        <f t="shared" si="439"/>
        <v>0</v>
      </c>
      <c r="FV206" s="38">
        <f t="shared" si="440"/>
        <v>0</v>
      </c>
      <c r="FW206" s="38">
        <f t="shared" si="441"/>
        <v>0</v>
      </c>
      <c r="FX206" s="38">
        <f t="shared" si="442"/>
        <v>0</v>
      </c>
      <c r="FY206" s="38">
        <f t="shared" si="443"/>
        <v>0</v>
      </c>
      <c r="FZ206" s="38">
        <f t="shared" si="444"/>
        <v>0</v>
      </c>
      <c r="GA206" s="38">
        <f t="shared" si="445"/>
        <v>0</v>
      </c>
      <c r="GB206" s="38">
        <f t="shared" si="446"/>
        <v>0</v>
      </c>
      <c r="GC206" s="38">
        <f t="shared" si="447"/>
        <v>0</v>
      </c>
      <c r="GD206" s="38">
        <f t="shared" si="448"/>
        <v>0</v>
      </c>
      <c r="GE206" s="38">
        <f t="shared" si="449"/>
        <v>0</v>
      </c>
      <c r="GF206" s="38">
        <f t="shared" si="450"/>
        <v>0</v>
      </c>
      <c r="GG206" s="38">
        <f t="shared" si="451"/>
        <v>0</v>
      </c>
      <c r="GH206" s="38">
        <f t="shared" si="452"/>
        <v>0</v>
      </c>
      <c r="GI206" s="38">
        <f t="shared" si="453"/>
        <v>0</v>
      </c>
      <c r="GJ206" s="38">
        <f t="shared" si="454"/>
        <v>0</v>
      </c>
      <c r="GL206" s="38">
        <f t="shared" si="455"/>
        <v>0</v>
      </c>
      <c r="GM206" s="38">
        <f t="shared" si="456"/>
        <v>0</v>
      </c>
      <c r="GN206" s="1" t="s">
        <v>2</v>
      </c>
      <c r="GO206" s="1">
        <f t="shared" si="464"/>
        <v>306.60000000000002</v>
      </c>
      <c r="GP206" s="13">
        <f t="shared" si="465"/>
        <v>1.276705805609915</v>
      </c>
      <c r="GQ206" s="43">
        <f t="shared" si="466"/>
        <v>3914.3799999999992</v>
      </c>
      <c r="GR206" s="41">
        <f t="shared" si="467"/>
        <v>51333.179320000003</v>
      </c>
      <c r="GS206" s="14">
        <f t="shared" si="468"/>
        <v>167.42719934768428</v>
      </c>
      <c r="GT206" s="1">
        <f t="shared" si="457"/>
        <v>72.449999999999989</v>
      </c>
      <c r="GU206" s="1">
        <f t="shared" si="458"/>
        <v>1241.0200000000002</v>
      </c>
      <c r="GV206" s="1">
        <f t="shared" si="459"/>
        <v>2600.91</v>
      </c>
      <c r="GW206" s="37">
        <f t="shared" si="469"/>
        <v>0</v>
      </c>
      <c r="GX206" s="37"/>
      <c r="GY206" s="37"/>
      <c r="GZ206" s="37"/>
      <c r="HB206" s="1">
        <f t="shared" si="460"/>
        <v>0</v>
      </c>
      <c r="HC206" s="1">
        <f t="shared" si="461"/>
        <v>0</v>
      </c>
      <c r="HD206" s="37" t="s">
        <v>2</v>
      </c>
      <c r="HE206" s="1" t="s">
        <v>31</v>
      </c>
      <c r="HF206" s="1" t="s">
        <v>205</v>
      </c>
      <c r="HG206" s="1" t="s">
        <v>205</v>
      </c>
      <c r="HI206" s="1" t="s">
        <v>96</v>
      </c>
      <c r="HJ206" s="37" t="s">
        <v>2</v>
      </c>
      <c r="JH206" s="58" t="s">
        <v>2</v>
      </c>
    </row>
    <row r="207" spans="1:268" ht="16.25" customHeight="1" x14ac:dyDescent="0.2">
      <c r="A207" s="21" t="s">
        <v>1026</v>
      </c>
      <c r="B207" s="1" t="s">
        <v>69</v>
      </c>
      <c r="F207" s="1" t="s">
        <v>1027</v>
      </c>
      <c r="I207" s="1">
        <v>0</v>
      </c>
      <c r="AD207" s="1">
        <f>26.66+20.18</f>
        <v>46.84</v>
      </c>
      <c r="AE207" s="13">
        <f>(0.35*26.66+0.21*20.18)/AD207</f>
        <v>0.28968403074295473</v>
      </c>
      <c r="AF207" s="13">
        <f>(0.1*26.66+0.037*13.91+0*6.27)/AD207</f>
        <v>6.7904995730145176E-2</v>
      </c>
      <c r="AL207" s="13">
        <f>(1.13*26.66+2.19*20.18)/AD207</f>
        <v>1.5866780529461995</v>
      </c>
      <c r="AM207" s="13">
        <f>(0.17*26.66+0.06*20.18)/AD207</f>
        <v>0.12260888129803586</v>
      </c>
      <c r="AN207" s="13">
        <f>(0.394*26.66+0.197*13.91+0*6.27)/AD207</f>
        <v>0.2827564047822374</v>
      </c>
      <c r="AO207" s="13">
        <f>(0.778*26.66+0.323*13.91+0*6.27)/AD207</f>
        <v>0.53873633646456021</v>
      </c>
      <c r="AY207" s="1">
        <f>27.32+76.02</f>
        <v>103.34</v>
      </c>
      <c r="AZ207" s="13">
        <f>(0.24*27.32+0.15*76.02)/AY207</f>
        <v>0.1737933036578285</v>
      </c>
      <c r="BA207" s="13">
        <f>(0.103*0.71+0.102*8.45+0*14.66+0*3.5+0.045*3.3+0.047*15.94+0*41.3+0*15.48)/(0.71+8.45+14.66+3.5+3.3+15.94+41.3+15.48)</f>
        <v>1.7734759047803365E-2</v>
      </c>
      <c r="BG207" s="13">
        <f>(0.99*27.32+1.26*76.02)/AY207</f>
        <v>1.1886200890265144</v>
      </c>
      <c r="BH207" s="13">
        <f>(0.14*27.32+0.05*76.02)/AY207</f>
        <v>7.3793303657828518E-2</v>
      </c>
      <c r="BI207" s="13">
        <f>(0.498*0.71+0.356*8.45+0*14.66+0*3.5+0.191*3.3+0.145*15.94+0*41.3+0*15.48)/(0.71+8.45+14.66+3.5+3.3+15.94+41.3+15.48)</f>
        <v>6.0996516353783614E-2</v>
      </c>
      <c r="BJ207" s="13">
        <f>(0.606*0.71+0.792*8.45+0*14.66+0*3.5)/(0.71+8.45+14.66+3.5)</f>
        <v>0.26071229868228402</v>
      </c>
      <c r="BT207" s="1">
        <v>0</v>
      </c>
      <c r="CO207" s="1">
        <v>0</v>
      </c>
      <c r="DJ207" s="1" t="s">
        <v>96</v>
      </c>
      <c r="DK207" s="1" t="s">
        <v>96</v>
      </c>
      <c r="DL207" s="1">
        <f t="shared" si="462"/>
        <v>1.3127713410573976</v>
      </c>
      <c r="DM207" s="1">
        <f t="shared" si="463"/>
        <v>8.9018511119989346E-2</v>
      </c>
      <c r="DN207" s="1" t="s">
        <v>1028</v>
      </c>
      <c r="DO207" s="1" t="s">
        <v>2</v>
      </c>
      <c r="DP207" s="38">
        <f t="shared" si="385"/>
        <v>0.31528599999999996</v>
      </c>
      <c r="DQ207" s="38">
        <f t="shared" si="386"/>
        <v>5.0133799999999997</v>
      </c>
      <c r="DR207" s="38">
        <f t="shared" si="387"/>
        <v>0</v>
      </c>
      <c r="DS207" s="38">
        <f t="shared" si="388"/>
        <v>0</v>
      </c>
      <c r="DT207" s="38">
        <f t="shared" si="389"/>
        <v>0</v>
      </c>
      <c r="DU207" s="38">
        <f t="shared" si="390"/>
        <v>0</v>
      </c>
      <c r="DV207" s="38">
        <f t="shared" si="391"/>
        <v>0</v>
      </c>
      <c r="DW207" s="38">
        <f t="shared" si="392"/>
        <v>1.9715199999999999</v>
      </c>
      <c r="DX207" s="38">
        <f t="shared" si="393"/>
        <v>0.133688</v>
      </c>
      <c r="DY207" s="38">
        <f t="shared" si="394"/>
        <v>19.547689999999999</v>
      </c>
      <c r="DZ207" s="38">
        <f t="shared" si="395"/>
        <v>52.17641894582723</v>
      </c>
      <c r="EA207" s="38">
        <f t="shared" si="396"/>
        <v>0</v>
      </c>
      <c r="EB207" s="38">
        <f t="shared" si="397"/>
        <v>0</v>
      </c>
      <c r="EC207" s="38">
        <f t="shared" si="398"/>
        <v>0</v>
      </c>
      <c r="ED207" s="38">
        <f t="shared" si="399"/>
        <v>0</v>
      </c>
      <c r="EE207" s="38">
        <f t="shared" si="400"/>
        <v>0</v>
      </c>
      <c r="EG207" s="38">
        <f t="shared" si="401"/>
        <v>0</v>
      </c>
      <c r="EH207" s="38">
        <f t="shared" si="402"/>
        <v>0</v>
      </c>
      <c r="EI207" s="38">
        <f t="shared" si="403"/>
        <v>2057.4353661759997</v>
      </c>
      <c r="EJ207" s="38">
        <f t="shared" si="404"/>
        <v>205.04885401929258</v>
      </c>
      <c r="EK207" s="38">
        <f t="shared" si="405"/>
        <v>0</v>
      </c>
      <c r="EL207" s="38">
        <f t="shared" si="406"/>
        <v>0</v>
      </c>
      <c r="EM207" s="38">
        <f t="shared" si="407"/>
        <v>0</v>
      </c>
      <c r="EN207" s="38">
        <f t="shared" si="408"/>
        <v>0</v>
      </c>
      <c r="EO207" s="38">
        <f t="shared" si="409"/>
        <v>0</v>
      </c>
      <c r="EP207" s="38">
        <f t="shared" si="410"/>
        <v>25854.513279999999</v>
      </c>
      <c r="EQ207" s="38">
        <f t="shared" si="411"/>
        <v>9708.3589245119983</v>
      </c>
      <c r="ER207" s="38">
        <f t="shared" si="412"/>
        <v>554.78984100964612</v>
      </c>
      <c r="ES207" s="38">
        <f t="shared" si="413"/>
        <v>1738.8169095827564</v>
      </c>
      <c r="ET207" s="38">
        <f t="shared" si="414"/>
        <v>0</v>
      </c>
      <c r="EU207" s="38">
        <f t="shared" si="415"/>
        <v>0</v>
      </c>
      <c r="EV207" s="38">
        <f t="shared" si="416"/>
        <v>0</v>
      </c>
      <c r="EW207" s="38">
        <f t="shared" si="417"/>
        <v>0</v>
      </c>
      <c r="EX207" s="38">
        <f t="shared" si="418"/>
        <v>0</v>
      </c>
      <c r="EZ207" s="38">
        <f t="shared" si="419"/>
        <v>0</v>
      </c>
      <c r="FA207" s="38">
        <f t="shared" si="420"/>
        <v>0</v>
      </c>
      <c r="FB207" s="1">
        <f t="shared" si="421"/>
        <v>0</v>
      </c>
      <c r="FC207" s="1">
        <f t="shared" si="422"/>
        <v>0</v>
      </c>
      <c r="FD207" s="1">
        <f t="shared" si="423"/>
        <v>0</v>
      </c>
      <c r="FE207" s="1">
        <f t="shared" si="424"/>
        <v>0</v>
      </c>
      <c r="FF207" s="1">
        <f t="shared" si="425"/>
        <v>0</v>
      </c>
      <c r="FG207" s="1">
        <f t="shared" si="426"/>
        <v>0</v>
      </c>
      <c r="FH207" s="1">
        <f t="shared" si="427"/>
        <v>0</v>
      </c>
      <c r="FI207" s="1">
        <f t="shared" si="428"/>
        <v>0</v>
      </c>
      <c r="FJ207" s="1">
        <f t="shared" si="429"/>
        <v>0</v>
      </c>
      <c r="FK207" s="1">
        <f t="shared" si="430"/>
        <v>0</v>
      </c>
      <c r="FL207" s="1">
        <f t="shared" si="431"/>
        <v>0</v>
      </c>
      <c r="FM207" s="1">
        <f t="shared" si="432"/>
        <v>0</v>
      </c>
      <c r="FN207" s="1">
        <f t="shared" si="433"/>
        <v>0</v>
      </c>
      <c r="FO207" s="1">
        <f t="shared" si="434"/>
        <v>0</v>
      </c>
      <c r="FP207" s="1">
        <f t="shared" si="435"/>
        <v>0</v>
      </c>
      <c r="FQ207" s="1">
        <f t="shared" si="436"/>
        <v>0</v>
      </c>
      <c r="FS207" s="1">
        <f t="shared" si="437"/>
        <v>0</v>
      </c>
      <c r="FT207" s="1">
        <f t="shared" si="438"/>
        <v>0</v>
      </c>
      <c r="FU207" s="38">
        <f t="shared" si="439"/>
        <v>0</v>
      </c>
      <c r="FV207" s="38">
        <f t="shared" si="440"/>
        <v>0</v>
      </c>
      <c r="FW207" s="38">
        <f t="shared" si="441"/>
        <v>0</v>
      </c>
      <c r="FX207" s="38">
        <f t="shared" si="442"/>
        <v>0</v>
      </c>
      <c r="FY207" s="38">
        <f t="shared" si="443"/>
        <v>0</v>
      </c>
      <c r="FZ207" s="38">
        <f t="shared" si="444"/>
        <v>0</v>
      </c>
      <c r="GA207" s="38">
        <f t="shared" si="445"/>
        <v>0</v>
      </c>
      <c r="GB207" s="38">
        <f t="shared" si="446"/>
        <v>0</v>
      </c>
      <c r="GC207" s="38">
        <f t="shared" si="447"/>
        <v>0</v>
      </c>
      <c r="GD207" s="38">
        <f t="shared" si="448"/>
        <v>0</v>
      </c>
      <c r="GE207" s="38">
        <f t="shared" si="449"/>
        <v>0</v>
      </c>
      <c r="GF207" s="38">
        <f t="shared" si="450"/>
        <v>0</v>
      </c>
      <c r="GG207" s="38">
        <f t="shared" si="451"/>
        <v>0</v>
      </c>
      <c r="GH207" s="38">
        <f t="shared" si="452"/>
        <v>0</v>
      </c>
      <c r="GI207" s="38">
        <f t="shared" si="453"/>
        <v>0</v>
      </c>
      <c r="GJ207" s="38">
        <f t="shared" si="454"/>
        <v>0</v>
      </c>
      <c r="GL207" s="38">
        <f t="shared" si="455"/>
        <v>0</v>
      </c>
      <c r="GM207" s="38">
        <f t="shared" si="456"/>
        <v>0</v>
      </c>
      <c r="GN207" s="1" t="s">
        <v>2</v>
      </c>
      <c r="GO207" s="14">
        <f t="shared" si="464"/>
        <v>150.18</v>
      </c>
      <c r="GP207" s="13">
        <f t="shared" si="465"/>
        <v>1.3127713410573976</v>
      </c>
      <c r="GQ207" s="43">
        <f t="shared" si="466"/>
        <v>1971.5199999999998</v>
      </c>
      <c r="GR207" s="41">
        <f t="shared" si="467"/>
        <v>40118.963175299694</v>
      </c>
      <c r="GS207" s="14">
        <f t="shared" si="468"/>
        <v>267.13918747702553</v>
      </c>
      <c r="GT207" s="1">
        <f t="shared" si="457"/>
        <v>0</v>
      </c>
      <c r="GU207" s="1">
        <f t="shared" si="458"/>
        <v>743.2</v>
      </c>
      <c r="GV207" s="1">
        <f t="shared" si="459"/>
        <v>1228.3200000000002</v>
      </c>
      <c r="GW207" s="37">
        <f t="shared" si="469"/>
        <v>0</v>
      </c>
      <c r="GX207" s="37"/>
      <c r="GY207" s="37"/>
      <c r="GZ207" s="37"/>
      <c r="HB207" s="1">
        <f t="shared" si="460"/>
        <v>0</v>
      </c>
      <c r="HC207" s="1">
        <f t="shared" si="461"/>
        <v>0</v>
      </c>
      <c r="HD207" s="37" t="s">
        <v>2</v>
      </c>
      <c r="HE207" s="1" t="s">
        <v>31</v>
      </c>
      <c r="HF207" s="1" t="s">
        <v>506</v>
      </c>
      <c r="HG207" s="1" t="s">
        <v>506</v>
      </c>
      <c r="HI207" s="1" t="s">
        <v>96</v>
      </c>
      <c r="HJ207" s="37" t="s">
        <v>2</v>
      </c>
      <c r="JH207" s="58" t="s">
        <v>2</v>
      </c>
    </row>
    <row r="208" spans="1:268" ht="16.25" customHeight="1" x14ac:dyDescent="0.2">
      <c r="A208" s="21" t="s">
        <v>1132</v>
      </c>
      <c r="B208" s="1" t="s">
        <v>64</v>
      </c>
      <c r="F208" s="1" t="s">
        <v>1133</v>
      </c>
      <c r="H208" s="1" t="s">
        <v>204</v>
      </c>
      <c r="I208" s="1">
        <f>3.96+11.98+9.09+4.47+1.9+1.54+0.58+0.09+0.58</f>
        <v>34.19</v>
      </c>
      <c r="Q208" s="13">
        <f>(1.13*3.96+0.88*11.98+1.15*9.09+0.88*4.47+1.06*1.9+1.17*1.54+1.33*0.58+1.26*0.09+1.33*0.58)/I208</f>
        <v>1.0200731207955542</v>
      </c>
      <c r="R208" s="13">
        <f>(0.15*3.96+0.14*11.98+0.11*9.09+0.11*4.47+0.11*1.9+0.11*1.54+0.13*0.58+0.14*0.09+0.13*0.58)/I208</f>
        <v>0.12590231061713955</v>
      </c>
      <c r="Y208" s="14">
        <f>(46.79*3.96+47.44*11.98+45.43*9.09+44.09*4.47+43.27*1.9+41.86*1.54+41.7*0.58+47.2*0.09+41.7*0.58)/I208</f>
        <v>45.713892951155309</v>
      </c>
      <c r="AD208" s="1">
        <f>0+2.5+2.51+6.02+0.43+0.19</f>
        <v>11.649999999999999</v>
      </c>
      <c r="AL208" s="13">
        <f>(0+0.84*2.5+1.18*2.51+0.81*6.02+0.93*0.43+1.19*0.19)/AD208</f>
        <v>0.90678111587982846</v>
      </c>
      <c r="AM208" s="13">
        <f>(0+0.14*2.5+0.11*2.51+0.1*6.02+0.11*0.43+0.11*0.19)/AD208</f>
        <v>0.11127038626609441</v>
      </c>
      <c r="AT208" s="14">
        <f>(0+47.01*2.5+45.01*2.51+43.22*6.02+43.68*0.43+41.58*0.19)/AD208</f>
        <v>44.409193133047211</v>
      </c>
      <c r="AY208" s="1">
        <f>3.76+0.57+1.71+2.41+0.34+0</f>
        <v>8.7899999999999991</v>
      </c>
      <c r="BG208" s="13">
        <f>(1.16*3.76+0.9*0.57+0.98*1.71+0.74*2.41+0.96*0.34+0)/AY208</f>
        <v>0.98523321956769039</v>
      </c>
      <c r="BH208" s="13">
        <f>(0.15*3.76+0.16*0.57+0.12*1.71+0.1*2.41+0.12*0.34+0)/AY208</f>
        <v>0.12994311717861207</v>
      </c>
      <c r="BO208" s="14">
        <f>(46.33*3.76+47.09*0.57+45.02*1.71+43.13*2.41+43.93*0.34+0)/AY208</f>
        <v>45.154243458475541</v>
      </c>
      <c r="BT208" s="1">
        <f>3.5+2.2+0.8+1.1+0.8</f>
        <v>8.4</v>
      </c>
      <c r="CB208" s="13">
        <f>(1.08*3.5+1.05*2.2+1.04*0.8+1.17*1.1+1.32*0.8)/BT208</f>
        <v>1.1029761904761906</v>
      </c>
      <c r="CC208" s="13">
        <f>(0.14*3.5+0.14*2.2+0.12*0.8+0.11*1.1+0.12*0.8)/BT208</f>
        <v>0.13226190476190477</v>
      </c>
      <c r="CJ208" s="14">
        <f>(44.56*3.5+45*2.2+41.36*0.8+40.69*1.1+39.43*0.8)/BT208</f>
        <v>43.375119047619052</v>
      </c>
      <c r="CO208" s="1">
        <f>0+0.4+0.5+0.2+0.1</f>
        <v>1.2000000000000002</v>
      </c>
      <c r="CW208" s="13">
        <f>(0+1.12*0.4+1.03*0.5+1.1*0.2+1.4*0.1)/CO208</f>
        <v>1.1024999999999998</v>
      </c>
      <c r="CX208" s="13">
        <f>(0+0.13*0.4+0.12*0.5+0.13*0.2+0.13*0.1)/CO208</f>
        <v>0.12583333333333332</v>
      </c>
      <c r="DE208" s="14">
        <f>(0+44.14*0.4+40.16*0.5+41.17*0.2+39.52*0.1)/CO208</f>
        <v>41.601666666666667</v>
      </c>
      <c r="DJ208" s="1" t="s">
        <v>96</v>
      </c>
      <c r="DK208" s="1" t="s">
        <v>96</v>
      </c>
      <c r="DL208" s="1">
        <f t="shared" si="462"/>
        <v>0.99030752333882477</v>
      </c>
      <c r="DM208" s="1">
        <f t="shared" si="463"/>
        <v>0.12343218012081275</v>
      </c>
      <c r="DN208" s="1" t="s">
        <v>1134</v>
      </c>
      <c r="DO208" s="1" t="s">
        <v>2</v>
      </c>
      <c r="DP208" s="38">
        <f t="shared" si="385"/>
        <v>0</v>
      </c>
      <c r="DQ208" s="38">
        <f t="shared" si="386"/>
        <v>0</v>
      </c>
      <c r="DR208" s="38">
        <f t="shared" si="387"/>
        <v>0</v>
      </c>
      <c r="DS208" s="38">
        <f t="shared" si="388"/>
        <v>0</v>
      </c>
      <c r="DT208" s="38">
        <f t="shared" si="389"/>
        <v>0</v>
      </c>
      <c r="DU208" s="38">
        <f t="shared" si="390"/>
        <v>0</v>
      </c>
      <c r="DV208" s="38">
        <f t="shared" si="391"/>
        <v>0</v>
      </c>
      <c r="DW208" s="38">
        <f t="shared" si="392"/>
        <v>0.54100499999999985</v>
      </c>
      <c r="DX208" s="38">
        <f t="shared" si="393"/>
        <v>6.7431000000000005E-2</v>
      </c>
      <c r="DY208" s="38">
        <f t="shared" si="394"/>
        <v>0</v>
      </c>
      <c r="DZ208" s="38">
        <f t="shared" si="395"/>
        <v>0</v>
      </c>
      <c r="EA208" s="38">
        <f t="shared" si="396"/>
        <v>0</v>
      </c>
      <c r="EB208" s="38">
        <f t="shared" si="397"/>
        <v>0</v>
      </c>
      <c r="EC208" s="38">
        <f t="shared" si="398"/>
        <v>0</v>
      </c>
      <c r="ED208" s="38">
        <f t="shared" si="399"/>
        <v>0</v>
      </c>
      <c r="EE208" s="38">
        <f t="shared" si="400"/>
        <v>24.772309</v>
      </c>
      <c r="EG208" s="38">
        <f t="shared" si="401"/>
        <v>0</v>
      </c>
      <c r="EH208" s="38">
        <f t="shared" si="402"/>
        <v>0</v>
      </c>
      <c r="EI208" s="38">
        <f t="shared" si="403"/>
        <v>0</v>
      </c>
      <c r="EJ208" s="38">
        <f t="shared" si="404"/>
        <v>0</v>
      </c>
      <c r="EK208" s="38">
        <f t="shared" si="405"/>
        <v>0</v>
      </c>
      <c r="EL208" s="38">
        <f t="shared" si="406"/>
        <v>0</v>
      </c>
      <c r="EM208" s="38">
        <f t="shared" si="407"/>
        <v>0</v>
      </c>
      <c r="EN208" s="38">
        <f t="shared" si="408"/>
        <v>0</v>
      </c>
      <c r="EO208" s="38">
        <f t="shared" si="409"/>
        <v>0</v>
      </c>
      <c r="EP208" s="38">
        <f t="shared" si="410"/>
        <v>7094.7395699999979</v>
      </c>
      <c r="EQ208" s="38">
        <f t="shared" si="411"/>
        <v>4896.8071228439994</v>
      </c>
      <c r="ER208" s="38">
        <f t="shared" si="412"/>
        <v>0</v>
      </c>
      <c r="ES208" s="38">
        <f t="shared" si="413"/>
        <v>0</v>
      </c>
      <c r="ET208" s="38">
        <f t="shared" si="414"/>
        <v>0</v>
      </c>
      <c r="EU208" s="38">
        <f t="shared" si="415"/>
        <v>0</v>
      </c>
      <c r="EV208" s="38">
        <f t="shared" si="416"/>
        <v>0</v>
      </c>
      <c r="EW208" s="38">
        <f t="shared" si="417"/>
        <v>0</v>
      </c>
      <c r="EX208" s="38">
        <f t="shared" si="418"/>
        <v>2303.8247369999999</v>
      </c>
      <c r="EZ208" s="38">
        <f t="shared" si="419"/>
        <v>0</v>
      </c>
      <c r="FA208" s="38">
        <f t="shared" si="420"/>
        <v>0</v>
      </c>
      <c r="FB208" s="1">
        <f t="shared" si="421"/>
        <v>0</v>
      </c>
      <c r="FC208" s="1">
        <f t="shared" si="422"/>
        <v>0</v>
      </c>
      <c r="FD208" s="1">
        <f t="shared" si="423"/>
        <v>0</v>
      </c>
      <c r="FE208" s="1">
        <f t="shared" si="424"/>
        <v>0</v>
      </c>
      <c r="FF208" s="1">
        <f t="shared" si="425"/>
        <v>0</v>
      </c>
      <c r="FG208" s="1">
        <f t="shared" si="426"/>
        <v>0</v>
      </c>
      <c r="FH208" s="1">
        <f t="shared" si="427"/>
        <v>0</v>
      </c>
      <c r="FI208" s="1">
        <f t="shared" si="428"/>
        <v>0.10588000000000002</v>
      </c>
      <c r="FJ208" s="1">
        <f t="shared" si="429"/>
        <v>1.2620000000000003E-2</v>
      </c>
      <c r="FK208" s="1">
        <f t="shared" si="430"/>
        <v>0</v>
      </c>
      <c r="FL208" s="1">
        <f t="shared" si="431"/>
        <v>0</v>
      </c>
      <c r="FM208" s="1">
        <f t="shared" si="432"/>
        <v>0</v>
      </c>
      <c r="FN208" s="1">
        <f t="shared" si="433"/>
        <v>0</v>
      </c>
      <c r="FO208" s="1">
        <f t="shared" si="434"/>
        <v>0</v>
      </c>
      <c r="FP208" s="1">
        <f t="shared" si="435"/>
        <v>0</v>
      </c>
      <c r="FQ208" s="1">
        <f t="shared" si="436"/>
        <v>4.1427300000000011</v>
      </c>
      <c r="FS208" s="1">
        <f t="shared" si="437"/>
        <v>0</v>
      </c>
      <c r="FT208" s="1">
        <f t="shared" si="438"/>
        <v>0</v>
      </c>
      <c r="FU208" s="38">
        <f t="shared" si="439"/>
        <v>0</v>
      </c>
      <c r="FV208" s="38">
        <f t="shared" si="440"/>
        <v>0</v>
      </c>
      <c r="FW208" s="38">
        <f t="shared" si="441"/>
        <v>0</v>
      </c>
      <c r="FX208" s="38">
        <f t="shared" si="442"/>
        <v>0</v>
      </c>
      <c r="FY208" s="38">
        <f t="shared" si="443"/>
        <v>0</v>
      </c>
      <c r="FZ208" s="38">
        <f t="shared" si="444"/>
        <v>0</v>
      </c>
      <c r="GA208" s="38">
        <f t="shared" si="445"/>
        <v>0</v>
      </c>
      <c r="GB208" s="38">
        <f t="shared" si="446"/>
        <v>1388.5103200000003</v>
      </c>
      <c r="GC208" s="38">
        <f t="shared" si="447"/>
        <v>916.45839288000013</v>
      </c>
      <c r="GD208" s="38">
        <f t="shared" si="448"/>
        <v>0</v>
      </c>
      <c r="GE208" s="38">
        <f t="shared" si="449"/>
        <v>0</v>
      </c>
      <c r="GF208" s="38">
        <f t="shared" si="450"/>
        <v>0</v>
      </c>
      <c r="GG208" s="38">
        <f t="shared" si="451"/>
        <v>0</v>
      </c>
      <c r="GH208" s="38">
        <f t="shared" si="452"/>
        <v>0</v>
      </c>
      <c r="GI208" s="38">
        <f t="shared" si="453"/>
        <v>0</v>
      </c>
      <c r="GJ208" s="38">
        <f t="shared" si="454"/>
        <v>385.27389000000011</v>
      </c>
      <c r="GL208" s="38">
        <f t="shared" si="455"/>
        <v>0</v>
      </c>
      <c r="GM208" s="38">
        <f t="shared" si="456"/>
        <v>0</v>
      </c>
      <c r="GN208" s="1" t="s">
        <v>2</v>
      </c>
      <c r="GO208" s="1">
        <f t="shared" si="464"/>
        <v>54.629999999999995</v>
      </c>
      <c r="GP208" s="13">
        <f t="shared" si="465"/>
        <v>0.99030752333882477</v>
      </c>
      <c r="GQ208" s="41">
        <f t="shared" si="466"/>
        <v>541.00499999999988</v>
      </c>
      <c r="GR208" s="41">
        <f t="shared" si="467"/>
        <v>14295.371429843995</v>
      </c>
      <c r="GS208" s="14">
        <f t="shared" si="468"/>
        <v>261.67621141943982</v>
      </c>
      <c r="GT208" s="1">
        <f t="shared" si="457"/>
        <v>348.76299999999998</v>
      </c>
      <c r="GU208" s="1">
        <f t="shared" si="458"/>
        <v>105.64</v>
      </c>
      <c r="GV208" s="1">
        <f t="shared" si="459"/>
        <v>86.601999999999975</v>
      </c>
      <c r="GW208" s="37">
        <f t="shared" si="469"/>
        <v>9.6000000000000014</v>
      </c>
      <c r="GX208" s="44">
        <f>(BT208*CB208+CO208*CW208)/GW208</f>
        <v>1.1029166666666665</v>
      </c>
      <c r="GY208" s="41">
        <f>1000*GW208*GX208/100</f>
        <v>105.88</v>
      </c>
      <c r="GZ208" s="41">
        <f>SUM(FU208:GM208)</f>
        <v>2690.2426028800005</v>
      </c>
      <c r="HA208" s="14">
        <f>GZ208/GW208</f>
        <v>280.23360446666669</v>
      </c>
      <c r="HB208" s="1">
        <f t="shared" si="460"/>
        <v>92.65</v>
      </c>
      <c r="HC208" s="1">
        <f t="shared" si="461"/>
        <v>13.23</v>
      </c>
      <c r="HD208" s="37" t="s">
        <v>2</v>
      </c>
      <c r="HE208" s="1" t="s">
        <v>31</v>
      </c>
      <c r="HF208" s="1" t="s">
        <v>205</v>
      </c>
      <c r="HG208" s="1" t="s">
        <v>205</v>
      </c>
      <c r="HI208" s="1" t="s">
        <v>96</v>
      </c>
      <c r="HJ208" s="37" t="s">
        <v>2</v>
      </c>
      <c r="JH208" s="58" t="s">
        <v>2</v>
      </c>
    </row>
    <row r="209" spans="1:268" ht="16.25" customHeight="1" x14ac:dyDescent="0.2">
      <c r="A209" s="21" t="s">
        <v>1135</v>
      </c>
      <c r="B209" s="1" t="s">
        <v>64</v>
      </c>
      <c r="F209" s="1" t="s">
        <v>1133</v>
      </c>
      <c r="H209" s="1" t="s">
        <v>204</v>
      </c>
      <c r="I209" s="1">
        <f>31.06+21.37</f>
        <v>52.43</v>
      </c>
      <c r="Q209" s="13">
        <f>(1.01*31.06+1.15*21.37)/I209</f>
        <v>1.0670627503337784</v>
      </c>
      <c r="R209" s="13">
        <f>(0.13*31.06+0.12*21.37)/I209</f>
        <v>0.12592408926187298</v>
      </c>
      <c r="Y209" s="14">
        <f>(44.44*31.06+43.13*21.37)/I209</f>
        <v>43.906055693305355</v>
      </c>
      <c r="AD209" s="1">
        <f>8.82+13.35</f>
        <v>22.17</v>
      </c>
      <c r="AL209" s="13">
        <f>(0.95*8.82+0.99*13.35)/AD209</f>
        <v>0.97408660351826792</v>
      </c>
      <c r="AM209" s="13">
        <f>(0.12*8.82+0.11*13.35)/AD209</f>
        <v>0.113978349120433</v>
      </c>
      <c r="AT209" s="14">
        <f>(43.35*8.82+41.6*13.35)/AD209</f>
        <v>42.29621109607578</v>
      </c>
      <c r="AY209" s="1">
        <f>11.58+3.85</f>
        <v>15.43</v>
      </c>
      <c r="BG209" s="13">
        <f>(0.88*11.58+1.05*3.85)/AY209</f>
        <v>0.92241736876215175</v>
      </c>
      <c r="BH209" s="13">
        <f>(0.13*11.58+0.11*3.85)/AY209</f>
        <v>0.12500972132209981</v>
      </c>
      <c r="BO209" s="14">
        <f>(43.53*11.58+40.88*3.85)/AY209</f>
        <v>42.86878807517823</v>
      </c>
      <c r="BT209" s="1">
        <f>12.9+13.2</f>
        <v>26.1</v>
      </c>
      <c r="CB209" s="13">
        <f>(1.17*12.9+1.21*13.2)/BT209</f>
        <v>1.1902298850574711</v>
      </c>
      <c r="CC209" s="13">
        <f>(0.13*12.9+0.12*13.2)/BT209</f>
        <v>0.12494252873563218</v>
      </c>
      <c r="CJ209" s="14">
        <f>(41.91*12.9+41.16*13.2)/BT209</f>
        <v>41.530689655172409</v>
      </c>
      <c r="CO209" s="1">
        <f>2.9+5</f>
        <v>7.9</v>
      </c>
      <c r="CW209" s="13">
        <f>(1.13*2.9+1.14*5)/CO209</f>
        <v>1.1363291139240503</v>
      </c>
      <c r="CX209" s="13">
        <f>(0.12*2.9+0.12*5)/CO209</f>
        <v>0.12</v>
      </c>
      <c r="DE209" s="14">
        <f>(40.62*12.9+39.72*5)/CO209</f>
        <v>91.468101265822781</v>
      </c>
      <c r="DJ209" s="1" t="s">
        <v>96</v>
      </c>
      <c r="DK209" s="1" t="s">
        <v>96</v>
      </c>
      <c r="DL209" s="1">
        <f t="shared" si="462"/>
        <v>1.0193768743752083</v>
      </c>
      <c r="DM209" s="1">
        <f t="shared" si="463"/>
        <v>0.12282572475841388</v>
      </c>
      <c r="DN209" s="1" t="s">
        <v>1134</v>
      </c>
      <c r="DO209" s="1" t="s">
        <v>2</v>
      </c>
      <c r="DP209" s="38">
        <f t="shared" si="385"/>
        <v>0</v>
      </c>
      <c r="DQ209" s="38">
        <f t="shared" si="386"/>
        <v>0</v>
      </c>
      <c r="DR209" s="38">
        <f t="shared" si="387"/>
        <v>0</v>
      </c>
      <c r="DS209" s="38">
        <f t="shared" si="388"/>
        <v>0</v>
      </c>
      <c r="DT209" s="38">
        <f t="shared" si="389"/>
        <v>0</v>
      </c>
      <c r="DU209" s="38">
        <f t="shared" si="390"/>
        <v>0</v>
      </c>
      <c r="DV209" s="38">
        <f t="shared" si="391"/>
        <v>0</v>
      </c>
      <c r="DW209" s="38">
        <f t="shared" si="392"/>
        <v>0.91774500000000003</v>
      </c>
      <c r="DX209" s="38">
        <f t="shared" si="393"/>
        <v>0.11058000000000001</v>
      </c>
      <c r="DY209" s="38">
        <f t="shared" si="394"/>
        <v>0</v>
      </c>
      <c r="DZ209" s="38">
        <f t="shared" si="395"/>
        <v>0</v>
      </c>
      <c r="EA209" s="38">
        <f t="shared" si="396"/>
        <v>0</v>
      </c>
      <c r="EB209" s="38">
        <f t="shared" si="397"/>
        <v>0</v>
      </c>
      <c r="EC209" s="38">
        <f t="shared" si="398"/>
        <v>0</v>
      </c>
      <c r="ED209" s="38">
        <f t="shared" si="399"/>
        <v>0</v>
      </c>
      <c r="EE209" s="38">
        <f t="shared" si="400"/>
        <v>39.011669000000005</v>
      </c>
      <c r="EG209" s="38">
        <f t="shared" si="401"/>
        <v>0</v>
      </c>
      <c r="EH209" s="38">
        <f t="shared" si="402"/>
        <v>0</v>
      </c>
      <c r="EI209" s="38">
        <f t="shared" si="403"/>
        <v>0</v>
      </c>
      <c r="EJ209" s="38">
        <f t="shared" si="404"/>
        <v>0</v>
      </c>
      <c r="EK209" s="38">
        <f t="shared" si="405"/>
        <v>0</v>
      </c>
      <c r="EL209" s="38">
        <f t="shared" si="406"/>
        <v>0</v>
      </c>
      <c r="EM209" s="38">
        <f t="shared" si="407"/>
        <v>0</v>
      </c>
      <c r="EN209" s="38">
        <f t="shared" si="408"/>
        <v>0</v>
      </c>
      <c r="EO209" s="38">
        <f t="shared" si="409"/>
        <v>0</v>
      </c>
      <c r="EP209" s="38">
        <f t="shared" si="410"/>
        <v>12035.307930000001</v>
      </c>
      <c r="EQ209" s="38">
        <f t="shared" si="411"/>
        <v>8030.2669639199994</v>
      </c>
      <c r="ER209" s="38">
        <f t="shared" si="412"/>
        <v>0</v>
      </c>
      <c r="ES209" s="38">
        <f t="shared" si="413"/>
        <v>0</v>
      </c>
      <c r="ET209" s="38">
        <f t="shared" si="414"/>
        <v>0</v>
      </c>
      <c r="EU209" s="38">
        <f t="shared" si="415"/>
        <v>0</v>
      </c>
      <c r="EV209" s="38">
        <f t="shared" si="416"/>
        <v>0</v>
      </c>
      <c r="EW209" s="38">
        <f t="shared" si="417"/>
        <v>0</v>
      </c>
      <c r="EX209" s="38">
        <f t="shared" si="418"/>
        <v>3628.0852170000003</v>
      </c>
      <c r="EZ209" s="38">
        <f t="shared" si="419"/>
        <v>0</v>
      </c>
      <c r="FA209" s="38">
        <f t="shared" si="420"/>
        <v>0</v>
      </c>
      <c r="FB209" s="1">
        <f t="shared" si="421"/>
        <v>0</v>
      </c>
      <c r="FC209" s="1">
        <f t="shared" si="422"/>
        <v>0</v>
      </c>
      <c r="FD209" s="1">
        <f t="shared" si="423"/>
        <v>0</v>
      </c>
      <c r="FE209" s="1">
        <f t="shared" si="424"/>
        <v>0</v>
      </c>
      <c r="FF209" s="1">
        <f t="shared" si="425"/>
        <v>0</v>
      </c>
      <c r="FG209" s="1">
        <f t="shared" si="426"/>
        <v>0</v>
      </c>
      <c r="FH209" s="1">
        <f t="shared" si="427"/>
        <v>0</v>
      </c>
      <c r="FI209" s="1">
        <f t="shared" si="428"/>
        <v>0.40041999999999994</v>
      </c>
      <c r="FJ209" s="1">
        <f t="shared" si="429"/>
        <v>4.2089999999999995E-2</v>
      </c>
      <c r="FK209" s="1">
        <f t="shared" si="430"/>
        <v>0</v>
      </c>
      <c r="FL209" s="1">
        <f t="shared" si="431"/>
        <v>0</v>
      </c>
      <c r="FM209" s="1">
        <f t="shared" si="432"/>
        <v>0</v>
      </c>
      <c r="FN209" s="1">
        <f t="shared" si="433"/>
        <v>0</v>
      </c>
      <c r="FO209" s="1">
        <f t="shared" si="434"/>
        <v>0</v>
      </c>
      <c r="FP209" s="1">
        <f t="shared" si="435"/>
        <v>0</v>
      </c>
      <c r="FQ209" s="1">
        <f t="shared" si="436"/>
        <v>18.06549</v>
      </c>
      <c r="FS209" s="1">
        <f t="shared" si="437"/>
        <v>0</v>
      </c>
      <c r="FT209" s="1">
        <f t="shared" si="438"/>
        <v>0</v>
      </c>
      <c r="FU209" s="38">
        <f t="shared" si="439"/>
        <v>0</v>
      </c>
      <c r="FV209" s="38">
        <f t="shared" si="440"/>
        <v>0</v>
      </c>
      <c r="FW209" s="38">
        <f t="shared" si="441"/>
        <v>0</v>
      </c>
      <c r="FX209" s="38">
        <f t="shared" si="442"/>
        <v>0</v>
      </c>
      <c r="FY209" s="38">
        <f t="shared" si="443"/>
        <v>0</v>
      </c>
      <c r="FZ209" s="38">
        <f t="shared" si="444"/>
        <v>0</v>
      </c>
      <c r="GA209" s="38">
        <f t="shared" si="445"/>
        <v>0</v>
      </c>
      <c r="GB209" s="38">
        <f t="shared" si="446"/>
        <v>5251.1078799999996</v>
      </c>
      <c r="GC209" s="38">
        <f t="shared" si="447"/>
        <v>3056.5557651599993</v>
      </c>
      <c r="GD209" s="38">
        <f t="shared" si="448"/>
        <v>0</v>
      </c>
      <c r="GE209" s="38">
        <f t="shared" si="449"/>
        <v>0</v>
      </c>
      <c r="GF209" s="38">
        <f t="shared" si="450"/>
        <v>0</v>
      </c>
      <c r="GG209" s="38">
        <f t="shared" si="451"/>
        <v>0</v>
      </c>
      <c r="GH209" s="38">
        <f t="shared" si="452"/>
        <v>0</v>
      </c>
      <c r="GI209" s="38">
        <f t="shared" si="453"/>
        <v>0</v>
      </c>
      <c r="GJ209" s="38">
        <f t="shared" si="454"/>
        <v>1680.0905700000001</v>
      </c>
      <c r="GL209" s="38">
        <f t="shared" si="455"/>
        <v>0</v>
      </c>
      <c r="GM209" s="38">
        <f t="shared" si="456"/>
        <v>0</v>
      </c>
      <c r="GN209" s="1" t="s">
        <v>2</v>
      </c>
      <c r="GO209" s="1">
        <f t="shared" si="464"/>
        <v>90.03</v>
      </c>
      <c r="GP209" s="13">
        <f t="shared" si="465"/>
        <v>1.0193768743752083</v>
      </c>
      <c r="GQ209" s="41">
        <f t="shared" si="466"/>
        <v>917.745</v>
      </c>
      <c r="GR209" s="41">
        <f t="shared" si="467"/>
        <v>23693.660110919998</v>
      </c>
      <c r="GS209" s="14">
        <f t="shared" si="468"/>
        <v>263.17516506631119</v>
      </c>
      <c r="GT209" s="1">
        <f t="shared" si="457"/>
        <v>559.46100000000001</v>
      </c>
      <c r="GU209" s="1">
        <f t="shared" si="458"/>
        <v>215.95500000000001</v>
      </c>
      <c r="GV209" s="1">
        <f t="shared" si="459"/>
        <v>142.32900000000001</v>
      </c>
      <c r="GW209" s="37">
        <f t="shared" si="469"/>
        <v>34</v>
      </c>
      <c r="GX209" s="44">
        <f>(BT209*CB209+CO209*CW209)/GW209</f>
        <v>1.1777058823529409</v>
      </c>
      <c r="GY209" s="41">
        <f>1000*GW209*GX209/100</f>
        <v>400.4199999999999</v>
      </c>
      <c r="GZ209" s="41">
        <f>SUM(FU209:GM209)</f>
        <v>9987.7542151599991</v>
      </c>
      <c r="HA209" s="14">
        <f>GZ209/GW209</f>
        <v>293.75747691647058</v>
      </c>
      <c r="HB209" s="1">
        <f t="shared" si="460"/>
        <v>310.64999999999998</v>
      </c>
      <c r="HC209" s="1">
        <f t="shared" si="461"/>
        <v>89.769999999999982</v>
      </c>
      <c r="HD209" s="37" t="s">
        <v>2</v>
      </c>
      <c r="HE209" s="1" t="s">
        <v>31</v>
      </c>
      <c r="HF209" s="1" t="s">
        <v>205</v>
      </c>
      <c r="HG209" s="1" t="s">
        <v>205</v>
      </c>
      <c r="HI209" s="1" t="s">
        <v>96</v>
      </c>
      <c r="HJ209" s="37" t="s">
        <v>2</v>
      </c>
      <c r="JH209" s="58" t="s">
        <v>2</v>
      </c>
    </row>
    <row r="210" spans="1:268" ht="16.25" customHeight="1" x14ac:dyDescent="0.2">
      <c r="A210" s="21" t="s">
        <v>1136</v>
      </c>
      <c r="B210" s="1" t="s">
        <v>64</v>
      </c>
      <c r="F210" s="1" t="s">
        <v>1133</v>
      </c>
      <c r="H210" s="1" t="s">
        <v>204</v>
      </c>
      <c r="I210" s="1">
        <f>0+10.54+16.01</f>
        <v>26.55</v>
      </c>
      <c r="Q210" s="13">
        <f>(0+1.03*10.54+0.94*16.01)/I210</f>
        <v>0.97572881355932195</v>
      </c>
      <c r="R210" s="13">
        <f>(0+0.13*10.54+0.15*16.01)/I210</f>
        <v>0.14206026365348398</v>
      </c>
      <c r="Y210" s="14">
        <f>(0+44.31*10.54+46.9*16.01)/I210</f>
        <v>45.871804143126177</v>
      </c>
      <c r="AD210" s="1">
        <f>7.49+3.03+1.7</f>
        <v>12.219999999999999</v>
      </c>
      <c r="AL210" s="13">
        <f>(1*7.49+0.81*3.03+0.83*1.7)/AD210</f>
        <v>0.92923895253682498</v>
      </c>
      <c r="AM210" s="13">
        <f>(0.13*7.49+0.13*3.03+0.15*1.7)/AD210</f>
        <v>0.13278232405891979</v>
      </c>
      <c r="AT210" s="14">
        <f>(45.67*7.49+43.75*3.03+46.65*1.7)/AD210</f>
        <v>45.33026186579378</v>
      </c>
      <c r="AY210" s="1">
        <f>7.42+0.86+0.09</f>
        <v>8.3699999999999992</v>
      </c>
      <c r="BG210" s="13">
        <f>(0.75*7.42+0.67*0.86+0.75*0.09)/AY210</f>
        <v>0.74178016726403828</v>
      </c>
      <c r="BH210" s="13">
        <f>(0.14*7.42+0.14*0.86+0.14*0.09)/AY210</f>
        <v>0.14000000000000004</v>
      </c>
      <c r="BO210" s="14">
        <f>(45.42*7.42+41.05*0.86+43.59*0.09)/AY210</f>
        <v>44.951314217443255</v>
      </c>
      <c r="BT210" s="1">
        <f>4.6+4.5</f>
        <v>9.1</v>
      </c>
      <c r="CB210" s="13">
        <f>(1.2*4.6+1.15*4.5)/BT210</f>
        <v>1.1752747252747253</v>
      </c>
      <c r="CC210" s="13">
        <f>(0.14*4.6+0.16*4.5)/BT210</f>
        <v>0.1498901098901099</v>
      </c>
      <c r="CJ210" s="14">
        <f>(42.68*4.6+44.29*4.5)/BT210</f>
        <v>43.476153846153849</v>
      </c>
      <c r="CO210" s="1">
        <f>0.5+0.3</f>
        <v>0.8</v>
      </c>
      <c r="CW210" s="13">
        <f>(1.16*0.5+1.14*0.3)/CO210</f>
        <v>1.1524999999999999</v>
      </c>
      <c r="CX210" s="13">
        <f>(0.13*0.5+0.13*0.3)/CO210</f>
        <v>0.13</v>
      </c>
      <c r="DE210" s="14">
        <f>(42.29*0.5+44.22*0.3)/CO210</f>
        <v>43.013750000000002</v>
      </c>
      <c r="DJ210" s="1" t="s">
        <v>96</v>
      </c>
      <c r="DK210" s="1" t="s">
        <v>96</v>
      </c>
      <c r="DL210" s="1">
        <f t="shared" si="462"/>
        <v>0.92213831141281299</v>
      </c>
      <c r="DM210" s="1">
        <f t="shared" si="463"/>
        <v>0.1392893508697497</v>
      </c>
      <c r="DN210" s="1" t="s">
        <v>1134</v>
      </c>
      <c r="DO210" s="1" t="s">
        <v>2</v>
      </c>
      <c r="DP210" s="38">
        <f t="shared" si="385"/>
        <v>0</v>
      </c>
      <c r="DQ210" s="38">
        <f t="shared" si="386"/>
        <v>0</v>
      </c>
      <c r="DR210" s="38">
        <f t="shared" si="387"/>
        <v>0</v>
      </c>
      <c r="DS210" s="38">
        <f t="shared" si="388"/>
        <v>0</v>
      </c>
      <c r="DT210" s="38">
        <f t="shared" si="389"/>
        <v>0</v>
      </c>
      <c r="DU210" s="38">
        <f t="shared" si="390"/>
        <v>0</v>
      </c>
      <c r="DV210" s="38">
        <f t="shared" si="391"/>
        <v>0</v>
      </c>
      <c r="DW210" s="38">
        <f t="shared" si="392"/>
        <v>0.43469599999999997</v>
      </c>
      <c r="DX210" s="38">
        <f t="shared" si="393"/>
        <v>6.5660999999999997E-2</v>
      </c>
      <c r="DY210" s="38">
        <f t="shared" si="394"/>
        <v>0</v>
      </c>
      <c r="DZ210" s="38">
        <f t="shared" si="395"/>
        <v>0</v>
      </c>
      <c r="EA210" s="38">
        <f t="shared" si="396"/>
        <v>0</v>
      </c>
      <c r="EB210" s="38">
        <f t="shared" si="397"/>
        <v>0</v>
      </c>
      <c r="EC210" s="38">
        <f t="shared" si="398"/>
        <v>0</v>
      </c>
      <c r="ED210" s="38">
        <f t="shared" si="399"/>
        <v>0</v>
      </c>
      <c r="EE210" s="38">
        <f t="shared" si="400"/>
        <v>21.480747000000001</v>
      </c>
      <c r="EG210" s="38">
        <f t="shared" si="401"/>
        <v>0</v>
      </c>
      <c r="EH210" s="38">
        <f t="shared" si="402"/>
        <v>0</v>
      </c>
      <c r="EI210" s="38">
        <f t="shared" si="403"/>
        <v>0</v>
      </c>
      <c r="EJ210" s="38">
        <f t="shared" si="404"/>
        <v>0</v>
      </c>
      <c r="EK210" s="38">
        <f t="shared" si="405"/>
        <v>0</v>
      </c>
      <c r="EL210" s="38">
        <f t="shared" si="406"/>
        <v>0</v>
      </c>
      <c r="EM210" s="38">
        <f t="shared" si="407"/>
        <v>0</v>
      </c>
      <c r="EN210" s="38">
        <f t="shared" si="408"/>
        <v>0</v>
      </c>
      <c r="EO210" s="38">
        <f t="shared" si="409"/>
        <v>0</v>
      </c>
      <c r="EP210" s="38">
        <f t="shared" si="410"/>
        <v>5700.6033439999992</v>
      </c>
      <c r="EQ210" s="38">
        <f t="shared" si="411"/>
        <v>4768.2705653639996</v>
      </c>
      <c r="ER210" s="38">
        <f t="shared" si="412"/>
        <v>0</v>
      </c>
      <c r="ES210" s="38">
        <f t="shared" si="413"/>
        <v>0</v>
      </c>
      <c r="ET210" s="38">
        <f t="shared" si="414"/>
        <v>0</v>
      </c>
      <c r="EU210" s="38">
        <f t="shared" si="415"/>
        <v>0</v>
      </c>
      <c r="EV210" s="38">
        <f t="shared" si="416"/>
        <v>0</v>
      </c>
      <c r="EW210" s="38">
        <f t="shared" si="417"/>
        <v>0</v>
      </c>
      <c r="EX210" s="38">
        <f t="shared" si="418"/>
        <v>1997.7094710000001</v>
      </c>
      <c r="EZ210" s="38">
        <f t="shared" si="419"/>
        <v>0</v>
      </c>
      <c r="FA210" s="38">
        <f t="shared" si="420"/>
        <v>0</v>
      </c>
      <c r="FB210" s="1">
        <f t="shared" si="421"/>
        <v>0</v>
      </c>
      <c r="FC210" s="1">
        <f t="shared" si="422"/>
        <v>0</v>
      </c>
      <c r="FD210" s="1">
        <f t="shared" si="423"/>
        <v>0</v>
      </c>
      <c r="FE210" s="1">
        <f t="shared" si="424"/>
        <v>0</v>
      </c>
      <c r="FF210" s="1">
        <f t="shared" si="425"/>
        <v>0</v>
      </c>
      <c r="FG210" s="1">
        <f t="shared" si="426"/>
        <v>0</v>
      </c>
      <c r="FH210" s="1">
        <f t="shared" si="427"/>
        <v>0</v>
      </c>
      <c r="FI210" s="1">
        <f t="shared" si="428"/>
        <v>0.11617000000000001</v>
      </c>
      <c r="FJ210" s="1">
        <f t="shared" si="429"/>
        <v>1.4680000000000002E-2</v>
      </c>
      <c r="FK210" s="1">
        <f t="shared" si="430"/>
        <v>0</v>
      </c>
      <c r="FL210" s="1">
        <f t="shared" si="431"/>
        <v>0</v>
      </c>
      <c r="FM210" s="1">
        <f t="shared" si="432"/>
        <v>0</v>
      </c>
      <c r="FN210" s="1">
        <f t="shared" si="433"/>
        <v>0</v>
      </c>
      <c r="FO210" s="1">
        <f t="shared" si="434"/>
        <v>0</v>
      </c>
      <c r="FP210" s="1">
        <f t="shared" si="435"/>
        <v>0</v>
      </c>
      <c r="FQ210" s="1">
        <f t="shared" si="436"/>
        <v>4.30044</v>
      </c>
      <c r="FS210" s="1">
        <f t="shared" si="437"/>
        <v>0</v>
      </c>
      <c r="FT210" s="1">
        <f t="shared" si="438"/>
        <v>0</v>
      </c>
      <c r="FU210" s="38">
        <f t="shared" si="439"/>
        <v>0</v>
      </c>
      <c r="FV210" s="38">
        <f t="shared" si="440"/>
        <v>0</v>
      </c>
      <c r="FW210" s="38">
        <f t="shared" si="441"/>
        <v>0</v>
      </c>
      <c r="FX210" s="38">
        <f t="shared" si="442"/>
        <v>0</v>
      </c>
      <c r="FY210" s="38">
        <f t="shared" si="443"/>
        <v>0</v>
      </c>
      <c r="FZ210" s="38">
        <f t="shared" si="444"/>
        <v>0</v>
      </c>
      <c r="GA210" s="38">
        <f t="shared" si="445"/>
        <v>0</v>
      </c>
      <c r="GB210" s="38">
        <f t="shared" si="446"/>
        <v>1523.4533800000002</v>
      </c>
      <c r="GC210" s="38">
        <f t="shared" si="447"/>
        <v>1066.0546123199999</v>
      </c>
      <c r="GD210" s="38">
        <f t="shared" si="448"/>
        <v>0</v>
      </c>
      <c r="GE210" s="38">
        <f t="shared" si="449"/>
        <v>0</v>
      </c>
      <c r="GF210" s="38">
        <f t="shared" si="450"/>
        <v>0</v>
      </c>
      <c r="GG210" s="38">
        <f t="shared" si="451"/>
        <v>0</v>
      </c>
      <c r="GH210" s="38">
        <f t="shared" si="452"/>
        <v>0</v>
      </c>
      <c r="GI210" s="38">
        <f t="shared" si="453"/>
        <v>0</v>
      </c>
      <c r="GJ210" s="38">
        <f t="shared" si="454"/>
        <v>399.94092000000001</v>
      </c>
      <c r="GL210" s="38">
        <f t="shared" si="455"/>
        <v>0</v>
      </c>
      <c r="GM210" s="38">
        <f t="shared" si="456"/>
        <v>0</v>
      </c>
      <c r="GN210" s="1" t="s">
        <v>2</v>
      </c>
      <c r="GO210" s="1">
        <f t="shared" si="464"/>
        <v>47.139999999999993</v>
      </c>
      <c r="GP210" s="13">
        <f t="shared" si="465"/>
        <v>0.92213831141281299</v>
      </c>
      <c r="GQ210" s="41">
        <f t="shared" si="466"/>
        <v>434.69599999999997</v>
      </c>
      <c r="GR210" s="41">
        <f t="shared" si="467"/>
        <v>12466.583380364</v>
      </c>
      <c r="GS210" s="14">
        <f t="shared" si="468"/>
        <v>264.45870556563432</v>
      </c>
      <c r="GT210" s="1">
        <f t="shared" si="457"/>
        <v>259.05599999999998</v>
      </c>
      <c r="GU210" s="1">
        <f t="shared" si="458"/>
        <v>113.553</v>
      </c>
      <c r="GV210" s="1">
        <f t="shared" si="459"/>
        <v>62.086999999999996</v>
      </c>
      <c r="GW210" s="37">
        <f t="shared" si="469"/>
        <v>9.9</v>
      </c>
      <c r="GX210" s="44">
        <f>(BT210*CB210+CO210*CW210)/GW210</f>
        <v>1.1734343434343435</v>
      </c>
      <c r="GY210" s="41">
        <f>1000*GW210*GX210/100</f>
        <v>116.17</v>
      </c>
      <c r="GZ210" s="41">
        <f>SUM(FU210:GM210)</f>
        <v>2989.4489123200001</v>
      </c>
      <c r="HA210" s="14">
        <f>GZ210/GW210</f>
        <v>301.96453659797982</v>
      </c>
      <c r="HB210" s="1">
        <f t="shared" si="460"/>
        <v>106.95</v>
      </c>
      <c r="HC210" s="1">
        <f t="shared" si="461"/>
        <v>9.2199999999999989</v>
      </c>
      <c r="HD210" s="37" t="s">
        <v>2</v>
      </c>
      <c r="HE210" s="1" t="s">
        <v>31</v>
      </c>
      <c r="HF210" s="1" t="s">
        <v>205</v>
      </c>
      <c r="HG210" s="1" t="s">
        <v>205</v>
      </c>
      <c r="HI210" s="1" t="s">
        <v>96</v>
      </c>
      <c r="HJ210" s="37" t="s">
        <v>2</v>
      </c>
      <c r="JH210" s="58" t="s">
        <v>2</v>
      </c>
    </row>
    <row r="211" spans="1:268" ht="16.25" customHeight="1" x14ac:dyDescent="0.2">
      <c r="A211" s="21" t="s">
        <v>1332</v>
      </c>
      <c r="B211" s="1" t="s">
        <v>64</v>
      </c>
      <c r="F211" s="1" t="s">
        <v>1103</v>
      </c>
      <c r="I211" s="1">
        <f>44.32+2.3+8.394</f>
        <v>55.013999999999996</v>
      </c>
      <c r="Q211" s="13">
        <f>(1.12*44.32+1.1*2.3+2.1*8.394)/I211</f>
        <v>1.2686916057730764</v>
      </c>
      <c r="R211" s="2">
        <f>(0.11*44.32+0.093*2.3+0*8.394)/I211</f>
        <v>9.2505544043334428E-2</v>
      </c>
      <c r="Y211" s="1">
        <v>44.6</v>
      </c>
      <c r="Z211" s="1">
        <v>5.5</v>
      </c>
      <c r="AD211" s="1">
        <f>28.454+2.206+10.3</f>
        <v>40.96</v>
      </c>
      <c r="AL211" s="13">
        <f>(1.87*28.454+1.02*2.206+1.2*10.3)/AD211</f>
        <v>1.6557397460937502</v>
      </c>
      <c r="AM211" s="2">
        <f>(0*28.454+0.098*2.206+0.101*10.3)/AD211</f>
        <v>3.0675976562500006E-2</v>
      </c>
      <c r="AT211" s="14">
        <v>43</v>
      </c>
      <c r="AU211" s="1">
        <v>7.1</v>
      </c>
      <c r="AY211" s="1">
        <f>3.9+3.9+14.7+32.8</f>
        <v>55.3</v>
      </c>
      <c r="BG211" s="13">
        <f>(1.8*3.9+1.8*3.9+1.01*14.7+1.15*32.8)/AY211</f>
        <v>1.2044665461121158</v>
      </c>
      <c r="BH211" s="2">
        <f>(0*3.9+0*3.9+0.083*14.7+0.095*32.8)/AY211</f>
        <v>7.841048824593129E-2</v>
      </c>
      <c r="BO211" s="1">
        <v>41.5</v>
      </c>
      <c r="BP211" s="1">
        <v>7.6</v>
      </c>
      <c r="BT211" s="1">
        <v>0</v>
      </c>
      <c r="CO211" s="1">
        <v>0</v>
      </c>
      <c r="DJ211" s="1" t="s">
        <v>96</v>
      </c>
      <c r="DK211" s="1" t="s">
        <v>96</v>
      </c>
      <c r="DL211" s="1">
        <f t="shared" si="462"/>
        <v>1.3500132210426117</v>
      </c>
      <c r="DM211" s="1">
        <f t="shared" si="463"/>
        <v>7.0611526104948641E-2</v>
      </c>
      <c r="DN211" s="1" t="s">
        <v>726</v>
      </c>
      <c r="DO211" s="1" t="s">
        <v>2</v>
      </c>
      <c r="DP211" s="38">
        <f t="shared" si="385"/>
        <v>0</v>
      </c>
      <c r="DQ211" s="38">
        <f t="shared" si="386"/>
        <v>0</v>
      </c>
      <c r="DR211" s="38">
        <f t="shared" si="387"/>
        <v>0</v>
      </c>
      <c r="DS211" s="38">
        <f t="shared" si="388"/>
        <v>0</v>
      </c>
      <c r="DT211" s="38">
        <f t="shared" si="389"/>
        <v>0</v>
      </c>
      <c r="DU211" s="38">
        <f t="shared" si="390"/>
        <v>0</v>
      </c>
      <c r="DV211" s="38">
        <f t="shared" si="391"/>
        <v>0</v>
      </c>
      <c r="DW211" s="38">
        <f t="shared" si="392"/>
        <v>2.0422190000000002</v>
      </c>
      <c r="DX211" s="38">
        <f t="shared" si="393"/>
        <v>0.10681688000000002</v>
      </c>
      <c r="DY211" s="38">
        <f t="shared" si="394"/>
        <v>0</v>
      </c>
      <c r="DZ211" s="38">
        <f t="shared" si="395"/>
        <v>0</v>
      </c>
      <c r="EA211" s="38">
        <f t="shared" si="396"/>
        <v>0</v>
      </c>
      <c r="EB211" s="38">
        <f t="shared" si="397"/>
        <v>0</v>
      </c>
      <c r="EC211" s="38">
        <f t="shared" si="398"/>
        <v>0</v>
      </c>
      <c r="ED211" s="38">
        <f t="shared" si="399"/>
        <v>0</v>
      </c>
      <c r="EE211" s="38">
        <f t="shared" si="400"/>
        <v>65.09854399999999</v>
      </c>
      <c r="EG211" s="38">
        <f t="shared" si="401"/>
        <v>0</v>
      </c>
      <c r="EH211" s="38">
        <f t="shared" si="402"/>
        <v>0</v>
      </c>
      <c r="EI211" s="38">
        <f t="shared" si="403"/>
        <v>0</v>
      </c>
      <c r="EJ211" s="38">
        <f t="shared" si="404"/>
        <v>0</v>
      </c>
      <c r="EK211" s="38">
        <f t="shared" si="405"/>
        <v>0</v>
      </c>
      <c r="EL211" s="38">
        <f t="shared" si="406"/>
        <v>0</v>
      </c>
      <c r="EM211" s="38">
        <f t="shared" si="407"/>
        <v>0</v>
      </c>
      <c r="EN211" s="38">
        <f t="shared" si="408"/>
        <v>0</v>
      </c>
      <c r="EO211" s="38">
        <f t="shared" si="409"/>
        <v>0</v>
      </c>
      <c r="EP211" s="38">
        <f t="shared" si="410"/>
        <v>26781.659966000003</v>
      </c>
      <c r="EQ211" s="38">
        <f t="shared" si="411"/>
        <v>7756.9909807651202</v>
      </c>
      <c r="ER211" s="38">
        <f t="shared" si="412"/>
        <v>0</v>
      </c>
      <c r="ES211" s="38">
        <f t="shared" si="413"/>
        <v>0</v>
      </c>
      <c r="ET211" s="38">
        <f t="shared" si="414"/>
        <v>0</v>
      </c>
      <c r="EU211" s="38">
        <f t="shared" si="415"/>
        <v>0</v>
      </c>
      <c r="EV211" s="38">
        <f t="shared" si="416"/>
        <v>0</v>
      </c>
      <c r="EW211" s="38">
        <f t="shared" si="417"/>
        <v>0</v>
      </c>
      <c r="EX211" s="38">
        <f t="shared" si="418"/>
        <v>6054.1645919999992</v>
      </c>
      <c r="EZ211" s="38">
        <f t="shared" si="419"/>
        <v>0</v>
      </c>
      <c r="FA211" s="38">
        <f t="shared" si="420"/>
        <v>0</v>
      </c>
      <c r="FB211" s="1">
        <f t="shared" si="421"/>
        <v>0</v>
      </c>
      <c r="FC211" s="1">
        <f t="shared" si="422"/>
        <v>0</v>
      </c>
      <c r="FD211" s="1">
        <f t="shared" si="423"/>
        <v>0</v>
      </c>
      <c r="FE211" s="1">
        <f t="shared" si="424"/>
        <v>0</v>
      </c>
      <c r="FF211" s="1">
        <f t="shared" si="425"/>
        <v>0</v>
      </c>
      <c r="FG211" s="1">
        <f t="shared" si="426"/>
        <v>0</v>
      </c>
      <c r="FH211" s="1">
        <f t="shared" si="427"/>
        <v>0</v>
      </c>
      <c r="FI211" s="1">
        <f t="shared" si="428"/>
        <v>0</v>
      </c>
      <c r="FJ211" s="1">
        <f t="shared" si="429"/>
        <v>0</v>
      </c>
      <c r="FK211" s="1">
        <f t="shared" si="430"/>
        <v>0</v>
      </c>
      <c r="FL211" s="1">
        <f t="shared" si="431"/>
        <v>0</v>
      </c>
      <c r="FM211" s="1">
        <f t="shared" si="432"/>
        <v>0</v>
      </c>
      <c r="FN211" s="1">
        <f t="shared" si="433"/>
        <v>0</v>
      </c>
      <c r="FO211" s="1">
        <f t="shared" si="434"/>
        <v>0</v>
      </c>
      <c r="FP211" s="1">
        <f t="shared" si="435"/>
        <v>0</v>
      </c>
      <c r="FQ211" s="1">
        <f t="shared" si="436"/>
        <v>0</v>
      </c>
      <c r="FS211" s="1">
        <f t="shared" si="437"/>
        <v>0</v>
      </c>
      <c r="FT211" s="1">
        <f t="shared" si="438"/>
        <v>0</v>
      </c>
      <c r="FU211" s="38">
        <f t="shared" si="439"/>
        <v>0</v>
      </c>
      <c r="FV211" s="38">
        <f t="shared" si="440"/>
        <v>0</v>
      </c>
      <c r="FW211" s="38">
        <f t="shared" si="441"/>
        <v>0</v>
      </c>
      <c r="FX211" s="38">
        <f t="shared" si="442"/>
        <v>0</v>
      </c>
      <c r="FY211" s="38">
        <f t="shared" si="443"/>
        <v>0</v>
      </c>
      <c r="FZ211" s="38">
        <f t="shared" si="444"/>
        <v>0</v>
      </c>
      <c r="GA211" s="38">
        <f t="shared" si="445"/>
        <v>0</v>
      </c>
      <c r="GB211" s="38">
        <f t="shared" si="446"/>
        <v>0</v>
      </c>
      <c r="GC211" s="38">
        <f t="shared" si="447"/>
        <v>0</v>
      </c>
      <c r="GD211" s="38">
        <f t="shared" si="448"/>
        <v>0</v>
      </c>
      <c r="GE211" s="38">
        <f t="shared" si="449"/>
        <v>0</v>
      </c>
      <c r="GF211" s="38">
        <f t="shared" si="450"/>
        <v>0</v>
      </c>
      <c r="GG211" s="38">
        <f t="shared" si="451"/>
        <v>0</v>
      </c>
      <c r="GH211" s="38">
        <f t="shared" si="452"/>
        <v>0</v>
      </c>
      <c r="GI211" s="38">
        <f t="shared" si="453"/>
        <v>0</v>
      </c>
      <c r="GJ211" s="38">
        <f t="shared" si="454"/>
        <v>0</v>
      </c>
      <c r="GL211" s="38">
        <f t="shared" si="455"/>
        <v>0</v>
      </c>
      <c r="GM211" s="38">
        <f t="shared" si="456"/>
        <v>0</v>
      </c>
      <c r="GN211" s="1" t="s">
        <v>2</v>
      </c>
      <c r="GO211" s="14">
        <f t="shared" si="464"/>
        <v>151.274</v>
      </c>
      <c r="GP211" s="13">
        <f t="shared" si="465"/>
        <v>1.3500132210426117</v>
      </c>
      <c r="GQ211" s="43">
        <f t="shared" si="466"/>
        <v>2042.2190000000005</v>
      </c>
      <c r="GR211" s="41">
        <f t="shared" si="467"/>
        <v>40592.81553876512</v>
      </c>
      <c r="GS211" s="14">
        <f t="shared" si="468"/>
        <v>268.33967197776963</v>
      </c>
      <c r="GT211" s="1">
        <f t="shared" si="457"/>
        <v>697.9580000000002</v>
      </c>
      <c r="GU211" s="1">
        <f t="shared" si="458"/>
        <v>678.19100000000003</v>
      </c>
      <c r="GV211" s="1">
        <f t="shared" si="459"/>
        <v>666.07</v>
      </c>
      <c r="GW211" s="37">
        <f t="shared" si="469"/>
        <v>0</v>
      </c>
      <c r="GX211" s="37"/>
      <c r="GY211" s="37"/>
      <c r="GZ211" s="37"/>
      <c r="HB211" s="1">
        <f t="shared" si="460"/>
        <v>0</v>
      </c>
      <c r="HC211" s="1">
        <f t="shared" si="461"/>
        <v>0</v>
      </c>
      <c r="HD211" s="37" t="s">
        <v>2</v>
      </c>
      <c r="HE211" s="1" t="s">
        <v>31</v>
      </c>
      <c r="HF211" s="1" t="s">
        <v>205</v>
      </c>
      <c r="HG211" s="1" t="s">
        <v>205</v>
      </c>
      <c r="HI211" s="1" t="s">
        <v>96</v>
      </c>
      <c r="HJ211" s="37" t="s">
        <v>2</v>
      </c>
      <c r="JH211" s="58" t="s">
        <v>2</v>
      </c>
    </row>
    <row r="212" spans="1:268" ht="16.25" customHeight="1" x14ac:dyDescent="0.2">
      <c r="A212" s="21" t="s">
        <v>1105</v>
      </c>
      <c r="B212" s="1" t="s">
        <v>69</v>
      </c>
      <c r="F212" s="1" t="s">
        <v>131</v>
      </c>
      <c r="I212" s="1">
        <v>0</v>
      </c>
      <c r="AD212" s="1">
        <v>50.758000000000003</v>
      </c>
      <c r="AL212" s="1">
        <v>1.29</v>
      </c>
      <c r="AM212" s="13">
        <f>(1.29/1.4)*0.06</f>
        <v>5.5285714285714285E-2</v>
      </c>
      <c r="AY212" s="1">
        <v>84.162999999999997</v>
      </c>
      <c r="BG212" s="1">
        <v>1.21</v>
      </c>
      <c r="BH212" s="13">
        <f>(1.35/1.4)*0.05</f>
        <v>4.8214285714285723E-2</v>
      </c>
      <c r="BT212" s="1">
        <v>0</v>
      </c>
      <c r="CO212" s="1">
        <v>0</v>
      </c>
      <c r="DJ212" s="1" t="s">
        <v>96</v>
      </c>
      <c r="DK212" s="1" t="s">
        <v>96</v>
      </c>
      <c r="DL212" s="1">
        <f t="shared" si="462"/>
        <v>1.240096426797904</v>
      </c>
      <c r="DM212" s="1">
        <f t="shared" si="463"/>
        <v>5.0874594868743302E-2</v>
      </c>
      <c r="DN212" s="1" t="s">
        <v>1106</v>
      </c>
      <c r="DO212" s="1" t="s">
        <v>2</v>
      </c>
      <c r="DP212" s="38">
        <f t="shared" si="385"/>
        <v>0</v>
      </c>
      <c r="DQ212" s="38">
        <f t="shared" si="386"/>
        <v>0</v>
      </c>
      <c r="DR212" s="38">
        <f t="shared" si="387"/>
        <v>0</v>
      </c>
      <c r="DS212" s="38">
        <f t="shared" si="388"/>
        <v>0</v>
      </c>
      <c r="DT212" s="38">
        <f t="shared" si="389"/>
        <v>0</v>
      </c>
      <c r="DU212" s="38">
        <f t="shared" si="390"/>
        <v>0</v>
      </c>
      <c r="DV212" s="38">
        <f t="shared" si="391"/>
        <v>0</v>
      </c>
      <c r="DW212" s="38">
        <f t="shared" si="392"/>
        <v>1.6731504999999998</v>
      </c>
      <c r="DX212" s="38">
        <f t="shared" si="393"/>
        <v>6.8640512142857144E-2</v>
      </c>
      <c r="DY212" s="38">
        <f t="shared" si="394"/>
        <v>0</v>
      </c>
      <c r="DZ212" s="38">
        <f t="shared" si="395"/>
        <v>0</v>
      </c>
      <c r="EA212" s="38">
        <f t="shared" si="396"/>
        <v>0</v>
      </c>
      <c r="EB212" s="38">
        <f t="shared" si="397"/>
        <v>0</v>
      </c>
      <c r="EC212" s="38">
        <f t="shared" si="398"/>
        <v>0</v>
      </c>
      <c r="ED212" s="38">
        <f t="shared" si="399"/>
        <v>0</v>
      </c>
      <c r="EE212" s="38">
        <f t="shared" si="400"/>
        <v>0</v>
      </c>
      <c r="EG212" s="38">
        <f t="shared" si="401"/>
        <v>0</v>
      </c>
      <c r="EH212" s="38">
        <f t="shared" si="402"/>
        <v>0</v>
      </c>
      <c r="EI212" s="38">
        <f t="shared" si="403"/>
        <v>0</v>
      </c>
      <c r="EJ212" s="38">
        <f t="shared" si="404"/>
        <v>0</v>
      </c>
      <c r="EK212" s="38">
        <f t="shared" si="405"/>
        <v>0</v>
      </c>
      <c r="EL212" s="38">
        <f t="shared" si="406"/>
        <v>0</v>
      </c>
      <c r="EM212" s="38">
        <f t="shared" si="407"/>
        <v>0</v>
      </c>
      <c r="EN212" s="38">
        <f t="shared" si="408"/>
        <v>0</v>
      </c>
      <c r="EO212" s="38">
        <f t="shared" si="409"/>
        <v>0</v>
      </c>
      <c r="EP212" s="38">
        <f t="shared" si="410"/>
        <v>21941.695656999997</v>
      </c>
      <c r="EQ212" s="38">
        <f t="shared" si="411"/>
        <v>4984.6413189305049</v>
      </c>
      <c r="ER212" s="38">
        <f t="shared" si="412"/>
        <v>0</v>
      </c>
      <c r="ES212" s="38">
        <f t="shared" si="413"/>
        <v>0</v>
      </c>
      <c r="ET212" s="38">
        <f t="shared" si="414"/>
        <v>0</v>
      </c>
      <c r="EU212" s="38">
        <f t="shared" si="415"/>
        <v>0</v>
      </c>
      <c r="EV212" s="38">
        <f t="shared" si="416"/>
        <v>0</v>
      </c>
      <c r="EW212" s="38">
        <f t="shared" si="417"/>
        <v>0</v>
      </c>
      <c r="EX212" s="38">
        <f t="shared" si="418"/>
        <v>0</v>
      </c>
      <c r="EZ212" s="38">
        <f t="shared" si="419"/>
        <v>0</v>
      </c>
      <c r="FA212" s="38">
        <f t="shared" si="420"/>
        <v>0</v>
      </c>
      <c r="FB212" s="1">
        <f t="shared" si="421"/>
        <v>0</v>
      </c>
      <c r="FC212" s="1">
        <f t="shared" si="422"/>
        <v>0</v>
      </c>
      <c r="FD212" s="1">
        <f t="shared" si="423"/>
        <v>0</v>
      </c>
      <c r="FE212" s="1">
        <f t="shared" si="424"/>
        <v>0</v>
      </c>
      <c r="FF212" s="1">
        <f t="shared" si="425"/>
        <v>0</v>
      </c>
      <c r="FG212" s="1">
        <f t="shared" si="426"/>
        <v>0</v>
      </c>
      <c r="FH212" s="1">
        <f t="shared" si="427"/>
        <v>0</v>
      </c>
      <c r="FI212" s="1">
        <f t="shared" si="428"/>
        <v>0</v>
      </c>
      <c r="FJ212" s="1">
        <f t="shared" si="429"/>
        <v>0</v>
      </c>
      <c r="FK212" s="1">
        <f t="shared" si="430"/>
        <v>0</v>
      </c>
      <c r="FL212" s="1">
        <f t="shared" si="431"/>
        <v>0</v>
      </c>
      <c r="FM212" s="1">
        <f t="shared" si="432"/>
        <v>0</v>
      </c>
      <c r="FN212" s="1">
        <f t="shared" si="433"/>
        <v>0</v>
      </c>
      <c r="FO212" s="1">
        <f t="shared" si="434"/>
        <v>0</v>
      </c>
      <c r="FP212" s="1">
        <f t="shared" si="435"/>
        <v>0</v>
      </c>
      <c r="FQ212" s="1">
        <f t="shared" si="436"/>
        <v>0</v>
      </c>
      <c r="FS212" s="1">
        <f t="shared" si="437"/>
        <v>0</v>
      </c>
      <c r="FT212" s="1">
        <f t="shared" si="438"/>
        <v>0</v>
      </c>
      <c r="FU212" s="38">
        <f t="shared" si="439"/>
        <v>0</v>
      </c>
      <c r="FV212" s="38">
        <f t="shared" si="440"/>
        <v>0</v>
      </c>
      <c r="FW212" s="38">
        <f t="shared" si="441"/>
        <v>0</v>
      </c>
      <c r="FX212" s="38">
        <f t="shared" si="442"/>
        <v>0</v>
      </c>
      <c r="FY212" s="38">
        <f t="shared" si="443"/>
        <v>0</v>
      </c>
      <c r="FZ212" s="38">
        <f t="shared" si="444"/>
        <v>0</v>
      </c>
      <c r="GA212" s="38">
        <f t="shared" si="445"/>
        <v>0</v>
      </c>
      <c r="GB212" s="38">
        <f t="shared" si="446"/>
        <v>0</v>
      </c>
      <c r="GC212" s="38">
        <f t="shared" si="447"/>
        <v>0</v>
      </c>
      <c r="GD212" s="38">
        <f t="shared" si="448"/>
        <v>0</v>
      </c>
      <c r="GE212" s="38">
        <f t="shared" si="449"/>
        <v>0</v>
      </c>
      <c r="GF212" s="38">
        <f t="shared" si="450"/>
        <v>0</v>
      </c>
      <c r="GG212" s="38">
        <f t="shared" si="451"/>
        <v>0</v>
      </c>
      <c r="GH212" s="38">
        <f t="shared" si="452"/>
        <v>0</v>
      </c>
      <c r="GI212" s="38">
        <f t="shared" si="453"/>
        <v>0</v>
      </c>
      <c r="GJ212" s="38">
        <f t="shared" si="454"/>
        <v>0</v>
      </c>
      <c r="GL212" s="38">
        <f t="shared" si="455"/>
        <v>0</v>
      </c>
      <c r="GM212" s="38">
        <f t="shared" si="456"/>
        <v>0</v>
      </c>
      <c r="GN212" s="1" t="s">
        <v>2</v>
      </c>
      <c r="GO212" s="14">
        <f t="shared" si="464"/>
        <v>134.92099999999999</v>
      </c>
      <c r="GP212" s="13">
        <f t="shared" si="465"/>
        <v>1.240096426797904</v>
      </c>
      <c r="GQ212" s="43">
        <f t="shared" si="466"/>
        <v>1673.1505000000002</v>
      </c>
      <c r="GR212" s="41">
        <f t="shared" si="467"/>
        <v>26926.336975930502</v>
      </c>
      <c r="GS212" s="14">
        <f t="shared" si="468"/>
        <v>199.57113404088693</v>
      </c>
      <c r="GT212" s="1">
        <f t="shared" si="457"/>
        <v>0</v>
      </c>
      <c r="GU212" s="1">
        <f t="shared" si="458"/>
        <v>654.77820000000008</v>
      </c>
      <c r="GV212" s="1">
        <f t="shared" si="459"/>
        <v>1018.3723</v>
      </c>
      <c r="GW212" s="37">
        <f t="shared" si="469"/>
        <v>0</v>
      </c>
      <c r="GX212" s="37"/>
      <c r="GY212" s="37"/>
      <c r="GZ212" s="37"/>
      <c r="HB212" s="1">
        <f t="shared" si="460"/>
        <v>0</v>
      </c>
      <c r="HC212" s="1">
        <f t="shared" si="461"/>
        <v>0</v>
      </c>
      <c r="HD212" s="37" t="s">
        <v>2</v>
      </c>
      <c r="HE212" s="1" t="s">
        <v>31</v>
      </c>
      <c r="HF212" s="1" t="s">
        <v>205</v>
      </c>
      <c r="HG212" s="1" t="s">
        <v>205</v>
      </c>
      <c r="HI212" s="1" t="s">
        <v>96</v>
      </c>
      <c r="HJ212" s="37" t="s">
        <v>2</v>
      </c>
      <c r="JH212" s="58" t="s">
        <v>2</v>
      </c>
    </row>
    <row r="213" spans="1:268" ht="16.25" customHeight="1" x14ac:dyDescent="0.2">
      <c r="A213" s="21" t="s">
        <v>491</v>
      </c>
      <c r="B213" s="1" t="s">
        <v>69</v>
      </c>
      <c r="F213" s="1" t="s">
        <v>466</v>
      </c>
      <c r="H213" s="1" t="s">
        <v>467</v>
      </c>
      <c r="I213" s="1">
        <v>0</v>
      </c>
      <c r="AD213" s="1">
        <v>0</v>
      </c>
      <c r="AY213" s="1">
        <v>97</v>
      </c>
      <c r="BG213" s="1">
        <v>1.78</v>
      </c>
      <c r="BT213" s="1">
        <v>0</v>
      </c>
      <c r="CO213" s="1">
        <v>0</v>
      </c>
      <c r="DJ213" s="1" t="s">
        <v>96</v>
      </c>
      <c r="DL213" s="1">
        <f t="shared" si="462"/>
        <v>1.78</v>
      </c>
      <c r="DM213" s="1">
        <f t="shared" si="463"/>
        <v>0</v>
      </c>
      <c r="DN213" s="1" t="s">
        <v>492</v>
      </c>
      <c r="DO213" s="1" t="s">
        <v>2</v>
      </c>
      <c r="DP213" s="38">
        <f t="shared" si="385"/>
        <v>0</v>
      </c>
      <c r="DQ213" s="38">
        <f t="shared" si="386"/>
        <v>0</v>
      </c>
      <c r="DR213" s="38">
        <f t="shared" si="387"/>
        <v>0</v>
      </c>
      <c r="DS213" s="38">
        <f t="shared" si="388"/>
        <v>0</v>
      </c>
      <c r="DT213" s="38">
        <f t="shared" si="389"/>
        <v>0</v>
      </c>
      <c r="DU213" s="38">
        <f t="shared" si="390"/>
        <v>0</v>
      </c>
      <c r="DV213" s="38">
        <f t="shared" si="391"/>
        <v>0</v>
      </c>
      <c r="DW213" s="38">
        <f t="shared" si="392"/>
        <v>1.7265999999999999</v>
      </c>
      <c r="DX213" s="38">
        <f t="shared" si="393"/>
        <v>0</v>
      </c>
      <c r="DY213" s="38">
        <f t="shared" si="394"/>
        <v>0</v>
      </c>
      <c r="DZ213" s="38">
        <f t="shared" si="395"/>
        <v>0</v>
      </c>
      <c r="EA213" s="38">
        <f t="shared" si="396"/>
        <v>0</v>
      </c>
      <c r="EB213" s="38">
        <f t="shared" si="397"/>
        <v>0</v>
      </c>
      <c r="EC213" s="38">
        <f t="shared" si="398"/>
        <v>0</v>
      </c>
      <c r="ED213" s="38">
        <f t="shared" si="399"/>
        <v>0</v>
      </c>
      <c r="EE213" s="38">
        <f t="shared" si="400"/>
        <v>0</v>
      </c>
      <c r="EG213" s="38">
        <f t="shared" si="401"/>
        <v>0</v>
      </c>
      <c r="EH213" s="38">
        <f t="shared" si="402"/>
        <v>0</v>
      </c>
      <c r="EI213" s="38">
        <f t="shared" si="403"/>
        <v>0</v>
      </c>
      <c r="EJ213" s="38">
        <f t="shared" si="404"/>
        <v>0</v>
      </c>
      <c r="EK213" s="38">
        <f t="shared" si="405"/>
        <v>0</v>
      </c>
      <c r="EL213" s="38">
        <f t="shared" si="406"/>
        <v>0</v>
      </c>
      <c r="EM213" s="38">
        <f t="shared" si="407"/>
        <v>0</v>
      </c>
      <c r="EN213" s="38">
        <f t="shared" si="408"/>
        <v>0</v>
      </c>
      <c r="EO213" s="38">
        <f t="shared" si="409"/>
        <v>0</v>
      </c>
      <c r="EP213" s="38">
        <f t="shared" si="410"/>
        <v>22642.632399999999</v>
      </c>
      <c r="EQ213" s="38">
        <f t="shared" si="411"/>
        <v>0</v>
      </c>
      <c r="ER213" s="38">
        <f t="shared" si="412"/>
        <v>0</v>
      </c>
      <c r="ES213" s="38">
        <f t="shared" si="413"/>
        <v>0</v>
      </c>
      <c r="ET213" s="38">
        <f t="shared" si="414"/>
        <v>0</v>
      </c>
      <c r="EU213" s="38">
        <f t="shared" si="415"/>
        <v>0</v>
      </c>
      <c r="EV213" s="38">
        <f t="shared" si="416"/>
        <v>0</v>
      </c>
      <c r="EW213" s="38">
        <f t="shared" si="417"/>
        <v>0</v>
      </c>
      <c r="EX213" s="38">
        <f t="shared" si="418"/>
        <v>0</v>
      </c>
      <c r="EZ213" s="38">
        <f t="shared" si="419"/>
        <v>0</v>
      </c>
      <c r="FA213" s="38">
        <f t="shared" si="420"/>
        <v>0</v>
      </c>
      <c r="FB213" s="1">
        <f t="shared" si="421"/>
        <v>0</v>
      </c>
      <c r="FC213" s="1">
        <f t="shared" si="422"/>
        <v>0</v>
      </c>
      <c r="FD213" s="1">
        <f t="shared" si="423"/>
        <v>0</v>
      </c>
      <c r="FE213" s="1">
        <f t="shared" si="424"/>
        <v>0</v>
      </c>
      <c r="FF213" s="1">
        <f t="shared" si="425"/>
        <v>0</v>
      </c>
      <c r="FG213" s="1">
        <f t="shared" si="426"/>
        <v>0</v>
      </c>
      <c r="FH213" s="1">
        <f t="shared" si="427"/>
        <v>0</v>
      </c>
      <c r="FI213" s="1">
        <f t="shared" si="428"/>
        <v>0</v>
      </c>
      <c r="FJ213" s="1">
        <f t="shared" si="429"/>
        <v>0</v>
      </c>
      <c r="FK213" s="1">
        <f t="shared" si="430"/>
        <v>0</v>
      </c>
      <c r="FL213" s="1">
        <f t="shared" si="431"/>
        <v>0</v>
      </c>
      <c r="FM213" s="1">
        <f t="shared" si="432"/>
        <v>0</v>
      </c>
      <c r="FN213" s="1">
        <f t="shared" si="433"/>
        <v>0</v>
      </c>
      <c r="FO213" s="1">
        <f t="shared" si="434"/>
        <v>0</v>
      </c>
      <c r="FP213" s="1">
        <f t="shared" si="435"/>
        <v>0</v>
      </c>
      <c r="FQ213" s="1">
        <f t="shared" si="436"/>
        <v>0</v>
      </c>
      <c r="FS213" s="1">
        <f t="shared" si="437"/>
        <v>0</v>
      </c>
      <c r="FT213" s="1">
        <f t="shared" si="438"/>
        <v>0</v>
      </c>
      <c r="FU213" s="38">
        <f t="shared" si="439"/>
        <v>0</v>
      </c>
      <c r="FV213" s="38">
        <f t="shared" si="440"/>
        <v>0</v>
      </c>
      <c r="FW213" s="38">
        <f t="shared" si="441"/>
        <v>0</v>
      </c>
      <c r="FX213" s="38">
        <f t="shared" si="442"/>
        <v>0</v>
      </c>
      <c r="FY213" s="38">
        <f t="shared" si="443"/>
        <v>0</v>
      </c>
      <c r="FZ213" s="38">
        <f t="shared" si="444"/>
        <v>0</v>
      </c>
      <c r="GA213" s="38">
        <f t="shared" si="445"/>
        <v>0</v>
      </c>
      <c r="GB213" s="38">
        <f t="shared" si="446"/>
        <v>0</v>
      </c>
      <c r="GC213" s="38">
        <f t="shared" si="447"/>
        <v>0</v>
      </c>
      <c r="GD213" s="38">
        <f t="shared" si="448"/>
        <v>0</v>
      </c>
      <c r="GE213" s="38">
        <f t="shared" si="449"/>
        <v>0</v>
      </c>
      <c r="GF213" s="38">
        <f t="shared" si="450"/>
        <v>0</v>
      </c>
      <c r="GG213" s="38">
        <f t="shared" si="451"/>
        <v>0</v>
      </c>
      <c r="GH213" s="38">
        <f t="shared" si="452"/>
        <v>0</v>
      </c>
      <c r="GI213" s="38">
        <f t="shared" si="453"/>
        <v>0</v>
      </c>
      <c r="GJ213" s="38">
        <f t="shared" si="454"/>
        <v>0</v>
      </c>
      <c r="GL213" s="38">
        <f t="shared" si="455"/>
        <v>0</v>
      </c>
      <c r="GM213" s="38">
        <f t="shared" si="456"/>
        <v>0</v>
      </c>
      <c r="GN213" s="1" t="s">
        <v>2</v>
      </c>
      <c r="GO213" s="1">
        <f t="shared" si="464"/>
        <v>97</v>
      </c>
      <c r="GP213" s="13">
        <f t="shared" si="465"/>
        <v>1.78</v>
      </c>
      <c r="GQ213" s="43">
        <f t="shared" si="466"/>
        <v>1726.6</v>
      </c>
      <c r="GR213" s="41">
        <f t="shared" si="467"/>
        <v>22642.632399999999</v>
      </c>
      <c r="GS213" s="14">
        <f t="shared" si="468"/>
        <v>233.42919999999998</v>
      </c>
      <c r="GT213" s="1">
        <f t="shared" si="457"/>
        <v>0</v>
      </c>
      <c r="GU213" s="1">
        <f t="shared" si="458"/>
        <v>0</v>
      </c>
      <c r="GV213" s="1">
        <f t="shared" si="459"/>
        <v>1726.6</v>
      </c>
      <c r="GW213" s="37">
        <f t="shared" si="469"/>
        <v>0</v>
      </c>
      <c r="GX213" s="37"/>
      <c r="GY213" s="37"/>
      <c r="GZ213" s="37"/>
      <c r="HB213" s="1">
        <f t="shared" si="460"/>
        <v>0</v>
      </c>
      <c r="HC213" s="1">
        <f t="shared" si="461"/>
        <v>0</v>
      </c>
      <c r="HD213" s="37" t="s">
        <v>2</v>
      </c>
      <c r="HE213" s="1" t="s">
        <v>31</v>
      </c>
      <c r="HF213" s="1" t="s">
        <v>205</v>
      </c>
      <c r="HG213" s="1" t="s">
        <v>205</v>
      </c>
      <c r="HI213" s="1" t="s">
        <v>96</v>
      </c>
      <c r="HJ213" s="37" t="s">
        <v>2</v>
      </c>
      <c r="JH213" s="58" t="s">
        <v>2</v>
      </c>
    </row>
    <row r="214" spans="1:268" ht="16.25" customHeight="1" x14ac:dyDescent="0.2">
      <c r="A214" s="21" t="s">
        <v>493</v>
      </c>
      <c r="B214" s="1" t="s">
        <v>69</v>
      </c>
      <c r="E214" s="1" t="s">
        <v>72</v>
      </c>
      <c r="F214" s="1" t="s">
        <v>131</v>
      </c>
      <c r="H214" s="1" t="s">
        <v>211</v>
      </c>
      <c r="I214" s="1">
        <v>0</v>
      </c>
      <c r="AD214" s="1">
        <v>0</v>
      </c>
      <c r="AY214" s="1">
        <v>162</v>
      </c>
      <c r="BG214" s="1">
        <v>1.62</v>
      </c>
      <c r="BH214" s="1">
        <v>0.08</v>
      </c>
      <c r="BT214" s="1">
        <v>0</v>
      </c>
      <c r="CO214" s="1">
        <v>0</v>
      </c>
      <c r="DJ214" s="1" t="s">
        <v>96</v>
      </c>
      <c r="DK214" s="1" t="s">
        <v>96</v>
      </c>
      <c r="DL214" s="1">
        <f t="shared" si="462"/>
        <v>1.6199999999999999</v>
      </c>
      <c r="DM214" s="1">
        <f t="shared" si="463"/>
        <v>0.08</v>
      </c>
      <c r="DN214" s="1" t="s">
        <v>159</v>
      </c>
      <c r="DO214" s="1" t="s">
        <v>2</v>
      </c>
      <c r="DP214" s="38">
        <f t="shared" si="385"/>
        <v>0</v>
      </c>
      <c r="DQ214" s="38">
        <f t="shared" si="386"/>
        <v>0</v>
      </c>
      <c r="DR214" s="38">
        <f t="shared" si="387"/>
        <v>0</v>
      </c>
      <c r="DS214" s="38">
        <f t="shared" si="388"/>
        <v>0</v>
      </c>
      <c r="DT214" s="38">
        <f t="shared" si="389"/>
        <v>0</v>
      </c>
      <c r="DU214" s="38">
        <f t="shared" si="390"/>
        <v>0</v>
      </c>
      <c r="DV214" s="38">
        <f t="shared" si="391"/>
        <v>0</v>
      </c>
      <c r="DW214" s="38">
        <f t="shared" si="392"/>
        <v>2.6244000000000001</v>
      </c>
      <c r="DX214" s="38">
        <f t="shared" si="393"/>
        <v>0.12960000000000002</v>
      </c>
      <c r="DY214" s="38">
        <f t="shared" si="394"/>
        <v>0</v>
      </c>
      <c r="DZ214" s="38">
        <f t="shared" si="395"/>
        <v>0</v>
      </c>
      <c r="EA214" s="38">
        <f t="shared" si="396"/>
        <v>0</v>
      </c>
      <c r="EB214" s="38">
        <f t="shared" si="397"/>
        <v>0</v>
      </c>
      <c r="EC214" s="38">
        <f t="shared" si="398"/>
        <v>0</v>
      </c>
      <c r="ED214" s="38">
        <f t="shared" si="399"/>
        <v>0</v>
      </c>
      <c r="EE214" s="38">
        <f t="shared" si="400"/>
        <v>0</v>
      </c>
      <c r="EG214" s="38">
        <f t="shared" si="401"/>
        <v>0</v>
      </c>
      <c r="EH214" s="38">
        <f t="shared" si="402"/>
        <v>0</v>
      </c>
      <c r="EI214" s="38">
        <f t="shared" si="403"/>
        <v>0</v>
      </c>
      <c r="EJ214" s="38">
        <f t="shared" si="404"/>
        <v>0</v>
      </c>
      <c r="EK214" s="38">
        <f t="shared" si="405"/>
        <v>0</v>
      </c>
      <c r="EL214" s="38">
        <f t="shared" si="406"/>
        <v>0</v>
      </c>
      <c r="EM214" s="38">
        <f t="shared" si="407"/>
        <v>0</v>
      </c>
      <c r="EN214" s="38">
        <f t="shared" si="408"/>
        <v>0</v>
      </c>
      <c r="EO214" s="38">
        <f t="shared" si="409"/>
        <v>0</v>
      </c>
      <c r="EP214" s="38">
        <f t="shared" si="410"/>
        <v>34416.381600000001</v>
      </c>
      <c r="EQ214" s="38">
        <f t="shared" si="411"/>
        <v>9411.4903104000005</v>
      </c>
      <c r="ER214" s="38">
        <f t="shared" si="412"/>
        <v>0</v>
      </c>
      <c r="ES214" s="38">
        <f t="shared" si="413"/>
        <v>0</v>
      </c>
      <c r="ET214" s="38">
        <f t="shared" si="414"/>
        <v>0</v>
      </c>
      <c r="EU214" s="38">
        <f t="shared" si="415"/>
        <v>0</v>
      </c>
      <c r="EV214" s="38">
        <f t="shared" si="416"/>
        <v>0</v>
      </c>
      <c r="EW214" s="38">
        <f t="shared" si="417"/>
        <v>0</v>
      </c>
      <c r="EX214" s="38">
        <f t="shared" si="418"/>
        <v>0</v>
      </c>
      <c r="EZ214" s="38">
        <f t="shared" si="419"/>
        <v>0</v>
      </c>
      <c r="FA214" s="38">
        <f t="shared" si="420"/>
        <v>0</v>
      </c>
      <c r="FB214" s="1">
        <f t="shared" si="421"/>
        <v>0</v>
      </c>
      <c r="FC214" s="1">
        <f t="shared" si="422"/>
        <v>0</v>
      </c>
      <c r="FD214" s="1">
        <f t="shared" si="423"/>
        <v>0</v>
      </c>
      <c r="FE214" s="1">
        <f t="shared" si="424"/>
        <v>0</v>
      </c>
      <c r="FF214" s="1">
        <f t="shared" si="425"/>
        <v>0</v>
      </c>
      <c r="FG214" s="1">
        <f t="shared" si="426"/>
        <v>0</v>
      </c>
      <c r="FH214" s="1">
        <f t="shared" si="427"/>
        <v>0</v>
      </c>
      <c r="FI214" s="1">
        <f t="shared" si="428"/>
        <v>0</v>
      </c>
      <c r="FJ214" s="1">
        <f t="shared" si="429"/>
        <v>0</v>
      </c>
      <c r="FK214" s="1">
        <f t="shared" si="430"/>
        <v>0</v>
      </c>
      <c r="FL214" s="1">
        <f t="shared" si="431"/>
        <v>0</v>
      </c>
      <c r="FM214" s="1">
        <f t="shared" si="432"/>
        <v>0</v>
      </c>
      <c r="FN214" s="1">
        <f t="shared" si="433"/>
        <v>0</v>
      </c>
      <c r="FO214" s="1">
        <f t="shared" si="434"/>
        <v>0</v>
      </c>
      <c r="FP214" s="1">
        <f t="shared" si="435"/>
        <v>0</v>
      </c>
      <c r="FQ214" s="1">
        <f t="shared" si="436"/>
        <v>0</v>
      </c>
      <c r="FS214" s="1">
        <f t="shared" si="437"/>
        <v>0</v>
      </c>
      <c r="FT214" s="1">
        <f t="shared" si="438"/>
        <v>0</v>
      </c>
      <c r="FU214" s="38">
        <f t="shared" si="439"/>
        <v>0</v>
      </c>
      <c r="FV214" s="38">
        <f t="shared" si="440"/>
        <v>0</v>
      </c>
      <c r="FW214" s="38">
        <f t="shared" si="441"/>
        <v>0</v>
      </c>
      <c r="FX214" s="38">
        <f t="shared" si="442"/>
        <v>0</v>
      </c>
      <c r="FY214" s="38">
        <f t="shared" si="443"/>
        <v>0</v>
      </c>
      <c r="FZ214" s="38">
        <f t="shared" si="444"/>
        <v>0</v>
      </c>
      <c r="GA214" s="38">
        <f t="shared" si="445"/>
        <v>0</v>
      </c>
      <c r="GB214" s="38">
        <f t="shared" si="446"/>
        <v>0</v>
      </c>
      <c r="GC214" s="38">
        <f t="shared" si="447"/>
        <v>0</v>
      </c>
      <c r="GD214" s="38">
        <f t="shared" si="448"/>
        <v>0</v>
      </c>
      <c r="GE214" s="38">
        <f t="shared" si="449"/>
        <v>0</v>
      </c>
      <c r="GF214" s="38">
        <f t="shared" si="450"/>
        <v>0</v>
      </c>
      <c r="GG214" s="38">
        <f t="shared" si="451"/>
        <v>0</v>
      </c>
      <c r="GH214" s="38">
        <f t="shared" si="452"/>
        <v>0</v>
      </c>
      <c r="GI214" s="38">
        <f t="shared" si="453"/>
        <v>0</v>
      </c>
      <c r="GJ214" s="38">
        <f t="shared" si="454"/>
        <v>0</v>
      </c>
      <c r="GL214" s="38">
        <f t="shared" si="455"/>
        <v>0</v>
      </c>
      <c r="GM214" s="38">
        <f t="shared" si="456"/>
        <v>0</v>
      </c>
      <c r="GN214" s="1" t="s">
        <v>2</v>
      </c>
      <c r="GO214" s="1">
        <f t="shared" si="464"/>
        <v>162</v>
      </c>
      <c r="GP214" s="13">
        <f t="shared" si="465"/>
        <v>1.6199999999999999</v>
      </c>
      <c r="GQ214" s="43">
        <f t="shared" si="466"/>
        <v>2624.4</v>
      </c>
      <c r="GR214" s="41">
        <f t="shared" si="467"/>
        <v>43827.871910400005</v>
      </c>
      <c r="GS214" s="14">
        <f t="shared" si="468"/>
        <v>270.54241920000004</v>
      </c>
      <c r="GT214" s="1">
        <f t="shared" si="457"/>
        <v>0</v>
      </c>
      <c r="GU214" s="1">
        <f t="shared" si="458"/>
        <v>0</v>
      </c>
      <c r="GV214" s="1">
        <f t="shared" si="459"/>
        <v>2624.4</v>
      </c>
      <c r="GW214" s="37">
        <f t="shared" si="469"/>
        <v>0</v>
      </c>
      <c r="GX214" s="37"/>
      <c r="GY214" s="37"/>
      <c r="GZ214" s="37"/>
      <c r="HB214" s="1">
        <f t="shared" si="460"/>
        <v>0</v>
      </c>
      <c r="HC214" s="1">
        <f t="shared" si="461"/>
        <v>0</v>
      </c>
      <c r="HD214" s="37" t="s">
        <v>2</v>
      </c>
      <c r="HE214" s="1" t="s">
        <v>31</v>
      </c>
      <c r="HF214" s="1" t="s">
        <v>205</v>
      </c>
      <c r="HG214" s="1" t="s">
        <v>205</v>
      </c>
      <c r="HI214" s="1" t="s">
        <v>96</v>
      </c>
      <c r="HJ214" s="37" t="s">
        <v>2</v>
      </c>
      <c r="JH214" s="58" t="s">
        <v>2</v>
      </c>
    </row>
    <row r="215" spans="1:268" ht="16.25" customHeight="1" x14ac:dyDescent="0.2">
      <c r="A215" s="21" t="s">
        <v>1129</v>
      </c>
      <c r="B215" s="1" t="s">
        <v>64</v>
      </c>
      <c r="F215" s="1" t="s">
        <v>1130</v>
      </c>
      <c r="I215" s="1">
        <f>49.9+4.6</f>
        <v>54.5</v>
      </c>
      <c r="Q215" s="13">
        <f>(0.94*49.9+1.05*4.6)/I215</f>
        <v>0.94928440366972466</v>
      </c>
      <c r="R215" s="13">
        <f>(0.08*49.9+0.08*4.6)/I215</f>
        <v>0.08</v>
      </c>
      <c r="AD215" s="1">
        <f>102.6+19.2</f>
        <v>121.8</v>
      </c>
      <c r="AL215" s="13">
        <f>(0.93*102.6+0.84*19.2)/AD215</f>
        <v>0.91581280788177344</v>
      </c>
      <c r="AM215" s="13">
        <f>(0.08*102.6+0.07*19.2)/AD215</f>
        <v>7.842364532019705E-2</v>
      </c>
      <c r="AY215" s="1">
        <v>52.5</v>
      </c>
      <c r="BG215" s="1">
        <v>0.84</v>
      </c>
      <c r="BH215" s="1">
        <v>0.08</v>
      </c>
      <c r="BT215" s="1">
        <v>49.9</v>
      </c>
      <c r="CB215" s="1">
        <v>0.94</v>
      </c>
      <c r="CC215" s="1">
        <v>0.08</v>
      </c>
      <c r="CO215" s="1">
        <v>102.6</v>
      </c>
      <c r="CW215" s="1">
        <v>0.93</v>
      </c>
      <c r="CX215" s="1">
        <v>0.08</v>
      </c>
      <c r="DJ215" s="1" t="s">
        <v>96</v>
      </c>
      <c r="DK215" s="1" t="s">
        <v>96</v>
      </c>
      <c r="DL215" s="1">
        <f t="shared" si="462"/>
        <v>0.90638986013986012</v>
      </c>
      <c r="DM215" s="1">
        <f t="shared" si="463"/>
        <v>7.9160839160839144E-2</v>
      </c>
      <c r="DN215" s="1" t="s">
        <v>185</v>
      </c>
      <c r="DO215" s="1" t="s">
        <v>2</v>
      </c>
      <c r="DP215" s="38">
        <f t="shared" si="385"/>
        <v>0</v>
      </c>
      <c r="DQ215" s="38">
        <f t="shared" si="386"/>
        <v>0</v>
      </c>
      <c r="DR215" s="38">
        <f t="shared" si="387"/>
        <v>0</v>
      </c>
      <c r="DS215" s="38">
        <f t="shared" si="388"/>
        <v>0</v>
      </c>
      <c r="DT215" s="38">
        <f t="shared" si="389"/>
        <v>0</v>
      </c>
      <c r="DU215" s="38">
        <f t="shared" si="390"/>
        <v>0</v>
      </c>
      <c r="DV215" s="38">
        <f t="shared" si="391"/>
        <v>0</v>
      </c>
      <c r="DW215" s="38">
        <f t="shared" si="392"/>
        <v>2.07382</v>
      </c>
      <c r="DX215" s="38">
        <f t="shared" si="393"/>
        <v>0.18111999999999998</v>
      </c>
      <c r="DY215" s="38">
        <f t="shared" si="394"/>
        <v>0</v>
      </c>
      <c r="DZ215" s="38">
        <f t="shared" si="395"/>
        <v>0</v>
      </c>
      <c r="EA215" s="38">
        <f t="shared" si="396"/>
        <v>0</v>
      </c>
      <c r="EB215" s="38">
        <f t="shared" si="397"/>
        <v>0</v>
      </c>
      <c r="EC215" s="38">
        <f t="shared" si="398"/>
        <v>0</v>
      </c>
      <c r="ED215" s="38">
        <f t="shared" si="399"/>
        <v>0</v>
      </c>
      <c r="EE215" s="38">
        <f t="shared" si="400"/>
        <v>0</v>
      </c>
      <c r="EG215" s="38">
        <f t="shared" si="401"/>
        <v>0</v>
      </c>
      <c r="EH215" s="38">
        <f t="shared" si="402"/>
        <v>0</v>
      </c>
      <c r="EI215" s="38">
        <f t="shared" si="403"/>
        <v>0</v>
      </c>
      <c r="EJ215" s="38">
        <f t="shared" si="404"/>
        <v>0</v>
      </c>
      <c r="EK215" s="38">
        <f t="shared" si="405"/>
        <v>0</v>
      </c>
      <c r="EL215" s="38">
        <f t="shared" si="406"/>
        <v>0</v>
      </c>
      <c r="EM215" s="38">
        <f t="shared" si="407"/>
        <v>0</v>
      </c>
      <c r="EN215" s="38">
        <f t="shared" si="408"/>
        <v>0</v>
      </c>
      <c r="EO215" s="38">
        <f t="shared" si="409"/>
        <v>0</v>
      </c>
      <c r="EP215" s="38">
        <f t="shared" si="410"/>
        <v>27196.07548</v>
      </c>
      <c r="EQ215" s="38">
        <f t="shared" si="411"/>
        <v>13152.848186879997</v>
      </c>
      <c r="ER215" s="38">
        <f t="shared" si="412"/>
        <v>0</v>
      </c>
      <c r="ES215" s="38">
        <f t="shared" si="413"/>
        <v>0</v>
      </c>
      <c r="ET215" s="38">
        <f t="shared" si="414"/>
        <v>0</v>
      </c>
      <c r="EU215" s="38">
        <f t="shared" si="415"/>
        <v>0</v>
      </c>
      <c r="EV215" s="38">
        <f t="shared" si="416"/>
        <v>0</v>
      </c>
      <c r="EW215" s="38">
        <f t="shared" si="417"/>
        <v>0</v>
      </c>
      <c r="EX215" s="38">
        <f t="shared" si="418"/>
        <v>0</v>
      </c>
      <c r="EZ215" s="38">
        <f t="shared" si="419"/>
        <v>0</v>
      </c>
      <c r="FA215" s="38">
        <f t="shared" si="420"/>
        <v>0</v>
      </c>
      <c r="FB215" s="1">
        <f t="shared" si="421"/>
        <v>0</v>
      </c>
      <c r="FC215" s="1">
        <f t="shared" si="422"/>
        <v>0</v>
      </c>
      <c r="FD215" s="1">
        <f t="shared" si="423"/>
        <v>0</v>
      </c>
      <c r="FE215" s="1">
        <f t="shared" si="424"/>
        <v>0</v>
      </c>
      <c r="FF215" s="1">
        <f t="shared" si="425"/>
        <v>0</v>
      </c>
      <c r="FG215" s="1">
        <f t="shared" si="426"/>
        <v>0</v>
      </c>
      <c r="FH215" s="1">
        <f t="shared" si="427"/>
        <v>0</v>
      </c>
      <c r="FI215" s="1">
        <f t="shared" si="428"/>
        <v>1.4232400000000001</v>
      </c>
      <c r="FJ215" s="1">
        <f t="shared" si="429"/>
        <v>0.122</v>
      </c>
      <c r="FK215" s="1">
        <f t="shared" si="430"/>
        <v>0</v>
      </c>
      <c r="FL215" s="1">
        <f t="shared" si="431"/>
        <v>0</v>
      </c>
      <c r="FM215" s="1">
        <f t="shared" si="432"/>
        <v>0</v>
      </c>
      <c r="FN215" s="1">
        <f t="shared" si="433"/>
        <v>0</v>
      </c>
      <c r="FO215" s="1">
        <f t="shared" si="434"/>
        <v>0</v>
      </c>
      <c r="FP215" s="1">
        <f t="shared" si="435"/>
        <v>0</v>
      </c>
      <c r="FQ215" s="1">
        <f t="shared" si="436"/>
        <v>0</v>
      </c>
      <c r="FS215" s="1">
        <f t="shared" si="437"/>
        <v>0</v>
      </c>
      <c r="FT215" s="1">
        <f t="shared" si="438"/>
        <v>0</v>
      </c>
      <c r="FU215" s="38">
        <f t="shared" si="439"/>
        <v>0</v>
      </c>
      <c r="FV215" s="38">
        <f t="shared" si="440"/>
        <v>0</v>
      </c>
      <c r="FW215" s="38">
        <f t="shared" si="441"/>
        <v>0</v>
      </c>
      <c r="FX215" s="38">
        <f t="shared" si="442"/>
        <v>0</v>
      </c>
      <c r="FY215" s="38">
        <f t="shared" si="443"/>
        <v>0</v>
      </c>
      <c r="FZ215" s="38">
        <f t="shared" si="444"/>
        <v>0</v>
      </c>
      <c r="GA215" s="38">
        <f t="shared" si="445"/>
        <v>0</v>
      </c>
      <c r="GB215" s="38">
        <f t="shared" si="446"/>
        <v>18664.369360000001</v>
      </c>
      <c r="GC215" s="38">
        <f t="shared" si="447"/>
        <v>8859.5819279999978</v>
      </c>
      <c r="GD215" s="38">
        <f t="shared" si="448"/>
        <v>0</v>
      </c>
      <c r="GE215" s="38">
        <f t="shared" si="449"/>
        <v>0</v>
      </c>
      <c r="GF215" s="38">
        <f t="shared" si="450"/>
        <v>0</v>
      </c>
      <c r="GG215" s="38">
        <f t="shared" si="451"/>
        <v>0</v>
      </c>
      <c r="GH215" s="38">
        <f t="shared" si="452"/>
        <v>0</v>
      </c>
      <c r="GI215" s="38">
        <f t="shared" si="453"/>
        <v>0</v>
      </c>
      <c r="GJ215" s="38">
        <f t="shared" si="454"/>
        <v>0</v>
      </c>
      <c r="GL215" s="38">
        <f t="shared" si="455"/>
        <v>0</v>
      </c>
      <c r="GM215" s="38">
        <f t="shared" si="456"/>
        <v>0</v>
      </c>
      <c r="GN215" s="1" t="s">
        <v>2</v>
      </c>
      <c r="GO215" s="1">
        <f t="shared" si="464"/>
        <v>228.8</v>
      </c>
      <c r="GP215" s="13">
        <f t="shared" si="465"/>
        <v>0.90638986013986012</v>
      </c>
      <c r="GQ215" s="43">
        <f t="shared" si="466"/>
        <v>2073.8200000000002</v>
      </c>
      <c r="GR215" s="41">
        <f t="shared" si="467"/>
        <v>40348.92366688</v>
      </c>
      <c r="GS215" s="14">
        <f t="shared" si="468"/>
        <v>176.35019085174824</v>
      </c>
      <c r="GT215" s="1">
        <f t="shared" si="457"/>
        <v>517.36</v>
      </c>
      <c r="GU215" s="1">
        <f t="shared" si="458"/>
        <v>1115.46</v>
      </c>
      <c r="GV215" s="1">
        <f t="shared" si="459"/>
        <v>441</v>
      </c>
      <c r="GW215" s="37">
        <f t="shared" si="469"/>
        <v>152.5</v>
      </c>
      <c r="GX215" s="44">
        <f>(BT215*CB215+CO215*CW215)/GW215</f>
        <v>0.93327213114754104</v>
      </c>
      <c r="GY215" s="43">
        <f>1000*GW215*GX215/100</f>
        <v>1423.24</v>
      </c>
      <c r="GZ215" s="41">
        <f>SUM(FU215:GM215)</f>
        <v>27523.951287999997</v>
      </c>
      <c r="HA215" s="14">
        <f>GZ215/GW215</f>
        <v>180.48492647868849</v>
      </c>
      <c r="HB215" s="1">
        <f t="shared" si="460"/>
        <v>469.06</v>
      </c>
      <c r="HC215" s="1">
        <f t="shared" si="461"/>
        <v>954.18</v>
      </c>
      <c r="HD215" s="37" t="s">
        <v>2</v>
      </c>
      <c r="HE215" s="1" t="s">
        <v>31</v>
      </c>
      <c r="HF215" s="1" t="s">
        <v>506</v>
      </c>
      <c r="HG215" s="1" t="s">
        <v>506</v>
      </c>
      <c r="HI215" s="1" t="s">
        <v>96</v>
      </c>
      <c r="HJ215" s="37" t="s">
        <v>2</v>
      </c>
      <c r="JH215" s="58" t="s">
        <v>2</v>
      </c>
    </row>
    <row r="216" spans="1:268" ht="16.25" customHeight="1" x14ac:dyDescent="0.2">
      <c r="A216" s="21" t="s">
        <v>571</v>
      </c>
      <c r="B216" s="1" t="s">
        <v>64</v>
      </c>
      <c r="E216" s="1" t="s">
        <v>72</v>
      </c>
      <c r="F216" s="1" t="s">
        <v>466</v>
      </c>
      <c r="H216" s="1" t="s">
        <v>204</v>
      </c>
      <c r="I216" s="1">
        <v>0</v>
      </c>
      <c r="AD216" s="1">
        <v>0</v>
      </c>
      <c r="AY216" s="14">
        <f>122.3-2.561-2.919-3.03-2.62</f>
        <v>111.17</v>
      </c>
      <c r="BG216" s="13">
        <f>(1.42*122.3-1.41*2.561-1.53*2.919-1.47*3.03-1.46*2.62)/AY216</f>
        <v>1.4150366105963839</v>
      </c>
      <c r="BH216" s="1">
        <v>0.11</v>
      </c>
      <c r="BT216" s="1">
        <v>0</v>
      </c>
      <c r="CO216" s="1">
        <v>0</v>
      </c>
      <c r="DJ216" s="1" t="s">
        <v>96</v>
      </c>
      <c r="DK216" s="1" t="s">
        <v>96</v>
      </c>
      <c r="DL216" s="1">
        <f t="shared" si="462"/>
        <v>1.4150366105963839</v>
      </c>
      <c r="DM216" s="1">
        <f t="shared" si="463"/>
        <v>0.11</v>
      </c>
      <c r="DN216" s="1" t="s">
        <v>572</v>
      </c>
      <c r="DO216" s="1" t="s">
        <v>2</v>
      </c>
      <c r="DP216" s="38">
        <f t="shared" si="385"/>
        <v>0</v>
      </c>
      <c r="DQ216" s="38">
        <f t="shared" si="386"/>
        <v>0</v>
      </c>
      <c r="DR216" s="38">
        <f t="shared" si="387"/>
        <v>0</v>
      </c>
      <c r="DS216" s="38">
        <f t="shared" si="388"/>
        <v>0</v>
      </c>
      <c r="DT216" s="38">
        <f t="shared" si="389"/>
        <v>0</v>
      </c>
      <c r="DU216" s="38">
        <f t="shared" si="390"/>
        <v>0</v>
      </c>
      <c r="DV216" s="38">
        <f t="shared" si="391"/>
        <v>0</v>
      </c>
      <c r="DW216" s="38">
        <f t="shared" si="392"/>
        <v>1.5730961999999999</v>
      </c>
      <c r="DX216" s="38">
        <f t="shared" si="393"/>
        <v>0.12228699999999999</v>
      </c>
      <c r="DY216" s="38">
        <f t="shared" si="394"/>
        <v>0</v>
      </c>
      <c r="DZ216" s="38">
        <f t="shared" si="395"/>
        <v>0</v>
      </c>
      <c r="EA216" s="38">
        <f t="shared" si="396"/>
        <v>0</v>
      </c>
      <c r="EB216" s="38">
        <f t="shared" si="397"/>
        <v>0</v>
      </c>
      <c r="EC216" s="38">
        <f t="shared" si="398"/>
        <v>0</v>
      </c>
      <c r="ED216" s="38">
        <f t="shared" si="399"/>
        <v>0</v>
      </c>
      <c r="EE216" s="38">
        <f t="shared" si="400"/>
        <v>0</v>
      </c>
      <c r="EG216" s="38">
        <f t="shared" si="401"/>
        <v>0</v>
      </c>
      <c r="EH216" s="38">
        <f t="shared" si="402"/>
        <v>0</v>
      </c>
      <c r="EI216" s="38">
        <f t="shared" si="403"/>
        <v>0</v>
      </c>
      <c r="EJ216" s="38">
        <f t="shared" si="404"/>
        <v>0</v>
      </c>
      <c r="EK216" s="38">
        <f t="shared" si="405"/>
        <v>0</v>
      </c>
      <c r="EL216" s="38">
        <f t="shared" si="406"/>
        <v>0</v>
      </c>
      <c r="EM216" s="38">
        <f t="shared" si="407"/>
        <v>0</v>
      </c>
      <c r="EN216" s="38">
        <f t="shared" si="408"/>
        <v>0</v>
      </c>
      <c r="EO216" s="38">
        <f t="shared" si="409"/>
        <v>0</v>
      </c>
      <c r="EP216" s="38">
        <f t="shared" si="410"/>
        <v>20629.5835668</v>
      </c>
      <c r="EQ216" s="38">
        <f t="shared" si="411"/>
        <v>8880.4237313879985</v>
      </c>
      <c r="ER216" s="38">
        <f t="shared" si="412"/>
        <v>0</v>
      </c>
      <c r="ES216" s="38">
        <f t="shared" si="413"/>
        <v>0</v>
      </c>
      <c r="ET216" s="38">
        <f t="shared" si="414"/>
        <v>0</v>
      </c>
      <c r="EU216" s="38">
        <f t="shared" si="415"/>
        <v>0</v>
      </c>
      <c r="EV216" s="38">
        <f t="shared" si="416"/>
        <v>0</v>
      </c>
      <c r="EW216" s="38">
        <f t="shared" si="417"/>
        <v>0</v>
      </c>
      <c r="EX216" s="38">
        <f t="shared" si="418"/>
        <v>0</v>
      </c>
      <c r="EZ216" s="38">
        <f t="shared" si="419"/>
        <v>0</v>
      </c>
      <c r="FA216" s="38">
        <f t="shared" si="420"/>
        <v>0</v>
      </c>
      <c r="FB216" s="1">
        <f t="shared" si="421"/>
        <v>0</v>
      </c>
      <c r="FC216" s="1">
        <f t="shared" si="422"/>
        <v>0</v>
      </c>
      <c r="FD216" s="1">
        <f t="shared" si="423"/>
        <v>0</v>
      </c>
      <c r="FE216" s="1">
        <f t="shared" si="424"/>
        <v>0</v>
      </c>
      <c r="FF216" s="1">
        <f t="shared" si="425"/>
        <v>0</v>
      </c>
      <c r="FG216" s="1">
        <f t="shared" si="426"/>
        <v>0</v>
      </c>
      <c r="FH216" s="1">
        <f t="shared" si="427"/>
        <v>0</v>
      </c>
      <c r="FI216" s="1">
        <f t="shared" si="428"/>
        <v>0</v>
      </c>
      <c r="FJ216" s="1">
        <f t="shared" si="429"/>
        <v>0</v>
      </c>
      <c r="FK216" s="1">
        <f t="shared" si="430"/>
        <v>0</v>
      </c>
      <c r="FL216" s="1">
        <f t="shared" si="431"/>
        <v>0</v>
      </c>
      <c r="FM216" s="1">
        <f t="shared" si="432"/>
        <v>0</v>
      </c>
      <c r="FN216" s="1">
        <f t="shared" si="433"/>
        <v>0</v>
      </c>
      <c r="FO216" s="1">
        <f t="shared" si="434"/>
        <v>0</v>
      </c>
      <c r="FP216" s="1">
        <f t="shared" si="435"/>
        <v>0</v>
      </c>
      <c r="FQ216" s="1">
        <f t="shared" si="436"/>
        <v>0</v>
      </c>
      <c r="FS216" s="1">
        <f t="shared" si="437"/>
        <v>0</v>
      </c>
      <c r="FT216" s="1">
        <f t="shared" si="438"/>
        <v>0</v>
      </c>
      <c r="FU216" s="38">
        <f t="shared" si="439"/>
        <v>0</v>
      </c>
      <c r="FV216" s="38">
        <f t="shared" si="440"/>
        <v>0</v>
      </c>
      <c r="FW216" s="38">
        <f t="shared" si="441"/>
        <v>0</v>
      </c>
      <c r="FX216" s="38">
        <f t="shared" si="442"/>
        <v>0</v>
      </c>
      <c r="FY216" s="38">
        <f t="shared" si="443"/>
        <v>0</v>
      </c>
      <c r="FZ216" s="38">
        <f t="shared" si="444"/>
        <v>0</v>
      </c>
      <c r="GA216" s="38">
        <f t="shared" si="445"/>
        <v>0</v>
      </c>
      <c r="GB216" s="38">
        <f t="shared" si="446"/>
        <v>0</v>
      </c>
      <c r="GC216" s="38">
        <f t="shared" si="447"/>
        <v>0</v>
      </c>
      <c r="GD216" s="38">
        <f t="shared" si="448"/>
        <v>0</v>
      </c>
      <c r="GE216" s="38">
        <f t="shared" si="449"/>
        <v>0</v>
      </c>
      <c r="GF216" s="38">
        <f t="shared" si="450"/>
        <v>0</v>
      </c>
      <c r="GG216" s="38">
        <f t="shared" si="451"/>
        <v>0</v>
      </c>
      <c r="GH216" s="38">
        <f t="shared" si="452"/>
        <v>0</v>
      </c>
      <c r="GI216" s="38">
        <f t="shared" si="453"/>
        <v>0</v>
      </c>
      <c r="GJ216" s="38">
        <f t="shared" si="454"/>
        <v>0</v>
      </c>
      <c r="GL216" s="38">
        <f t="shared" si="455"/>
        <v>0</v>
      </c>
      <c r="GM216" s="38">
        <f t="shared" si="456"/>
        <v>0</v>
      </c>
      <c r="GN216" s="1" t="s">
        <v>2</v>
      </c>
      <c r="GO216" s="14">
        <f t="shared" si="464"/>
        <v>111.17</v>
      </c>
      <c r="GP216" s="13">
        <f t="shared" si="465"/>
        <v>1.4150366105963839</v>
      </c>
      <c r="GQ216" s="43">
        <f t="shared" si="466"/>
        <v>1573.0962</v>
      </c>
      <c r="GR216" s="41">
        <f t="shared" si="467"/>
        <v>29510.007298188</v>
      </c>
      <c r="GS216" s="14">
        <f t="shared" si="468"/>
        <v>265.44937751360976</v>
      </c>
      <c r="GT216" s="1">
        <f t="shared" si="457"/>
        <v>0</v>
      </c>
      <c r="GU216" s="1">
        <f t="shared" si="458"/>
        <v>0</v>
      </c>
      <c r="GV216" s="1">
        <f t="shared" si="459"/>
        <v>1573.0962</v>
      </c>
      <c r="GW216" s="37">
        <f t="shared" si="469"/>
        <v>0</v>
      </c>
      <c r="GX216" s="37"/>
      <c r="GY216" s="37"/>
      <c r="GZ216" s="37"/>
      <c r="HB216" s="1">
        <f t="shared" si="460"/>
        <v>0</v>
      </c>
      <c r="HC216" s="1">
        <f t="shared" si="461"/>
        <v>0</v>
      </c>
      <c r="HD216" s="37" t="s">
        <v>2</v>
      </c>
      <c r="HE216" s="1" t="s">
        <v>31</v>
      </c>
      <c r="HF216" s="1" t="s">
        <v>506</v>
      </c>
      <c r="HG216" s="1" t="s">
        <v>506</v>
      </c>
      <c r="HI216" s="1" t="s">
        <v>96</v>
      </c>
      <c r="HJ216" s="37" t="s">
        <v>2</v>
      </c>
      <c r="JH216" s="58" t="s">
        <v>2</v>
      </c>
    </row>
    <row r="217" spans="1:268" ht="16.25" customHeight="1" x14ac:dyDescent="0.2">
      <c r="A217" s="21" t="s">
        <v>503</v>
      </c>
      <c r="B217" s="1" t="s">
        <v>64</v>
      </c>
      <c r="E217" s="1" t="s">
        <v>72</v>
      </c>
      <c r="F217" s="1" t="s">
        <v>504</v>
      </c>
      <c r="H217" s="1" t="s">
        <v>505</v>
      </c>
      <c r="I217" s="1">
        <v>0</v>
      </c>
      <c r="AD217" s="14">
        <f>36.969+73.001</f>
        <v>109.97</v>
      </c>
      <c r="AL217" s="13">
        <f>(1.65*36.969+1.06*73.001)/AD217</f>
        <v>1.2583423660998454</v>
      </c>
      <c r="AT217" s="13">
        <f>(10.18*36.969+45.7*73.001)/AD217</f>
        <v>33.759117213785579</v>
      </c>
      <c r="AX217" s="13">
        <f>100*((53.03+108.933)-(36.969+73.001))/(53.03+108.933)</f>
        <v>32.101776331631307</v>
      </c>
      <c r="AY217" s="13">
        <v>2.4950000000000001</v>
      </c>
      <c r="BG217" s="1">
        <v>1.56</v>
      </c>
      <c r="BO217" s="1">
        <v>11.88</v>
      </c>
      <c r="BS217" s="13">
        <f>100*(3.607-2.495)/3.607</f>
        <v>30.828943720543389</v>
      </c>
      <c r="BT217" s="1">
        <v>0</v>
      </c>
      <c r="CO217" s="14">
        <f>36.969+73.001</f>
        <v>109.97</v>
      </c>
      <c r="CW217" s="13">
        <f>(1.48*36.969+1.06*73.001)/CO217</f>
        <v>1.2011928707829409</v>
      </c>
      <c r="DE217" s="13">
        <f>(10.18*36.969+45.7*73.001)/CO217</f>
        <v>33.759117213785579</v>
      </c>
      <c r="DI217" s="13">
        <f>100*((53.03+108.933)-(36.969+73.001))/(53.03+108.933)</f>
        <v>32.101776331631307</v>
      </c>
      <c r="DJ217" s="1" t="s">
        <v>96</v>
      </c>
      <c r="DL217" s="1">
        <f t="shared" si="462"/>
        <v>1.2650345440803805</v>
      </c>
      <c r="DM217" s="1">
        <f t="shared" si="463"/>
        <v>0</v>
      </c>
      <c r="DN217" s="1" t="s">
        <v>67</v>
      </c>
      <c r="DO217" s="1" t="s">
        <v>2</v>
      </c>
      <c r="DP217" s="38">
        <f t="shared" si="385"/>
        <v>0</v>
      </c>
      <c r="DQ217" s="38">
        <f t="shared" si="386"/>
        <v>0</v>
      </c>
      <c r="DR217" s="38">
        <f t="shared" si="387"/>
        <v>0</v>
      </c>
      <c r="DS217" s="38">
        <f t="shared" si="388"/>
        <v>0</v>
      </c>
      <c r="DT217" s="38">
        <f t="shared" si="389"/>
        <v>0</v>
      </c>
      <c r="DU217" s="38">
        <f t="shared" si="390"/>
        <v>0</v>
      </c>
      <c r="DV217" s="38">
        <f t="shared" si="391"/>
        <v>0</v>
      </c>
      <c r="DW217" s="38">
        <f t="shared" si="392"/>
        <v>1.4227211</v>
      </c>
      <c r="DX217" s="38">
        <f t="shared" si="393"/>
        <v>0</v>
      </c>
      <c r="DY217" s="38">
        <f t="shared" si="394"/>
        <v>0</v>
      </c>
      <c r="DZ217" s="38">
        <f t="shared" si="395"/>
        <v>0</v>
      </c>
      <c r="EA217" s="38">
        <f t="shared" si="396"/>
        <v>0</v>
      </c>
      <c r="EB217" s="38">
        <f t="shared" si="397"/>
        <v>0</v>
      </c>
      <c r="EC217" s="38">
        <f t="shared" si="398"/>
        <v>0</v>
      </c>
      <c r="ED217" s="38">
        <f t="shared" si="399"/>
        <v>0</v>
      </c>
      <c r="EE217" s="38">
        <f t="shared" si="400"/>
        <v>37.421307200000001</v>
      </c>
      <c r="EG217" s="38">
        <f t="shared" si="401"/>
        <v>0</v>
      </c>
      <c r="EH217" s="38">
        <f t="shared" si="402"/>
        <v>0</v>
      </c>
      <c r="EI217" s="38">
        <f t="shared" si="403"/>
        <v>0</v>
      </c>
      <c r="EJ217" s="38">
        <f t="shared" si="404"/>
        <v>0</v>
      </c>
      <c r="EK217" s="38">
        <f t="shared" si="405"/>
        <v>0</v>
      </c>
      <c r="EL217" s="38">
        <f t="shared" si="406"/>
        <v>0</v>
      </c>
      <c r="EM217" s="38">
        <f t="shared" si="407"/>
        <v>0</v>
      </c>
      <c r="EN217" s="38">
        <f t="shared" si="408"/>
        <v>0</v>
      </c>
      <c r="EO217" s="38">
        <f t="shared" si="409"/>
        <v>0</v>
      </c>
      <c r="EP217" s="38">
        <f t="shared" si="410"/>
        <v>18657.564505399998</v>
      </c>
      <c r="EQ217" s="38">
        <f t="shared" si="411"/>
        <v>0</v>
      </c>
      <c r="ER217" s="38">
        <f t="shared" si="412"/>
        <v>0</v>
      </c>
      <c r="ES217" s="38">
        <f t="shared" si="413"/>
        <v>0</v>
      </c>
      <c r="ET217" s="38">
        <f t="shared" si="414"/>
        <v>0</v>
      </c>
      <c r="EU217" s="38">
        <f t="shared" si="415"/>
        <v>0</v>
      </c>
      <c r="EV217" s="38">
        <f t="shared" si="416"/>
        <v>0</v>
      </c>
      <c r="EW217" s="38">
        <f t="shared" si="417"/>
        <v>0</v>
      </c>
      <c r="EX217" s="38">
        <f t="shared" si="418"/>
        <v>3480.1815696000003</v>
      </c>
      <c r="EZ217" s="38">
        <f t="shared" si="419"/>
        <v>0</v>
      </c>
      <c r="FA217" s="38">
        <f t="shared" si="420"/>
        <v>0</v>
      </c>
      <c r="FB217" s="1">
        <f t="shared" si="421"/>
        <v>0</v>
      </c>
      <c r="FC217" s="1">
        <f t="shared" si="422"/>
        <v>0</v>
      </c>
      <c r="FD217" s="1">
        <f t="shared" si="423"/>
        <v>0</v>
      </c>
      <c r="FE217" s="1">
        <f t="shared" si="424"/>
        <v>0</v>
      </c>
      <c r="FF217" s="1">
        <f t="shared" si="425"/>
        <v>0</v>
      </c>
      <c r="FG217" s="1">
        <f t="shared" si="426"/>
        <v>0</v>
      </c>
      <c r="FH217" s="1">
        <f t="shared" si="427"/>
        <v>0</v>
      </c>
      <c r="FI217" s="1">
        <f t="shared" si="428"/>
        <v>1.3209518</v>
      </c>
      <c r="FJ217" s="1">
        <f t="shared" si="429"/>
        <v>0</v>
      </c>
      <c r="FK217" s="1">
        <f t="shared" si="430"/>
        <v>0</v>
      </c>
      <c r="FL217" s="1">
        <f t="shared" si="431"/>
        <v>0</v>
      </c>
      <c r="FM217" s="1">
        <f t="shared" si="432"/>
        <v>0</v>
      </c>
      <c r="FN217" s="1">
        <f t="shared" si="433"/>
        <v>0</v>
      </c>
      <c r="FO217" s="1">
        <f t="shared" si="434"/>
        <v>0</v>
      </c>
      <c r="FP217" s="1">
        <f t="shared" si="435"/>
        <v>0</v>
      </c>
      <c r="FQ217" s="1">
        <f t="shared" si="436"/>
        <v>37.124901199999996</v>
      </c>
      <c r="FS217" s="1">
        <f t="shared" si="437"/>
        <v>0</v>
      </c>
      <c r="FT217" s="1">
        <f t="shared" si="438"/>
        <v>0</v>
      </c>
      <c r="FU217" s="38">
        <f t="shared" si="439"/>
        <v>0</v>
      </c>
      <c r="FV217" s="38">
        <f t="shared" si="440"/>
        <v>0</v>
      </c>
      <c r="FW217" s="38">
        <f t="shared" si="441"/>
        <v>0</v>
      </c>
      <c r="FX217" s="38">
        <f t="shared" si="442"/>
        <v>0</v>
      </c>
      <c r="FY217" s="38">
        <f t="shared" si="443"/>
        <v>0</v>
      </c>
      <c r="FZ217" s="38">
        <f t="shared" si="444"/>
        <v>0</v>
      </c>
      <c r="GA217" s="38">
        <f t="shared" si="445"/>
        <v>0</v>
      </c>
      <c r="GB217" s="38">
        <f t="shared" si="446"/>
        <v>17322.961905200002</v>
      </c>
      <c r="GC217" s="38">
        <f t="shared" si="447"/>
        <v>0</v>
      </c>
      <c r="GD217" s="38">
        <f t="shared" si="448"/>
        <v>0</v>
      </c>
      <c r="GE217" s="38">
        <f t="shared" si="449"/>
        <v>0</v>
      </c>
      <c r="GF217" s="38">
        <f t="shared" si="450"/>
        <v>0</v>
      </c>
      <c r="GG217" s="38">
        <f t="shared" si="451"/>
        <v>0</v>
      </c>
      <c r="GH217" s="38">
        <f t="shared" si="452"/>
        <v>0</v>
      </c>
      <c r="GI217" s="38">
        <f t="shared" si="453"/>
        <v>0</v>
      </c>
      <c r="GJ217" s="38">
        <f t="shared" si="454"/>
        <v>3452.6158115999997</v>
      </c>
      <c r="GL217" s="38">
        <f t="shared" si="455"/>
        <v>0</v>
      </c>
      <c r="GM217" s="38">
        <f t="shared" si="456"/>
        <v>0</v>
      </c>
      <c r="GN217" s="1" t="s">
        <v>2</v>
      </c>
      <c r="GO217" s="1">
        <f t="shared" si="464"/>
        <v>112.465</v>
      </c>
      <c r="GP217" s="13">
        <f t="shared" si="465"/>
        <v>1.2650345440803805</v>
      </c>
      <c r="GQ217" s="43">
        <f t="shared" si="466"/>
        <v>1422.7210999999998</v>
      </c>
      <c r="GR217" s="41">
        <f t="shared" si="467"/>
        <v>22137.746074999999</v>
      </c>
      <c r="GS217" s="14">
        <f t="shared" si="468"/>
        <v>196.8412045969857</v>
      </c>
      <c r="GT217" s="1">
        <f t="shared" si="457"/>
        <v>0</v>
      </c>
      <c r="GU217" s="1">
        <f t="shared" si="458"/>
        <v>1383.7991</v>
      </c>
      <c r="GV217" s="1">
        <f t="shared" si="459"/>
        <v>38.922000000000004</v>
      </c>
      <c r="GW217" s="44">
        <f t="shared" si="469"/>
        <v>109.97</v>
      </c>
      <c r="GX217" s="44">
        <f>(BT217*CB217+CO217*CW217)/GW217</f>
        <v>1.2011928707829409</v>
      </c>
      <c r="GY217" s="43">
        <f>1000*GW217*GX217/100</f>
        <v>1320.9518000000003</v>
      </c>
      <c r="GZ217" s="41">
        <f>SUM(FU217:GM217)</f>
        <v>20775.577716800002</v>
      </c>
      <c r="HA217" s="14">
        <f>GZ217/GW217</f>
        <v>188.92041208329547</v>
      </c>
      <c r="HB217" s="1">
        <f t="shared" si="460"/>
        <v>0</v>
      </c>
      <c r="HC217" s="1">
        <f t="shared" si="461"/>
        <v>1320.9517999999998</v>
      </c>
      <c r="HD217" s="37" t="s">
        <v>2</v>
      </c>
      <c r="HE217" s="1" t="s">
        <v>31</v>
      </c>
      <c r="HF217" s="1" t="s">
        <v>506</v>
      </c>
      <c r="HG217" s="1" t="s">
        <v>506</v>
      </c>
      <c r="HI217" s="1" t="s">
        <v>96</v>
      </c>
      <c r="HJ217" s="37" t="s">
        <v>2</v>
      </c>
      <c r="JH217" s="58" t="s">
        <v>2</v>
      </c>
    </row>
    <row r="218" spans="1:268" ht="16.25" customHeight="1" x14ac:dyDescent="0.2">
      <c r="A218" s="21" t="s">
        <v>513</v>
      </c>
      <c r="B218" s="1" t="s">
        <v>69</v>
      </c>
      <c r="E218" s="1" t="s">
        <v>72</v>
      </c>
      <c r="F218" s="1" t="s">
        <v>511</v>
      </c>
      <c r="H218" s="1" t="s">
        <v>187</v>
      </c>
      <c r="I218" s="1">
        <v>0</v>
      </c>
      <c r="AD218" s="1">
        <f>28.35+39.54</f>
        <v>67.89</v>
      </c>
      <c r="AL218" s="13">
        <f>(1.2*28.35+1.23*39.54)/AD218</f>
        <v>1.2174723817940787</v>
      </c>
      <c r="AT218" s="13">
        <f>(13.78*28.35+43.32*39.54)/AD218</f>
        <v>30.984471939902779</v>
      </c>
      <c r="AX218" s="13">
        <f>100*((43.615+60.83)-(28.35+39.54))/(43.615+60.83)</f>
        <v>34.999281918713194</v>
      </c>
      <c r="AY218" s="13">
        <f>16.28+5.72</f>
        <v>22</v>
      </c>
      <c r="BG218" s="13">
        <f>(1.14*16.28+1.06*5.72)/AY218</f>
        <v>1.1192</v>
      </c>
      <c r="BO218" s="13">
        <f>(13.95*16.28+42.33*5.72)/AY218</f>
        <v>21.328799999999998</v>
      </c>
      <c r="BS218" s="13">
        <f>100*((25.046+8.8)-(16.28+5.72))/(25.046+8.8)</f>
        <v>34.999704544111573</v>
      </c>
      <c r="BT218" s="1">
        <v>0</v>
      </c>
      <c r="CO218" s="13">
        <f>2.819+32.875</f>
        <v>35.694000000000003</v>
      </c>
      <c r="CW218" s="13">
        <f>(1.85*2.819+1.32*32.875)/CO218</f>
        <v>1.3618577351935899</v>
      </c>
      <c r="DE218" s="13">
        <f>(28.74*2.819+40*32.875)/CO218</f>
        <v>39.110720569283345</v>
      </c>
      <c r="DI218" s="13">
        <f>100*((4.337+50.576)-(2.819+32.875))/(4.337+50.576)</f>
        <v>34.998998415675693</v>
      </c>
      <c r="DJ218" s="1" t="s">
        <v>96</v>
      </c>
      <c r="DL218" s="1">
        <f t="shared" si="462"/>
        <v>1.1934208477027479</v>
      </c>
      <c r="DM218" s="1">
        <f t="shared" si="463"/>
        <v>0</v>
      </c>
      <c r="DN218" s="1" t="s">
        <v>67</v>
      </c>
      <c r="DO218" s="1" t="s">
        <v>2</v>
      </c>
      <c r="DP218" s="38">
        <f t="shared" si="385"/>
        <v>0</v>
      </c>
      <c r="DQ218" s="38">
        <f t="shared" si="386"/>
        <v>0</v>
      </c>
      <c r="DR218" s="38">
        <f t="shared" si="387"/>
        <v>0</v>
      </c>
      <c r="DS218" s="38">
        <f t="shared" si="388"/>
        <v>0</v>
      </c>
      <c r="DT218" s="38">
        <f t="shared" si="389"/>
        <v>0</v>
      </c>
      <c r="DU218" s="38">
        <f t="shared" si="390"/>
        <v>0</v>
      </c>
      <c r="DV218" s="38">
        <f t="shared" si="391"/>
        <v>0</v>
      </c>
      <c r="DW218" s="38">
        <f t="shared" si="392"/>
        <v>1.0727660000000001</v>
      </c>
      <c r="DX218" s="38">
        <f t="shared" si="393"/>
        <v>0</v>
      </c>
      <c r="DY218" s="38">
        <f t="shared" si="394"/>
        <v>0</v>
      </c>
      <c r="DZ218" s="38">
        <f t="shared" si="395"/>
        <v>0</v>
      </c>
      <c r="EA218" s="38">
        <f t="shared" si="396"/>
        <v>0</v>
      </c>
      <c r="EB218" s="38">
        <f t="shared" si="397"/>
        <v>0</v>
      </c>
      <c r="EC218" s="38">
        <f t="shared" si="398"/>
        <v>0</v>
      </c>
      <c r="ED218" s="38">
        <f t="shared" si="399"/>
        <v>0</v>
      </c>
      <c r="EE218" s="38">
        <f t="shared" si="400"/>
        <v>25.727693999999996</v>
      </c>
      <c r="EG218" s="38">
        <f t="shared" si="401"/>
        <v>0</v>
      </c>
      <c r="EH218" s="38">
        <f t="shared" si="402"/>
        <v>0</v>
      </c>
      <c r="EI218" s="38">
        <f t="shared" si="403"/>
        <v>0</v>
      </c>
      <c r="EJ218" s="38">
        <f t="shared" si="404"/>
        <v>0</v>
      </c>
      <c r="EK218" s="38">
        <f t="shared" si="405"/>
        <v>0</v>
      </c>
      <c r="EL218" s="38">
        <f t="shared" si="406"/>
        <v>0</v>
      </c>
      <c r="EM218" s="38">
        <f t="shared" si="407"/>
        <v>0</v>
      </c>
      <c r="EN218" s="38">
        <f t="shared" si="408"/>
        <v>0</v>
      </c>
      <c r="EO218" s="38">
        <f t="shared" si="409"/>
        <v>0</v>
      </c>
      <c r="EP218" s="38">
        <f t="shared" si="410"/>
        <v>14068.253324000001</v>
      </c>
      <c r="EQ218" s="38">
        <f t="shared" si="411"/>
        <v>0</v>
      </c>
      <c r="ER218" s="38">
        <f t="shared" si="412"/>
        <v>0</v>
      </c>
      <c r="ES218" s="38">
        <f t="shared" si="413"/>
        <v>0</v>
      </c>
      <c r="ET218" s="38">
        <f t="shared" si="414"/>
        <v>0</v>
      </c>
      <c r="EU218" s="38">
        <f t="shared" si="415"/>
        <v>0</v>
      </c>
      <c r="EV218" s="38">
        <f t="shared" si="416"/>
        <v>0</v>
      </c>
      <c r="EW218" s="38">
        <f t="shared" si="417"/>
        <v>0</v>
      </c>
      <c r="EX218" s="38">
        <f t="shared" si="418"/>
        <v>2392.6755419999995</v>
      </c>
      <c r="EZ218" s="38">
        <f t="shared" si="419"/>
        <v>0</v>
      </c>
      <c r="FA218" s="38">
        <f t="shared" si="420"/>
        <v>0</v>
      </c>
      <c r="FB218" s="1">
        <f t="shared" si="421"/>
        <v>0</v>
      </c>
      <c r="FC218" s="1">
        <f t="shared" si="422"/>
        <v>0</v>
      </c>
      <c r="FD218" s="1">
        <f t="shared" si="423"/>
        <v>0</v>
      </c>
      <c r="FE218" s="1">
        <f t="shared" si="424"/>
        <v>0</v>
      </c>
      <c r="FF218" s="1">
        <f t="shared" si="425"/>
        <v>0</v>
      </c>
      <c r="FG218" s="1">
        <f t="shared" si="426"/>
        <v>0</v>
      </c>
      <c r="FH218" s="1">
        <f t="shared" si="427"/>
        <v>0</v>
      </c>
      <c r="FI218" s="1">
        <f t="shared" si="428"/>
        <v>0.48610149999999996</v>
      </c>
      <c r="FJ218" s="1">
        <f t="shared" si="429"/>
        <v>0</v>
      </c>
      <c r="FK218" s="1">
        <f t="shared" si="430"/>
        <v>0</v>
      </c>
      <c r="FL218" s="1">
        <f t="shared" si="431"/>
        <v>0</v>
      </c>
      <c r="FM218" s="1">
        <f t="shared" si="432"/>
        <v>0</v>
      </c>
      <c r="FN218" s="1">
        <f t="shared" si="433"/>
        <v>0</v>
      </c>
      <c r="FO218" s="1">
        <f t="shared" si="434"/>
        <v>0</v>
      </c>
      <c r="FP218" s="1">
        <f t="shared" si="435"/>
        <v>0</v>
      </c>
      <c r="FQ218" s="1">
        <f t="shared" si="436"/>
        <v>13.960180599999999</v>
      </c>
      <c r="FS218" s="1">
        <f t="shared" si="437"/>
        <v>0</v>
      </c>
      <c r="FT218" s="1">
        <f t="shared" si="438"/>
        <v>0</v>
      </c>
      <c r="FU218" s="38">
        <f t="shared" si="439"/>
        <v>0</v>
      </c>
      <c r="FV218" s="38">
        <f t="shared" si="440"/>
        <v>0</v>
      </c>
      <c r="FW218" s="38">
        <f t="shared" si="441"/>
        <v>0</v>
      </c>
      <c r="FX218" s="38">
        <f t="shared" si="442"/>
        <v>0</v>
      </c>
      <c r="FY218" s="38">
        <f t="shared" si="443"/>
        <v>0</v>
      </c>
      <c r="FZ218" s="38">
        <f t="shared" si="444"/>
        <v>0</v>
      </c>
      <c r="GA218" s="38">
        <f t="shared" si="445"/>
        <v>0</v>
      </c>
      <c r="GB218" s="38">
        <f t="shared" si="446"/>
        <v>6374.7350709999992</v>
      </c>
      <c r="GC218" s="38">
        <f t="shared" si="447"/>
        <v>0</v>
      </c>
      <c r="GD218" s="38">
        <f t="shared" si="448"/>
        <v>0</v>
      </c>
      <c r="GE218" s="38">
        <f t="shared" si="449"/>
        <v>0</v>
      </c>
      <c r="GF218" s="38">
        <f t="shared" si="450"/>
        <v>0</v>
      </c>
      <c r="GG218" s="38">
        <f t="shared" si="451"/>
        <v>0</v>
      </c>
      <c r="GH218" s="38">
        <f t="shared" si="452"/>
        <v>0</v>
      </c>
      <c r="GI218" s="38">
        <f t="shared" si="453"/>
        <v>0</v>
      </c>
      <c r="GJ218" s="38">
        <f t="shared" si="454"/>
        <v>1298.2967957999999</v>
      </c>
      <c r="GL218" s="38">
        <f t="shared" si="455"/>
        <v>0</v>
      </c>
      <c r="GM218" s="38">
        <f t="shared" si="456"/>
        <v>0</v>
      </c>
      <c r="GN218" s="1" t="s">
        <v>2</v>
      </c>
      <c r="GO218" s="13">
        <f t="shared" si="464"/>
        <v>89.89</v>
      </c>
      <c r="GP218" s="13">
        <f t="shared" si="465"/>
        <v>1.1934208477027479</v>
      </c>
      <c r="GQ218" s="43">
        <f t="shared" si="466"/>
        <v>1072.7660000000001</v>
      </c>
      <c r="GR218" s="41">
        <f t="shared" si="467"/>
        <v>16460.928866000002</v>
      </c>
      <c r="GS218" s="14">
        <f t="shared" si="468"/>
        <v>183.12302665480033</v>
      </c>
      <c r="GT218" s="1">
        <f t="shared" si="457"/>
        <v>0</v>
      </c>
      <c r="GU218" s="1">
        <f t="shared" si="458"/>
        <v>826.54199999999992</v>
      </c>
      <c r="GV218" s="1">
        <f t="shared" si="459"/>
        <v>246.22399999999999</v>
      </c>
      <c r="GW218" s="44">
        <f t="shared" si="469"/>
        <v>35.694000000000003</v>
      </c>
      <c r="GX218" s="44">
        <f>(BT218*CB218+CO218*CW218)/GW218</f>
        <v>1.3618577351935899</v>
      </c>
      <c r="GY218" s="41">
        <f>1000*GW218*GX218/100</f>
        <v>486.10149999999993</v>
      </c>
      <c r="GZ218" s="41">
        <f>SUM(FU218:GM218)</f>
        <v>7673.0318667999991</v>
      </c>
      <c r="HA218" s="14">
        <f>GZ218/GW218</f>
        <v>214.96699352272086</v>
      </c>
      <c r="HB218" s="1">
        <f t="shared" si="460"/>
        <v>0</v>
      </c>
      <c r="HC218" s="1">
        <f t="shared" si="461"/>
        <v>486.10149999999993</v>
      </c>
      <c r="HD218" s="37" t="s">
        <v>2</v>
      </c>
      <c r="HE218" s="1" t="s">
        <v>31</v>
      </c>
      <c r="HF218" s="1" t="s">
        <v>205</v>
      </c>
      <c r="HG218" s="1" t="s">
        <v>205</v>
      </c>
      <c r="HI218" s="1" t="s">
        <v>96</v>
      </c>
      <c r="HJ218" s="37" t="s">
        <v>2</v>
      </c>
      <c r="JH218" s="58" t="s">
        <v>2</v>
      </c>
    </row>
    <row r="219" spans="1:268" ht="16.25" customHeight="1" x14ac:dyDescent="0.2">
      <c r="A219" s="21" t="s">
        <v>514</v>
      </c>
      <c r="B219" s="1" t="s">
        <v>64</v>
      </c>
      <c r="E219" s="1" t="s">
        <v>72</v>
      </c>
      <c r="F219" s="1" t="s">
        <v>515</v>
      </c>
      <c r="H219" s="1" t="s">
        <v>187</v>
      </c>
      <c r="I219" s="1">
        <v>0</v>
      </c>
      <c r="AD219" s="1">
        <v>9.8970000000000002</v>
      </c>
      <c r="AL219" s="1">
        <v>1.02</v>
      </c>
      <c r="AT219" s="14">
        <f>100*3.5/9.897</f>
        <v>35.364251793472768</v>
      </c>
      <c r="AY219" s="1">
        <v>0</v>
      </c>
      <c r="BT219" s="1">
        <v>0</v>
      </c>
      <c r="CO219" s="1">
        <v>0</v>
      </c>
      <c r="DJ219" s="1" t="s">
        <v>96</v>
      </c>
      <c r="DL219" s="1">
        <f t="shared" si="462"/>
        <v>1.02</v>
      </c>
      <c r="DM219" s="1">
        <f t="shared" si="463"/>
        <v>0</v>
      </c>
      <c r="DN219" s="1" t="s">
        <v>154</v>
      </c>
      <c r="DO219" s="1" t="s">
        <v>2</v>
      </c>
      <c r="DP219" s="38">
        <f t="shared" si="385"/>
        <v>0</v>
      </c>
      <c r="DQ219" s="38">
        <f t="shared" si="386"/>
        <v>0</v>
      </c>
      <c r="DR219" s="38">
        <f t="shared" si="387"/>
        <v>0</v>
      </c>
      <c r="DS219" s="38">
        <f t="shared" si="388"/>
        <v>0</v>
      </c>
      <c r="DT219" s="38">
        <f t="shared" si="389"/>
        <v>0</v>
      </c>
      <c r="DU219" s="38">
        <f t="shared" si="390"/>
        <v>0</v>
      </c>
      <c r="DV219" s="38">
        <f t="shared" si="391"/>
        <v>0</v>
      </c>
      <c r="DW219" s="38">
        <f t="shared" si="392"/>
        <v>0.10094940000000001</v>
      </c>
      <c r="DX219" s="38">
        <f t="shared" si="393"/>
        <v>0</v>
      </c>
      <c r="DY219" s="38">
        <f t="shared" si="394"/>
        <v>0</v>
      </c>
      <c r="DZ219" s="38">
        <f t="shared" si="395"/>
        <v>0</v>
      </c>
      <c r="EA219" s="38">
        <f t="shared" si="396"/>
        <v>0</v>
      </c>
      <c r="EB219" s="38">
        <f t="shared" si="397"/>
        <v>0</v>
      </c>
      <c r="EC219" s="38">
        <f t="shared" si="398"/>
        <v>0</v>
      </c>
      <c r="ED219" s="38">
        <f t="shared" si="399"/>
        <v>0</v>
      </c>
      <c r="EE219" s="38">
        <f t="shared" si="400"/>
        <v>3.5</v>
      </c>
      <c r="EG219" s="38">
        <f t="shared" si="401"/>
        <v>0</v>
      </c>
      <c r="EH219" s="38">
        <f t="shared" si="402"/>
        <v>0</v>
      </c>
      <c r="EI219" s="38">
        <f t="shared" si="403"/>
        <v>0</v>
      </c>
      <c r="EJ219" s="38">
        <f t="shared" si="404"/>
        <v>0</v>
      </c>
      <c r="EK219" s="38">
        <f t="shared" si="405"/>
        <v>0</v>
      </c>
      <c r="EL219" s="38">
        <f t="shared" si="406"/>
        <v>0</v>
      </c>
      <c r="EM219" s="38">
        <f t="shared" si="407"/>
        <v>0</v>
      </c>
      <c r="EN219" s="38">
        <f t="shared" si="408"/>
        <v>0</v>
      </c>
      <c r="EO219" s="38">
        <f t="shared" si="409"/>
        <v>0</v>
      </c>
      <c r="EP219" s="38">
        <f t="shared" si="410"/>
        <v>1323.8504316000001</v>
      </c>
      <c r="EQ219" s="38">
        <f t="shared" si="411"/>
        <v>0</v>
      </c>
      <c r="ER219" s="38">
        <f t="shared" si="412"/>
        <v>0</v>
      </c>
      <c r="ES219" s="38">
        <f t="shared" si="413"/>
        <v>0</v>
      </c>
      <c r="ET219" s="38">
        <f t="shared" si="414"/>
        <v>0</v>
      </c>
      <c r="EU219" s="38">
        <f t="shared" si="415"/>
        <v>0</v>
      </c>
      <c r="EV219" s="38">
        <f t="shared" si="416"/>
        <v>0</v>
      </c>
      <c r="EW219" s="38">
        <f t="shared" si="417"/>
        <v>0</v>
      </c>
      <c r="EX219" s="38">
        <f t="shared" si="418"/>
        <v>325.5</v>
      </c>
      <c r="EZ219" s="38">
        <f t="shared" si="419"/>
        <v>0</v>
      </c>
      <c r="FA219" s="38">
        <f t="shared" si="420"/>
        <v>0</v>
      </c>
      <c r="FB219" s="1">
        <f t="shared" si="421"/>
        <v>0</v>
      </c>
      <c r="FC219" s="1">
        <f t="shared" si="422"/>
        <v>0</v>
      </c>
      <c r="FD219" s="1">
        <f t="shared" si="423"/>
        <v>0</v>
      </c>
      <c r="FE219" s="1">
        <f t="shared" si="424"/>
        <v>0</v>
      </c>
      <c r="FF219" s="1">
        <f t="shared" si="425"/>
        <v>0</v>
      </c>
      <c r="FG219" s="1">
        <f t="shared" si="426"/>
        <v>0</v>
      </c>
      <c r="FH219" s="1">
        <f t="shared" si="427"/>
        <v>0</v>
      </c>
      <c r="FI219" s="1">
        <f t="shared" si="428"/>
        <v>0</v>
      </c>
      <c r="FJ219" s="1">
        <f t="shared" si="429"/>
        <v>0</v>
      </c>
      <c r="FK219" s="1">
        <f t="shared" si="430"/>
        <v>0</v>
      </c>
      <c r="FL219" s="1">
        <f t="shared" si="431"/>
        <v>0</v>
      </c>
      <c r="FM219" s="1">
        <f t="shared" si="432"/>
        <v>0</v>
      </c>
      <c r="FN219" s="1">
        <f t="shared" si="433"/>
        <v>0</v>
      </c>
      <c r="FO219" s="1">
        <f t="shared" si="434"/>
        <v>0</v>
      </c>
      <c r="FP219" s="1">
        <f t="shared" si="435"/>
        <v>0</v>
      </c>
      <c r="FQ219" s="1">
        <f t="shared" si="436"/>
        <v>0</v>
      </c>
      <c r="FS219" s="1">
        <f t="shared" si="437"/>
        <v>0</v>
      </c>
      <c r="FT219" s="1">
        <f t="shared" si="438"/>
        <v>0</v>
      </c>
      <c r="FU219" s="38">
        <f t="shared" si="439"/>
        <v>0</v>
      </c>
      <c r="FV219" s="38">
        <f t="shared" si="440"/>
        <v>0</v>
      </c>
      <c r="FW219" s="38">
        <f t="shared" si="441"/>
        <v>0</v>
      </c>
      <c r="FX219" s="38">
        <f t="shared" si="442"/>
        <v>0</v>
      </c>
      <c r="FY219" s="38">
        <f t="shared" si="443"/>
        <v>0</v>
      </c>
      <c r="FZ219" s="38">
        <f t="shared" si="444"/>
        <v>0</v>
      </c>
      <c r="GA219" s="38">
        <f t="shared" si="445"/>
        <v>0</v>
      </c>
      <c r="GB219" s="38">
        <f t="shared" si="446"/>
        <v>0</v>
      </c>
      <c r="GC219" s="38">
        <f t="shared" si="447"/>
        <v>0</v>
      </c>
      <c r="GD219" s="38">
        <f t="shared" si="448"/>
        <v>0</v>
      </c>
      <c r="GE219" s="38">
        <f t="shared" si="449"/>
        <v>0</v>
      </c>
      <c r="GF219" s="38">
        <f t="shared" si="450"/>
        <v>0</v>
      </c>
      <c r="GG219" s="38">
        <f t="shared" si="451"/>
        <v>0</v>
      </c>
      <c r="GH219" s="38">
        <f t="shared" si="452"/>
        <v>0</v>
      </c>
      <c r="GI219" s="38">
        <f t="shared" si="453"/>
        <v>0</v>
      </c>
      <c r="GJ219" s="38">
        <f t="shared" si="454"/>
        <v>0</v>
      </c>
      <c r="GL219" s="38">
        <f t="shared" si="455"/>
        <v>0</v>
      </c>
      <c r="GM219" s="38">
        <f t="shared" si="456"/>
        <v>0</v>
      </c>
      <c r="GN219" s="1" t="s">
        <v>2</v>
      </c>
      <c r="GO219" s="1">
        <f t="shared" si="464"/>
        <v>9.8970000000000002</v>
      </c>
      <c r="GP219" s="13">
        <f t="shared" si="465"/>
        <v>1.02</v>
      </c>
      <c r="GQ219" s="41">
        <f t="shared" si="466"/>
        <v>100.94940000000001</v>
      </c>
      <c r="GR219" s="41">
        <f t="shared" si="467"/>
        <v>1649.3504316000001</v>
      </c>
      <c r="GS219" s="14">
        <f t="shared" si="468"/>
        <v>166.65155416792967</v>
      </c>
      <c r="GT219" s="1">
        <f t="shared" si="457"/>
        <v>0</v>
      </c>
      <c r="GU219" s="1">
        <f t="shared" si="458"/>
        <v>100.94940000000001</v>
      </c>
      <c r="GV219" s="1">
        <f t="shared" si="459"/>
        <v>0</v>
      </c>
      <c r="GW219" s="37">
        <f t="shared" si="469"/>
        <v>0</v>
      </c>
      <c r="GX219" s="37"/>
      <c r="GY219" s="37"/>
      <c r="GZ219" s="37"/>
      <c r="HB219" s="1">
        <f t="shared" si="460"/>
        <v>0</v>
      </c>
      <c r="HC219" s="1">
        <f t="shared" si="461"/>
        <v>0</v>
      </c>
      <c r="HD219" s="37" t="s">
        <v>2</v>
      </c>
      <c r="HE219" s="1" t="s">
        <v>31</v>
      </c>
      <c r="HF219" s="1" t="s">
        <v>506</v>
      </c>
      <c r="HG219" s="1" t="s">
        <v>506</v>
      </c>
      <c r="HI219" s="1" t="s">
        <v>96</v>
      </c>
      <c r="HJ219" s="37" t="s">
        <v>2</v>
      </c>
      <c r="JH219" s="58" t="s">
        <v>2</v>
      </c>
    </row>
    <row r="220" spans="1:268" ht="16.25" customHeight="1" x14ac:dyDescent="0.2">
      <c r="A220" s="21" t="s">
        <v>532</v>
      </c>
      <c r="B220" s="1" t="s">
        <v>69</v>
      </c>
      <c r="E220" s="1" t="s">
        <v>72</v>
      </c>
      <c r="F220" s="1" t="s">
        <v>533</v>
      </c>
      <c r="H220" s="1" t="s">
        <v>204</v>
      </c>
      <c r="I220" s="1">
        <v>0</v>
      </c>
      <c r="AD220" s="14">
        <v>198.863</v>
      </c>
      <c r="AL220" s="1">
        <v>0.86</v>
      </c>
      <c r="AM220" s="1">
        <v>0.05</v>
      </c>
      <c r="AS220" s="13">
        <f>2.02*(2*52/(2*52+3*16.001))</f>
        <v>1.3820779853029219</v>
      </c>
      <c r="AT220" s="14">
        <v>26</v>
      </c>
      <c r="AU220" s="1">
        <v>25.49</v>
      </c>
      <c r="AY220" s="1">
        <v>0</v>
      </c>
      <c r="BT220" s="1">
        <v>0</v>
      </c>
      <c r="CO220" s="14">
        <v>126.27</v>
      </c>
      <c r="CW220" s="1">
        <v>0.95</v>
      </c>
      <c r="CX220" s="1">
        <v>0.06</v>
      </c>
      <c r="DJ220" s="1" t="s">
        <v>96</v>
      </c>
      <c r="DK220" s="1" t="s">
        <v>96</v>
      </c>
      <c r="DL220" s="1">
        <f t="shared" si="462"/>
        <v>0.86</v>
      </c>
      <c r="DM220" s="1">
        <f t="shared" si="463"/>
        <v>0.05</v>
      </c>
      <c r="DN220" s="1" t="s">
        <v>534</v>
      </c>
      <c r="DO220" s="1" t="s">
        <v>2</v>
      </c>
      <c r="DP220" s="38">
        <f t="shared" si="385"/>
        <v>0</v>
      </c>
      <c r="DQ220" s="38">
        <f t="shared" si="386"/>
        <v>0</v>
      </c>
      <c r="DR220" s="38">
        <f t="shared" si="387"/>
        <v>0</v>
      </c>
      <c r="DS220" s="38">
        <f t="shared" si="388"/>
        <v>0</v>
      </c>
      <c r="DT220" s="38">
        <f t="shared" si="389"/>
        <v>0</v>
      </c>
      <c r="DU220" s="38">
        <f t="shared" si="390"/>
        <v>0</v>
      </c>
      <c r="DV220" s="38">
        <f t="shared" si="391"/>
        <v>0</v>
      </c>
      <c r="DW220" s="38">
        <f t="shared" si="392"/>
        <v>1.7102218</v>
      </c>
      <c r="DX220" s="38">
        <f t="shared" si="393"/>
        <v>9.9431500000000006E-2</v>
      </c>
      <c r="DY220" s="38">
        <f t="shared" si="394"/>
        <v>0</v>
      </c>
      <c r="DZ220" s="38">
        <f t="shared" si="395"/>
        <v>0</v>
      </c>
      <c r="EA220" s="38">
        <f t="shared" si="396"/>
        <v>0</v>
      </c>
      <c r="EB220" s="38">
        <f t="shared" si="397"/>
        <v>0</v>
      </c>
      <c r="EC220" s="38">
        <f t="shared" si="398"/>
        <v>0</v>
      </c>
      <c r="ED220" s="38">
        <f t="shared" si="399"/>
        <v>2.74844174391295</v>
      </c>
      <c r="EE220" s="38">
        <f t="shared" si="400"/>
        <v>51.70438</v>
      </c>
      <c r="EG220" s="38">
        <f t="shared" si="401"/>
        <v>0</v>
      </c>
      <c r="EH220" s="38">
        <f t="shared" si="402"/>
        <v>0</v>
      </c>
      <c r="EI220" s="38">
        <f t="shared" si="403"/>
        <v>0</v>
      </c>
      <c r="EJ220" s="38">
        <f t="shared" si="404"/>
        <v>0</v>
      </c>
      <c r="EK220" s="38">
        <f t="shared" si="405"/>
        <v>0</v>
      </c>
      <c r="EL220" s="38">
        <f t="shared" si="406"/>
        <v>0</v>
      </c>
      <c r="EM220" s="38">
        <f t="shared" si="407"/>
        <v>0</v>
      </c>
      <c r="EN220" s="38">
        <f t="shared" si="408"/>
        <v>0</v>
      </c>
      <c r="EO220" s="38">
        <f t="shared" si="409"/>
        <v>0</v>
      </c>
      <c r="EP220" s="38">
        <f t="shared" si="410"/>
        <v>22427.848685199999</v>
      </c>
      <c r="EQ220" s="38">
        <f t="shared" si="411"/>
        <v>7220.6682006059991</v>
      </c>
      <c r="ER220" s="38">
        <f t="shared" si="412"/>
        <v>0</v>
      </c>
      <c r="ES220" s="38">
        <f t="shared" si="413"/>
        <v>0</v>
      </c>
      <c r="ET220" s="38">
        <f t="shared" si="414"/>
        <v>0</v>
      </c>
      <c r="EU220" s="38">
        <f t="shared" si="415"/>
        <v>0</v>
      </c>
      <c r="EV220" s="38">
        <f t="shared" si="416"/>
        <v>0</v>
      </c>
      <c r="EW220" s="38">
        <f t="shared" si="417"/>
        <v>766.81524655171302</v>
      </c>
      <c r="EX220" s="38">
        <f t="shared" si="418"/>
        <v>4808.5073400000001</v>
      </c>
      <c r="EZ220" s="38">
        <f t="shared" si="419"/>
        <v>0</v>
      </c>
      <c r="FA220" s="38">
        <f t="shared" si="420"/>
        <v>0</v>
      </c>
      <c r="FB220" s="1">
        <f t="shared" si="421"/>
        <v>0</v>
      </c>
      <c r="FC220" s="1">
        <f t="shared" si="422"/>
        <v>0</v>
      </c>
      <c r="FD220" s="1">
        <f t="shared" si="423"/>
        <v>0</v>
      </c>
      <c r="FE220" s="1">
        <f t="shared" si="424"/>
        <v>0</v>
      </c>
      <c r="FF220" s="1">
        <f t="shared" si="425"/>
        <v>0</v>
      </c>
      <c r="FG220" s="1">
        <f t="shared" si="426"/>
        <v>0</v>
      </c>
      <c r="FH220" s="1">
        <f t="shared" si="427"/>
        <v>0</v>
      </c>
      <c r="FI220" s="1">
        <f t="shared" si="428"/>
        <v>1.199565</v>
      </c>
      <c r="FJ220" s="1">
        <f t="shared" si="429"/>
        <v>7.5761999999999996E-2</v>
      </c>
      <c r="FK220" s="1">
        <f t="shared" si="430"/>
        <v>0</v>
      </c>
      <c r="FL220" s="1">
        <f t="shared" si="431"/>
        <v>0</v>
      </c>
      <c r="FM220" s="1">
        <f t="shared" si="432"/>
        <v>0</v>
      </c>
      <c r="FN220" s="1">
        <f t="shared" si="433"/>
        <v>0</v>
      </c>
      <c r="FO220" s="1">
        <f t="shared" si="434"/>
        <v>0</v>
      </c>
      <c r="FP220" s="1">
        <f t="shared" si="435"/>
        <v>0</v>
      </c>
      <c r="FQ220" s="1">
        <f t="shared" si="436"/>
        <v>0</v>
      </c>
      <c r="FS220" s="1">
        <f t="shared" si="437"/>
        <v>0</v>
      </c>
      <c r="FT220" s="1">
        <f t="shared" si="438"/>
        <v>0</v>
      </c>
      <c r="FU220" s="38">
        <f t="shared" si="439"/>
        <v>0</v>
      </c>
      <c r="FV220" s="38">
        <f t="shared" si="440"/>
        <v>0</v>
      </c>
      <c r="FW220" s="38">
        <f t="shared" si="441"/>
        <v>0</v>
      </c>
      <c r="FX220" s="38">
        <f t="shared" si="442"/>
        <v>0</v>
      </c>
      <c r="FY220" s="38">
        <f t="shared" si="443"/>
        <v>0</v>
      </c>
      <c r="FZ220" s="38">
        <f t="shared" si="444"/>
        <v>0</v>
      </c>
      <c r="GA220" s="38">
        <f t="shared" si="445"/>
        <v>0</v>
      </c>
      <c r="GB220" s="38">
        <f t="shared" si="446"/>
        <v>15731.09541</v>
      </c>
      <c r="GC220" s="38">
        <f t="shared" si="447"/>
        <v>5501.8003772879993</v>
      </c>
      <c r="GD220" s="38">
        <f t="shared" si="448"/>
        <v>0</v>
      </c>
      <c r="GE220" s="38">
        <f t="shared" si="449"/>
        <v>0</v>
      </c>
      <c r="GF220" s="38">
        <f t="shared" si="450"/>
        <v>0</v>
      </c>
      <c r="GG220" s="38">
        <f t="shared" si="451"/>
        <v>0</v>
      </c>
      <c r="GH220" s="38">
        <f t="shared" si="452"/>
        <v>0</v>
      </c>
      <c r="GI220" s="38">
        <f t="shared" si="453"/>
        <v>0</v>
      </c>
      <c r="GJ220" s="38">
        <f t="shared" si="454"/>
        <v>0</v>
      </c>
      <c r="GL220" s="38">
        <f t="shared" si="455"/>
        <v>0</v>
      </c>
      <c r="GM220" s="38">
        <f t="shared" si="456"/>
        <v>0</v>
      </c>
      <c r="GN220" s="1" t="s">
        <v>2</v>
      </c>
      <c r="GO220" s="14">
        <f t="shared" si="464"/>
        <v>198.863</v>
      </c>
      <c r="GP220" s="13">
        <f t="shared" si="465"/>
        <v>0.86</v>
      </c>
      <c r="GQ220" s="43">
        <f t="shared" si="466"/>
        <v>1710.2218</v>
      </c>
      <c r="GR220" s="41">
        <f t="shared" si="467"/>
        <v>35223.839472357708</v>
      </c>
      <c r="GS220" s="14">
        <f t="shared" si="468"/>
        <v>177.12615957899513</v>
      </c>
      <c r="GT220" s="1">
        <f t="shared" si="457"/>
        <v>0</v>
      </c>
      <c r="GU220" s="1">
        <f t="shared" si="458"/>
        <v>1710.2218</v>
      </c>
      <c r="GV220" s="1">
        <f t="shared" si="459"/>
        <v>0</v>
      </c>
      <c r="GW220" s="41">
        <f t="shared" si="469"/>
        <v>126.27</v>
      </c>
      <c r="GX220" s="44">
        <f>(BT220*CB220+CO220*CW220)/GW220</f>
        <v>0.95</v>
      </c>
      <c r="GY220" s="43">
        <f>1000*GW220*GX220/100</f>
        <v>1199.5650000000001</v>
      </c>
      <c r="GZ220" s="41">
        <f>SUM(FU220:GM220)</f>
        <v>21232.895787287998</v>
      </c>
      <c r="HA220" s="14">
        <f>GZ220/GW220</f>
        <v>168.15471439999999</v>
      </c>
      <c r="HB220" s="1">
        <f t="shared" si="460"/>
        <v>0</v>
      </c>
      <c r="HC220" s="1">
        <f t="shared" si="461"/>
        <v>1199.5649999999998</v>
      </c>
      <c r="HD220" s="37" t="s">
        <v>2</v>
      </c>
      <c r="HE220" s="1" t="s">
        <v>31</v>
      </c>
      <c r="HF220" s="1" t="s">
        <v>506</v>
      </c>
      <c r="HG220" s="1" t="s">
        <v>506</v>
      </c>
      <c r="HI220" s="1" t="s">
        <v>96</v>
      </c>
      <c r="HJ220" s="37" t="s">
        <v>2</v>
      </c>
      <c r="JH220" s="58" t="s">
        <v>2</v>
      </c>
    </row>
    <row r="221" spans="1:268" ht="16.25" customHeight="1" x14ac:dyDescent="0.2">
      <c r="A221" s="21" t="s">
        <v>535</v>
      </c>
      <c r="B221" s="1" t="s">
        <v>69</v>
      </c>
      <c r="E221" s="1" t="s">
        <v>72</v>
      </c>
      <c r="F221" s="1" t="s">
        <v>499</v>
      </c>
      <c r="I221" s="1">
        <v>0</v>
      </c>
      <c r="AD221" s="1">
        <v>0</v>
      </c>
      <c r="AY221" s="1">
        <v>43.37</v>
      </c>
      <c r="BG221" s="13">
        <v>1.2</v>
      </c>
      <c r="BT221" s="1">
        <v>0</v>
      </c>
      <c r="CO221" s="1">
        <v>0</v>
      </c>
      <c r="DJ221" s="1" t="s">
        <v>96</v>
      </c>
      <c r="DL221" s="1">
        <f t="shared" si="462"/>
        <v>1.2</v>
      </c>
      <c r="DM221" s="1">
        <f t="shared" si="463"/>
        <v>0</v>
      </c>
      <c r="DN221" s="1" t="s">
        <v>156</v>
      </c>
      <c r="DO221" s="1" t="s">
        <v>2</v>
      </c>
      <c r="DP221" s="38">
        <f t="shared" si="385"/>
        <v>0</v>
      </c>
      <c r="DQ221" s="38">
        <f t="shared" si="386"/>
        <v>0</v>
      </c>
      <c r="DR221" s="38">
        <f t="shared" si="387"/>
        <v>0</v>
      </c>
      <c r="DS221" s="38">
        <f t="shared" si="388"/>
        <v>0</v>
      </c>
      <c r="DT221" s="38">
        <f t="shared" si="389"/>
        <v>0</v>
      </c>
      <c r="DU221" s="38">
        <f t="shared" si="390"/>
        <v>0</v>
      </c>
      <c r="DV221" s="38">
        <f t="shared" si="391"/>
        <v>0</v>
      </c>
      <c r="DW221" s="38">
        <f t="shared" si="392"/>
        <v>0.52044000000000001</v>
      </c>
      <c r="DX221" s="38">
        <f t="shared" si="393"/>
        <v>0</v>
      </c>
      <c r="DY221" s="38">
        <f t="shared" si="394"/>
        <v>0</v>
      </c>
      <c r="DZ221" s="38">
        <f t="shared" si="395"/>
        <v>0</v>
      </c>
      <c r="EA221" s="38">
        <f t="shared" si="396"/>
        <v>0</v>
      </c>
      <c r="EB221" s="38">
        <f t="shared" si="397"/>
        <v>0</v>
      </c>
      <c r="EC221" s="38">
        <f t="shared" si="398"/>
        <v>0</v>
      </c>
      <c r="ED221" s="38">
        <f t="shared" si="399"/>
        <v>0</v>
      </c>
      <c r="EE221" s="38">
        <f t="shared" si="400"/>
        <v>0</v>
      </c>
      <c r="EG221" s="38">
        <f t="shared" si="401"/>
        <v>0</v>
      </c>
      <c r="EH221" s="38">
        <f t="shared" si="402"/>
        <v>0</v>
      </c>
      <c r="EI221" s="38">
        <f t="shared" si="403"/>
        <v>0</v>
      </c>
      <c r="EJ221" s="38">
        <f t="shared" si="404"/>
        <v>0</v>
      </c>
      <c r="EK221" s="38">
        <f t="shared" si="405"/>
        <v>0</v>
      </c>
      <c r="EL221" s="38">
        <f t="shared" si="406"/>
        <v>0</v>
      </c>
      <c r="EM221" s="38">
        <f t="shared" si="407"/>
        <v>0</v>
      </c>
      <c r="EN221" s="38">
        <f t="shared" si="408"/>
        <v>0</v>
      </c>
      <c r="EO221" s="38">
        <f t="shared" si="409"/>
        <v>0</v>
      </c>
      <c r="EP221" s="38">
        <f t="shared" si="410"/>
        <v>6825.0501599999998</v>
      </c>
      <c r="EQ221" s="38">
        <f t="shared" si="411"/>
        <v>0</v>
      </c>
      <c r="ER221" s="38">
        <f t="shared" si="412"/>
        <v>0</v>
      </c>
      <c r="ES221" s="38">
        <f t="shared" si="413"/>
        <v>0</v>
      </c>
      <c r="ET221" s="38">
        <f t="shared" si="414"/>
        <v>0</v>
      </c>
      <c r="EU221" s="38">
        <f t="shared" si="415"/>
        <v>0</v>
      </c>
      <c r="EV221" s="38">
        <f t="shared" si="416"/>
        <v>0</v>
      </c>
      <c r="EW221" s="38">
        <f t="shared" si="417"/>
        <v>0</v>
      </c>
      <c r="EX221" s="38">
        <f t="shared" si="418"/>
        <v>0</v>
      </c>
      <c r="EZ221" s="38">
        <f t="shared" si="419"/>
        <v>0</v>
      </c>
      <c r="FA221" s="38">
        <f t="shared" si="420"/>
        <v>0</v>
      </c>
      <c r="FB221" s="1">
        <f t="shared" si="421"/>
        <v>0</v>
      </c>
      <c r="FC221" s="1">
        <f t="shared" si="422"/>
        <v>0</v>
      </c>
      <c r="FD221" s="1">
        <f t="shared" si="423"/>
        <v>0</v>
      </c>
      <c r="FE221" s="1">
        <f t="shared" si="424"/>
        <v>0</v>
      </c>
      <c r="FF221" s="1">
        <f t="shared" si="425"/>
        <v>0</v>
      </c>
      <c r="FG221" s="1">
        <f t="shared" si="426"/>
        <v>0</v>
      </c>
      <c r="FH221" s="1">
        <f t="shared" si="427"/>
        <v>0</v>
      </c>
      <c r="FI221" s="1">
        <f t="shared" si="428"/>
        <v>0</v>
      </c>
      <c r="FJ221" s="1">
        <f t="shared" si="429"/>
        <v>0</v>
      </c>
      <c r="FK221" s="1">
        <f t="shared" si="430"/>
        <v>0</v>
      </c>
      <c r="FL221" s="1">
        <f t="shared" si="431"/>
        <v>0</v>
      </c>
      <c r="FM221" s="1">
        <f t="shared" si="432"/>
        <v>0</v>
      </c>
      <c r="FN221" s="1">
        <f t="shared" si="433"/>
        <v>0</v>
      </c>
      <c r="FO221" s="1">
        <f t="shared" si="434"/>
        <v>0</v>
      </c>
      <c r="FP221" s="1">
        <f t="shared" si="435"/>
        <v>0</v>
      </c>
      <c r="FQ221" s="1">
        <f t="shared" si="436"/>
        <v>0</v>
      </c>
      <c r="FS221" s="1">
        <f t="shared" si="437"/>
        <v>0</v>
      </c>
      <c r="FT221" s="1">
        <f t="shared" si="438"/>
        <v>0</v>
      </c>
      <c r="FU221" s="38">
        <f t="shared" si="439"/>
        <v>0</v>
      </c>
      <c r="FV221" s="38">
        <f t="shared" si="440"/>
        <v>0</v>
      </c>
      <c r="FW221" s="38">
        <f t="shared" si="441"/>
        <v>0</v>
      </c>
      <c r="FX221" s="38">
        <f t="shared" si="442"/>
        <v>0</v>
      </c>
      <c r="FY221" s="38">
        <f t="shared" si="443"/>
        <v>0</v>
      </c>
      <c r="FZ221" s="38">
        <f t="shared" si="444"/>
        <v>0</v>
      </c>
      <c r="GA221" s="38">
        <f t="shared" si="445"/>
        <v>0</v>
      </c>
      <c r="GB221" s="38">
        <f t="shared" si="446"/>
        <v>0</v>
      </c>
      <c r="GC221" s="38">
        <f t="shared" si="447"/>
        <v>0</v>
      </c>
      <c r="GD221" s="38">
        <f t="shared" si="448"/>
        <v>0</v>
      </c>
      <c r="GE221" s="38">
        <f t="shared" si="449"/>
        <v>0</v>
      </c>
      <c r="GF221" s="38">
        <f t="shared" si="450"/>
        <v>0</v>
      </c>
      <c r="GG221" s="38">
        <f t="shared" si="451"/>
        <v>0</v>
      </c>
      <c r="GH221" s="38">
        <f t="shared" si="452"/>
        <v>0</v>
      </c>
      <c r="GI221" s="38">
        <f t="shared" si="453"/>
        <v>0</v>
      </c>
      <c r="GJ221" s="38">
        <f t="shared" si="454"/>
        <v>0</v>
      </c>
      <c r="GL221" s="38">
        <f t="shared" si="455"/>
        <v>0</v>
      </c>
      <c r="GM221" s="38">
        <f t="shared" si="456"/>
        <v>0</v>
      </c>
      <c r="GN221" s="1" t="s">
        <v>2</v>
      </c>
      <c r="GO221" s="1">
        <f t="shared" si="464"/>
        <v>43.37</v>
      </c>
      <c r="GP221" s="13">
        <f t="shared" si="465"/>
        <v>1.2</v>
      </c>
      <c r="GQ221" s="41">
        <f t="shared" si="466"/>
        <v>520.44000000000005</v>
      </c>
      <c r="GR221" s="41">
        <f t="shared" si="467"/>
        <v>6825.0501599999998</v>
      </c>
      <c r="GS221" s="14">
        <f t="shared" si="468"/>
        <v>157.36799999999999</v>
      </c>
      <c r="GT221" s="1">
        <f t="shared" si="457"/>
        <v>0</v>
      </c>
      <c r="GU221" s="1">
        <f t="shared" si="458"/>
        <v>0</v>
      </c>
      <c r="GV221" s="1">
        <f t="shared" si="459"/>
        <v>520.44000000000005</v>
      </c>
      <c r="GW221" s="37">
        <f t="shared" si="469"/>
        <v>0</v>
      </c>
      <c r="GX221" s="37"/>
      <c r="GY221" s="37"/>
      <c r="GZ221" s="37"/>
      <c r="HB221" s="1">
        <f t="shared" si="460"/>
        <v>0</v>
      </c>
      <c r="HC221" s="1">
        <f t="shared" si="461"/>
        <v>0</v>
      </c>
      <c r="HD221" s="37" t="s">
        <v>2</v>
      </c>
      <c r="HE221" s="1" t="s">
        <v>31</v>
      </c>
      <c r="HF221" s="1" t="s">
        <v>506</v>
      </c>
      <c r="HG221" s="1" t="s">
        <v>506</v>
      </c>
      <c r="HI221" s="1" t="s">
        <v>96</v>
      </c>
      <c r="HJ221" s="37" t="s">
        <v>2</v>
      </c>
      <c r="JH221" s="58" t="s">
        <v>2</v>
      </c>
    </row>
    <row r="222" spans="1:268" ht="16.25" customHeight="1" x14ac:dyDescent="0.2">
      <c r="A222" s="21" t="s">
        <v>555</v>
      </c>
      <c r="B222" s="1" t="s">
        <v>69</v>
      </c>
      <c r="E222" s="1" t="s">
        <v>72</v>
      </c>
      <c r="F222" s="1" t="s">
        <v>556</v>
      </c>
      <c r="H222" s="1" t="s">
        <v>211</v>
      </c>
      <c r="I222" s="1">
        <v>0</v>
      </c>
      <c r="AD222" s="1">
        <v>0</v>
      </c>
      <c r="AY222" s="1">
        <v>7.26</v>
      </c>
      <c r="BG222" s="1">
        <v>1.54</v>
      </c>
      <c r="BT222" s="1">
        <v>0</v>
      </c>
      <c r="CO222" s="1">
        <v>0</v>
      </c>
      <c r="DJ222" s="1" t="s">
        <v>96</v>
      </c>
      <c r="DL222" s="1">
        <f t="shared" si="462"/>
        <v>1.54</v>
      </c>
      <c r="DM222" s="1">
        <f t="shared" si="463"/>
        <v>0</v>
      </c>
      <c r="DN222" s="1" t="s">
        <v>156</v>
      </c>
      <c r="DO222" s="1" t="s">
        <v>2</v>
      </c>
      <c r="DP222" s="38">
        <f t="shared" si="385"/>
        <v>0</v>
      </c>
      <c r="DQ222" s="38">
        <f t="shared" si="386"/>
        <v>0</v>
      </c>
      <c r="DR222" s="38">
        <f t="shared" si="387"/>
        <v>0</v>
      </c>
      <c r="DS222" s="38">
        <f t="shared" si="388"/>
        <v>0</v>
      </c>
      <c r="DT222" s="38">
        <f t="shared" si="389"/>
        <v>0</v>
      </c>
      <c r="DU222" s="38">
        <f t="shared" si="390"/>
        <v>0</v>
      </c>
      <c r="DV222" s="38">
        <f t="shared" si="391"/>
        <v>0</v>
      </c>
      <c r="DW222" s="38">
        <f t="shared" si="392"/>
        <v>0.111804</v>
      </c>
      <c r="DX222" s="38">
        <f t="shared" si="393"/>
        <v>0</v>
      </c>
      <c r="DY222" s="38">
        <f t="shared" si="394"/>
        <v>0</v>
      </c>
      <c r="DZ222" s="38">
        <f t="shared" si="395"/>
        <v>0</v>
      </c>
      <c r="EA222" s="38">
        <f t="shared" si="396"/>
        <v>0</v>
      </c>
      <c r="EB222" s="38">
        <f t="shared" si="397"/>
        <v>0</v>
      </c>
      <c r="EC222" s="38">
        <f t="shared" si="398"/>
        <v>0</v>
      </c>
      <c r="ED222" s="38">
        <f t="shared" si="399"/>
        <v>0</v>
      </c>
      <c r="EE222" s="38">
        <f t="shared" si="400"/>
        <v>0</v>
      </c>
      <c r="EG222" s="38">
        <f t="shared" si="401"/>
        <v>0</v>
      </c>
      <c r="EH222" s="38">
        <f t="shared" si="402"/>
        <v>0</v>
      </c>
      <c r="EI222" s="38">
        <f t="shared" si="403"/>
        <v>0</v>
      </c>
      <c r="EJ222" s="38">
        <f t="shared" si="404"/>
        <v>0</v>
      </c>
      <c r="EK222" s="38">
        <f t="shared" si="405"/>
        <v>0</v>
      </c>
      <c r="EL222" s="38">
        <f t="shared" si="406"/>
        <v>0</v>
      </c>
      <c r="EM222" s="38">
        <f t="shared" si="407"/>
        <v>0</v>
      </c>
      <c r="EN222" s="38">
        <f t="shared" si="408"/>
        <v>0</v>
      </c>
      <c r="EO222" s="38">
        <f t="shared" si="409"/>
        <v>0</v>
      </c>
      <c r="EP222" s="38">
        <f t="shared" si="410"/>
        <v>1466.1976560000001</v>
      </c>
      <c r="EQ222" s="38">
        <f t="shared" si="411"/>
        <v>0</v>
      </c>
      <c r="ER222" s="38">
        <f t="shared" si="412"/>
        <v>0</v>
      </c>
      <c r="ES222" s="38">
        <f t="shared" si="413"/>
        <v>0</v>
      </c>
      <c r="ET222" s="38">
        <f t="shared" si="414"/>
        <v>0</v>
      </c>
      <c r="EU222" s="38">
        <f t="shared" si="415"/>
        <v>0</v>
      </c>
      <c r="EV222" s="38">
        <f t="shared" si="416"/>
        <v>0</v>
      </c>
      <c r="EW222" s="38">
        <f t="shared" si="417"/>
        <v>0</v>
      </c>
      <c r="EX222" s="38">
        <f t="shared" si="418"/>
        <v>0</v>
      </c>
      <c r="EZ222" s="38">
        <f t="shared" si="419"/>
        <v>0</v>
      </c>
      <c r="FA222" s="38">
        <f t="shared" si="420"/>
        <v>0</v>
      </c>
      <c r="FB222" s="1">
        <f t="shared" si="421"/>
        <v>0</v>
      </c>
      <c r="FC222" s="1">
        <f t="shared" si="422"/>
        <v>0</v>
      </c>
      <c r="FD222" s="1">
        <f t="shared" si="423"/>
        <v>0</v>
      </c>
      <c r="FE222" s="1">
        <f t="shared" si="424"/>
        <v>0</v>
      </c>
      <c r="FF222" s="1">
        <f t="shared" si="425"/>
        <v>0</v>
      </c>
      <c r="FG222" s="1">
        <f t="shared" si="426"/>
        <v>0</v>
      </c>
      <c r="FH222" s="1">
        <f t="shared" si="427"/>
        <v>0</v>
      </c>
      <c r="FI222" s="1">
        <f t="shared" si="428"/>
        <v>0</v>
      </c>
      <c r="FJ222" s="1">
        <f t="shared" si="429"/>
        <v>0</v>
      </c>
      <c r="FK222" s="1">
        <f t="shared" si="430"/>
        <v>0</v>
      </c>
      <c r="FL222" s="1">
        <f t="shared" si="431"/>
        <v>0</v>
      </c>
      <c r="FM222" s="1">
        <f t="shared" si="432"/>
        <v>0</v>
      </c>
      <c r="FN222" s="1">
        <f t="shared" si="433"/>
        <v>0</v>
      </c>
      <c r="FO222" s="1">
        <f t="shared" si="434"/>
        <v>0</v>
      </c>
      <c r="FP222" s="1">
        <f t="shared" si="435"/>
        <v>0</v>
      </c>
      <c r="FQ222" s="1">
        <f t="shared" si="436"/>
        <v>0</v>
      </c>
      <c r="FS222" s="1">
        <f t="shared" si="437"/>
        <v>0</v>
      </c>
      <c r="FT222" s="1">
        <f t="shared" si="438"/>
        <v>0</v>
      </c>
      <c r="FU222" s="38">
        <f t="shared" si="439"/>
        <v>0</v>
      </c>
      <c r="FV222" s="38">
        <f t="shared" si="440"/>
        <v>0</v>
      </c>
      <c r="FW222" s="38">
        <f t="shared" si="441"/>
        <v>0</v>
      </c>
      <c r="FX222" s="38">
        <f t="shared" si="442"/>
        <v>0</v>
      </c>
      <c r="FY222" s="38">
        <f t="shared" si="443"/>
        <v>0</v>
      </c>
      <c r="FZ222" s="38">
        <f t="shared" si="444"/>
        <v>0</v>
      </c>
      <c r="GA222" s="38">
        <f t="shared" si="445"/>
        <v>0</v>
      </c>
      <c r="GB222" s="38">
        <f t="shared" si="446"/>
        <v>0</v>
      </c>
      <c r="GC222" s="38">
        <f t="shared" si="447"/>
        <v>0</v>
      </c>
      <c r="GD222" s="38">
        <f t="shared" si="448"/>
        <v>0</v>
      </c>
      <c r="GE222" s="38">
        <f t="shared" si="449"/>
        <v>0</v>
      </c>
      <c r="GF222" s="38">
        <f t="shared" si="450"/>
        <v>0</v>
      </c>
      <c r="GG222" s="38">
        <f t="shared" si="451"/>
        <v>0</v>
      </c>
      <c r="GH222" s="38">
        <f t="shared" si="452"/>
        <v>0</v>
      </c>
      <c r="GI222" s="38">
        <f t="shared" si="453"/>
        <v>0</v>
      </c>
      <c r="GJ222" s="38">
        <f t="shared" si="454"/>
        <v>0</v>
      </c>
      <c r="GL222" s="38">
        <f t="shared" si="455"/>
        <v>0</v>
      </c>
      <c r="GM222" s="38">
        <f t="shared" si="456"/>
        <v>0</v>
      </c>
      <c r="GN222" s="1" t="s">
        <v>2</v>
      </c>
      <c r="GO222" s="1">
        <f t="shared" si="464"/>
        <v>7.26</v>
      </c>
      <c r="GP222" s="13">
        <f t="shared" si="465"/>
        <v>1.54</v>
      </c>
      <c r="GQ222" s="41">
        <f t="shared" si="466"/>
        <v>111.804</v>
      </c>
      <c r="GR222" s="41">
        <f t="shared" si="467"/>
        <v>1466.1976560000001</v>
      </c>
      <c r="GS222" s="14">
        <f t="shared" si="468"/>
        <v>201.9556</v>
      </c>
      <c r="GT222" s="1">
        <f t="shared" si="457"/>
        <v>0</v>
      </c>
      <c r="GU222" s="1">
        <f t="shared" si="458"/>
        <v>0</v>
      </c>
      <c r="GV222" s="1">
        <f t="shared" si="459"/>
        <v>111.80400000000002</v>
      </c>
      <c r="GW222" s="37">
        <f t="shared" si="469"/>
        <v>0</v>
      </c>
      <c r="GX222" s="37"/>
      <c r="GY222" s="37"/>
      <c r="GZ222" s="37"/>
      <c r="HB222" s="1">
        <f t="shared" si="460"/>
        <v>0</v>
      </c>
      <c r="HC222" s="1">
        <f t="shared" si="461"/>
        <v>0</v>
      </c>
      <c r="HD222" s="37" t="s">
        <v>2</v>
      </c>
      <c r="HE222" s="1" t="s">
        <v>31</v>
      </c>
      <c r="HF222" s="1" t="s">
        <v>506</v>
      </c>
      <c r="HG222" s="1" t="s">
        <v>506</v>
      </c>
      <c r="HI222" s="1" t="s">
        <v>96</v>
      </c>
      <c r="HJ222" s="37" t="s">
        <v>2</v>
      </c>
      <c r="JH222" s="58" t="s">
        <v>2</v>
      </c>
    </row>
    <row r="223" spans="1:268" ht="16.25" customHeight="1" x14ac:dyDescent="0.2">
      <c r="A223" s="21" t="s">
        <v>202</v>
      </c>
      <c r="B223" s="1" t="s">
        <v>64</v>
      </c>
      <c r="C223" s="23">
        <f>-5-34.246/60</f>
        <v>-5.5707666666666666</v>
      </c>
      <c r="D223" s="23">
        <f>145+12.236/60</f>
        <v>145.20393333333334</v>
      </c>
      <c r="E223" s="1" t="s">
        <v>72</v>
      </c>
      <c r="F223" s="1" t="s">
        <v>203</v>
      </c>
      <c r="H223" s="1" t="s">
        <v>204</v>
      </c>
      <c r="I223" s="1">
        <v>34</v>
      </c>
      <c r="Q223" s="1">
        <v>0.9</v>
      </c>
      <c r="R223" s="1">
        <v>0.1</v>
      </c>
      <c r="AD223" s="1">
        <v>42</v>
      </c>
      <c r="AL223" s="1">
        <v>0.9</v>
      </c>
      <c r="AM223" s="1">
        <v>0.1</v>
      </c>
      <c r="AY223" s="1">
        <v>60</v>
      </c>
      <c r="BG223" s="14">
        <v>1</v>
      </c>
      <c r="BH223" s="1">
        <v>0.1</v>
      </c>
      <c r="BT223" s="1">
        <v>24</v>
      </c>
      <c r="CB223" s="1">
        <v>0.9</v>
      </c>
      <c r="CC223" s="1">
        <v>0.1</v>
      </c>
      <c r="CJ223" s="1">
        <v>33</v>
      </c>
      <c r="CK223" s="1">
        <v>0.9</v>
      </c>
      <c r="CO223" s="1">
        <v>33</v>
      </c>
      <c r="CW223" s="1">
        <v>0.9</v>
      </c>
      <c r="CX223" s="1">
        <v>0.1</v>
      </c>
      <c r="DJ223" s="1" t="s">
        <v>96</v>
      </c>
      <c r="DK223" s="1" t="s">
        <v>96</v>
      </c>
      <c r="DL223" s="1">
        <f t="shared" si="462"/>
        <v>0.94411764705882362</v>
      </c>
      <c r="DM223" s="1">
        <f t="shared" si="463"/>
        <v>0.1</v>
      </c>
      <c r="DN223" s="1" t="s">
        <v>67</v>
      </c>
      <c r="DO223" s="1" t="s">
        <v>2</v>
      </c>
      <c r="DP223" s="38">
        <f t="shared" ref="DP223:DP286" si="470">(J223*$I223+AE223*$AD223+AZ223*$AY223)/100</f>
        <v>0</v>
      </c>
      <c r="DQ223" s="38">
        <f t="shared" ref="DQ223:DQ286" si="471">K223*$I223+AF223*$AD223+BA223*$AY223</f>
        <v>0</v>
      </c>
      <c r="DR223" s="38">
        <f t="shared" ref="DR223:DR286" si="472">L223*$I223+AG223*$AD223+BB223*$AY223</f>
        <v>0</v>
      </c>
      <c r="DS223" s="38">
        <f t="shared" ref="DS223:DS286" si="473">(M223*$I223+AH223*$AD223+BC223*$AY223)/100</f>
        <v>0</v>
      </c>
      <c r="DT223" s="38">
        <f t="shared" ref="DT223:DT286" si="474">(N223*$I223+AI223*$AD223+BD223*$AY223)/100</f>
        <v>0</v>
      </c>
      <c r="DU223" s="38">
        <f t="shared" ref="DU223:DU286" si="475">(O223*$I223+AJ223*$AD223+BE223*$AY223)/100</f>
        <v>0</v>
      </c>
      <c r="DV223" s="38">
        <f t="shared" ref="DV223:DV286" si="476">(P223*$I223+AK223*$AD223+BF223*$AY223)/100</f>
        <v>0</v>
      </c>
      <c r="DW223" s="38">
        <f t="shared" ref="DW223:DW286" si="477">(Q223*$I223+AL223*$AD223+BG223*$AY223)/100</f>
        <v>1.284</v>
      </c>
      <c r="DX223" s="38">
        <f t="shared" ref="DX223:DX286" si="478">(R223*$I223+AM223*$AD223+BH223*$AY223)/100</f>
        <v>0.13600000000000001</v>
      </c>
      <c r="DY223" s="38">
        <f t="shared" ref="DY223:DY286" si="479">S223*$I223+AN223*$AD223+BI223*$AY223</f>
        <v>0</v>
      </c>
      <c r="DZ223" s="38">
        <f t="shared" ref="DZ223:DZ286" si="480">T223*$I223+AO223*$AD223+BJ223*$AY223</f>
        <v>0</v>
      </c>
      <c r="EA223" s="38">
        <f t="shared" ref="EA223:EA286" si="481">U223*$I223+AP223*$AD223+BK223*$AY223</f>
        <v>0</v>
      </c>
      <c r="EB223" s="38">
        <f t="shared" ref="EB223:EB286" si="482">V223*$I223+AQ223*$AD223+BL223*$AY223</f>
        <v>0</v>
      </c>
      <c r="EC223" s="38">
        <f t="shared" ref="EC223:EC286" si="483">W223*$I223+AR223*$AD223+BM223*$AY223</f>
        <v>0</v>
      </c>
      <c r="ED223" s="38">
        <f t="shared" ref="ED223:ED286" si="484">(X223*$I223+AS223*$AD223+BN223*$AY223)/100</f>
        <v>0</v>
      </c>
      <c r="EE223" s="38">
        <f t="shared" ref="EE223:EE286" si="485">(Y223*$I223+AT223*$AD223+BO223*$AY223)/100</f>
        <v>0</v>
      </c>
      <c r="EG223" s="38">
        <f t="shared" ref="EG223:EG286" si="486">AA223*$I223+AV223*$AD223+BQ223*$AY223</f>
        <v>0</v>
      </c>
      <c r="EH223" s="38">
        <f t="shared" ref="EH223:EH286" si="487">(AB223*$I223+AW223*$AD223+BR223*$AY223)/100</f>
        <v>0</v>
      </c>
      <c r="EI223" s="38">
        <f t="shared" ref="EI223:EI286" si="488">EI$1*DP223</f>
        <v>0</v>
      </c>
      <c r="EJ223" s="38">
        <f t="shared" ref="EJ223:EJ286" si="489">EJ$1*DQ223/1000000</f>
        <v>0</v>
      </c>
      <c r="EK223" s="38">
        <f t="shared" ref="EK223:EK286" si="490">EK$1*DR223/1000000</f>
        <v>0</v>
      </c>
      <c r="EL223" s="38">
        <f t="shared" ref="EL223:EL286" si="491">EL$1*DS223</f>
        <v>0</v>
      </c>
      <c r="EM223" s="38">
        <f t="shared" ref="EM223:EM286" si="492">EM$1*DT223</f>
        <v>0</v>
      </c>
      <c r="EN223" s="38">
        <f t="shared" ref="EN223:EN286" si="493">EN$1*DU223</f>
        <v>0</v>
      </c>
      <c r="EO223" s="38">
        <f t="shared" ref="EO223:EO286" si="494">EO$1*DV223</f>
        <v>0</v>
      </c>
      <c r="EP223" s="38">
        <f t="shared" ref="EP223:EP286" si="495">EP$1*DW223</f>
        <v>16838.376</v>
      </c>
      <c r="EQ223" s="38">
        <f t="shared" ref="EQ223:EQ286" si="496">EQ$1*DX223</f>
        <v>9876.2552639999994</v>
      </c>
      <c r="ER223" s="38">
        <f t="shared" ref="ER223:ER286" si="497">ER$1*DY223/1000000</f>
        <v>0</v>
      </c>
      <c r="ES223" s="38">
        <f t="shared" ref="ES223:ES286" si="498">ES$1*DZ223/1000000</f>
        <v>0</v>
      </c>
      <c r="ET223" s="38">
        <f t="shared" ref="ET223:ET286" si="499">ET$1*EA223/1000000</f>
        <v>0</v>
      </c>
      <c r="EU223" s="38">
        <f t="shared" ref="EU223:EU286" si="500">EU$1*EB223/1000000</f>
        <v>0</v>
      </c>
      <c r="EV223" s="38">
        <f t="shared" ref="EV223:EV286" si="501">EV$1*EC223/1000000</f>
        <v>0</v>
      </c>
      <c r="EW223" s="38">
        <f t="shared" ref="EW223:EW286" si="502">EW$1*ED223</f>
        <v>0</v>
      </c>
      <c r="EX223" s="38">
        <f t="shared" ref="EX223:EX286" si="503">EX$1*EE223</f>
        <v>0</v>
      </c>
      <c r="EZ223" s="38">
        <f t="shared" ref="EZ223:EZ286" si="504">EZ$1*EG223/1000000</f>
        <v>0</v>
      </c>
      <c r="FA223" s="38">
        <f t="shared" ref="FA223:FA286" si="505">FA$1*EH223</f>
        <v>0</v>
      </c>
      <c r="FB223" s="1">
        <f t="shared" ref="FB223:FB286" si="506">(BU223*$BT223+CP223*$CO223)/100</f>
        <v>0</v>
      </c>
      <c r="FC223" s="1">
        <f t="shared" ref="FC223:FC286" si="507">BV223*$BT223+CQ223*$CO223</f>
        <v>0</v>
      </c>
      <c r="FD223" s="1">
        <f t="shared" ref="FD223:FD286" si="508">BW223*$BT223+CR223*$CO223</f>
        <v>0</v>
      </c>
      <c r="FE223" s="1">
        <f t="shared" ref="FE223:FE286" si="509">(BX223*$BT223+CS223*$CO223)/100</f>
        <v>0</v>
      </c>
      <c r="FF223" s="1">
        <f t="shared" ref="FF223:FF286" si="510">(BY223*$BT223+CT223*$CO223)/100</f>
        <v>0</v>
      </c>
      <c r="FG223" s="1">
        <f t="shared" ref="FG223:FG286" si="511">(BZ223*$BT223+CU223*$CO223)/100</f>
        <v>0</v>
      </c>
      <c r="FH223" s="1">
        <f t="shared" ref="FH223:FH286" si="512">(CA223*$BT223+CV223*$CO223)/100</f>
        <v>0</v>
      </c>
      <c r="FI223" s="1">
        <f t="shared" ref="FI223:FI286" si="513">(CB223*$BT223+CW223*$CO223)/100</f>
        <v>0.51300000000000001</v>
      </c>
      <c r="FJ223" s="1">
        <f t="shared" ref="FJ223:FJ286" si="514">(CC223*$BT223+CX223*$CO223)/100</f>
        <v>5.7000000000000009E-2</v>
      </c>
      <c r="FK223" s="1">
        <f t="shared" ref="FK223:FK286" si="515">CD223*$BT223+CY223*$CO223</f>
        <v>0</v>
      </c>
      <c r="FL223" s="1">
        <f t="shared" ref="FL223:FL286" si="516">CE223*$BT223+CZ223*$CO223</f>
        <v>0</v>
      </c>
      <c r="FM223" s="1">
        <f t="shared" ref="FM223:FM286" si="517">CF223*$BT223+DA223*$CO223</f>
        <v>0</v>
      </c>
      <c r="FN223" s="1">
        <f t="shared" ref="FN223:FN286" si="518">CG223*$BT223+DB223*$CO223</f>
        <v>0</v>
      </c>
      <c r="FO223" s="1">
        <f t="shared" ref="FO223:FO286" si="519">CH223*$BT223+DC223*$CO223</f>
        <v>0</v>
      </c>
      <c r="FP223" s="1">
        <f t="shared" ref="FP223:FP286" si="520">(CI223*$BT223+DD223*$CO223)/100</f>
        <v>0</v>
      </c>
      <c r="FQ223" s="1">
        <f t="shared" ref="FQ223:FQ286" si="521">(CJ223*$BT223+DE223*$CO223)/100</f>
        <v>7.92</v>
      </c>
      <c r="FS223" s="1">
        <f t="shared" ref="FS223:FS286" si="522">CL223*$BT223+DG223*$CO223</f>
        <v>0</v>
      </c>
      <c r="FT223" s="1">
        <f t="shared" ref="FT223:FT286" si="523">(CM223*$BT223+DH223*$CO223)/100</f>
        <v>0</v>
      </c>
      <c r="FU223" s="38">
        <f t="shared" ref="FU223:FU286" si="524">FU$1*FB223</f>
        <v>0</v>
      </c>
      <c r="FV223" s="38">
        <f t="shared" ref="FV223:FV286" si="525">FV$1*FC223/1000000</f>
        <v>0</v>
      </c>
      <c r="FW223" s="38">
        <f t="shared" ref="FW223:FW286" si="526">FW$1*FD223/1000000</f>
        <v>0</v>
      </c>
      <c r="FX223" s="38">
        <f t="shared" ref="FX223:FX286" si="527">FX$1*FE223</f>
        <v>0</v>
      </c>
      <c r="FY223" s="38">
        <f t="shared" ref="FY223:FY286" si="528">FY$1*FF223</f>
        <v>0</v>
      </c>
      <c r="FZ223" s="38">
        <f t="shared" ref="FZ223:FZ286" si="529">FZ$1*FG223</f>
        <v>0</v>
      </c>
      <c r="GA223" s="38">
        <f t="shared" ref="GA223:GA286" si="530">GA$1*FH223</f>
        <v>0</v>
      </c>
      <c r="GB223" s="38">
        <f t="shared" ref="GB223:GB286" si="531">GB$1*FI223</f>
        <v>6727.482</v>
      </c>
      <c r="GC223" s="38">
        <f t="shared" ref="GC223:GC286" si="532">GC$1*FJ223</f>
        <v>4139.312868</v>
      </c>
      <c r="GD223" s="38">
        <f t="shared" ref="GD223:GD286" si="533">GD$1*FK223/1000000</f>
        <v>0</v>
      </c>
      <c r="GE223" s="38">
        <f t="shared" ref="GE223:GE286" si="534">GE$1*FL223/1000000</f>
        <v>0</v>
      </c>
      <c r="GF223" s="38">
        <f t="shared" ref="GF223:GF286" si="535">GF$1*FM223/1000000</f>
        <v>0</v>
      </c>
      <c r="GG223" s="38">
        <f t="shared" ref="GG223:GG286" si="536">GG$1*FN223/1000000</f>
        <v>0</v>
      </c>
      <c r="GH223" s="38">
        <f t="shared" ref="GH223:GH286" si="537">GH$1*FO223/1000000</f>
        <v>0</v>
      </c>
      <c r="GI223" s="38">
        <f t="shared" ref="GI223:GI286" si="538">GI$1*FP223</f>
        <v>0</v>
      </c>
      <c r="GJ223" s="38">
        <f t="shared" ref="GJ223:GJ286" si="539">GJ$1*FQ223</f>
        <v>736.56</v>
      </c>
      <c r="GL223" s="38">
        <f t="shared" ref="GL223:GL286" si="540">GL$1*FS223/1000000</f>
        <v>0</v>
      </c>
      <c r="GM223" s="38">
        <f t="shared" ref="GM223:GM286" si="541">GM$1*FT223</f>
        <v>0</v>
      </c>
      <c r="GN223" s="1" t="s">
        <v>2</v>
      </c>
      <c r="GO223" s="1">
        <f t="shared" si="464"/>
        <v>136</v>
      </c>
      <c r="GP223" s="13">
        <f t="shared" si="465"/>
        <v>0.94411764705882362</v>
      </c>
      <c r="GQ223" s="43">
        <f t="shared" si="466"/>
        <v>1284.0000000000002</v>
      </c>
      <c r="GR223" s="41">
        <f t="shared" si="467"/>
        <v>26714.631264</v>
      </c>
      <c r="GS223" s="14">
        <f t="shared" si="468"/>
        <v>196.43111223529411</v>
      </c>
      <c r="GT223" s="1">
        <f t="shared" ref="GT223:GT286" si="542">1000*(Q223*$I223)/100</f>
        <v>306</v>
      </c>
      <c r="GU223" s="1">
        <f t="shared" ref="GU223:GU286" si="543">1000*(AL223*$AD223)/100</f>
        <v>378.00000000000006</v>
      </c>
      <c r="GV223" s="1">
        <f t="shared" ref="GV223:GV286" si="544">1000*(BG223*$AY223)/100</f>
        <v>600</v>
      </c>
      <c r="GW223" s="37">
        <f t="shared" si="469"/>
        <v>57</v>
      </c>
      <c r="GX223" s="37">
        <f>(BT223*CB223+CO223*CW223)/GW223</f>
        <v>0.89999999999999991</v>
      </c>
      <c r="GY223" s="41">
        <f>1000*GW223*GX223/100</f>
        <v>512.99999999999989</v>
      </c>
      <c r="GZ223" s="41">
        <f>SUM(FU223:GM223)</f>
        <v>11603.354868</v>
      </c>
      <c r="HA223" s="14">
        <f>GZ223/GW223</f>
        <v>203.5676292631579</v>
      </c>
      <c r="HB223" s="1">
        <f t="shared" ref="HB223:HB286" si="545">1000*(CB223*$BT223)/100</f>
        <v>216</v>
      </c>
      <c r="HC223" s="1">
        <f t="shared" ref="HC223:HC286" si="546">1000*(CW223*$CO223)/100</f>
        <v>297</v>
      </c>
      <c r="HD223" s="37" t="s">
        <v>2</v>
      </c>
      <c r="HE223" s="1" t="s">
        <v>31</v>
      </c>
      <c r="HF223" s="1" t="s">
        <v>205</v>
      </c>
      <c r="HG223" s="1" t="s">
        <v>205</v>
      </c>
      <c r="HI223" s="1" t="s">
        <v>96</v>
      </c>
      <c r="HJ223" s="37" t="s">
        <v>2</v>
      </c>
      <c r="JH223" s="58" t="s">
        <v>2</v>
      </c>
    </row>
    <row r="224" spans="1:268" ht="16.25" customHeight="1" x14ac:dyDescent="0.2">
      <c r="A224" s="21" t="s">
        <v>209</v>
      </c>
      <c r="B224" s="1" t="s">
        <v>69</v>
      </c>
      <c r="C224" s="23">
        <f>-9-30/60</f>
        <v>-9.5</v>
      </c>
      <c r="D224" s="23">
        <f>148+34/60</f>
        <v>148.56666666666666</v>
      </c>
      <c r="E224" s="1" t="s">
        <v>72</v>
      </c>
      <c r="F224" s="1" t="s">
        <v>210</v>
      </c>
      <c r="H224" s="1" t="s">
        <v>211</v>
      </c>
      <c r="I224" s="1">
        <v>0</v>
      </c>
      <c r="AD224" s="1">
        <v>72</v>
      </c>
      <c r="AL224" s="1">
        <v>1.03</v>
      </c>
      <c r="AM224" s="1">
        <v>7.0000000000000007E-2</v>
      </c>
      <c r="AY224" s="1">
        <v>53</v>
      </c>
      <c r="BG224" s="1">
        <v>1.08</v>
      </c>
      <c r="BH224" s="1">
        <v>0.06</v>
      </c>
      <c r="BT224" s="1">
        <v>0</v>
      </c>
      <c r="CO224" s="1">
        <v>0</v>
      </c>
      <c r="DJ224" s="1" t="s">
        <v>96</v>
      </c>
      <c r="DK224" s="1" t="s">
        <v>96</v>
      </c>
      <c r="DL224" s="1">
        <f t="shared" si="462"/>
        <v>1.0512000000000001</v>
      </c>
      <c r="DM224" s="1">
        <f t="shared" si="463"/>
        <v>6.5759999999999999E-2</v>
      </c>
      <c r="DN224" s="1" t="s">
        <v>67</v>
      </c>
      <c r="DO224" s="1" t="s">
        <v>2</v>
      </c>
      <c r="DP224" s="38">
        <f t="shared" si="470"/>
        <v>0</v>
      </c>
      <c r="DQ224" s="38">
        <f t="shared" si="471"/>
        <v>0</v>
      </c>
      <c r="DR224" s="38">
        <f t="shared" si="472"/>
        <v>0</v>
      </c>
      <c r="DS224" s="38">
        <f t="shared" si="473"/>
        <v>0</v>
      </c>
      <c r="DT224" s="38">
        <f t="shared" si="474"/>
        <v>0</v>
      </c>
      <c r="DU224" s="38">
        <f t="shared" si="475"/>
        <v>0</v>
      </c>
      <c r="DV224" s="38">
        <f t="shared" si="476"/>
        <v>0</v>
      </c>
      <c r="DW224" s="38">
        <f t="shared" si="477"/>
        <v>1.3140000000000001</v>
      </c>
      <c r="DX224" s="38">
        <f t="shared" si="478"/>
        <v>8.2200000000000009E-2</v>
      </c>
      <c r="DY224" s="38">
        <f t="shared" si="479"/>
        <v>0</v>
      </c>
      <c r="DZ224" s="38">
        <f t="shared" si="480"/>
        <v>0</v>
      </c>
      <c r="EA224" s="38">
        <f t="shared" si="481"/>
        <v>0</v>
      </c>
      <c r="EB224" s="38">
        <f t="shared" si="482"/>
        <v>0</v>
      </c>
      <c r="EC224" s="38">
        <f t="shared" si="483"/>
        <v>0</v>
      </c>
      <c r="ED224" s="38">
        <f t="shared" si="484"/>
        <v>0</v>
      </c>
      <c r="EE224" s="38">
        <f t="shared" si="485"/>
        <v>0</v>
      </c>
      <c r="EG224" s="38">
        <f t="shared" si="486"/>
        <v>0</v>
      </c>
      <c r="EH224" s="38">
        <f t="shared" si="487"/>
        <v>0</v>
      </c>
      <c r="EI224" s="38">
        <f t="shared" si="488"/>
        <v>0</v>
      </c>
      <c r="EJ224" s="38">
        <f t="shared" si="489"/>
        <v>0</v>
      </c>
      <c r="EK224" s="38">
        <f t="shared" si="490"/>
        <v>0</v>
      </c>
      <c r="EL224" s="38">
        <f t="shared" si="491"/>
        <v>0</v>
      </c>
      <c r="EM224" s="38">
        <f t="shared" si="492"/>
        <v>0</v>
      </c>
      <c r="EN224" s="38">
        <f t="shared" si="493"/>
        <v>0</v>
      </c>
      <c r="EO224" s="38">
        <f t="shared" si="494"/>
        <v>0</v>
      </c>
      <c r="EP224" s="38">
        <f t="shared" si="495"/>
        <v>17231.796000000002</v>
      </c>
      <c r="EQ224" s="38">
        <f t="shared" si="496"/>
        <v>5969.3248727999999</v>
      </c>
      <c r="ER224" s="38">
        <f t="shared" si="497"/>
        <v>0</v>
      </c>
      <c r="ES224" s="38">
        <f t="shared" si="498"/>
        <v>0</v>
      </c>
      <c r="ET224" s="38">
        <f t="shared" si="499"/>
        <v>0</v>
      </c>
      <c r="EU224" s="38">
        <f t="shared" si="500"/>
        <v>0</v>
      </c>
      <c r="EV224" s="38">
        <f t="shared" si="501"/>
        <v>0</v>
      </c>
      <c r="EW224" s="38">
        <f t="shared" si="502"/>
        <v>0</v>
      </c>
      <c r="EX224" s="38">
        <f t="shared" si="503"/>
        <v>0</v>
      </c>
      <c r="EZ224" s="38">
        <f t="shared" si="504"/>
        <v>0</v>
      </c>
      <c r="FA224" s="38">
        <f t="shared" si="505"/>
        <v>0</v>
      </c>
      <c r="FB224" s="1">
        <f t="shared" si="506"/>
        <v>0</v>
      </c>
      <c r="FC224" s="1">
        <f t="shared" si="507"/>
        <v>0</v>
      </c>
      <c r="FD224" s="1">
        <f t="shared" si="508"/>
        <v>0</v>
      </c>
      <c r="FE224" s="1">
        <f t="shared" si="509"/>
        <v>0</v>
      </c>
      <c r="FF224" s="1">
        <f t="shared" si="510"/>
        <v>0</v>
      </c>
      <c r="FG224" s="1">
        <f t="shared" si="511"/>
        <v>0</v>
      </c>
      <c r="FH224" s="1">
        <f t="shared" si="512"/>
        <v>0</v>
      </c>
      <c r="FI224" s="1">
        <f t="shared" si="513"/>
        <v>0</v>
      </c>
      <c r="FJ224" s="1">
        <f t="shared" si="514"/>
        <v>0</v>
      </c>
      <c r="FK224" s="1">
        <f t="shared" si="515"/>
        <v>0</v>
      </c>
      <c r="FL224" s="1">
        <f t="shared" si="516"/>
        <v>0</v>
      </c>
      <c r="FM224" s="1">
        <f t="shared" si="517"/>
        <v>0</v>
      </c>
      <c r="FN224" s="1">
        <f t="shared" si="518"/>
        <v>0</v>
      </c>
      <c r="FO224" s="1">
        <f t="shared" si="519"/>
        <v>0</v>
      </c>
      <c r="FP224" s="1">
        <f t="shared" si="520"/>
        <v>0</v>
      </c>
      <c r="FQ224" s="1">
        <f t="shared" si="521"/>
        <v>0</v>
      </c>
      <c r="FS224" s="1">
        <f t="shared" si="522"/>
        <v>0</v>
      </c>
      <c r="FT224" s="1">
        <f t="shared" si="523"/>
        <v>0</v>
      </c>
      <c r="FU224" s="38">
        <f t="shared" si="524"/>
        <v>0</v>
      </c>
      <c r="FV224" s="38">
        <f t="shared" si="525"/>
        <v>0</v>
      </c>
      <c r="FW224" s="38">
        <f t="shared" si="526"/>
        <v>0</v>
      </c>
      <c r="FX224" s="38">
        <f t="shared" si="527"/>
        <v>0</v>
      </c>
      <c r="FY224" s="38">
        <f t="shared" si="528"/>
        <v>0</v>
      </c>
      <c r="FZ224" s="38">
        <f t="shared" si="529"/>
        <v>0</v>
      </c>
      <c r="GA224" s="38">
        <f t="shared" si="530"/>
        <v>0</v>
      </c>
      <c r="GB224" s="38">
        <f t="shared" si="531"/>
        <v>0</v>
      </c>
      <c r="GC224" s="38">
        <f t="shared" si="532"/>
        <v>0</v>
      </c>
      <c r="GD224" s="38">
        <f t="shared" si="533"/>
        <v>0</v>
      </c>
      <c r="GE224" s="38">
        <f t="shared" si="534"/>
        <v>0</v>
      </c>
      <c r="GF224" s="38">
        <f t="shared" si="535"/>
        <v>0</v>
      </c>
      <c r="GG224" s="38">
        <f t="shared" si="536"/>
        <v>0</v>
      </c>
      <c r="GH224" s="38">
        <f t="shared" si="537"/>
        <v>0</v>
      </c>
      <c r="GI224" s="38">
        <f t="shared" si="538"/>
        <v>0</v>
      </c>
      <c r="GJ224" s="38">
        <f t="shared" si="539"/>
        <v>0</v>
      </c>
      <c r="GL224" s="38">
        <f t="shared" si="540"/>
        <v>0</v>
      </c>
      <c r="GM224" s="38">
        <f t="shared" si="541"/>
        <v>0</v>
      </c>
      <c r="GN224" s="1" t="s">
        <v>2</v>
      </c>
      <c r="GO224" s="1">
        <f t="shared" si="464"/>
        <v>125</v>
      </c>
      <c r="GP224" s="13">
        <f t="shared" si="465"/>
        <v>1.0512000000000001</v>
      </c>
      <c r="GQ224" s="43">
        <f t="shared" si="466"/>
        <v>1314.0000000000002</v>
      </c>
      <c r="GR224" s="41">
        <f t="shared" si="467"/>
        <v>23201.120872800002</v>
      </c>
      <c r="GS224" s="14">
        <f t="shared" si="468"/>
        <v>185.60896698240001</v>
      </c>
      <c r="GT224" s="1">
        <f t="shared" si="542"/>
        <v>0</v>
      </c>
      <c r="GU224" s="1">
        <f t="shared" si="543"/>
        <v>741.6</v>
      </c>
      <c r="GV224" s="1">
        <f t="shared" si="544"/>
        <v>572.4</v>
      </c>
      <c r="GW224" s="37">
        <f t="shared" si="469"/>
        <v>0</v>
      </c>
      <c r="GX224" s="37"/>
      <c r="GY224" s="37"/>
      <c r="GZ224" s="37"/>
      <c r="HB224" s="1">
        <f t="shared" si="545"/>
        <v>0</v>
      </c>
      <c r="HC224" s="1">
        <f t="shared" si="546"/>
        <v>0</v>
      </c>
      <c r="HD224" s="37" t="s">
        <v>2</v>
      </c>
      <c r="HE224" s="1" t="s">
        <v>31</v>
      </c>
      <c r="HF224" s="1" t="s">
        <v>205</v>
      </c>
      <c r="HG224" s="1" t="s">
        <v>205</v>
      </c>
      <c r="HI224" s="1" t="s">
        <v>96</v>
      </c>
      <c r="HJ224" s="37" t="s">
        <v>2</v>
      </c>
      <c r="JH224" s="58" t="s">
        <v>2</v>
      </c>
    </row>
    <row r="225" spans="1:268" ht="16.25" customHeight="1" x14ac:dyDescent="0.2">
      <c r="A225" s="21" t="s">
        <v>1098</v>
      </c>
      <c r="B225" s="1" t="s">
        <v>64</v>
      </c>
      <c r="F225" s="1" t="s">
        <v>1099</v>
      </c>
      <c r="I225" s="1">
        <v>1.9</v>
      </c>
      <c r="Q225" s="1">
        <v>1.4</v>
      </c>
      <c r="R225" s="1">
        <v>7.0000000000000007E-2</v>
      </c>
      <c r="AD225" s="1">
        <v>6.9</v>
      </c>
      <c r="AL225" s="1">
        <v>1.3</v>
      </c>
      <c r="AM225" s="1">
        <v>7.0000000000000007E-2</v>
      </c>
      <c r="AY225" s="1">
        <v>7.2</v>
      </c>
      <c r="BG225" s="1">
        <v>1.2</v>
      </c>
      <c r="BH225" s="1">
        <v>7.0000000000000007E-2</v>
      </c>
      <c r="BT225" s="1">
        <v>0</v>
      </c>
      <c r="CO225" s="1">
        <v>0</v>
      </c>
      <c r="DJ225" s="1" t="s">
        <v>96</v>
      </c>
      <c r="DK225" s="1" t="s">
        <v>96</v>
      </c>
      <c r="DL225" s="1">
        <f t="shared" si="462"/>
        <v>1.2668750000000002</v>
      </c>
      <c r="DM225" s="1">
        <f t="shared" si="463"/>
        <v>7.0000000000000007E-2</v>
      </c>
      <c r="DN225" s="1" t="s">
        <v>1100</v>
      </c>
      <c r="DO225" s="1" t="s">
        <v>2</v>
      </c>
      <c r="DP225" s="38">
        <f t="shared" si="470"/>
        <v>0</v>
      </c>
      <c r="DQ225" s="38">
        <f t="shared" si="471"/>
        <v>0</v>
      </c>
      <c r="DR225" s="38">
        <f t="shared" si="472"/>
        <v>0</v>
      </c>
      <c r="DS225" s="38">
        <f t="shared" si="473"/>
        <v>0</v>
      </c>
      <c r="DT225" s="38">
        <f t="shared" si="474"/>
        <v>0</v>
      </c>
      <c r="DU225" s="38">
        <f t="shared" si="475"/>
        <v>0</v>
      </c>
      <c r="DV225" s="38">
        <f t="shared" si="476"/>
        <v>0</v>
      </c>
      <c r="DW225" s="38">
        <f t="shared" si="477"/>
        <v>0.20270000000000002</v>
      </c>
      <c r="DX225" s="38">
        <f t="shared" si="478"/>
        <v>1.1200000000000002E-2</v>
      </c>
      <c r="DY225" s="38">
        <f t="shared" si="479"/>
        <v>0</v>
      </c>
      <c r="DZ225" s="38">
        <f t="shared" si="480"/>
        <v>0</v>
      </c>
      <c r="EA225" s="38">
        <f t="shared" si="481"/>
        <v>0</v>
      </c>
      <c r="EB225" s="38">
        <f t="shared" si="482"/>
        <v>0</v>
      </c>
      <c r="EC225" s="38">
        <f t="shared" si="483"/>
        <v>0</v>
      </c>
      <c r="ED225" s="38">
        <f t="shared" si="484"/>
        <v>0</v>
      </c>
      <c r="EE225" s="38">
        <f t="shared" si="485"/>
        <v>0</v>
      </c>
      <c r="EG225" s="38">
        <f t="shared" si="486"/>
        <v>0</v>
      </c>
      <c r="EH225" s="38">
        <f t="shared" si="487"/>
        <v>0</v>
      </c>
      <c r="EI225" s="38">
        <f t="shared" si="488"/>
        <v>0</v>
      </c>
      <c r="EJ225" s="38">
        <f t="shared" si="489"/>
        <v>0</v>
      </c>
      <c r="EK225" s="38">
        <f t="shared" si="490"/>
        <v>0</v>
      </c>
      <c r="EL225" s="38">
        <f t="shared" si="491"/>
        <v>0</v>
      </c>
      <c r="EM225" s="38">
        <f t="shared" si="492"/>
        <v>0</v>
      </c>
      <c r="EN225" s="38">
        <f t="shared" si="493"/>
        <v>0</v>
      </c>
      <c r="EO225" s="38">
        <f t="shared" si="494"/>
        <v>0</v>
      </c>
      <c r="EP225" s="38">
        <f t="shared" si="495"/>
        <v>2658.2078000000001</v>
      </c>
      <c r="EQ225" s="38">
        <f t="shared" si="496"/>
        <v>813.33866880000005</v>
      </c>
      <c r="ER225" s="38">
        <f t="shared" si="497"/>
        <v>0</v>
      </c>
      <c r="ES225" s="38">
        <f t="shared" si="498"/>
        <v>0</v>
      </c>
      <c r="ET225" s="38">
        <f t="shared" si="499"/>
        <v>0</v>
      </c>
      <c r="EU225" s="38">
        <f t="shared" si="500"/>
        <v>0</v>
      </c>
      <c r="EV225" s="38">
        <f t="shared" si="501"/>
        <v>0</v>
      </c>
      <c r="EW225" s="38">
        <f t="shared" si="502"/>
        <v>0</v>
      </c>
      <c r="EX225" s="38">
        <f t="shared" si="503"/>
        <v>0</v>
      </c>
      <c r="EZ225" s="38">
        <f t="shared" si="504"/>
        <v>0</v>
      </c>
      <c r="FA225" s="38">
        <f t="shared" si="505"/>
        <v>0</v>
      </c>
      <c r="FB225" s="1">
        <f t="shared" si="506"/>
        <v>0</v>
      </c>
      <c r="FC225" s="1">
        <f t="shared" si="507"/>
        <v>0</v>
      </c>
      <c r="FD225" s="1">
        <f t="shared" si="508"/>
        <v>0</v>
      </c>
      <c r="FE225" s="1">
        <f t="shared" si="509"/>
        <v>0</v>
      </c>
      <c r="FF225" s="1">
        <f t="shared" si="510"/>
        <v>0</v>
      </c>
      <c r="FG225" s="1">
        <f t="shared" si="511"/>
        <v>0</v>
      </c>
      <c r="FH225" s="1">
        <f t="shared" si="512"/>
        <v>0</v>
      </c>
      <c r="FI225" s="1">
        <f t="shared" si="513"/>
        <v>0</v>
      </c>
      <c r="FJ225" s="1">
        <f t="shared" si="514"/>
        <v>0</v>
      </c>
      <c r="FK225" s="1">
        <f t="shared" si="515"/>
        <v>0</v>
      </c>
      <c r="FL225" s="1">
        <f t="shared" si="516"/>
        <v>0</v>
      </c>
      <c r="FM225" s="1">
        <f t="shared" si="517"/>
        <v>0</v>
      </c>
      <c r="FN225" s="1">
        <f t="shared" si="518"/>
        <v>0</v>
      </c>
      <c r="FO225" s="1">
        <f t="shared" si="519"/>
        <v>0</v>
      </c>
      <c r="FP225" s="1">
        <f t="shared" si="520"/>
        <v>0</v>
      </c>
      <c r="FQ225" s="1">
        <f t="shared" si="521"/>
        <v>0</v>
      </c>
      <c r="FS225" s="1">
        <f t="shared" si="522"/>
        <v>0</v>
      </c>
      <c r="FT225" s="1">
        <f t="shared" si="523"/>
        <v>0</v>
      </c>
      <c r="FU225" s="38">
        <f t="shared" si="524"/>
        <v>0</v>
      </c>
      <c r="FV225" s="38">
        <f t="shared" si="525"/>
        <v>0</v>
      </c>
      <c r="FW225" s="38">
        <f t="shared" si="526"/>
        <v>0</v>
      </c>
      <c r="FX225" s="38">
        <f t="shared" si="527"/>
        <v>0</v>
      </c>
      <c r="FY225" s="38">
        <f t="shared" si="528"/>
        <v>0</v>
      </c>
      <c r="FZ225" s="38">
        <f t="shared" si="529"/>
        <v>0</v>
      </c>
      <c r="GA225" s="38">
        <f t="shared" si="530"/>
        <v>0</v>
      </c>
      <c r="GB225" s="38">
        <f t="shared" si="531"/>
        <v>0</v>
      </c>
      <c r="GC225" s="38">
        <f t="shared" si="532"/>
        <v>0</v>
      </c>
      <c r="GD225" s="38">
        <f t="shared" si="533"/>
        <v>0</v>
      </c>
      <c r="GE225" s="38">
        <f t="shared" si="534"/>
        <v>0</v>
      </c>
      <c r="GF225" s="38">
        <f t="shared" si="535"/>
        <v>0</v>
      </c>
      <c r="GG225" s="38">
        <f t="shared" si="536"/>
        <v>0</v>
      </c>
      <c r="GH225" s="38">
        <f t="shared" si="537"/>
        <v>0</v>
      </c>
      <c r="GI225" s="38">
        <f t="shared" si="538"/>
        <v>0</v>
      </c>
      <c r="GJ225" s="38">
        <f t="shared" si="539"/>
        <v>0</v>
      </c>
      <c r="GL225" s="38">
        <f t="shared" si="540"/>
        <v>0</v>
      </c>
      <c r="GM225" s="38">
        <f t="shared" si="541"/>
        <v>0</v>
      </c>
      <c r="GN225" s="1" t="s">
        <v>2</v>
      </c>
      <c r="GO225" s="1">
        <f t="shared" si="464"/>
        <v>16</v>
      </c>
      <c r="GP225" s="13">
        <f t="shared" si="465"/>
        <v>1.2668750000000002</v>
      </c>
      <c r="GQ225" s="41">
        <f t="shared" si="466"/>
        <v>202.70000000000005</v>
      </c>
      <c r="GR225" s="41">
        <f t="shared" si="467"/>
        <v>3471.5464688000002</v>
      </c>
      <c r="GS225" s="14">
        <f t="shared" si="468"/>
        <v>216.97165430000001</v>
      </c>
      <c r="GT225" s="1">
        <f t="shared" si="542"/>
        <v>26.599999999999994</v>
      </c>
      <c r="GU225" s="1">
        <f t="shared" si="543"/>
        <v>89.7</v>
      </c>
      <c r="GV225" s="1">
        <f t="shared" si="544"/>
        <v>86.4</v>
      </c>
      <c r="GW225" s="37">
        <f t="shared" si="469"/>
        <v>0</v>
      </c>
      <c r="GX225" s="37"/>
      <c r="GY225" s="37"/>
      <c r="GZ225" s="37"/>
      <c r="HB225" s="1">
        <f t="shared" si="545"/>
        <v>0</v>
      </c>
      <c r="HC225" s="1">
        <f t="shared" si="546"/>
        <v>0</v>
      </c>
      <c r="HD225" s="37" t="s">
        <v>2</v>
      </c>
      <c r="HE225" s="1" t="s">
        <v>31</v>
      </c>
      <c r="HF225" s="1" t="s">
        <v>205</v>
      </c>
      <c r="HG225" s="1" t="s">
        <v>205</v>
      </c>
      <c r="HI225" s="1" t="s">
        <v>96</v>
      </c>
      <c r="HJ225" s="37" t="s">
        <v>2</v>
      </c>
      <c r="JH225" s="58" t="s">
        <v>2</v>
      </c>
    </row>
    <row r="226" spans="1:268" ht="16.25" customHeight="1" x14ac:dyDescent="0.2">
      <c r="A226" s="21" t="s">
        <v>607</v>
      </c>
      <c r="B226" s="1" t="s">
        <v>69</v>
      </c>
      <c r="F226" s="1" t="s">
        <v>582</v>
      </c>
      <c r="I226" s="1">
        <v>185.6</v>
      </c>
      <c r="Q226" s="1">
        <v>0.96</v>
      </c>
      <c r="R226" s="1">
        <v>0.05</v>
      </c>
      <c r="Y226" s="13">
        <f>31.53*(2*55.85/(2*55.85+3*16.001))</f>
        <v>22.052816791168606</v>
      </c>
      <c r="AD226" s="1">
        <v>7.7</v>
      </c>
      <c r="AL226" s="1">
        <v>0.88</v>
      </c>
      <c r="AM226" s="1">
        <v>0.06</v>
      </c>
      <c r="AT226" s="13">
        <f>27.15*(2*55.85/(2*55.85+3*16.001))</f>
        <v>18.989342717419209</v>
      </c>
      <c r="AY226" s="1">
        <v>3.8</v>
      </c>
      <c r="BG226" s="1">
        <v>0.87</v>
      </c>
      <c r="BH226" s="1">
        <v>0.04</v>
      </c>
      <c r="BO226" s="13">
        <f>31.53*(2*55.85/(2*55.85+3*16.001))</f>
        <v>22.052816791168606</v>
      </c>
      <c r="BT226" s="1">
        <v>0</v>
      </c>
      <c r="CO226" s="1">
        <v>0</v>
      </c>
      <c r="DJ226" s="1" t="s">
        <v>96</v>
      </c>
      <c r="DK226" s="1" t="s">
        <v>96</v>
      </c>
      <c r="DL226" s="1">
        <f t="shared" si="462"/>
        <v>0.9551395230847286</v>
      </c>
      <c r="DM226" s="1">
        <f t="shared" si="463"/>
        <v>5.0197869101978682E-2</v>
      </c>
      <c r="DN226" s="1" t="s">
        <v>608</v>
      </c>
      <c r="DO226" s="1" t="s">
        <v>2</v>
      </c>
      <c r="DP226" s="38">
        <f t="shared" si="470"/>
        <v>0</v>
      </c>
      <c r="DQ226" s="38">
        <f t="shared" si="471"/>
        <v>0</v>
      </c>
      <c r="DR226" s="38">
        <f t="shared" si="472"/>
        <v>0</v>
      </c>
      <c r="DS226" s="38">
        <f t="shared" si="473"/>
        <v>0</v>
      </c>
      <c r="DT226" s="38">
        <f t="shared" si="474"/>
        <v>0</v>
      </c>
      <c r="DU226" s="38">
        <f t="shared" si="475"/>
        <v>0</v>
      </c>
      <c r="DV226" s="38">
        <f t="shared" si="476"/>
        <v>0</v>
      </c>
      <c r="DW226" s="38">
        <f t="shared" si="477"/>
        <v>1.8825800000000001</v>
      </c>
      <c r="DX226" s="38">
        <f t="shared" si="478"/>
        <v>9.8939999999999986E-2</v>
      </c>
      <c r="DY226" s="38">
        <f t="shared" si="479"/>
        <v>0</v>
      </c>
      <c r="DZ226" s="38">
        <f t="shared" si="480"/>
        <v>0</v>
      </c>
      <c r="EA226" s="38">
        <f t="shared" si="481"/>
        <v>0</v>
      </c>
      <c r="EB226" s="38">
        <f t="shared" si="482"/>
        <v>0</v>
      </c>
      <c r="EC226" s="38">
        <f t="shared" si="483"/>
        <v>0</v>
      </c>
      <c r="ED226" s="38">
        <f t="shared" si="484"/>
        <v>0</v>
      </c>
      <c r="EE226" s="38">
        <f t="shared" si="485"/>
        <v>43.230214391714618</v>
      </c>
      <c r="EG226" s="38">
        <f t="shared" si="486"/>
        <v>0</v>
      </c>
      <c r="EH226" s="38">
        <f t="shared" si="487"/>
        <v>0</v>
      </c>
      <c r="EI226" s="38">
        <f t="shared" si="488"/>
        <v>0</v>
      </c>
      <c r="EJ226" s="38">
        <f t="shared" si="489"/>
        <v>0</v>
      </c>
      <c r="EK226" s="38">
        <f t="shared" si="490"/>
        <v>0</v>
      </c>
      <c r="EL226" s="38">
        <f t="shared" si="491"/>
        <v>0</v>
      </c>
      <c r="EM226" s="38">
        <f t="shared" si="492"/>
        <v>0</v>
      </c>
      <c r="EN226" s="38">
        <f t="shared" si="493"/>
        <v>0</v>
      </c>
      <c r="EO226" s="38">
        <f t="shared" si="494"/>
        <v>0</v>
      </c>
      <c r="EP226" s="38">
        <f t="shared" si="495"/>
        <v>24688.154120000003</v>
      </c>
      <c r="EQ226" s="38">
        <f t="shared" si="496"/>
        <v>7184.9757045599981</v>
      </c>
      <c r="ER226" s="38">
        <f t="shared" si="497"/>
        <v>0</v>
      </c>
      <c r="ES226" s="38">
        <f t="shared" si="498"/>
        <v>0</v>
      </c>
      <c r="ET226" s="38">
        <f t="shared" si="499"/>
        <v>0</v>
      </c>
      <c r="EU226" s="38">
        <f t="shared" si="500"/>
        <v>0</v>
      </c>
      <c r="EV226" s="38">
        <f t="shared" si="501"/>
        <v>0</v>
      </c>
      <c r="EW226" s="38">
        <f t="shared" si="502"/>
        <v>0</v>
      </c>
      <c r="EX226" s="38">
        <f t="shared" si="503"/>
        <v>4020.4099384294595</v>
      </c>
      <c r="EZ226" s="38">
        <f t="shared" si="504"/>
        <v>0</v>
      </c>
      <c r="FA226" s="38">
        <f t="shared" si="505"/>
        <v>0</v>
      </c>
      <c r="FB226" s="1">
        <f t="shared" si="506"/>
        <v>0</v>
      </c>
      <c r="FC226" s="1">
        <f t="shared" si="507"/>
        <v>0</v>
      </c>
      <c r="FD226" s="1">
        <f t="shared" si="508"/>
        <v>0</v>
      </c>
      <c r="FE226" s="1">
        <f t="shared" si="509"/>
        <v>0</v>
      </c>
      <c r="FF226" s="1">
        <f t="shared" si="510"/>
        <v>0</v>
      </c>
      <c r="FG226" s="1">
        <f t="shared" si="511"/>
        <v>0</v>
      </c>
      <c r="FH226" s="1">
        <f t="shared" si="512"/>
        <v>0</v>
      </c>
      <c r="FI226" s="1">
        <f t="shared" si="513"/>
        <v>0</v>
      </c>
      <c r="FJ226" s="1">
        <f t="shared" si="514"/>
        <v>0</v>
      </c>
      <c r="FK226" s="1">
        <f t="shared" si="515"/>
        <v>0</v>
      </c>
      <c r="FL226" s="1">
        <f t="shared" si="516"/>
        <v>0</v>
      </c>
      <c r="FM226" s="1">
        <f t="shared" si="517"/>
        <v>0</v>
      </c>
      <c r="FN226" s="1">
        <f t="shared" si="518"/>
        <v>0</v>
      </c>
      <c r="FO226" s="1">
        <f t="shared" si="519"/>
        <v>0</v>
      </c>
      <c r="FP226" s="1">
        <f t="shared" si="520"/>
        <v>0</v>
      </c>
      <c r="FQ226" s="1">
        <f t="shared" si="521"/>
        <v>0</v>
      </c>
      <c r="FS226" s="1">
        <f t="shared" si="522"/>
        <v>0</v>
      </c>
      <c r="FT226" s="1">
        <f t="shared" si="523"/>
        <v>0</v>
      </c>
      <c r="FU226" s="38">
        <f t="shared" si="524"/>
        <v>0</v>
      </c>
      <c r="FV226" s="38">
        <f t="shared" si="525"/>
        <v>0</v>
      </c>
      <c r="FW226" s="38">
        <f t="shared" si="526"/>
        <v>0</v>
      </c>
      <c r="FX226" s="38">
        <f t="shared" si="527"/>
        <v>0</v>
      </c>
      <c r="FY226" s="38">
        <f t="shared" si="528"/>
        <v>0</v>
      </c>
      <c r="FZ226" s="38">
        <f t="shared" si="529"/>
        <v>0</v>
      </c>
      <c r="GA226" s="38">
        <f t="shared" si="530"/>
        <v>0</v>
      </c>
      <c r="GB226" s="38">
        <f t="shared" si="531"/>
        <v>0</v>
      </c>
      <c r="GC226" s="38">
        <f t="shared" si="532"/>
        <v>0</v>
      </c>
      <c r="GD226" s="38">
        <f t="shared" si="533"/>
        <v>0</v>
      </c>
      <c r="GE226" s="38">
        <f t="shared" si="534"/>
        <v>0</v>
      </c>
      <c r="GF226" s="38">
        <f t="shared" si="535"/>
        <v>0</v>
      </c>
      <c r="GG226" s="38">
        <f t="shared" si="536"/>
        <v>0</v>
      </c>
      <c r="GH226" s="38">
        <f t="shared" si="537"/>
        <v>0</v>
      </c>
      <c r="GI226" s="38">
        <f t="shared" si="538"/>
        <v>0</v>
      </c>
      <c r="GJ226" s="38">
        <f t="shared" si="539"/>
        <v>0</v>
      </c>
      <c r="GL226" s="38">
        <f t="shared" si="540"/>
        <v>0</v>
      </c>
      <c r="GM226" s="38">
        <f t="shared" si="541"/>
        <v>0</v>
      </c>
      <c r="GN226" s="1" t="s">
        <v>2</v>
      </c>
      <c r="GO226" s="1">
        <f t="shared" si="464"/>
        <v>197.1</v>
      </c>
      <c r="GP226" s="13">
        <f t="shared" si="465"/>
        <v>0.9551395230847286</v>
      </c>
      <c r="GQ226" s="43">
        <f t="shared" si="466"/>
        <v>1882.58</v>
      </c>
      <c r="GR226" s="41">
        <f t="shared" si="467"/>
        <v>35893.539762989458</v>
      </c>
      <c r="GS226" s="14">
        <f t="shared" si="468"/>
        <v>182.10826871126056</v>
      </c>
      <c r="GT226" s="1">
        <f t="shared" si="542"/>
        <v>1781.76</v>
      </c>
      <c r="GU226" s="1">
        <f t="shared" si="543"/>
        <v>67.760000000000005</v>
      </c>
      <c r="GV226" s="1">
        <f t="shared" si="544"/>
        <v>33.06</v>
      </c>
      <c r="GW226" s="37">
        <f t="shared" si="469"/>
        <v>0</v>
      </c>
      <c r="GX226" s="37"/>
      <c r="GY226" s="37"/>
      <c r="GZ226" s="37"/>
      <c r="HB226" s="1">
        <f t="shared" si="545"/>
        <v>0</v>
      </c>
      <c r="HC226" s="1">
        <f t="shared" si="546"/>
        <v>0</v>
      </c>
      <c r="HD226" s="37" t="s">
        <v>2</v>
      </c>
      <c r="HE226" s="1" t="s">
        <v>31</v>
      </c>
      <c r="HF226" s="1" t="s">
        <v>506</v>
      </c>
      <c r="HG226" s="1" t="s">
        <v>609</v>
      </c>
      <c r="HI226" s="1" t="s">
        <v>96</v>
      </c>
      <c r="HJ226" s="37" t="s">
        <v>2</v>
      </c>
      <c r="JH226" s="58" t="s">
        <v>2</v>
      </c>
    </row>
    <row r="227" spans="1:268" ht="16.25" customHeight="1" x14ac:dyDescent="0.2">
      <c r="A227" s="21" t="s">
        <v>625</v>
      </c>
      <c r="B227" s="1" t="s">
        <v>69</v>
      </c>
      <c r="F227" s="1" t="s">
        <v>131</v>
      </c>
      <c r="I227" s="1">
        <v>0</v>
      </c>
      <c r="AD227" s="1">
        <v>0</v>
      </c>
      <c r="AY227" s="1">
        <v>13</v>
      </c>
      <c r="BG227" s="1">
        <v>1.3</v>
      </c>
      <c r="BT227" s="1">
        <v>0</v>
      </c>
      <c r="CO227" s="1">
        <v>0</v>
      </c>
      <c r="DJ227" s="1" t="s">
        <v>96</v>
      </c>
      <c r="DL227" s="1">
        <f t="shared" si="462"/>
        <v>1.3000000000000003</v>
      </c>
      <c r="DM227" s="1">
        <f t="shared" si="463"/>
        <v>0</v>
      </c>
      <c r="DN227" s="1" t="s">
        <v>626</v>
      </c>
      <c r="DO227" s="1" t="s">
        <v>2</v>
      </c>
      <c r="DP227" s="38">
        <f t="shared" si="470"/>
        <v>0</v>
      </c>
      <c r="DQ227" s="38">
        <f t="shared" si="471"/>
        <v>0</v>
      </c>
      <c r="DR227" s="38">
        <f t="shared" si="472"/>
        <v>0</v>
      </c>
      <c r="DS227" s="38">
        <f t="shared" si="473"/>
        <v>0</v>
      </c>
      <c r="DT227" s="38">
        <f t="shared" si="474"/>
        <v>0</v>
      </c>
      <c r="DU227" s="38">
        <f t="shared" si="475"/>
        <v>0</v>
      </c>
      <c r="DV227" s="38">
        <f t="shared" si="476"/>
        <v>0</v>
      </c>
      <c r="DW227" s="38">
        <f t="shared" si="477"/>
        <v>0.16900000000000001</v>
      </c>
      <c r="DX227" s="38">
        <f t="shared" si="478"/>
        <v>0</v>
      </c>
      <c r="DY227" s="38">
        <f t="shared" si="479"/>
        <v>0</v>
      </c>
      <c r="DZ227" s="38">
        <f t="shared" si="480"/>
        <v>0</v>
      </c>
      <c r="EA227" s="38">
        <f t="shared" si="481"/>
        <v>0</v>
      </c>
      <c r="EB227" s="38">
        <f t="shared" si="482"/>
        <v>0</v>
      </c>
      <c r="EC227" s="38">
        <f t="shared" si="483"/>
        <v>0</v>
      </c>
      <c r="ED227" s="38">
        <f t="shared" si="484"/>
        <v>0</v>
      </c>
      <c r="EE227" s="38">
        <f t="shared" si="485"/>
        <v>0</v>
      </c>
      <c r="EG227" s="38">
        <f t="shared" si="486"/>
        <v>0</v>
      </c>
      <c r="EH227" s="38">
        <f t="shared" si="487"/>
        <v>0</v>
      </c>
      <c r="EI227" s="38">
        <f t="shared" si="488"/>
        <v>0</v>
      </c>
      <c r="EJ227" s="38">
        <f t="shared" si="489"/>
        <v>0</v>
      </c>
      <c r="EK227" s="38">
        <f t="shared" si="490"/>
        <v>0</v>
      </c>
      <c r="EL227" s="38">
        <f t="shared" si="491"/>
        <v>0</v>
      </c>
      <c r="EM227" s="38">
        <f t="shared" si="492"/>
        <v>0</v>
      </c>
      <c r="EN227" s="38">
        <f t="shared" si="493"/>
        <v>0</v>
      </c>
      <c r="EO227" s="38">
        <f t="shared" si="494"/>
        <v>0</v>
      </c>
      <c r="EP227" s="38">
        <f t="shared" si="495"/>
        <v>2216.2660000000001</v>
      </c>
      <c r="EQ227" s="38">
        <f t="shared" si="496"/>
        <v>0</v>
      </c>
      <c r="ER227" s="38">
        <f t="shared" si="497"/>
        <v>0</v>
      </c>
      <c r="ES227" s="38">
        <f t="shared" si="498"/>
        <v>0</v>
      </c>
      <c r="ET227" s="38">
        <f t="shared" si="499"/>
        <v>0</v>
      </c>
      <c r="EU227" s="38">
        <f t="shared" si="500"/>
        <v>0</v>
      </c>
      <c r="EV227" s="38">
        <f t="shared" si="501"/>
        <v>0</v>
      </c>
      <c r="EW227" s="38">
        <f t="shared" si="502"/>
        <v>0</v>
      </c>
      <c r="EX227" s="38">
        <f t="shared" si="503"/>
        <v>0</v>
      </c>
      <c r="EZ227" s="38">
        <f t="shared" si="504"/>
        <v>0</v>
      </c>
      <c r="FA227" s="38">
        <f t="shared" si="505"/>
        <v>0</v>
      </c>
      <c r="FB227" s="1">
        <f t="shared" si="506"/>
        <v>0</v>
      </c>
      <c r="FC227" s="1">
        <f t="shared" si="507"/>
        <v>0</v>
      </c>
      <c r="FD227" s="1">
        <f t="shared" si="508"/>
        <v>0</v>
      </c>
      <c r="FE227" s="1">
        <f t="shared" si="509"/>
        <v>0</v>
      </c>
      <c r="FF227" s="1">
        <f t="shared" si="510"/>
        <v>0</v>
      </c>
      <c r="FG227" s="1">
        <f t="shared" si="511"/>
        <v>0</v>
      </c>
      <c r="FH227" s="1">
        <f t="shared" si="512"/>
        <v>0</v>
      </c>
      <c r="FI227" s="1">
        <f t="shared" si="513"/>
        <v>0</v>
      </c>
      <c r="FJ227" s="1">
        <f t="shared" si="514"/>
        <v>0</v>
      </c>
      <c r="FK227" s="1">
        <f t="shared" si="515"/>
        <v>0</v>
      </c>
      <c r="FL227" s="1">
        <f t="shared" si="516"/>
        <v>0</v>
      </c>
      <c r="FM227" s="1">
        <f t="shared" si="517"/>
        <v>0</v>
      </c>
      <c r="FN227" s="1">
        <f t="shared" si="518"/>
        <v>0</v>
      </c>
      <c r="FO227" s="1">
        <f t="shared" si="519"/>
        <v>0</v>
      </c>
      <c r="FP227" s="1">
        <f t="shared" si="520"/>
        <v>0</v>
      </c>
      <c r="FQ227" s="1">
        <f t="shared" si="521"/>
        <v>0</v>
      </c>
      <c r="FS227" s="1">
        <f t="shared" si="522"/>
        <v>0</v>
      </c>
      <c r="FT227" s="1">
        <f t="shared" si="523"/>
        <v>0</v>
      </c>
      <c r="FU227" s="38">
        <f t="shared" si="524"/>
        <v>0</v>
      </c>
      <c r="FV227" s="38">
        <f t="shared" si="525"/>
        <v>0</v>
      </c>
      <c r="FW227" s="38">
        <f t="shared" si="526"/>
        <v>0</v>
      </c>
      <c r="FX227" s="38">
        <f t="shared" si="527"/>
        <v>0</v>
      </c>
      <c r="FY227" s="38">
        <f t="shared" si="528"/>
        <v>0</v>
      </c>
      <c r="FZ227" s="38">
        <f t="shared" si="529"/>
        <v>0</v>
      </c>
      <c r="GA227" s="38">
        <f t="shared" si="530"/>
        <v>0</v>
      </c>
      <c r="GB227" s="38">
        <f t="shared" si="531"/>
        <v>0</v>
      </c>
      <c r="GC227" s="38">
        <f t="shared" si="532"/>
        <v>0</v>
      </c>
      <c r="GD227" s="38">
        <f t="shared" si="533"/>
        <v>0</v>
      </c>
      <c r="GE227" s="38">
        <f t="shared" si="534"/>
        <v>0</v>
      </c>
      <c r="GF227" s="38">
        <f t="shared" si="535"/>
        <v>0</v>
      </c>
      <c r="GG227" s="38">
        <f t="shared" si="536"/>
        <v>0</v>
      </c>
      <c r="GH227" s="38">
        <f t="shared" si="537"/>
        <v>0</v>
      </c>
      <c r="GI227" s="38">
        <f t="shared" si="538"/>
        <v>0</v>
      </c>
      <c r="GJ227" s="38">
        <f t="shared" si="539"/>
        <v>0</v>
      </c>
      <c r="GL227" s="38">
        <f t="shared" si="540"/>
        <v>0</v>
      </c>
      <c r="GM227" s="38">
        <f t="shared" si="541"/>
        <v>0</v>
      </c>
      <c r="GN227" s="1" t="s">
        <v>2</v>
      </c>
      <c r="GO227" s="1">
        <f t="shared" si="464"/>
        <v>13</v>
      </c>
      <c r="GP227" s="1">
        <f t="shared" si="465"/>
        <v>1.3000000000000003</v>
      </c>
      <c r="GQ227" s="41">
        <f t="shared" si="466"/>
        <v>169.00000000000003</v>
      </c>
      <c r="GR227" s="41">
        <f t="shared" si="467"/>
        <v>2216.2660000000001</v>
      </c>
      <c r="GS227" s="14">
        <f t="shared" si="468"/>
        <v>170.482</v>
      </c>
      <c r="GT227" s="1">
        <f t="shared" si="542"/>
        <v>0</v>
      </c>
      <c r="GU227" s="1">
        <f t="shared" si="543"/>
        <v>0</v>
      </c>
      <c r="GV227" s="1">
        <f t="shared" si="544"/>
        <v>169.00000000000003</v>
      </c>
      <c r="GW227" s="37">
        <f t="shared" si="469"/>
        <v>0</v>
      </c>
      <c r="GX227" s="37"/>
      <c r="GY227" s="37"/>
      <c r="GZ227" s="37"/>
      <c r="HB227" s="1">
        <f t="shared" si="545"/>
        <v>0</v>
      </c>
      <c r="HC227" s="1">
        <f t="shared" si="546"/>
        <v>0</v>
      </c>
      <c r="HD227" s="37" t="s">
        <v>2</v>
      </c>
      <c r="HE227" s="1" t="s">
        <v>31</v>
      </c>
      <c r="HF227" s="1" t="s">
        <v>506</v>
      </c>
      <c r="HI227" s="1" t="s">
        <v>96</v>
      </c>
      <c r="HJ227" s="37" t="s">
        <v>2</v>
      </c>
      <c r="JH227" s="58" t="s">
        <v>2</v>
      </c>
    </row>
    <row r="228" spans="1:268" ht="16.25" customHeight="1" x14ac:dyDescent="0.2">
      <c r="A228" s="21" t="s">
        <v>636</v>
      </c>
      <c r="B228" s="1" t="s">
        <v>69</v>
      </c>
      <c r="F228" s="1" t="s">
        <v>637</v>
      </c>
      <c r="I228" s="1">
        <v>0</v>
      </c>
      <c r="AD228" s="1">
        <v>0</v>
      </c>
      <c r="AY228" s="1">
        <v>44.89</v>
      </c>
      <c r="BG228" s="1">
        <v>1.28</v>
      </c>
      <c r="BH228" s="1">
        <v>0.13</v>
      </c>
      <c r="BO228" s="1">
        <v>41.27</v>
      </c>
      <c r="BQ228" s="1">
        <v>29</v>
      </c>
      <c r="BT228" s="1">
        <v>0</v>
      </c>
      <c r="CO228" s="1">
        <v>0</v>
      </c>
      <c r="DJ228" s="1" t="s">
        <v>96</v>
      </c>
      <c r="DK228" s="1" t="s">
        <v>96</v>
      </c>
      <c r="DL228" s="1">
        <f t="shared" si="462"/>
        <v>1.28</v>
      </c>
      <c r="DM228" s="1">
        <f t="shared" si="463"/>
        <v>0.13</v>
      </c>
      <c r="DN228" s="1" t="s">
        <v>638</v>
      </c>
      <c r="DO228" s="1" t="s">
        <v>2</v>
      </c>
      <c r="DP228" s="38">
        <f t="shared" si="470"/>
        <v>0</v>
      </c>
      <c r="DQ228" s="38">
        <f t="shared" si="471"/>
        <v>0</v>
      </c>
      <c r="DR228" s="38">
        <f t="shared" si="472"/>
        <v>0</v>
      </c>
      <c r="DS228" s="38">
        <f t="shared" si="473"/>
        <v>0</v>
      </c>
      <c r="DT228" s="38">
        <f t="shared" si="474"/>
        <v>0</v>
      </c>
      <c r="DU228" s="38">
        <f t="shared" si="475"/>
        <v>0</v>
      </c>
      <c r="DV228" s="38">
        <f t="shared" si="476"/>
        <v>0</v>
      </c>
      <c r="DW228" s="38">
        <f t="shared" si="477"/>
        <v>0.57459199999999999</v>
      </c>
      <c r="DX228" s="38">
        <f t="shared" si="478"/>
        <v>5.8356999999999999E-2</v>
      </c>
      <c r="DY228" s="38">
        <f t="shared" si="479"/>
        <v>0</v>
      </c>
      <c r="DZ228" s="38">
        <f t="shared" si="480"/>
        <v>0</v>
      </c>
      <c r="EA228" s="38">
        <f t="shared" si="481"/>
        <v>0</v>
      </c>
      <c r="EB228" s="38">
        <f t="shared" si="482"/>
        <v>0</v>
      </c>
      <c r="EC228" s="38">
        <f t="shared" si="483"/>
        <v>0</v>
      </c>
      <c r="ED228" s="38">
        <f t="shared" si="484"/>
        <v>0</v>
      </c>
      <c r="EE228" s="38">
        <f t="shared" si="485"/>
        <v>18.526102999999999</v>
      </c>
      <c r="EG228" s="38">
        <f t="shared" si="486"/>
        <v>1301.81</v>
      </c>
      <c r="EH228" s="38">
        <f t="shared" si="487"/>
        <v>0</v>
      </c>
      <c r="EI228" s="38">
        <f t="shared" si="488"/>
        <v>0</v>
      </c>
      <c r="EJ228" s="38">
        <f t="shared" si="489"/>
        <v>0</v>
      </c>
      <c r="EK228" s="38">
        <f t="shared" si="490"/>
        <v>0</v>
      </c>
      <c r="EL228" s="38">
        <f t="shared" si="491"/>
        <v>0</v>
      </c>
      <c r="EM228" s="38">
        <f t="shared" si="492"/>
        <v>0</v>
      </c>
      <c r="EN228" s="38">
        <f t="shared" si="493"/>
        <v>0</v>
      </c>
      <c r="EO228" s="38">
        <f t="shared" si="494"/>
        <v>0</v>
      </c>
      <c r="EP228" s="38">
        <f t="shared" si="495"/>
        <v>7535.1994880000002</v>
      </c>
      <c r="EQ228" s="38">
        <f t="shared" si="496"/>
        <v>4237.8575620679994</v>
      </c>
      <c r="ER228" s="38">
        <f t="shared" si="497"/>
        <v>0</v>
      </c>
      <c r="ES228" s="38">
        <f t="shared" si="498"/>
        <v>0</v>
      </c>
      <c r="ET228" s="38">
        <f t="shared" si="499"/>
        <v>0</v>
      </c>
      <c r="EU228" s="38">
        <f t="shared" si="500"/>
        <v>0</v>
      </c>
      <c r="EV228" s="38">
        <f t="shared" si="501"/>
        <v>0</v>
      </c>
      <c r="EW228" s="38">
        <f t="shared" si="502"/>
        <v>0</v>
      </c>
      <c r="EX228" s="38">
        <f t="shared" si="503"/>
        <v>1722.9275789999999</v>
      </c>
      <c r="EZ228" s="38">
        <f t="shared" si="504"/>
        <v>468.65159999999997</v>
      </c>
      <c r="FA228" s="38">
        <f t="shared" si="505"/>
        <v>0</v>
      </c>
      <c r="FB228" s="1">
        <f t="shared" si="506"/>
        <v>0</v>
      </c>
      <c r="FC228" s="1">
        <f t="shared" si="507"/>
        <v>0</v>
      </c>
      <c r="FD228" s="1">
        <f t="shared" si="508"/>
        <v>0</v>
      </c>
      <c r="FE228" s="1">
        <f t="shared" si="509"/>
        <v>0</v>
      </c>
      <c r="FF228" s="1">
        <f t="shared" si="510"/>
        <v>0</v>
      </c>
      <c r="FG228" s="1">
        <f t="shared" si="511"/>
        <v>0</v>
      </c>
      <c r="FH228" s="1">
        <f t="shared" si="512"/>
        <v>0</v>
      </c>
      <c r="FI228" s="1">
        <f t="shared" si="513"/>
        <v>0</v>
      </c>
      <c r="FJ228" s="1">
        <f t="shared" si="514"/>
        <v>0</v>
      </c>
      <c r="FK228" s="1">
        <f t="shared" si="515"/>
        <v>0</v>
      </c>
      <c r="FL228" s="1">
        <f t="shared" si="516"/>
        <v>0</v>
      </c>
      <c r="FM228" s="1">
        <f t="shared" si="517"/>
        <v>0</v>
      </c>
      <c r="FN228" s="1">
        <f t="shared" si="518"/>
        <v>0</v>
      </c>
      <c r="FO228" s="1">
        <f t="shared" si="519"/>
        <v>0</v>
      </c>
      <c r="FP228" s="1">
        <f t="shared" si="520"/>
        <v>0</v>
      </c>
      <c r="FQ228" s="1">
        <f t="shared" si="521"/>
        <v>0</v>
      </c>
      <c r="FS228" s="1">
        <f t="shared" si="522"/>
        <v>0</v>
      </c>
      <c r="FT228" s="1">
        <f t="shared" si="523"/>
        <v>0</v>
      </c>
      <c r="FU228" s="38">
        <f t="shared" si="524"/>
        <v>0</v>
      </c>
      <c r="FV228" s="38">
        <f t="shared" si="525"/>
        <v>0</v>
      </c>
      <c r="FW228" s="38">
        <f t="shared" si="526"/>
        <v>0</v>
      </c>
      <c r="FX228" s="38">
        <f t="shared" si="527"/>
        <v>0</v>
      </c>
      <c r="FY228" s="38">
        <f t="shared" si="528"/>
        <v>0</v>
      </c>
      <c r="FZ228" s="38">
        <f t="shared" si="529"/>
        <v>0</v>
      </c>
      <c r="GA228" s="38">
        <f t="shared" si="530"/>
        <v>0</v>
      </c>
      <c r="GB228" s="38">
        <f t="shared" si="531"/>
        <v>0</v>
      </c>
      <c r="GC228" s="38">
        <f t="shared" si="532"/>
        <v>0</v>
      </c>
      <c r="GD228" s="38">
        <f t="shared" si="533"/>
        <v>0</v>
      </c>
      <c r="GE228" s="38">
        <f t="shared" si="534"/>
        <v>0</v>
      </c>
      <c r="GF228" s="38">
        <f t="shared" si="535"/>
        <v>0</v>
      </c>
      <c r="GG228" s="38">
        <f t="shared" si="536"/>
        <v>0</v>
      </c>
      <c r="GH228" s="38">
        <f t="shared" si="537"/>
        <v>0</v>
      </c>
      <c r="GI228" s="38">
        <f t="shared" si="538"/>
        <v>0</v>
      </c>
      <c r="GJ228" s="38">
        <f t="shared" si="539"/>
        <v>0</v>
      </c>
      <c r="GL228" s="38">
        <f t="shared" si="540"/>
        <v>0</v>
      </c>
      <c r="GM228" s="38">
        <f t="shared" si="541"/>
        <v>0</v>
      </c>
      <c r="GN228" s="1" t="s">
        <v>2</v>
      </c>
      <c r="GO228" s="1">
        <f t="shared" si="464"/>
        <v>44.89</v>
      </c>
      <c r="GP228" s="1">
        <f t="shared" si="465"/>
        <v>1.28</v>
      </c>
      <c r="GQ228" s="41">
        <f t="shared" si="466"/>
        <v>574.5920000000001</v>
      </c>
      <c r="GR228" s="41">
        <f t="shared" si="467"/>
        <v>13964.636229067999</v>
      </c>
      <c r="GS228" s="14">
        <f t="shared" si="468"/>
        <v>311.08568119999995</v>
      </c>
      <c r="GT228" s="1">
        <f t="shared" si="542"/>
        <v>0</v>
      </c>
      <c r="GU228" s="1">
        <f t="shared" si="543"/>
        <v>0</v>
      </c>
      <c r="GV228" s="1">
        <f t="shared" si="544"/>
        <v>574.5920000000001</v>
      </c>
      <c r="GW228" s="37">
        <f t="shared" si="469"/>
        <v>0</v>
      </c>
      <c r="GX228" s="37"/>
      <c r="GY228" s="37"/>
      <c r="GZ228" s="37"/>
      <c r="HB228" s="1">
        <f t="shared" si="545"/>
        <v>0</v>
      </c>
      <c r="HC228" s="1">
        <f t="shared" si="546"/>
        <v>0</v>
      </c>
      <c r="HD228" s="37" t="s">
        <v>2</v>
      </c>
      <c r="HE228" s="1" t="s">
        <v>31</v>
      </c>
      <c r="HF228" s="1" t="s">
        <v>506</v>
      </c>
      <c r="HI228" s="1" t="s">
        <v>96</v>
      </c>
      <c r="HJ228" s="37" t="s">
        <v>2</v>
      </c>
      <c r="JH228" s="58" t="s">
        <v>2</v>
      </c>
    </row>
    <row r="229" spans="1:268" ht="16.25" customHeight="1" x14ac:dyDescent="0.2">
      <c r="A229" s="21" t="s">
        <v>473</v>
      </c>
      <c r="B229" s="1" t="s">
        <v>64</v>
      </c>
      <c r="F229" s="1" t="s">
        <v>474</v>
      </c>
      <c r="H229" s="1" t="s">
        <v>211</v>
      </c>
      <c r="I229" s="1">
        <f>13.47+4.15+10.61+9.32</f>
        <v>37.549999999999997</v>
      </c>
      <c r="Q229" s="13">
        <f>(1.57*13.47+1.51*4.15+1.45*10.61+1.32*9.32)/I229</f>
        <v>1.467411451398136</v>
      </c>
      <c r="R229" s="13">
        <f>(0.18*13.47+0.16*4.15+0.18*10.61+0.16*9.32)/I229</f>
        <v>0.1728255659121172</v>
      </c>
      <c r="Y229" s="13">
        <f>(40.71*13.47+36.19*4.15+39.75*10.61+41.98*9.32)/I229</f>
        <v>40.25441544607191</v>
      </c>
      <c r="Z229" s="13">
        <f>(9.46*13.47+17.68*4.15+15.63*10.61+12.76*9.32)/I229</f>
        <v>12.930910785619178</v>
      </c>
      <c r="AD229" s="1">
        <f>0.44+1.85+5.21+18.55</f>
        <v>26.05</v>
      </c>
      <c r="AL229" s="13">
        <f>(1.56*0.44+1.58*1.85+1.42*5.21+1.33*18.55)/AD229</f>
        <v>1.3696391554702496</v>
      </c>
      <c r="AM229" s="13">
        <f>(0.22*0.44+0.16*1.85+0.16*5.21+0.16*18.55)/AD229</f>
        <v>0.1610134357005758</v>
      </c>
      <c r="AT229" s="13">
        <f>(37.85*0.44+37.26*1.85+36.36*5.21+42.89*18.55)/AD229</f>
        <v>41.099044145873322</v>
      </c>
      <c r="AU229" s="13">
        <f>(15.11*0.44+16.25*1.85+19.72*5.21+11.66*18.55)/AD229</f>
        <v>13.656241842610363</v>
      </c>
      <c r="AY229" s="1">
        <f>0.11+2.97+0.03+21.59</f>
        <v>24.7</v>
      </c>
      <c r="BG229" s="13">
        <f>(1.57*0.11+1.63*2.97+1.35*0.03+1.35*21.59)/AY229</f>
        <v>1.3846477732793523</v>
      </c>
      <c r="BH229" s="13">
        <f>(0.21*0.11+0.16*2.97+0.15*0.03+0.17*21.59)/AY229</f>
        <v>0.16895141700404859</v>
      </c>
      <c r="BO229" s="13">
        <f>(39.94*0.11+36.13*2.97+34.94*0.03+42.35*21.59)/AY229</f>
        <v>41.582356275303646</v>
      </c>
      <c r="BP229" s="13">
        <f>(14.15*0.11+19.28*2.97+17.98*0.03+10.8*21.59)/AY229</f>
        <v>11.843299595141703</v>
      </c>
      <c r="BT229" s="1">
        <f>5.16+1.66+3+0.4</f>
        <v>10.220000000000001</v>
      </c>
      <c r="CB229" s="13">
        <f>(1.7*5.16+1.79*1.66+1.65*3+1.58*0.4)/BT229</f>
        <v>1.6952446183953034</v>
      </c>
      <c r="CC229" s="13">
        <f>(0.19*5.16+0.13*1.66+0.18*3+0.15*0.4)/BT229</f>
        <v>0.17575342465753427</v>
      </c>
      <c r="CJ229" s="13">
        <f>(39.98*5.16+28.09*1.66+38.09*3+40.38*0.4)/BT229</f>
        <v>37.509608610567511</v>
      </c>
      <c r="CK229" s="13">
        <f>(9.86*5.16+25.7*1.66+17.35*3+14.81*0.4)/BT229</f>
        <v>14.825205479452057</v>
      </c>
      <c r="CO229" s="1">
        <f>0.03+0.38+1.12+1</f>
        <v>2.5300000000000002</v>
      </c>
      <c r="CW229" s="13">
        <f>(1.71*0.03+1.76*0.38+1.63*1.12+1.57*1)/CO229</f>
        <v>1.6267588932806325</v>
      </c>
      <c r="CX229" s="13">
        <f>(0.26*0.03+0.13*0.38+0.15*1.12+0.16*1)/CO229</f>
        <v>0.15225296442687744</v>
      </c>
      <c r="DE229" s="13">
        <f>(36.68*0.03+29.61*0.38+33.24*1.12+41.15*1)/CO229</f>
        <v>35.862055335968371</v>
      </c>
      <c r="DF229" s="13">
        <f>(16.66*0.03+23.87*0.38+23.6*1.12+13.6*1)/CO229</f>
        <v>19.605691699604744</v>
      </c>
      <c r="DJ229" s="1" t="s">
        <v>96</v>
      </c>
      <c r="DK229" s="1" t="s">
        <v>96</v>
      </c>
      <c r="DL229" s="1">
        <f t="shared" si="462"/>
        <v>1.4154156285390715</v>
      </c>
      <c r="DM229" s="1">
        <f t="shared" si="463"/>
        <v>0.16825707814269536</v>
      </c>
      <c r="DN229" s="1" t="s">
        <v>67</v>
      </c>
      <c r="DO229" s="1" t="s">
        <v>2</v>
      </c>
      <c r="DP229" s="38">
        <f t="shared" si="470"/>
        <v>0</v>
      </c>
      <c r="DQ229" s="38">
        <f t="shared" si="471"/>
        <v>0</v>
      </c>
      <c r="DR229" s="38">
        <f t="shared" si="472"/>
        <v>0</v>
      </c>
      <c r="DS229" s="38">
        <f t="shared" si="473"/>
        <v>0</v>
      </c>
      <c r="DT229" s="38">
        <f t="shared" si="474"/>
        <v>0</v>
      </c>
      <c r="DU229" s="38">
        <f t="shared" si="475"/>
        <v>0</v>
      </c>
      <c r="DV229" s="38">
        <f t="shared" si="476"/>
        <v>0</v>
      </c>
      <c r="DW229" s="38">
        <f t="shared" si="477"/>
        <v>1.2498120000000001</v>
      </c>
      <c r="DX229" s="38">
        <f t="shared" si="478"/>
        <v>0.14857100000000001</v>
      </c>
      <c r="DY229" s="38">
        <f t="shared" si="479"/>
        <v>0</v>
      </c>
      <c r="DZ229" s="38">
        <f t="shared" si="480"/>
        <v>0</v>
      </c>
      <c r="EA229" s="38">
        <f t="shared" si="481"/>
        <v>0</v>
      </c>
      <c r="EB229" s="38">
        <f t="shared" si="482"/>
        <v>0</v>
      </c>
      <c r="EC229" s="38">
        <f t="shared" si="483"/>
        <v>0</v>
      </c>
      <c r="ED229" s="38">
        <f t="shared" si="484"/>
        <v>0</v>
      </c>
      <c r="EE229" s="38">
        <f t="shared" si="485"/>
        <v>36.092676000000004</v>
      </c>
      <c r="EG229" s="38">
        <f t="shared" si="486"/>
        <v>0</v>
      </c>
      <c r="EH229" s="38">
        <f t="shared" si="487"/>
        <v>0</v>
      </c>
      <c r="EI229" s="38">
        <f t="shared" si="488"/>
        <v>0</v>
      </c>
      <c r="EJ229" s="38">
        <f t="shared" si="489"/>
        <v>0</v>
      </c>
      <c r="EK229" s="38">
        <f t="shared" si="490"/>
        <v>0</v>
      </c>
      <c r="EL229" s="38">
        <f t="shared" si="491"/>
        <v>0</v>
      </c>
      <c r="EM229" s="38">
        <f t="shared" si="492"/>
        <v>0</v>
      </c>
      <c r="EN229" s="38">
        <f t="shared" si="493"/>
        <v>0</v>
      </c>
      <c r="EO229" s="38">
        <f t="shared" si="494"/>
        <v>0</v>
      </c>
      <c r="EP229" s="38">
        <f t="shared" si="495"/>
        <v>16390.034568000003</v>
      </c>
      <c r="EQ229" s="38">
        <f t="shared" si="496"/>
        <v>10789.155300204</v>
      </c>
      <c r="ER229" s="38">
        <f t="shared" si="497"/>
        <v>0</v>
      </c>
      <c r="ES229" s="38">
        <f t="shared" si="498"/>
        <v>0</v>
      </c>
      <c r="ET229" s="38">
        <f t="shared" si="499"/>
        <v>0</v>
      </c>
      <c r="EU229" s="38">
        <f t="shared" si="500"/>
        <v>0</v>
      </c>
      <c r="EV229" s="38">
        <f t="shared" si="501"/>
        <v>0</v>
      </c>
      <c r="EW229" s="38">
        <f t="shared" si="502"/>
        <v>0</v>
      </c>
      <c r="EX229" s="38">
        <f t="shared" si="503"/>
        <v>3356.6188680000005</v>
      </c>
      <c r="EZ229" s="38">
        <f t="shared" si="504"/>
        <v>0</v>
      </c>
      <c r="FA229" s="38">
        <f t="shared" si="505"/>
        <v>0</v>
      </c>
      <c r="FB229" s="1">
        <f t="shared" si="506"/>
        <v>0</v>
      </c>
      <c r="FC229" s="1">
        <f t="shared" si="507"/>
        <v>0</v>
      </c>
      <c r="FD229" s="1">
        <f t="shared" si="508"/>
        <v>0</v>
      </c>
      <c r="FE229" s="1">
        <f t="shared" si="509"/>
        <v>0</v>
      </c>
      <c r="FF229" s="1">
        <f t="shared" si="510"/>
        <v>0</v>
      </c>
      <c r="FG229" s="1">
        <f t="shared" si="511"/>
        <v>0</v>
      </c>
      <c r="FH229" s="1">
        <f t="shared" si="512"/>
        <v>0</v>
      </c>
      <c r="FI229" s="1">
        <f t="shared" si="513"/>
        <v>0.21441100000000002</v>
      </c>
      <c r="FJ229" s="1">
        <f t="shared" si="514"/>
        <v>2.1814E-2</v>
      </c>
      <c r="FK229" s="1">
        <f t="shared" si="515"/>
        <v>0</v>
      </c>
      <c r="FL229" s="1">
        <f t="shared" si="516"/>
        <v>0</v>
      </c>
      <c r="FM229" s="1">
        <f t="shared" si="517"/>
        <v>0</v>
      </c>
      <c r="FN229" s="1">
        <f t="shared" si="518"/>
        <v>0</v>
      </c>
      <c r="FO229" s="1">
        <f t="shared" si="519"/>
        <v>0</v>
      </c>
      <c r="FP229" s="1">
        <f t="shared" si="520"/>
        <v>0</v>
      </c>
      <c r="FQ229" s="1">
        <f t="shared" si="521"/>
        <v>4.7407919999999999</v>
      </c>
      <c r="FS229" s="1">
        <f t="shared" si="522"/>
        <v>0</v>
      </c>
      <c r="FT229" s="1">
        <f t="shared" si="523"/>
        <v>0</v>
      </c>
      <c r="FU229" s="38">
        <f t="shared" si="524"/>
        <v>0</v>
      </c>
      <c r="FV229" s="38">
        <f t="shared" si="525"/>
        <v>0</v>
      </c>
      <c r="FW229" s="38">
        <f t="shared" si="526"/>
        <v>0</v>
      </c>
      <c r="FX229" s="38">
        <f t="shared" si="527"/>
        <v>0</v>
      </c>
      <c r="FY229" s="38">
        <f t="shared" si="528"/>
        <v>0</v>
      </c>
      <c r="FZ229" s="38">
        <f t="shared" si="529"/>
        <v>0</v>
      </c>
      <c r="GA229" s="38">
        <f t="shared" si="530"/>
        <v>0</v>
      </c>
      <c r="GB229" s="38">
        <f t="shared" si="531"/>
        <v>2811.7858540000002</v>
      </c>
      <c r="GC229" s="38">
        <f t="shared" si="532"/>
        <v>1584.1222965359998</v>
      </c>
      <c r="GD229" s="38">
        <f t="shared" si="533"/>
        <v>0</v>
      </c>
      <c r="GE229" s="38">
        <f t="shared" si="534"/>
        <v>0</v>
      </c>
      <c r="GF229" s="38">
        <f t="shared" si="535"/>
        <v>0</v>
      </c>
      <c r="GG229" s="38">
        <f t="shared" si="536"/>
        <v>0</v>
      </c>
      <c r="GH229" s="38">
        <f t="shared" si="537"/>
        <v>0</v>
      </c>
      <c r="GI229" s="38">
        <f t="shared" si="538"/>
        <v>0</v>
      </c>
      <c r="GJ229" s="38">
        <f t="shared" si="539"/>
        <v>440.89365599999996</v>
      </c>
      <c r="GL229" s="38">
        <f t="shared" si="540"/>
        <v>0</v>
      </c>
      <c r="GM229" s="38">
        <f t="shared" si="541"/>
        <v>0</v>
      </c>
      <c r="GN229" s="1" t="s">
        <v>2</v>
      </c>
      <c r="GO229" s="1">
        <f t="shared" si="464"/>
        <v>88.3</v>
      </c>
      <c r="GP229" s="13">
        <f t="shared" si="465"/>
        <v>1.4154156285390715</v>
      </c>
      <c r="GQ229" s="43">
        <f t="shared" si="466"/>
        <v>1249.8120000000001</v>
      </c>
      <c r="GR229" s="41">
        <f t="shared" si="467"/>
        <v>30535.808736204006</v>
      </c>
      <c r="GS229" s="14">
        <f t="shared" si="468"/>
        <v>345.81889848475657</v>
      </c>
      <c r="GT229" s="1">
        <f t="shared" si="542"/>
        <v>551.01300000000003</v>
      </c>
      <c r="GU229" s="1">
        <f t="shared" si="543"/>
        <v>356.79100000000005</v>
      </c>
      <c r="GV229" s="1">
        <f t="shared" si="544"/>
        <v>342.00800000000004</v>
      </c>
      <c r="GW229" s="37">
        <f t="shared" si="469"/>
        <v>12.75</v>
      </c>
      <c r="GX229" s="44">
        <f>(BT229*CB229+CO229*CW229)/GW229</f>
        <v>1.6816549019607845</v>
      </c>
      <c r="GY229" s="41">
        <f>1000*GW229*GX229/100</f>
        <v>214.41100000000003</v>
      </c>
      <c r="GZ229" s="41">
        <f>SUM(FU229:GM229)</f>
        <v>4836.8018065360002</v>
      </c>
      <c r="HA229" s="14">
        <f>GZ229/GW229</f>
        <v>379.35700443419609</v>
      </c>
      <c r="HB229" s="1">
        <f t="shared" si="545"/>
        <v>173.25400000000002</v>
      </c>
      <c r="HC229" s="1">
        <f t="shared" si="546"/>
        <v>41.157000000000011</v>
      </c>
      <c r="HD229" s="37" t="s">
        <v>2</v>
      </c>
      <c r="HE229" s="1" t="s">
        <v>31</v>
      </c>
      <c r="HF229" s="1" t="s">
        <v>205</v>
      </c>
      <c r="HI229" s="1" t="s">
        <v>96</v>
      </c>
      <c r="HJ229" s="37" t="s">
        <v>2</v>
      </c>
      <c r="JH229" s="58" t="s">
        <v>2</v>
      </c>
    </row>
    <row r="230" spans="1:268" ht="16.25" customHeight="1" x14ac:dyDescent="0.2">
      <c r="A230" s="21" t="s">
        <v>477</v>
      </c>
      <c r="B230" s="1" t="s">
        <v>64</v>
      </c>
      <c r="F230" s="1" t="s">
        <v>474</v>
      </c>
      <c r="H230" s="1" t="s">
        <v>211</v>
      </c>
      <c r="I230" s="1">
        <f>0.43+20.57+4.92+14.15</f>
        <v>40.07</v>
      </c>
      <c r="Q230" s="13">
        <f>(1.45*0.43+1.42*20.57+1.43*4.92+1.41*14.15)/I230</f>
        <v>1.418018467681557</v>
      </c>
      <c r="R230" s="13">
        <f>(0.14*0.43+0.14*20.57+0.14*4.92+0.14*14.15)/I230</f>
        <v>0.14000000000000001</v>
      </c>
      <c r="Y230" s="13">
        <f>(38.45*0.43+41.96*20.57+38.71*4.92+43.93*14.15)/I230</f>
        <v>42.218951834289996</v>
      </c>
      <c r="Z230" s="13">
        <f>(14.1*0.43+10.24*20.57+12.48*4.92+8.86*14.15)/I230</f>
        <v>10.06913900673821</v>
      </c>
      <c r="AD230" s="1">
        <f>10.2+11.8+24.57+11.1</f>
        <v>57.67</v>
      </c>
      <c r="AL230" s="13">
        <f>(1.4*10.2+1.41*11.8+1.42*24.57+1.42*11.1)/AD230</f>
        <v>1.4144165077163169</v>
      </c>
      <c r="AM230" s="13">
        <f>(0.1*10.2+0.12*11.8+0.07*24.57+0.14*11.1)/AD230</f>
        <v>9.9009883821744402E-2</v>
      </c>
      <c r="AT230" s="13">
        <f>(36.98*10.2+40.75*11.8+36.16*24.57+43.37*11.1)/AD230</f>
        <v>38.631943818276397</v>
      </c>
      <c r="AU230" s="13">
        <f>(14.93*10.2+11.74*11.8+13.71*24.57+8.66*11.1)/AD230</f>
        <v>12.550697069533554</v>
      </c>
      <c r="AY230" s="1">
        <f>2.71+5.55+21.26+4.04</f>
        <v>33.56</v>
      </c>
      <c r="BG230" s="13">
        <f>(1.39*2.71+1.42*5.55+1.37*21.26+1.38*4.04)/AY230</f>
        <v>1.3810876042908224</v>
      </c>
      <c r="BH230" s="13">
        <f>(0.12*2.71+0.14*5.55+0.07*21.26+0.15*4.04)/AY230</f>
        <v>9.524433849821215E-2</v>
      </c>
      <c r="BO230" s="13">
        <f>(40.65*2.71+32.86*5.55+32.86*21.26+43.71*4.04)/AY230</f>
        <v>34.795187723480332</v>
      </c>
      <c r="BP230" s="13">
        <f>(13.5*2.71+11.76*5.55+19.3*21.26+8.48*4.04)/AY230</f>
        <v>16.282187127532776</v>
      </c>
      <c r="BT230" s="1">
        <f>4.47+17.9</f>
        <v>22.369999999999997</v>
      </c>
      <c r="CB230" s="13">
        <f>(1.39*4.47+1.38*17.9)/BT230</f>
        <v>1.3819982118909253</v>
      </c>
      <c r="CC230" s="13">
        <f>(0.14*4.47+1.4*17.9)/BT230</f>
        <v>1.1482253017434063</v>
      </c>
      <c r="CJ230" s="13">
        <f>(38.7*4.47+42.03*17.9)/BT230</f>
        <v>41.364595440321864</v>
      </c>
      <c r="CK230" s="13">
        <f>(12.48*4.47+10.18*17.9)/BT230</f>
        <v>10.639588734912829</v>
      </c>
      <c r="CO230" s="1">
        <f>22.04+20.09</f>
        <v>42.129999999999995</v>
      </c>
      <c r="CW230" s="13">
        <f>(1.38*22.04+1.37*20.09)/CO230</f>
        <v>1.3752314265369097</v>
      </c>
      <c r="CX230" s="13">
        <f>(0.07*22.04+0.12*20.09)/CO230</f>
        <v>9.3842867315452189E-2</v>
      </c>
      <c r="DE230" s="13">
        <f>(36.15*22.04+40.72*20.09)/CO230</f>
        <v>38.329238072632329</v>
      </c>
      <c r="DF230" s="13">
        <f>(13.71*22.04+11.74*20.09)/CO230</f>
        <v>12.770591027771188</v>
      </c>
      <c r="DJ230" s="1" t="s">
        <v>96</v>
      </c>
      <c r="DK230" s="1" t="s">
        <v>96</v>
      </c>
      <c r="DL230" s="1">
        <f t="shared" si="462"/>
        <v>1.4069969535415079</v>
      </c>
      <c r="DM230" s="1">
        <f t="shared" si="463"/>
        <v>0.11055674028941356</v>
      </c>
      <c r="DN230" s="1" t="s">
        <v>67</v>
      </c>
      <c r="DO230" s="1" t="s">
        <v>2</v>
      </c>
      <c r="DP230" s="38">
        <f t="shared" si="470"/>
        <v>0</v>
      </c>
      <c r="DQ230" s="38">
        <f t="shared" si="471"/>
        <v>0</v>
      </c>
      <c r="DR230" s="38">
        <f t="shared" si="472"/>
        <v>0</v>
      </c>
      <c r="DS230" s="38">
        <f t="shared" si="473"/>
        <v>0</v>
      </c>
      <c r="DT230" s="38">
        <f t="shared" si="474"/>
        <v>0</v>
      </c>
      <c r="DU230" s="38">
        <f t="shared" si="475"/>
        <v>0</v>
      </c>
      <c r="DV230" s="38">
        <f t="shared" si="476"/>
        <v>0</v>
      </c>
      <c r="DW230" s="38">
        <f t="shared" si="477"/>
        <v>1.8473869999999999</v>
      </c>
      <c r="DX230" s="38">
        <f t="shared" si="478"/>
        <v>0.14516100000000001</v>
      </c>
      <c r="DY230" s="38">
        <f t="shared" si="479"/>
        <v>0</v>
      </c>
      <c r="DZ230" s="38">
        <f t="shared" si="480"/>
        <v>0</v>
      </c>
      <c r="EA230" s="38">
        <f t="shared" si="481"/>
        <v>0</v>
      </c>
      <c r="EB230" s="38">
        <f t="shared" si="482"/>
        <v>0</v>
      </c>
      <c r="EC230" s="38">
        <f t="shared" si="483"/>
        <v>0</v>
      </c>
      <c r="ED230" s="38">
        <f t="shared" si="484"/>
        <v>0</v>
      </c>
      <c r="EE230" s="38">
        <f t="shared" si="485"/>
        <v>50.873441</v>
      </c>
      <c r="EG230" s="38">
        <f t="shared" si="486"/>
        <v>0</v>
      </c>
      <c r="EH230" s="38">
        <f t="shared" si="487"/>
        <v>0</v>
      </c>
      <c r="EI230" s="38">
        <f t="shared" si="488"/>
        <v>0</v>
      </c>
      <c r="EJ230" s="38">
        <f t="shared" si="489"/>
        <v>0</v>
      </c>
      <c r="EK230" s="38">
        <f t="shared" si="490"/>
        <v>0</v>
      </c>
      <c r="EL230" s="38">
        <f t="shared" si="491"/>
        <v>0</v>
      </c>
      <c r="EM230" s="38">
        <f t="shared" si="492"/>
        <v>0</v>
      </c>
      <c r="EN230" s="38">
        <f t="shared" si="493"/>
        <v>0</v>
      </c>
      <c r="EO230" s="38">
        <f t="shared" si="494"/>
        <v>0</v>
      </c>
      <c r="EP230" s="38">
        <f t="shared" si="495"/>
        <v>24226.633117999998</v>
      </c>
      <c r="EQ230" s="38">
        <f t="shared" si="496"/>
        <v>10541.522723364</v>
      </c>
      <c r="ER230" s="38">
        <f t="shared" si="497"/>
        <v>0</v>
      </c>
      <c r="ES230" s="38">
        <f t="shared" si="498"/>
        <v>0</v>
      </c>
      <c r="ET230" s="38">
        <f t="shared" si="499"/>
        <v>0</v>
      </c>
      <c r="EU230" s="38">
        <f t="shared" si="500"/>
        <v>0</v>
      </c>
      <c r="EV230" s="38">
        <f t="shared" si="501"/>
        <v>0</v>
      </c>
      <c r="EW230" s="38">
        <f t="shared" si="502"/>
        <v>0</v>
      </c>
      <c r="EX230" s="38">
        <f t="shared" si="503"/>
        <v>4731.2300130000003</v>
      </c>
      <c r="EZ230" s="38">
        <f t="shared" si="504"/>
        <v>0</v>
      </c>
      <c r="FA230" s="38">
        <f t="shared" si="505"/>
        <v>0</v>
      </c>
      <c r="FB230" s="1">
        <f t="shared" si="506"/>
        <v>0</v>
      </c>
      <c r="FC230" s="1">
        <f t="shared" si="507"/>
        <v>0</v>
      </c>
      <c r="FD230" s="1">
        <f t="shared" si="508"/>
        <v>0</v>
      </c>
      <c r="FE230" s="1">
        <f t="shared" si="509"/>
        <v>0</v>
      </c>
      <c r="FF230" s="1">
        <f t="shared" si="510"/>
        <v>0</v>
      </c>
      <c r="FG230" s="1">
        <f t="shared" si="511"/>
        <v>0</v>
      </c>
      <c r="FH230" s="1">
        <f t="shared" si="512"/>
        <v>0</v>
      </c>
      <c r="FI230" s="1">
        <f t="shared" si="513"/>
        <v>0.88853799999999994</v>
      </c>
      <c r="FJ230" s="1">
        <f t="shared" si="514"/>
        <v>0.29639399999999999</v>
      </c>
      <c r="FK230" s="1">
        <f t="shared" si="515"/>
        <v>0</v>
      </c>
      <c r="FL230" s="1">
        <f t="shared" si="516"/>
        <v>0</v>
      </c>
      <c r="FM230" s="1">
        <f t="shared" si="517"/>
        <v>0</v>
      </c>
      <c r="FN230" s="1">
        <f t="shared" si="518"/>
        <v>0</v>
      </c>
      <c r="FO230" s="1">
        <f t="shared" si="519"/>
        <v>0</v>
      </c>
      <c r="FP230" s="1">
        <f t="shared" si="520"/>
        <v>0</v>
      </c>
      <c r="FQ230" s="1">
        <f t="shared" si="521"/>
        <v>25.401367999999998</v>
      </c>
      <c r="FS230" s="1">
        <f t="shared" si="522"/>
        <v>0</v>
      </c>
      <c r="FT230" s="1">
        <f t="shared" si="523"/>
        <v>0</v>
      </c>
      <c r="FU230" s="38">
        <f t="shared" si="524"/>
        <v>0</v>
      </c>
      <c r="FV230" s="38">
        <f t="shared" si="525"/>
        <v>0</v>
      </c>
      <c r="FW230" s="38">
        <f t="shared" si="526"/>
        <v>0</v>
      </c>
      <c r="FX230" s="38">
        <f t="shared" si="527"/>
        <v>0</v>
      </c>
      <c r="FY230" s="38">
        <f t="shared" si="528"/>
        <v>0</v>
      </c>
      <c r="FZ230" s="38">
        <f t="shared" si="529"/>
        <v>0</v>
      </c>
      <c r="GA230" s="38">
        <f t="shared" si="530"/>
        <v>0</v>
      </c>
      <c r="GB230" s="38">
        <f t="shared" si="531"/>
        <v>11652.287332</v>
      </c>
      <c r="GC230" s="38">
        <f t="shared" si="532"/>
        <v>21523.991196455998</v>
      </c>
      <c r="GD230" s="38">
        <f t="shared" si="533"/>
        <v>0</v>
      </c>
      <c r="GE230" s="38">
        <f t="shared" si="534"/>
        <v>0</v>
      </c>
      <c r="GF230" s="38">
        <f t="shared" si="535"/>
        <v>0</v>
      </c>
      <c r="GG230" s="38">
        <f t="shared" si="536"/>
        <v>0</v>
      </c>
      <c r="GH230" s="38">
        <f t="shared" si="537"/>
        <v>0</v>
      </c>
      <c r="GI230" s="38">
        <f t="shared" si="538"/>
        <v>0</v>
      </c>
      <c r="GJ230" s="38">
        <f t="shared" si="539"/>
        <v>2362.3272239999997</v>
      </c>
      <c r="GL230" s="38">
        <f t="shared" si="540"/>
        <v>0</v>
      </c>
      <c r="GM230" s="38">
        <f t="shared" si="541"/>
        <v>0</v>
      </c>
      <c r="GN230" s="1" t="s">
        <v>2</v>
      </c>
      <c r="GO230" s="1">
        <f t="shared" si="464"/>
        <v>131.30000000000001</v>
      </c>
      <c r="GP230" s="13">
        <f t="shared" si="465"/>
        <v>1.4069969535415079</v>
      </c>
      <c r="GQ230" s="43">
        <f t="shared" si="466"/>
        <v>1847.3869999999997</v>
      </c>
      <c r="GR230" s="41">
        <f t="shared" si="467"/>
        <v>39499.385854364002</v>
      </c>
      <c r="GS230" s="14">
        <f t="shared" si="468"/>
        <v>300.83309866233054</v>
      </c>
      <c r="GT230" s="1">
        <f t="shared" si="542"/>
        <v>568.19999999999993</v>
      </c>
      <c r="GU230" s="1">
        <f t="shared" si="543"/>
        <v>815.69400000000007</v>
      </c>
      <c r="GV230" s="1">
        <f t="shared" si="544"/>
        <v>463.49300000000011</v>
      </c>
      <c r="GW230" s="37">
        <f t="shared" si="469"/>
        <v>64.5</v>
      </c>
      <c r="GX230" s="44">
        <f>(BT230*CB230+CO230*CW230)/GW230</f>
        <v>1.3775782945736432</v>
      </c>
      <c r="GY230" s="41">
        <f>1000*GW230*GX230/100</f>
        <v>888.5379999999999</v>
      </c>
      <c r="GZ230" s="41">
        <f>SUM(FU230:GM230)</f>
        <v>35538.605752455995</v>
      </c>
      <c r="HA230" s="14">
        <f>GZ230/GW230</f>
        <v>550.98613569699216</v>
      </c>
      <c r="HB230" s="1">
        <f t="shared" si="545"/>
        <v>309.15299999999996</v>
      </c>
      <c r="HC230" s="1">
        <f t="shared" si="546"/>
        <v>579.38499999999999</v>
      </c>
      <c r="HD230" s="37" t="s">
        <v>2</v>
      </c>
      <c r="HE230" s="1" t="s">
        <v>31</v>
      </c>
      <c r="HF230" s="1" t="s">
        <v>205</v>
      </c>
      <c r="HI230" s="1" t="s">
        <v>96</v>
      </c>
      <c r="HJ230" s="37" t="s">
        <v>2</v>
      </c>
      <c r="JH230" s="58" t="s">
        <v>2</v>
      </c>
    </row>
    <row r="231" spans="1:268" ht="16.25" customHeight="1" x14ac:dyDescent="0.2">
      <c r="A231" s="21" t="s">
        <v>479</v>
      </c>
      <c r="B231" s="1" t="s">
        <v>71</v>
      </c>
      <c r="F231" s="1" t="s">
        <v>480</v>
      </c>
      <c r="H231" s="1" t="s">
        <v>187</v>
      </c>
      <c r="I231" s="13">
        <v>85.435869999999994</v>
      </c>
      <c r="Q231" s="1">
        <v>1.51</v>
      </c>
      <c r="AD231" s="13">
        <v>182.0712</v>
      </c>
      <c r="AL231" s="1">
        <v>1.35</v>
      </c>
      <c r="AY231" s="14">
        <f>83.104+89.78</f>
        <v>172.88400000000001</v>
      </c>
      <c r="BG231" s="13">
        <f>(1.26*83.104+0.8*89.78)/AY231</f>
        <v>1.0211184377964413</v>
      </c>
      <c r="BT231" s="1">
        <v>0</v>
      </c>
      <c r="CO231" s="1">
        <v>0</v>
      </c>
      <c r="DJ231" s="1" t="s">
        <v>96</v>
      </c>
      <c r="DL231" s="1">
        <f t="shared" si="462"/>
        <v>1.2519312067340511</v>
      </c>
      <c r="DM231" s="1">
        <f t="shared" si="463"/>
        <v>0</v>
      </c>
      <c r="DN231" s="1" t="s">
        <v>101</v>
      </c>
      <c r="DO231" s="1" t="s">
        <v>2</v>
      </c>
      <c r="DP231" s="38">
        <f t="shared" si="470"/>
        <v>0</v>
      </c>
      <c r="DQ231" s="38">
        <f t="shared" si="471"/>
        <v>0</v>
      </c>
      <c r="DR231" s="38">
        <f t="shared" si="472"/>
        <v>0</v>
      </c>
      <c r="DS231" s="38">
        <f t="shared" si="473"/>
        <v>0</v>
      </c>
      <c r="DT231" s="38">
        <f t="shared" si="474"/>
        <v>0</v>
      </c>
      <c r="DU231" s="38">
        <f t="shared" si="475"/>
        <v>0</v>
      </c>
      <c r="DV231" s="38">
        <f t="shared" si="476"/>
        <v>0</v>
      </c>
      <c r="DW231" s="38">
        <f t="shared" si="477"/>
        <v>5.5133932369999998</v>
      </c>
      <c r="DX231" s="38">
        <f t="shared" si="478"/>
        <v>0</v>
      </c>
      <c r="DY231" s="38">
        <f t="shared" si="479"/>
        <v>0</v>
      </c>
      <c r="DZ231" s="38">
        <f t="shared" si="480"/>
        <v>0</v>
      </c>
      <c r="EA231" s="38">
        <f t="shared" si="481"/>
        <v>0</v>
      </c>
      <c r="EB231" s="38">
        <f t="shared" si="482"/>
        <v>0</v>
      </c>
      <c r="EC231" s="38">
        <f t="shared" si="483"/>
        <v>0</v>
      </c>
      <c r="ED231" s="38">
        <f t="shared" si="484"/>
        <v>0</v>
      </c>
      <c r="EE231" s="38">
        <f t="shared" si="485"/>
        <v>0</v>
      </c>
      <c r="EG231" s="38">
        <f t="shared" si="486"/>
        <v>0</v>
      </c>
      <c r="EH231" s="38">
        <f t="shared" si="487"/>
        <v>0</v>
      </c>
      <c r="EI231" s="38">
        <f t="shared" si="488"/>
        <v>0</v>
      </c>
      <c r="EJ231" s="38">
        <f t="shared" si="489"/>
        <v>0</v>
      </c>
      <c r="EK231" s="38">
        <f t="shared" si="490"/>
        <v>0</v>
      </c>
      <c r="EL231" s="38">
        <f t="shared" si="491"/>
        <v>0</v>
      </c>
      <c r="EM231" s="38">
        <f t="shared" si="492"/>
        <v>0</v>
      </c>
      <c r="EN231" s="38">
        <f t="shared" si="493"/>
        <v>0</v>
      </c>
      <c r="EO231" s="38">
        <f t="shared" si="494"/>
        <v>0</v>
      </c>
      <c r="EP231" s="38">
        <f t="shared" si="495"/>
        <v>72302.638910017995</v>
      </c>
      <c r="EQ231" s="38">
        <f t="shared" si="496"/>
        <v>0</v>
      </c>
      <c r="ER231" s="38">
        <f t="shared" si="497"/>
        <v>0</v>
      </c>
      <c r="ES231" s="38">
        <f t="shared" si="498"/>
        <v>0</v>
      </c>
      <c r="ET231" s="38">
        <f t="shared" si="499"/>
        <v>0</v>
      </c>
      <c r="EU231" s="38">
        <f t="shared" si="500"/>
        <v>0</v>
      </c>
      <c r="EV231" s="38">
        <f t="shared" si="501"/>
        <v>0</v>
      </c>
      <c r="EW231" s="38">
        <f t="shared" si="502"/>
        <v>0</v>
      </c>
      <c r="EX231" s="38">
        <f t="shared" si="503"/>
        <v>0</v>
      </c>
      <c r="EZ231" s="38">
        <f t="shared" si="504"/>
        <v>0</v>
      </c>
      <c r="FA231" s="38">
        <f t="shared" si="505"/>
        <v>0</v>
      </c>
      <c r="FB231" s="1">
        <f t="shared" si="506"/>
        <v>0</v>
      </c>
      <c r="FC231" s="1">
        <f t="shared" si="507"/>
        <v>0</v>
      </c>
      <c r="FD231" s="1">
        <f t="shared" si="508"/>
        <v>0</v>
      </c>
      <c r="FE231" s="1">
        <f t="shared" si="509"/>
        <v>0</v>
      </c>
      <c r="FF231" s="1">
        <f t="shared" si="510"/>
        <v>0</v>
      </c>
      <c r="FG231" s="1">
        <f t="shared" si="511"/>
        <v>0</v>
      </c>
      <c r="FH231" s="1">
        <f t="shared" si="512"/>
        <v>0</v>
      </c>
      <c r="FI231" s="1">
        <f t="shared" si="513"/>
        <v>0</v>
      </c>
      <c r="FJ231" s="1">
        <f t="shared" si="514"/>
        <v>0</v>
      </c>
      <c r="FK231" s="1">
        <f t="shared" si="515"/>
        <v>0</v>
      </c>
      <c r="FL231" s="1">
        <f t="shared" si="516"/>
        <v>0</v>
      </c>
      <c r="FM231" s="1">
        <f t="shared" si="517"/>
        <v>0</v>
      </c>
      <c r="FN231" s="1">
        <f t="shared" si="518"/>
        <v>0</v>
      </c>
      <c r="FO231" s="1">
        <f t="shared" si="519"/>
        <v>0</v>
      </c>
      <c r="FP231" s="1">
        <f t="shared" si="520"/>
        <v>0</v>
      </c>
      <c r="FQ231" s="1">
        <f t="shared" si="521"/>
        <v>0</v>
      </c>
      <c r="FS231" s="1">
        <f t="shared" si="522"/>
        <v>0</v>
      </c>
      <c r="FT231" s="1">
        <f t="shared" si="523"/>
        <v>0</v>
      </c>
      <c r="FU231" s="38">
        <f t="shared" si="524"/>
        <v>0</v>
      </c>
      <c r="FV231" s="38">
        <f t="shared" si="525"/>
        <v>0</v>
      </c>
      <c r="FW231" s="38">
        <f t="shared" si="526"/>
        <v>0</v>
      </c>
      <c r="FX231" s="38">
        <f t="shared" si="527"/>
        <v>0</v>
      </c>
      <c r="FY231" s="38">
        <f t="shared" si="528"/>
        <v>0</v>
      </c>
      <c r="FZ231" s="38">
        <f t="shared" si="529"/>
        <v>0</v>
      </c>
      <c r="GA231" s="38">
        <f t="shared" si="530"/>
        <v>0</v>
      </c>
      <c r="GB231" s="38">
        <f t="shared" si="531"/>
        <v>0</v>
      </c>
      <c r="GC231" s="38">
        <f t="shared" si="532"/>
        <v>0</v>
      </c>
      <c r="GD231" s="38">
        <f t="shared" si="533"/>
        <v>0</v>
      </c>
      <c r="GE231" s="38">
        <f t="shared" si="534"/>
        <v>0</v>
      </c>
      <c r="GF231" s="38">
        <f t="shared" si="535"/>
        <v>0</v>
      </c>
      <c r="GG231" s="38">
        <f t="shared" si="536"/>
        <v>0</v>
      </c>
      <c r="GH231" s="38">
        <f t="shared" si="537"/>
        <v>0</v>
      </c>
      <c r="GI231" s="38">
        <f t="shared" si="538"/>
        <v>0</v>
      </c>
      <c r="GJ231" s="38">
        <f t="shared" si="539"/>
        <v>0</v>
      </c>
      <c r="GL231" s="38">
        <f t="shared" si="540"/>
        <v>0</v>
      </c>
      <c r="GM231" s="38">
        <f t="shared" si="541"/>
        <v>0</v>
      </c>
      <c r="GN231" s="1" t="s">
        <v>2</v>
      </c>
      <c r="GO231" s="14">
        <f t="shared" si="464"/>
        <v>440.39107000000001</v>
      </c>
      <c r="GP231" s="13">
        <f t="shared" si="465"/>
        <v>1.2519312067340511</v>
      </c>
      <c r="GQ231" s="43">
        <f t="shared" si="466"/>
        <v>5513.3932369999993</v>
      </c>
      <c r="GR231" s="41">
        <f t="shared" si="467"/>
        <v>72302.638910017995</v>
      </c>
      <c r="GS231" s="14">
        <f t="shared" si="468"/>
        <v>164.17825845110346</v>
      </c>
      <c r="GT231" s="1">
        <f t="shared" si="542"/>
        <v>1290.081637</v>
      </c>
      <c r="GU231" s="1">
        <f t="shared" si="543"/>
        <v>2457.9612000000002</v>
      </c>
      <c r="GV231" s="1">
        <f t="shared" si="544"/>
        <v>1765.3503999999998</v>
      </c>
      <c r="GW231" s="37">
        <f t="shared" si="469"/>
        <v>0</v>
      </c>
      <c r="GX231" s="37"/>
      <c r="GY231" s="37"/>
      <c r="GZ231" s="37"/>
      <c r="HB231" s="1">
        <f t="shared" si="545"/>
        <v>0</v>
      </c>
      <c r="HC231" s="1">
        <f t="shared" si="546"/>
        <v>0</v>
      </c>
      <c r="HD231" s="37" t="s">
        <v>2</v>
      </c>
      <c r="HE231" s="1" t="s">
        <v>31</v>
      </c>
      <c r="HF231" s="1" t="s">
        <v>205</v>
      </c>
      <c r="HI231" s="1" t="s">
        <v>96</v>
      </c>
      <c r="HJ231" s="37" t="s">
        <v>2</v>
      </c>
      <c r="JH231" s="58" t="s">
        <v>2</v>
      </c>
    </row>
    <row r="232" spans="1:268" ht="16.25" customHeight="1" x14ac:dyDescent="0.2">
      <c r="A232" s="21" t="s">
        <v>483</v>
      </c>
      <c r="B232" s="1" t="s">
        <v>64</v>
      </c>
      <c r="F232" s="1" t="s">
        <v>474</v>
      </c>
      <c r="H232" s="1" t="s">
        <v>211</v>
      </c>
      <c r="I232" s="1">
        <v>3.78</v>
      </c>
      <c r="Q232" s="1">
        <v>1.41</v>
      </c>
      <c r="R232" s="1">
        <v>0.13</v>
      </c>
      <c r="Y232" s="1">
        <v>38.94</v>
      </c>
      <c r="Z232" s="1">
        <v>16.920000000000002</v>
      </c>
      <c r="AD232" s="1">
        <v>5.67</v>
      </c>
      <c r="AL232" s="1">
        <v>1.38</v>
      </c>
      <c r="AM232" s="1">
        <v>0.13</v>
      </c>
      <c r="AT232" s="1">
        <v>38.99</v>
      </c>
      <c r="AU232" s="1">
        <v>16.34</v>
      </c>
      <c r="AY232" s="1">
        <v>8.98</v>
      </c>
      <c r="BG232" s="1">
        <v>1.41</v>
      </c>
      <c r="BH232" s="1">
        <v>0.11</v>
      </c>
      <c r="BO232" s="1">
        <v>29.8</v>
      </c>
      <c r="BP232" s="1">
        <v>18.82</v>
      </c>
      <c r="BT232" s="1">
        <v>0.76</v>
      </c>
      <c r="CB232" s="1">
        <v>1.63</v>
      </c>
      <c r="CC232" s="1">
        <v>0.13</v>
      </c>
      <c r="CJ232" s="1">
        <v>38.590000000000003</v>
      </c>
      <c r="CK232" s="1">
        <v>17.45</v>
      </c>
      <c r="CO232" s="1">
        <v>0.74</v>
      </c>
      <c r="CW232" s="1">
        <v>1.59</v>
      </c>
      <c r="CX232" s="1">
        <v>0.16</v>
      </c>
      <c r="DE232" s="1">
        <v>41.15</v>
      </c>
      <c r="DF232" s="1">
        <v>13.62</v>
      </c>
      <c r="DJ232" s="1" t="s">
        <v>96</v>
      </c>
      <c r="DK232" s="1" t="s">
        <v>96</v>
      </c>
      <c r="DL232" s="1">
        <f t="shared" si="462"/>
        <v>1.4007704829083016</v>
      </c>
      <c r="DM232" s="1">
        <f t="shared" si="463"/>
        <v>0.12025501899077591</v>
      </c>
      <c r="DN232" s="1" t="s">
        <v>67</v>
      </c>
      <c r="DO232" s="1" t="s">
        <v>2</v>
      </c>
      <c r="DP232" s="38">
        <f t="shared" si="470"/>
        <v>0</v>
      </c>
      <c r="DQ232" s="38">
        <f t="shared" si="471"/>
        <v>0</v>
      </c>
      <c r="DR232" s="38">
        <f t="shared" si="472"/>
        <v>0</v>
      </c>
      <c r="DS232" s="38">
        <f t="shared" si="473"/>
        <v>0</v>
      </c>
      <c r="DT232" s="38">
        <f t="shared" si="474"/>
        <v>0</v>
      </c>
      <c r="DU232" s="38">
        <f t="shared" si="475"/>
        <v>0</v>
      </c>
      <c r="DV232" s="38">
        <f t="shared" si="476"/>
        <v>0</v>
      </c>
      <c r="DW232" s="38">
        <f t="shared" si="477"/>
        <v>0.258162</v>
      </c>
      <c r="DX232" s="38">
        <f t="shared" si="478"/>
        <v>2.2162999999999999E-2</v>
      </c>
      <c r="DY232" s="38">
        <f t="shared" si="479"/>
        <v>0</v>
      </c>
      <c r="DZ232" s="38">
        <f t="shared" si="480"/>
        <v>0</v>
      </c>
      <c r="EA232" s="38">
        <f t="shared" si="481"/>
        <v>0</v>
      </c>
      <c r="EB232" s="38">
        <f t="shared" si="482"/>
        <v>0</v>
      </c>
      <c r="EC232" s="38">
        <f t="shared" si="483"/>
        <v>0</v>
      </c>
      <c r="ED232" s="38">
        <f t="shared" si="484"/>
        <v>0</v>
      </c>
      <c r="EE232" s="38">
        <f t="shared" si="485"/>
        <v>6.3587049999999996</v>
      </c>
      <c r="EG232" s="38">
        <f t="shared" si="486"/>
        <v>0</v>
      </c>
      <c r="EH232" s="38">
        <f t="shared" si="487"/>
        <v>0</v>
      </c>
      <c r="EI232" s="38">
        <f t="shared" si="488"/>
        <v>0</v>
      </c>
      <c r="EJ232" s="38">
        <f t="shared" si="489"/>
        <v>0</v>
      </c>
      <c r="EK232" s="38">
        <f t="shared" si="490"/>
        <v>0</v>
      </c>
      <c r="EL232" s="38">
        <f t="shared" si="491"/>
        <v>0</v>
      </c>
      <c r="EM232" s="38">
        <f t="shared" si="492"/>
        <v>0</v>
      </c>
      <c r="EN232" s="38">
        <f t="shared" si="493"/>
        <v>0</v>
      </c>
      <c r="EO232" s="38">
        <f t="shared" si="494"/>
        <v>0</v>
      </c>
      <c r="EP232" s="38">
        <f t="shared" si="495"/>
        <v>3385.5364680000002</v>
      </c>
      <c r="EQ232" s="38">
        <f t="shared" si="496"/>
        <v>1609.4665104119997</v>
      </c>
      <c r="ER232" s="38">
        <f t="shared" si="497"/>
        <v>0</v>
      </c>
      <c r="ES232" s="38">
        <f t="shared" si="498"/>
        <v>0</v>
      </c>
      <c r="ET232" s="38">
        <f t="shared" si="499"/>
        <v>0</v>
      </c>
      <c r="EU232" s="38">
        <f t="shared" si="500"/>
        <v>0</v>
      </c>
      <c r="EV232" s="38">
        <f t="shared" si="501"/>
        <v>0</v>
      </c>
      <c r="EW232" s="38">
        <f t="shared" si="502"/>
        <v>0</v>
      </c>
      <c r="EX232" s="38">
        <f t="shared" si="503"/>
        <v>591.35956499999998</v>
      </c>
      <c r="EZ232" s="38">
        <f t="shared" si="504"/>
        <v>0</v>
      </c>
      <c r="FA232" s="38">
        <f t="shared" si="505"/>
        <v>0</v>
      </c>
      <c r="FB232" s="1">
        <f t="shared" si="506"/>
        <v>0</v>
      </c>
      <c r="FC232" s="1">
        <f t="shared" si="507"/>
        <v>0</v>
      </c>
      <c r="FD232" s="1">
        <f t="shared" si="508"/>
        <v>0</v>
      </c>
      <c r="FE232" s="1">
        <f t="shared" si="509"/>
        <v>0</v>
      </c>
      <c r="FF232" s="1">
        <f t="shared" si="510"/>
        <v>0</v>
      </c>
      <c r="FG232" s="1">
        <f t="shared" si="511"/>
        <v>0</v>
      </c>
      <c r="FH232" s="1">
        <f t="shared" si="512"/>
        <v>0</v>
      </c>
      <c r="FI232" s="1">
        <f t="shared" si="513"/>
        <v>2.4153999999999998E-2</v>
      </c>
      <c r="FJ232" s="1">
        <f t="shared" si="514"/>
        <v>2.1719999999999999E-3</v>
      </c>
      <c r="FK232" s="1">
        <f t="shared" si="515"/>
        <v>0</v>
      </c>
      <c r="FL232" s="1">
        <f t="shared" si="516"/>
        <v>0</v>
      </c>
      <c r="FM232" s="1">
        <f t="shared" si="517"/>
        <v>0</v>
      </c>
      <c r="FN232" s="1">
        <f t="shared" si="518"/>
        <v>0</v>
      </c>
      <c r="FO232" s="1">
        <f t="shared" si="519"/>
        <v>0</v>
      </c>
      <c r="FP232" s="1">
        <f t="shared" si="520"/>
        <v>0</v>
      </c>
      <c r="FQ232" s="1">
        <f t="shared" si="521"/>
        <v>0.59779399999999994</v>
      </c>
      <c r="FS232" s="1">
        <f t="shared" si="522"/>
        <v>0</v>
      </c>
      <c r="FT232" s="1">
        <f t="shared" si="523"/>
        <v>0</v>
      </c>
      <c r="FU232" s="38">
        <f t="shared" si="524"/>
        <v>0</v>
      </c>
      <c r="FV232" s="38">
        <f t="shared" si="525"/>
        <v>0</v>
      </c>
      <c r="FW232" s="38">
        <f t="shared" si="526"/>
        <v>0</v>
      </c>
      <c r="FX232" s="38">
        <f t="shared" si="527"/>
        <v>0</v>
      </c>
      <c r="FY232" s="38">
        <f t="shared" si="528"/>
        <v>0</v>
      </c>
      <c r="FZ232" s="38">
        <f t="shared" si="529"/>
        <v>0</v>
      </c>
      <c r="GA232" s="38">
        <f t="shared" si="530"/>
        <v>0</v>
      </c>
      <c r="GB232" s="38">
        <f t="shared" si="531"/>
        <v>316.75555599999996</v>
      </c>
      <c r="GC232" s="38">
        <f t="shared" si="532"/>
        <v>157.72960612799997</v>
      </c>
      <c r="GD232" s="38">
        <f t="shared" si="533"/>
        <v>0</v>
      </c>
      <c r="GE232" s="38">
        <f t="shared" si="534"/>
        <v>0</v>
      </c>
      <c r="GF232" s="38">
        <f t="shared" si="535"/>
        <v>0</v>
      </c>
      <c r="GG232" s="38">
        <f t="shared" si="536"/>
        <v>0</v>
      </c>
      <c r="GH232" s="38">
        <f t="shared" si="537"/>
        <v>0</v>
      </c>
      <c r="GI232" s="38">
        <f t="shared" si="538"/>
        <v>0</v>
      </c>
      <c r="GJ232" s="38">
        <f t="shared" si="539"/>
        <v>55.594841999999993</v>
      </c>
      <c r="GL232" s="38">
        <f t="shared" si="540"/>
        <v>0</v>
      </c>
      <c r="GM232" s="38">
        <f t="shared" si="541"/>
        <v>0</v>
      </c>
      <c r="GN232" s="1" t="s">
        <v>2</v>
      </c>
      <c r="GO232" s="1">
        <f t="shared" si="464"/>
        <v>18.43</v>
      </c>
      <c r="GP232" s="13">
        <f t="shared" si="465"/>
        <v>1.4007704829083016</v>
      </c>
      <c r="GQ232" s="41">
        <f t="shared" si="466"/>
        <v>258.16200000000003</v>
      </c>
      <c r="GR232" s="41">
        <f t="shared" si="467"/>
        <v>5586.3625434119995</v>
      </c>
      <c r="GS232" s="14">
        <f t="shared" si="468"/>
        <v>303.11245487856752</v>
      </c>
      <c r="GT232" s="1">
        <f t="shared" si="542"/>
        <v>53.297999999999995</v>
      </c>
      <c r="GU232" s="1">
        <f t="shared" si="543"/>
        <v>78.245999999999995</v>
      </c>
      <c r="GV232" s="1">
        <f t="shared" si="544"/>
        <v>126.61799999999999</v>
      </c>
      <c r="GW232" s="37">
        <f t="shared" si="469"/>
        <v>1.5</v>
      </c>
      <c r="GX232" s="44">
        <f>(BT232*CB232+CO232*CW232)/GW232</f>
        <v>1.6102666666666667</v>
      </c>
      <c r="GY232" s="41">
        <f>1000*GW232*GX232/100</f>
        <v>24.154</v>
      </c>
      <c r="GZ232" s="41">
        <f>SUM(FU232:GM232)</f>
        <v>530.08000412799993</v>
      </c>
      <c r="HA232" s="14">
        <f>GZ232/GW232</f>
        <v>353.3866694186666</v>
      </c>
      <c r="HB232" s="1">
        <f t="shared" si="545"/>
        <v>12.388</v>
      </c>
      <c r="HC232" s="1">
        <f t="shared" si="546"/>
        <v>11.766000000000002</v>
      </c>
      <c r="HD232" s="37" t="s">
        <v>2</v>
      </c>
      <c r="HE232" s="1" t="s">
        <v>31</v>
      </c>
      <c r="HF232" s="1" t="s">
        <v>205</v>
      </c>
      <c r="HI232" s="1" t="s">
        <v>96</v>
      </c>
      <c r="HJ232" s="37" t="s">
        <v>2</v>
      </c>
      <c r="JH232" s="58" t="s">
        <v>2</v>
      </c>
    </row>
    <row r="233" spans="1:268" ht="16.25" customHeight="1" x14ac:dyDescent="0.2">
      <c r="A233" s="21" t="s">
        <v>485</v>
      </c>
      <c r="B233" s="1" t="s">
        <v>69</v>
      </c>
      <c r="F233" s="1" t="s">
        <v>474</v>
      </c>
      <c r="H233" s="1" t="s">
        <v>211</v>
      </c>
      <c r="I233" s="1">
        <v>5.56</v>
      </c>
      <c r="Q233" s="1">
        <v>1.45</v>
      </c>
      <c r="R233" s="1">
        <v>0.17</v>
      </c>
      <c r="Y233" s="1">
        <v>43.29</v>
      </c>
      <c r="Z233" s="1">
        <v>9.25</v>
      </c>
      <c r="AD233" s="1">
        <v>19.73</v>
      </c>
      <c r="AL233" s="1">
        <v>1.42</v>
      </c>
      <c r="AM233" s="1">
        <v>0.15</v>
      </c>
      <c r="AT233" s="1">
        <v>42.53</v>
      </c>
      <c r="AU233" s="1">
        <v>10.94</v>
      </c>
      <c r="AY233" s="1">
        <v>103.42</v>
      </c>
      <c r="BG233" s="1">
        <v>1.46</v>
      </c>
      <c r="BH233" s="1">
        <v>0.15</v>
      </c>
      <c r="BO233" s="1">
        <v>43.29</v>
      </c>
      <c r="BP233" s="1">
        <v>9.25</v>
      </c>
      <c r="BT233" s="1">
        <v>1.37</v>
      </c>
      <c r="CB233" s="1">
        <v>1.57</v>
      </c>
      <c r="CC233" s="1">
        <v>0.17</v>
      </c>
      <c r="CJ233" s="1">
        <v>42.27</v>
      </c>
      <c r="CK233" s="1">
        <v>9.6999999999999993</v>
      </c>
      <c r="CO233" s="1">
        <v>4.1399999999999997</v>
      </c>
      <c r="CW233" s="1">
        <v>1.55</v>
      </c>
      <c r="CX233" s="1">
        <v>0.17</v>
      </c>
      <c r="DE233" s="1">
        <v>40.880000000000003</v>
      </c>
      <c r="DF233" s="1">
        <v>11.51</v>
      </c>
      <c r="DJ233" s="1" t="s">
        <v>96</v>
      </c>
      <c r="DK233" s="1" t="s">
        <v>96</v>
      </c>
      <c r="DL233" s="1">
        <f t="shared" si="462"/>
        <v>1.4534364074275501</v>
      </c>
      <c r="DM233" s="1">
        <f t="shared" si="463"/>
        <v>0.15086395773444175</v>
      </c>
      <c r="DN233" s="1" t="s">
        <v>67</v>
      </c>
      <c r="DO233" s="1" t="s">
        <v>2</v>
      </c>
      <c r="DP233" s="38">
        <f t="shared" si="470"/>
        <v>0</v>
      </c>
      <c r="DQ233" s="38">
        <f t="shared" si="471"/>
        <v>0</v>
      </c>
      <c r="DR233" s="38">
        <f t="shared" si="472"/>
        <v>0</v>
      </c>
      <c r="DS233" s="38">
        <f t="shared" si="473"/>
        <v>0</v>
      </c>
      <c r="DT233" s="38">
        <f t="shared" si="474"/>
        <v>0</v>
      </c>
      <c r="DU233" s="38">
        <f t="shared" si="475"/>
        <v>0</v>
      </c>
      <c r="DV233" s="38">
        <f t="shared" si="476"/>
        <v>0</v>
      </c>
      <c r="DW233" s="38">
        <f t="shared" si="477"/>
        <v>1.8707179999999999</v>
      </c>
      <c r="DX233" s="38">
        <f t="shared" si="478"/>
        <v>0.19417699999999999</v>
      </c>
      <c r="DY233" s="38">
        <f t="shared" si="479"/>
        <v>0</v>
      </c>
      <c r="DZ233" s="38">
        <f t="shared" si="480"/>
        <v>0</v>
      </c>
      <c r="EA233" s="38">
        <f t="shared" si="481"/>
        <v>0</v>
      </c>
      <c r="EB233" s="38">
        <f t="shared" si="482"/>
        <v>0</v>
      </c>
      <c r="EC233" s="38">
        <f t="shared" si="483"/>
        <v>0</v>
      </c>
      <c r="ED233" s="38">
        <f t="shared" si="484"/>
        <v>0</v>
      </c>
      <c r="EE233" s="38">
        <f t="shared" si="485"/>
        <v>55.568611000000004</v>
      </c>
      <c r="EG233" s="38">
        <f t="shared" si="486"/>
        <v>0</v>
      </c>
      <c r="EH233" s="38">
        <f t="shared" si="487"/>
        <v>0</v>
      </c>
      <c r="EI233" s="38">
        <f t="shared" si="488"/>
        <v>0</v>
      </c>
      <c r="EJ233" s="38">
        <f t="shared" si="489"/>
        <v>0</v>
      </c>
      <c r="EK233" s="38">
        <f t="shared" si="490"/>
        <v>0</v>
      </c>
      <c r="EL233" s="38">
        <f t="shared" si="491"/>
        <v>0</v>
      </c>
      <c r="EM233" s="38">
        <f t="shared" si="492"/>
        <v>0</v>
      </c>
      <c r="EN233" s="38">
        <f t="shared" si="493"/>
        <v>0</v>
      </c>
      <c r="EO233" s="38">
        <f t="shared" si="494"/>
        <v>0</v>
      </c>
      <c r="EP233" s="38">
        <f t="shared" si="495"/>
        <v>24532.595851999999</v>
      </c>
      <c r="EQ233" s="38">
        <f t="shared" si="496"/>
        <v>14101.041311747997</v>
      </c>
      <c r="ER233" s="38">
        <f t="shared" si="497"/>
        <v>0</v>
      </c>
      <c r="ES233" s="38">
        <f t="shared" si="498"/>
        <v>0</v>
      </c>
      <c r="ET233" s="38">
        <f t="shared" si="499"/>
        <v>0</v>
      </c>
      <c r="EU233" s="38">
        <f t="shared" si="500"/>
        <v>0</v>
      </c>
      <c r="EV233" s="38">
        <f t="shared" si="501"/>
        <v>0</v>
      </c>
      <c r="EW233" s="38">
        <f t="shared" si="502"/>
        <v>0</v>
      </c>
      <c r="EX233" s="38">
        <f t="shared" si="503"/>
        <v>5167.8808230000004</v>
      </c>
      <c r="EZ233" s="38">
        <f t="shared" si="504"/>
        <v>0</v>
      </c>
      <c r="FA233" s="38">
        <f t="shared" si="505"/>
        <v>0</v>
      </c>
      <c r="FB233" s="1">
        <f t="shared" si="506"/>
        <v>0</v>
      </c>
      <c r="FC233" s="1">
        <f t="shared" si="507"/>
        <v>0</v>
      </c>
      <c r="FD233" s="1">
        <f t="shared" si="508"/>
        <v>0</v>
      </c>
      <c r="FE233" s="1">
        <f t="shared" si="509"/>
        <v>0</v>
      </c>
      <c r="FF233" s="1">
        <f t="shared" si="510"/>
        <v>0</v>
      </c>
      <c r="FG233" s="1">
        <f t="shared" si="511"/>
        <v>0</v>
      </c>
      <c r="FH233" s="1">
        <f t="shared" si="512"/>
        <v>0</v>
      </c>
      <c r="FI233" s="1">
        <f t="shared" si="513"/>
        <v>8.5679000000000005E-2</v>
      </c>
      <c r="FJ233" s="1">
        <f t="shared" si="514"/>
        <v>9.3670000000000003E-3</v>
      </c>
      <c r="FK233" s="1">
        <f t="shared" si="515"/>
        <v>0</v>
      </c>
      <c r="FL233" s="1">
        <f t="shared" si="516"/>
        <v>0</v>
      </c>
      <c r="FM233" s="1">
        <f t="shared" si="517"/>
        <v>0</v>
      </c>
      <c r="FN233" s="1">
        <f t="shared" si="518"/>
        <v>0</v>
      </c>
      <c r="FO233" s="1">
        <f t="shared" si="519"/>
        <v>0</v>
      </c>
      <c r="FP233" s="1">
        <f t="shared" si="520"/>
        <v>0</v>
      </c>
      <c r="FQ233" s="1">
        <f t="shared" si="521"/>
        <v>2.271531</v>
      </c>
      <c r="FS233" s="1">
        <f t="shared" si="522"/>
        <v>0</v>
      </c>
      <c r="FT233" s="1">
        <f t="shared" si="523"/>
        <v>0</v>
      </c>
      <c r="FU233" s="38">
        <f t="shared" si="524"/>
        <v>0</v>
      </c>
      <c r="FV233" s="38">
        <f t="shared" si="525"/>
        <v>0</v>
      </c>
      <c r="FW233" s="38">
        <f t="shared" si="526"/>
        <v>0</v>
      </c>
      <c r="FX233" s="38">
        <f t="shared" si="527"/>
        <v>0</v>
      </c>
      <c r="FY233" s="38">
        <f t="shared" si="528"/>
        <v>0</v>
      </c>
      <c r="FZ233" s="38">
        <f t="shared" si="529"/>
        <v>0</v>
      </c>
      <c r="GA233" s="38">
        <f t="shared" si="530"/>
        <v>0</v>
      </c>
      <c r="GB233" s="38">
        <f t="shared" si="531"/>
        <v>1123.5944060000002</v>
      </c>
      <c r="GC233" s="38">
        <f t="shared" si="532"/>
        <v>680.22708130799992</v>
      </c>
      <c r="GD233" s="38">
        <f t="shared" si="533"/>
        <v>0</v>
      </c>
      <c r="GE233" s="38">
        <f t="shared" si="534"/>
        <v>0</v>
      </c>
      <c r="GF233" s="38">
        <f t="shared" si="535"/>
        <v>0</v>
      </c>
      <c r="GG233" s="38">
        <f t="shared" si="536"/>
        <v>0</v>
      </c>
      <c r="GH233" s="38">
        <f t="shared" si="537"/>
        <v>0</v>
      </c>
      <c r="GI233" s="38">
        <f t="shared" si="538"/>
        <v>0</v>
      </c>
      <c r="GJ233" s="38">
        <f t="shared" si="539"/>
        <v>211.25238300000001</v>
      </c>
      <c r="GL233" s="38">
        <f t="shared" si="540"/>
        <v>0</v>
      </c>
      <c r="GM233" s="38">
        <f t="shared" si="541"/>
        <v>0</v>
      </c>
      <c r="GN233" s="1" t="s">
        <v>2</v>
      </c>
      <c r="GO233" s="14">
        <f t="shared" si="464"/>
        <v>128.71</v>
      </c>
      <c r="GP233" s="13">
        <f t="shared" si="465"/>
        <v>1.4534364074275501</v>
      </c>
      <c r="GQ233" s="43">
        <f t="shared" si="466"/>
        <v>1870.7179999999998</v>
      </c>
      <c r="GR233" s="41">
        <f t="shared" si="467"/>
        <v>43801.517986747996</v>
      </c>
      <c r="GS233" s="14">
        <f t="shared" si="468"/>
        <v>340.3116928501903</v>
      </c>
      <c r="GT233" s="1">
        <f t="shared" si="542"/>
        <v>80.61999999999999</v>
      </c>
      <c r="GU233" s="1">
        <f t="shared" si="543"/>
        <v>280.166</v>
      </c>
      <c r="GV233" s="1">
        <f t="shared" si="544"/>
        <v>1509.932</v>
      </c>
      <c r="GW233" s="37">
        <f t="shared" si="469"/>
        <v>5.51</v>
      </c>
      <c r="GX233" s="44">
        <f>(BT233*CB233+CO233*CW233)/GW233</f>
        <v>1.5549727767695101</v>
      </c>
      <c r="GY233" s="41">
        <f>1000*GW233*GX233/100</f>
        <v>85.679000000000002</v>
      </c>
      <c r="GZ233" s="41">
        <f>SUM(FU233:GM233)</f>
        <v>2015.0738703080001</v>
      </c>
      <c r="HA233" s="14">
        <f>GZ233/GW233</f>
        <v>365.71213617205086</v>
      </c>
      <c r="HB233" s="1">
        <f t="shared" si="545"/>
        <v>21.509</v>
      </c>
      <c r="HC233" s="1">
        <f t="shared" si="546"/>
        <v>64.17</v>
      </c>
      <c r="HD233" s="37" t="s">
        <v>2</v>
      </c>
      <c r="HE233" s="1" t="s">
        <v>31</v>
      </c>
      <c r="HF233" s="1" t="s">
        <v>205</v>
      </c>
      <c r="HI233" s="1" t="s">
        <v>96</v>
      </c>
      <c r="HJ233" s="37" t="s">
        <v>2</v>
      </c>
      <c r="JH233" s="58" t="s">
        <v>2</v>
      </c>
    </row>
    <row r="234" spans="1:268" ht="16.25" customHeight="1" x14ac:dyDescent="0.2">
      <c r="A234" s="21" t="s">
        <v>494</v>
      </c>
      <c r="B234" s="1" t="s">
        <v>69</v>
      </c>
      <c r="E234" s="1" t="s">
        <v>72</v>
      </c>
      <c r="F234" s="1" t="s">
        <v>495</v>
      </c>
      <c r="H234" s="1" t="s">
        <v>211</v>
      </c>
      <c r="I234" s="1">
        <f>36.2+99.4</f>
        <v>135.60000000000002</v>
      </c>
      <c r="Q234" s="13">
        <f>(1.26*36.2+1.71*99.4)/I234</f>
        <v>1.5898672566371679</v>
      </c>
      <c r="AD234" s="1">
        <f>67.4+166.4</f>
        <v>233.8</v>
      </c>
      <c r="AL234" s="13">
        <f>(1.22*67.4+1.53*166.4)/AD234</f>
        <v>1.440633019674936</v>
      </c>
      <c r="AY234" s="1">
        <f>52.4+213.2</f>
        <v>265.59999999999997</v>
      </c>
      <c r="BG234" s="13">
        <f>(1.21*52.4+1.49*213.2)/AY234</f>
        <v>1.4347590361445786</v>
      </c>
      <c r="BT234" s="1">
        <v>0</v>
      </c>
      <c r="CO234" s="1">
        <v>0</v>
      </c>
      <c r="DJ234" s="1" t="s">
        <v>96</v>
      </c>
      <c r="DL234" s="1">
        <f t="shared" si="462"/>
        <v>1.4700440944881892</v>
      </c>
      <c r="DM234" s="1">
        <f t="shared" si="463"/>
        <v>0</v>
      </c>
      <c r="DN234" s="1" t="s">
        <v>67</v>
      </c>
      <c r="DO234" s="1" t="s">
        <v>2</v>
      </c>
      <c r="DP234" s="38">
        <f t="shared" si="470"/>
        <v>0</v>
      </c>
      <c r="DQ234" s="38">
        <f t="shared" si="471"/>
        <v>0</v>
      </c>
      <c r="DR234" s="38">
        <f t="shared" si="472"/>
        <v>0</v>
      </c>
      <c r="DS234" s="38">
        <f t="shared" si="473"/>
        <v>0</v>
      </c>
      <c r="DT234" s="38">
        <f t="shared" si="474"/>
        <v>0</v>
      </c>
      <c r="DU234" s="38">
        <f t="shared" si="475"/>
        <v>0</v>
      </c>
      <c r="DV234" s="38">
        <f t="shared" si="476"/>
        <v>0</v>
      </c>
      <c r="DW234" s="38">
        <f t="shared" si="477"/>
        <v>9.3347800000000003</v>
      </c>
      <c r="DX234" s="38">
        <f t="shared" si="478"/>
        <v>0</v>
      </c>
      <c r="DY234" s="38">
        <f t="shared" si="479"/>
        <v>0</v>
      </c>
      <c r="DZ234" s="38">
        <f t="shared" si="480"/>
        <v>0</v>
      </c>
      <c r="EA234" s="38">
        <f t="shared" si="481"/>
        <v>0</v>
      </c>
      <c r="EB234" s="38">
        <f t="shared" si="482"/>
        <v>0</v>
      </c>
      <c r="EC234" s="38">
        <f t="shared" si="483"/>
        <v>0</v>
      </c>
      <c r="ED234" s="38">
        <f t="shared" si="484"/>
        <v>0</v>
      </c>
      <c r="EE234" s="38">
        <f t="shared" si="485"/>
        <v>0</v>
      </c>
      <c r="EG234" s="38">
        <f t="shared" si="486"/>
        <v>0</v>
      </c>
      <c r="EH234" s="38">
        <f t="shared" si="487"/>
        <v>0</v>
      </c>
      <c r="EI234" s="38">
        <f t="shared" si="488"/>
        <v>0</v>
      </c>
      <c r="EJ234" s="38">
        <f t="shared" si="489"/>
        <v>0</v>
      </c>
      <c r="EK234" s="38">
        <f t="shared" si="490"/>
        <v>0</v>
      </c>
      <c r="EL234" s="38">
        <f t="shared" si="491"/>
        <v>0</v>
      </c>
      <c r="EM234" s="38">
        <f t="shared" si="492"/>
        <v>0</v>
      </c>
      <c r="EN234" s="38">
        <f t="shared" si="493"/>
        <v>0</v>
      </c>
      <c r="EO234" s="38">
        <f t="shared" si="494"/>
        <v>0</v>
      </c>
      <c r="EP234" s="38">
        <f t="shared" si="495"/>
        <v>122416.30492000001</v>
      </c>
      <c r="EQ234" s="38">
        <f t="shared" si="496"/>
        <v>0</v>
      </c>
      <c r="ER234" s="38">
        <f t="shared" si="497"/>
        <v>0</v>
      </c>
      <c r="ES234" s="38">
        <f t="shared" si="498"/>
        <v>0</v>
      </c>
      <c r="ET234" s="38">
        <f t="shared" si="499"/>
        <v>0</v>
      </c>
      <c r="EU234" s="38">
        <f t="shared" si="500"/>
        <v>0</v>
      </c>
      <c r="EV234" s="38">
        <f t="shared" si="501"/>
        <v>0</v>
      </c>
      <c r="EW234" s="38">
        <f t="shared" si="502"/>
        <v>0</v>
      </c>
      <c r="EX234" s="38">
        <f t="shared" si="503"/>
        <v>0</v>
      </c>
      <c r="EZ234" s="38">
        <f t="shared" si="504"/>
        <v>0</v>
      </c>
      <c r="FA234" s="38">
        <f t="shared" si="505"/>
        <v>0</v>
      </c>
      <c r="FB234" s="1">
        <f t="shared" si="506"/>
        <v>0</v>
      </c>
      <c r="FC234" s="1">
        <f t="shared" si="507"/>
        <v>0</v>
      </c>
      <c r="FD234" s="1">
        <f t="shared" si="508"/>
        <v>0</v>
      </c>
      <c r="FE234" s="1">
        <f t="shared" si="509"/>
        <v>0</v>
      </c>
      <c r="FF234" s="1">
        <f t="shared" si="510"/>
        <v>0</v>
      </c>
      <c r="FG234" s="1">
        <f t="shared" si="511"/>
        <v>0</v>
      </c>
      <c r="FH234" s="1">
        <f t="shared" si="512"/>
        <v>0</v>
      </c>
      <c r="FI234" s="1">
        <f t="shared" si="513"/>
        <v>0</v>
      </c>
      <c r="FJ234" s="1">
        <f t="shared" si="514"/>
        <v>0</v>
      </c>
      <c r="FK234" s="1">
        <f t="shared" si="515"/>
        <v>0</v>
      </c>
      <c r="FL234" s="1">
        <f t="shared" si="516"/>
        <v>0</v>
      </c>
      <c r="FM234" s="1">
        <f t="shared" si="517"/>
        <v>0</v>
      </c>
      <c r="FN234" s="1">
        <f t="shared" si="518"/>
        <v>0</v>
      </c>
      <c r="FO234" s="1">
        <f t="shared" si="519"/>
        <v>0</v>
      </c>
      <c r="FP234" s="1">
        <f t="shared" si="520"/>
        <v>0</v>
      </c>
      <c r="FQ234" s="1">
        <f t="shared" si="521"/>
        <v>0</v>
      </c>
      <c r="FS234" s="1">
        <f t="shared" si="522"/>
        <v>0</v>
      </c>
      <c r="FT234" s="1">
        <f t="shared" si="523"/>
        <v>0</v>
      </c>
      <c r="FU234" s="38">
        <f t="shared" si="524"/>
        <v>0</v>
      </c>
      <c r="FV234" s="38">
        <f t="shared" si="525"/>
        <v>0</v>
      </c>
      <c r="FW234" s="38">
        <f t="shared" si="526"/>
        <v>0</v>
      </c>
      <c r="FX234" s="38">
        <f t="shared" si="527"/>
        <v>0</v>
      </c>
      <c r="FY234" s="38">
        <f t="shared" si="528"/>
        <v>0</v>
      </c>
      <c r="FZ234" s="38">
        <f t="shared" si="529"/>
        <v>0</v>
      </c>
      <c r="GA234" s="38">
        <f t="shared" si="530"/>
        <v>0</v>
      </c>
      <c r="GB234" s="38">
        <f t="shared" si="531"/>
        <v>0</v>
      </c>
      <c r="GC234" s="38">
        <f t="shared" si="532"/>
        <v>0</v>
      </c>
      <c r="GD234" s="38">
        <f t="shared" si="533"/>
        <v>0</v>
      </c>
      <c r="GE234" s="38">
        <f t="shared" si="534"/>
        <v>0</v>
      </c>
      <c r="GF234" s="38">
        <f t="shared" si="535"/>
        <v>0</v>
      </c>
      <c r="GG234" s="38">
        <f t="shared" si="536"/>
        <v>0</v>
      </c>
      <c r="GH234" s="38">
        <f t="shared" si="537"/>
        <v>0</v>
      </c>
      <c r="GI234" s="38">
        <f t="shared" si="538"/>
        <v>0</v>
      </c>
      <c r="GJ234" s="38">
        <f t="shared" si="539"/>
        <v>0</v>
      </c>
      <c r="GL234" s="38">
        <f t="shared" si="540"/>
        <v>0</v>
      </c>
      <c r="GM234" s="38">
        <f t="shared" si="541"/>
        <v>0</v>
      </c>
      <c r="GN234" s="1" t="s">
        <v>2</v>
      </c>
      <c r="GO234" s="1">
        <f t="shared" si="464"/>
        <v>635</v>
      </c>
      <c r="GP234" s="13">
        <f t="shared" si="465"/>
        <v>1.4700440944881892</v>
      </c>
      <c r="GQ234" s="43">
        <f t="shared" si="466"/>
        <v>9334.7800000000007</v>
      </c>
      <c r="GR234" s="41">
        <f t="shared" si="467"/>
        <v>122416.30492000001</v>
      </c>
      <c r="GS234" s="14">
        <f t="shared" si="468"/>
        <v>192.78158255118112</v>
      </c>
      <c r="GT234" s="1">
        <f t="shared" si="542"/>
        <v>2155.86</v>
      </c>
      <c r="GU234" s="1">
        <f t="shared" si="543"/>
        <v>3368.2000000000007</v>
      </c>
      <c r="GV234" s="1">
        <f t="shared" si="544"/>
        <v>3810.72</v>
      </c>
      <c r="GW234" s="37">
        <f t="shared" si="469"/>
        <v>0</v>
      </c>
      <c r="GX234" s="37"/>
      <c r="GY234" s="37"/>
      <c r="GZ234" s="37"/>
      <c r="HB234" s="1">
        <f t="shared" si="545"/>
        <v>0</v>
      </c>
      <c r="HC234" s="1">
        <f t="shared" si="546"/>
        <v>0</v>
      </c>
      <c r="HD234" s="37" t="s">
        <v>2</v>
      </c>
      <c r="HE234" s="1" t="s">
        <v>31</v>
      </c>
      <c r="HF234" s="1" t="s">
        <v>205</v>
      </c>
      <c r="HI234" s="1" t="s">
        <v>96</v>
      </c>
      <c r="HJ234" s="37" t="s">
        <v>2</v>
      </c>
      <c r="JH234" s="58" t="s">
        <v>2</v>
      </c>
    </row>
    <row r="235" spans="1:268" ht="16.25" customHeight="1" x14ac:dyDescent="0.2">
      <c r="A235" s="21" t="s">
        <v>496</v>
      </c>
      <c r="B235" s="1" t="s">
        <v>69</v>
      </c>
      <c r="E235" s="1" t="s">
        <v>72</v>
      </c>
      <c r="I235" s="1">
        <f>0.018+0.69</f>
        <v>0.70799999999999996</v>
      </c>
      <c r="Q235" s="14">
        <f>(1.7*0.018+1.8*0.69)/I235</f>
        <v>1.7974576271186442</v>
      </c>
      <c r="R235" s="13">
        <f>(0.03*0.018+0.05*0.69)/I235</f>
        <v>4.949152542372881E-2</v>
      </c>
      <c r="Y235" s="14">
        <f>(1.7*0.018+1.8*0.69)/I235</f>
        <v>1.7974576271186442</v>
      </c>
      <c r="AD235" s="1">
        <f>5.5+1.2+0.35+6.4+0.89+0.21</f>
        <v>14.55</v>
      </c>
      <c r="AL235" s="14">
        <f>(1.9*5.5+1.8*1.2+1.8*0.35+1.8*6.4+1.9*0.89+1.7*0.21)/AD235</f>
        <v>1.8424742268041236</v>
      </c>
      <c r="AM235" s="13">
        <f>(0.04*5.5+0.05*1.2+0.07*0.35+0.08*6.4+0.09*0.89+0.03*0.21)/AD235</f>
        <v>6.2054982817869413E-2</v>
      </c>
      <c r="AT235" s="14">
        <f>(15*5.5+6.1*1.2+16*0.35+17*6.4+40*0.89+16*0.21)/AD235</f>
        <v>16.713402061855671</v>
      </c>
      <c r="AY235" s="1">
        <f>0.3+0.9+17+2.7+0.2+0.6+0.1</f>
        <v>21.8</v>
      </c>
      <c r="BG235" s="14">
        <f>(2*0.3+1.9*0.9+1.8*17+1.7*2.7+1.9*0.2+2*0.6+1.7*0.1)/AY235</f>
        <v>1.8004587155963305</v>
      </c>
      <c r="BH235" s="13">
        <f>(0.04*0.3+0.05*0.9+0.05*17+0.08*2.7+0.09*0.2+0.03*0.6+0.04*0.1)/AY235</f>
        <v>5.334862385321102E-2</v>
      </c>
      <c r="BO235" s="14">
        <f>(17*0.3+12*0.9+17*17+17*2.7+41*0.2+15*0.6+16*0.1)/AY235</f>
        <v>16.954128440366972</v>
      </c>
      <c r="BT235" s="1">
        <v>0</v>
      </c>
      <c r="CO235" s="1">
        <v>0</v>
      </c>
      <c r="DJ235" s="1" t="s">
        <v>96</v>
      </c>
      <c r="DK235" s="1" t="s">
        <v>96</v>
      </c>
      <c r="DL235" s="1">
        <f t="shared" si="462"/>
        <v>1.8168978358249233</v>
      </c>
      <c r="DM235" s="1">
        <f t="shared" si="463"/>
        <v>5.6693291596956137E-2</v>
      </c>
      <c r="DN235" s="1" t="s">
        <v>497</v>
      </c>
      <c r="DO235" s="1" t="s">
        <v>2</v>
      </c>
      <c r="DP235" s="38">
        <f t="shared" si="470"/>
        <v>0</v>
      </c>
      <c r="DQ235" s="38">
        <f t="shared" si="471"/>
        <v>0</v>
      </c>
      <c r="DR235" s="38">
        <f t="shared" si="472"/>
        <v>0</v>
      </c>
      <c r="DS235" s="38">
        <f t="shared" si="473"/>
        <v>0</v>
      </c>
      <c r="DT235" s="38">
        <f t="shared" si="474"/>
        <v>0</v>
      </c>
      <c r="DU235" s="38">
        <f t="shared" si="475"/>
        <v>0</v>
      </c>
      <c r="DV235" s="38">
        <f t="shared" si="476"/>
        <v>0</v>
      </c>
      <c r="DW235" s="38">
        <f t="shared" si="477"/>
        <v>0.67330600000000007</v>
      </c>
      <c r="DX235" s="38">
        <f t="shared" si="478"/>
        <v>2.1009400000000004E-2</v>
      </c>
      <c r="DY235" s="38">
        <f t="shared" si="479"/>
        <v>0</v>
      </c>
      <c r="DZ235" s="38">
        <f t="shared" si="480"/>
        <v>0</v>
      </c>
      <c r="EA235" s="38">
        <f t="shared" si="481"/>
        <v>0</v>
      </c>
      <c r="EB235" s="38">
        <f t="shared" si="482"/>
        <v>0</v>
      </c>
      <c r="EC235" s="38">
        <f t="shared" si="483"/>
        <v>0</v>
      </c>
      <c r="ED235" s="38">
        <f t="shared" si="484"/>
        <v>0</v>
      </c>
      <c r="EE235" s="38">
        <f t="shared" si="485"/>
        <v>6.1405260000000013</v>
      </c>
      <c r="EG235" s="38">
        <f t="shared" si="486"/>
        <v>0</v>
      </c>
      <c r="EH235" s="38">
        <f t="shared" si="487"/>
        <v>0</v>
      </c>
      <c r="EI235" s="38">
        <f t="shared" si="488"/>
        <v>0</v>
      </c>
      <c r="EJ235" s="38">
        <f t="shared" si="489"/>
        <v>0</v>
      </c>
      <c r="EK235" s="38">
        <f t="shared" si="490"/>
        <v>0</v>
      </c>
      <c r="EL235" s="38">
        <f t="shared" si="491"/>
        <v>0</v>
      </c>
      <c r="EM235" s="38">
        <f t="shared" si="492"/>
        <v>0</v>
      </c>
      <c r="EN235" s="38">
        <f t="shared" si="493"/>
        <v>0</v>
      </c>
      <c r="EO235" s="38">
        <f t="shared" si="494"/>
        <v>0</v>
      </c>
      <c r="EP235" s="38">
        <f t="shared" si="495"/>
        <v>8829.7348840000013</v>
      </c>
      <c r="EQ235" s="38">
        <f t="shared" si="496"/>
        <v>1525.6926275256001</v>
      </c>
      <c r="ER235" s="38">
        <f t="shared" si="497"/>
        <v>0</v>
      </c>
      <c r="ES235" s="38">
        <f t="shared" si="498"/>
        <v>0</v>
      </c>
      <c r="ET235" s="38">
        <f t="shared" si="499"/>
        <v>0</v>
      </c>
      <c r="EU235" s="38">
        <f t="shared" si="500"/>
        <v>0</v>
      </c>
      <c r="EV235" s="38">
        <f t="shared" si="501"/>
        <v>0</v>
      </c>
      <c r="EW235" s="38">
        <f t="shared" si="502"/>
        <v>0</v>
      </c>
      <c r="EX235" s="38">
        <f t="shared" si="503"/>
        <v>571.06891800000017</v>
      </c>
      <c r="EZ235" s="38">
        <f t="shared" si="504"/>
        <v>0</v>
      </c>
      <c r="FA235" s="38">
        <f t="shared" si="505"/>
        <v>0</v>
      </c>
      <c r="FB235" s="1">
        <f t="shared" si="506"/>
        <v>0</v>
      </c>
      <c r="FC235" s="1">
        <f t="shared" si="507"/>
        <v>0</v>
      </c>
      <c r="FD235" s="1">
        <f t="shared" si="508"/>
        <v>0</v>
      </c>
      <c r="FE235" s="1">
        <f t="shared" si="509"/>
        <v>0</v>
      </c>
      <c r="FF235" s="1">
        <f t="shared" si="510"/>
        <v>0</v>
      </c>
      <c r="FG235" s="1">
        <f t="shared" si="511"/>
        <v>0</v>
      </c>
      <c r="FH235" s="1">
        <f t="shared" si="512"/>
        <v>0</v>
      </c>
      <c r="FI235" s="1">
        <f t="shared" si="513"/>
        <v>0</v>
      </c>
      <c r="FJ235" s="1">
        <f t="shared" si="514"/>
        <v>0</v>
      </c>
      <c r="FK235" s="1">
        <f t="shared" si="515"/>
        <v>0</v>
      </c>
      <c r="FL235" s="1">
        <f t="shared" si="516"/>
        <v>0</v>
      </c>
      <c r="FM235" s="1">
        <f t="shared" si="517"/>
        <v>0</v>
      </c>
      <c r="FN235" s="1">
        <f t="shared" si="518"/>
        <v>0</v>
      </c>
      <c r="FO235" s="1">
        <f t="shared" si="519"/>
        <v>0</v>
      </c>
      <c r="FP235" s="1">
        <f t="shared" si="520"/>
        <v>0</v>
      </c>
      <c r="FQ235" s="1">
        <f t="shared" si="521"/>
        <v>0</v>
      </c>
      <c r="FS235" s="1">
        <f t="shared" si="522"/>
        <v>0</v>
      </c>
      <c r="FT235" s="1">
        <f t="shared" si="523"/>
        <v>0</v>
      </c>
      <c r="FU235" s="38">
        <f t="shared" si="524"/>
        <v>0</v>
      </c>
      <c r="FV235" s="38">
        <f t="shared" si="525"/>
        <v>0</v>
      </c>
      <c r="FW235" s="38">
        <f t="shared" si="526"/>
        <v>0</v>
      </c>
      <c r="FX235" s="38">
        <f t="shared" si="527"/>
        <v>0</v>
      </c>
      <c r="FY235" s="38">
        <f t="shared" si="528"/>
        <v>0</v>
      </c>
      <c r="FZ235" s="38">
        <f t="shared" si="529"/>
        <v>0</v>
      </c>
      <c r="GA235" s="38">
        <f t="shared" si="530"/>
        <v>0</v>
      </c>
      <c r="GB235" s="38">
        <f t="shared" si="531"/>
        <v>0</v>
      </c>
      <c r="GC235" s="38">
        <f t="shared" si="532"/>
        <v>0</v>
      </c>
      <c r="GD235" s="38">
        <f t="shared" si="533"/>
        <v>0</v>
      </c>
      <c r="GE235" s="38">
        <f t="shared" si="534"/>
        <v>0</v>
      </c>
      <c r="GF235" s="38">
        <f t="shared" si="535"/>
        <v>0</v>
      </c>
      <c r="GG235" s="38">
        <f t="shared" si="536"/>
        <v>0</v>
      </c>
      <c r="GH235" s="38">
        <f t="shared" si="537"/>
        <v>0</v>
      </c>
      <c r="GI235" s="38">
        <f t="shared" si="538"/>
        <v>0</v>
      </c>
      <c r="GJ235" s="38">
        <f t="shared" si="539"/>
        <v>0</v>
      </c>
      <c r="GL235" s="38">
        <f t="shared" si="540"/>
        <v>0</v>
      </c>
      <c r="GM235" s="38">
        <f t="shared" si="541"/>
        <v>0</v>
      </c>
      <c r="GN235" s="1" t="s">
        <v>2</v>
      </c>
      <c r="GO235" s="13">
        <f t="shared" si="464"/>
        <v>37.058</v>
      </c>
      <c r="GP235" s="13">
        <f t="shared" si="465"/>
        <v>1.8168978358249233</v>
      </c>
      <c r="GQ235" s="41">
        <f t="shared" si="466"/>
        <v>673.30600000000004</v>
      </c>
      <c r="GR235" s="41">
        <f t="shared" si="467"/>
        <v>10926.496429525603</v>
      </c>
      <c r="GS235" s="14">
        <f t="shared" si="468"/>
        <v>294.84851933524754</v>
      </c>
      <c r="GT235" s="1">
        <f t="shared" si="542"/>
        <v>12.725999999999999</v>
      </c>
      <c r="GU235" s="1">
        <f t="shared" si="543"/>
        <v>268.08</v>
      </c>
      <c r="GV235" s="1">
        <f t="shared" si="544"/>
        <v>392.50000000000006</v>
      </c>
      <c r="GW235" s="37">
        <f t="shared" si="469"/>
        <v>0</v>
      </c>
      <c r="GX235" s="37"/>
      <c r="GY235" s="37"/>
      <c r="GZ235" s="37"/>
      <c r="HB235" s="1">
        <f t="shared" si="545"/>
        <v>0</v>
      </c>
      <c r="HC235" s="1">
        <f t="shared" si="546"/>
        <v>0</v>
      </c>
      <c r="HD235" s="37" t="s">
        <v>2</v>
      </c>
      <c r="HE235" s="1" t="s">
        <v>31</v>
      </c>
      <c r="HF235" s="1" t="s">
        <v>205</v>
      </c>
      <c r="HI235" s="1" t="s">
        <v>96</v>
      </c>
      <c r="HJ235" s="37" t="s">
        <v>2</v>
      </c>
      <c r="JH235" s="58" t="s">
        <v>2</v>
      </c>
    </row>
    <row r="236" spans="1:268" ht="16.25" customHeight="1" x14ac:dyDescent="0.2">
      <c r="A236" s="21" t="s">
        <v>559</v>
      </c>
      <c r="B236" s="1" t="s">
        <v>64</v>
      </c>
      <c r="E236" s="1" t="s">
        <v>72</v>
      </c>
      <c r="F236" s="1" t="s">
        <v>560</v>
      </c>
      <c r="H236" s="1" t="s">
        <v>187</v>
      </c>
      <c r="I236" s="1">
        <v>0</v>
      </c>
      <c r="AC236" s="14">
        <f>100*(63.657-39.46734)/63.657</f>
        <v>37.999999999999993</v>
      </c>
      <c r="AD236" s="13">
        <v>39.46734</v>
      </c>
      <c r="AL236" s="1">
        <v>0.88</v>
      </c>
      <c r="AT236" s="1">
        <v>44.23</v>
      </c>
      <c r="AX236" s="14">
        <f>100*(4.673-2.89726)/4.673</f>
        <v>37.999999999999993</v>
      </c>
      <c r="AY236" s="13">
        <v>2.8972600000000002</v>
      </c>
      <c r="BG236" s="13">
        <v>1.3</v>
      </c>
      <c r="BO236" s="13">
        <v>12.9</v>
      </c>
      <c r="BT236" s="1">
        <v>0</v>
      </c>
      <c r="CO236" s="1">
        <v>0</v>
      </c>
      <c r="DJ236" s="1" t="s">
        <v>96</v>
      </c>
      <c r="DL236" s="1">
        <f t="shared" si="462"/>
        <v>0.90872325479291682</v>
      </c>
      <c r="DM236" s="1">
        <f t="shared" si="463"/>
        <v>0</v>
      </c>
      <c r="DN236" s="1" t="s">
        <v>561</v>
      </c>
      <c r="DO236" s="1" t="s">
        <v>2</v>
      </c>
      <c r="DP236" s="38">
        <f t="shared" si="470"/>
        <v>0</v>
      </c>
      <c r="DQ236" s="38">
        <f t="shared" si="471"/>
        <v>0</v>
      </c>
      <c r="DR236" s="38">
        <f t="shared" si="472"/>
        <v>0</v>
      </c>
      <c r="DS236" s="38">
        <f t="shared" si="473"/>
        <v>0</v>
      </c>
      <c r="DT236" s="38">
        <f t="shared" si="474"/>
        <v>0</v>
      </c>
      <c r="DU236" s="38">
        <f t="shared" si="475"/>
        <v>0</v>
      </c>
      <c r="DV236" s="38">
        <f t="shared" si="476"/>
        <v>0</v>
      </c>
      <c r="DW236" s="38">
        <f t="shared" si="477"/>
        <v>0.38497697200000003</v>
      </c>
      <c r="DX236" s="38">
        <f t="shared" si="478"/>
        <v>0</v>
      </c>
      <c r="DY236" s="38">
        <f t="shared" si="479"/>
        <v>0</v>
      </c>
      <c r="DZ236" s="38">
        <f t="shared" si="480"/>
        <v>0</v>
      </c>
      <c r="EA236" s="38">
        <f t="shared" si="481"/>
        <v>0</v>
      </c>
      <c r="EB236" s="38">
        <f t="shared" si="482"/>
        <v>0</v>
      </c>
      <c r="EC236" s="38">
        <f t="shared" si="483"/>
        <v>0</v>
      </c>
      <c r="ED236" s="38">
        <f t="shared" si="484"/>
        <v>0</v>
      </c>
      <c r="EE236" s="38">
        <f t="shared" si="485"/>
        <v>17.830151021999999</v>
      </c>
      <c r="EG236" s="38">
        <f t="shared" si="486"/>
        <v>0</v>
      </c>
      <c r="EH236" s="38">
        <f t="shared" si="487"/>
        <v>0</v>
      </c>
      <c r="EI236" s="38">
        <f t="shared" si="488"/>
        <v>0</v>
      </c>
      <c r="EJ236" s="38">
        <f t="shared" si="489"/>
        <v>0</v>
      </c>
      <c r="EK236" s="38">
        <f t="shared" si="490"/>
        <v>0</v>
      </c>
      <c r="EL236" s="38">
        <f t="shared" si="491"/>
        <v>0</v>
      </c>
      <c r="EM236" s="38">
        <f t="shared" si="492"/>
        <v>0</v>
      </c>
      <c r="EN236" s="38">
        <f t="shared" si="493"/>
        <v>0</v>
      </c>
      <c r="EO236" s="38">
        <f t="shared" si="494"/>
        <v>0</v>
      </c>
      <c r="EP236" s="38">
        <f t="shared" si="495"/>
        <v>5048.588010808</v>
      </c>
      <c r="EQ236" s="38">
        <f t="shared" si="496"/>
        <v>0</v>
      </c>
      <c r="ER236" s="38">
        <f t="shared" si="497"/>
        <v>0</v>
      </c>
      <c r="ES236" s="38">
        <f t="shared" si="498"/>
        <v>0</v>
      </c>
      <c r="ET236" s="38">
        <f t="shared" si="499"/>
        <v>0</v>
      </c>
      <c r="EU236" s="38">
        <f t="shared" si="500"/>
        <v>0</v>
      </c>
      <c r="EV236" s="38">
        <f t="shared" si="501"/>
        <v>0</v>
      </c>
      <c r="EW236" s="38">
        <f t="shared" si="502"/>
        <v>0</v>
      </c>
      <c r="EX236" s="38">
        <f t="shared" si="503"/>
        <v>1658.2040450459999</v>
      </c>
      <c r="EZ236" s="38">
        <f t="shared" si="504"/>
        <v>0</v>
      </c>
      <c r="FA236" s="38">
        <f t="shared" si="505"/>
        <v>0</v>
      </c>
      <c r="FB236" s="1">
        <f t="shared" si="506"/>
        <v>0</v>
      </c>
      <c r="FC236" s="1">
        <f t="shared" si="507"/>
        <v>0</v>
      </c>
      <c r="FD236" s="1">
        <f t="shared" si="508"/>
        <v>0</v>
      </c>
      <c r="FE236" s="1">
        <f t="shared" si="509"/>
        <v>0</v>
      </c>
      <c r="FF236" s="1">
        <f t="shared" si="510"/>
        <v>0</v>
      </c>
      <c r="FG236" s="1">
        <f t="shared" si="511"/>
        <v>0</v>
      </c>
      <c r="FH236" s="1">
        <f t="shared" si="512"/>
        <v>0</v>
      </c>
      <c r="FI236" s="1">
        <f t="shared" si="513"/>
        <v>0</v>
      </c>
      <c r="FJ236" s="1">
        <f t="shared" si="514"/>
        <v>0</v>
      </c>
      <c r="FK236" s="1">
        <f t="shared" si="515"/>
        <v>0</v>
      </c>
      <c r="FL236" s="1">
        <f t="shared" si="516"/>
        <v>0</v>
      </c>
      <c r="FM236" s="1">
        <f t="shared" si="517"/>
        <v>0</v>
      </c>
      <c r="FN236" s="1">
        <f t="shared" si="518"/>
        <v>0</v>
      </c>
      <c r="FO236" s="1">
        <f t="shared" si="519"/>
        <v>0</v>
      </c>
      <c r="FP236" s="1">
        <f t="shared" si="520"/>
        <v>0</v>
      </c>
      <c r="FQ236" s="1">
        <f t="shared" si="521"/>
        <v>0</v>
      </c>
      <c r="FS236" s="1">
        <f t="shared" si="522"/>
        <v>0</v>
      </c>
      <c r="FT236" s="1">
        <f t="shared" si="523"/>
        <v>0</v>
      </c>
      <c r="FU236" s="38">
        <f t="shared" si="524"/>
        <v>0</v>
      </c>
      <c r="FV236" s="38">
        <f t="shared" si="525"/>
        <v>0</v>
      </c>
      <c r="FW236" s="38">
        <f t="shared" si="526"/>
        <v>0</v>
      </c>
      <c r="FX236" s="38">
        <f t="shared" si="527"/>
        <v>0</v>
      </c>
      <c r="FY236" s="38">
        <f t="shared" si="528"/>
        <v>0</v>
      </c>
      <c r="FZ236" s="38">
        <f t="shared" si="529"/>
        <v>0</v>
      </c>
      <c r="GA236" s="38">
        <f t="shared" si="530"/>
        <v>0</v>
      </c>
      <c r="GB236" s="38">
        <f t="shared" si="531"/>
        <v>0</v>
      </c>
      <c r="GC236" s="38">
        <f t="shared" si="532"/>
        <v>0</v>
      </c>
      <c r="GD236" s="38">
        <f t="shared" si="533"/>
        <v>0</v>
      </c>
      <c r="GE236" s="38">
        <f t="shared" si="534"/>
        <v>0</v>
      </c>
      <c r="GF236" s="38">
        <f t="shared" si="535"/>
        <v>0</v>
      </c>
      <c r="GG236" s="38">
        <f t="shared" si="536"/>
        <v>0</v>
      </c>
      <c r="GH236" s="38">
        <f t="shared" si="537"/>
        <v>0</v>
      </c>
      <c r="GI236" s="38">
        <f t="shared" si="538"/>
        <v>0</v>
      </c>
      <c r="GJ236" s="38">
        <f t="shared" si="539"/>
        <v>0</v>
      </c>
      <c r="GL236" s="38">
        <f t="shared" si="540"/>
        <v>0</v>
      </c>
      <c r="GM236" s="38">
        <f t="shared" si="541"/>
        <v>0</v>
      </c>
      <c r="GN236" s="1" t="s">
        <v>2</v>
      </c>
      <c r="GO236" s="13">
        <f t="shared" si="464"/>
        <v>42.364600000000003</v>
      </c>
      <c r="GP236" s="13">
        <f t="shared" si="465"/>
        <v>0.90872325479291682</v>
      </c>
      <c r="GQ236" s="41">
        <f t="shared" si="466"/>
        <v>384.9769720000001</v>
      </c>
      <c r="GR236" s="41">
        <f t="shared" si="467"/>
        <v>6706.792055854</v>
      </c>
      <c r="GS236" s="14">
        <f t="shared" si="468"/>
        <v>158.31123286550562</v>
      </c>
      <c r="GT236" s="1">
        <f t="shared" si="542"/>
        <v>0</v>
      </c>
      <c r="GU236" s="1">
        <f t="shared" si="543"/>
        <v>347.312592</v>
      </c>
      <c r="GV236" s="1">
        <f t="shared" si="544"/>
        <v>37.664380000000008</v>
      </c>
      <c r="GW236" s="37">
        <f t="shared" si="469"/>
        <v>0</v>
      </c>
      <c r="GX236" s="37"/>
      <c r="GY236" s="37"/>
      <c r="GZ236" s="37"/>
      <c r="HB236" s="1">
        <f t="shared" si="545"/>
        <v>0</v>
      </c>
      <c r="HC236" s="1">
        <f t="shared" si="546"/>
        <v>0</v>
      </c>
      <c r="HD236" s="37" t="s">
        <v>2</v>
      </c>
      <c r="HE236" s="1" t="s">
        <v>31</v>
      </c>
      <c r="HF236" s="1" t="s">
        <v>506</v>
      </c>
      <c r="HI236" s="1" t="s">
        <v>96</v>
      </c>
      <c r="HJ236" s="37" t="s">
        <v>2</v>
      </c>
      <c r="JH236" s="58" t="s">
        <v>2</v>
      </c>
    </row>
    <row r="237" spans="1:268" ht="16.25" customHeight="1" x14ac:dyDescent="0.2">
      <c r="A237" s="21" t="s">
        <v>562</v>
      </c>
      <c r="B237" s="1" t="s">
        <v>64</v>
      </c>
      <c r="E237" s="1" t="s">
        <v>72</v>
      </c>
      <c r="F237" s="1" t="s">
        <v>560</v>
      </c>
      <c r="H237" s="1" t="s">
        <v>187</v>
      </c>
      <c r="I237" s="1">
        <v>2.823</v>
      </c>
      <c r="Q237" s="1">
        <v>1.1299999999999999</v>
      </c>
      <c r="Y237" s="1">
        <v>39.49</v>
      </c>
      <c r="AC237" s="14">
        <f>100*(11.473-7.115)/11.473</f>
        <v>37.984833957988322</v>
      </c>
      <c r="AD237" s="1">
        <v>7.1150000000000002</v>
      </c>
      <c r="AL237" s="1">
        <v>1.04</v>
      </c>
      <c r="AT237" s="1">
        <v>33.19</v>
      </c>
      <c r="AX237" s="14">
        <f>100*(5.027-3.117)/5.027</f>
        <v>37.994827929182414</v>
      </c>
      <c r="AY237" s="1">
        <v>3.117</v>
      </c>
      <c r="BG237" s="1">
        <v>0.95</v>
      </c>
      <c r="BO237" s="1">
        <v>37.950000000000003</v>
      </c>
      <c r="BT237" s="1">
        <v>0</v>
      </c>
      <c r="CO237" s="1">
        <v>0</v>
      </c>
      <c r="DJ237" s="1" t="s">
        <v>96</v>
      </c>
      <c r="DL237" s="1">
        <f t="shared" si="462"/>
        <v>1.0379731903485254</v>
      </c>
      <c r="DM237" s="1">
        <f t="shared" si="463"/>
        <v>0</v>
      </c>
      <c r="DN237" s="1" t="s">
        <v>561</v>
      </c>
      <c r="DO237" s="1" t="s">
        <v>2</v>
      </c>
      <c r="DP237" s="38">
        <f t="shared" si="470"/>
        <v>0</v>
      </c>
      <c r="DQ237" s="38">
        <f t="shared" si="471"/>
        <v>0</v>
      </c>
      <c r="DR237" s="38">
        <f t="shared" si="472"/>
        <v>0</v>
      </c>
      <c r="DS237" s="38">
        <f t="shared" si="473"/>
        <v>0</v>
      </c>
      <c r="DT237" s="38">
        <f t="shared" si="474"/>
        <v>0</v>
      </c>
      <c r="DU237" s="38">
        <f t="shared" si="475"/>
        <v>0</v>
      </c>
      <c r="DV237" s="38">
        <f t="shared" si="476"/>
        <v>0</v>
      </c>
      <c r="DW237" s="38">
        <f t="shared" si="477"/>
        <v>0.1355074</v>
      </c>
      <c r="DX237" s="38">
        <f t="shared" si="478"/>
        <v>0</v>
      </c>
      <c r="DY237" s="38">
        <f t="shared" si="479"/>
        <v>0</v>
      </c>
      <c r="DZ237" s="38">
        <f t="shared" si="480"/>
        <v>0</v>
      </c>
      <c r="EA237" s="38">
        <f t="shared" si="481"/>
        <v>0</v>
      </c>
      <c r="EB237" s="38">
        <f t="shared" si="482"/>
        <v>0</v>
      </c>
      <c r="EC237" s="38">
        <f t="shared" si="483"/>
        <v>0</v>
      </c>
      <c r="ED237" s="38">
        <f t="shared" si="484"/>
        <v>0</v>
      </c>
      <c r="EE237" s="38">
        <f t="shared" si="485"/>
        <v>4.6591727000000001</v>
      </c>
      <c r="EG237" s="38">
        <f t="shared" si="486"/>
        <v>0</v>
      </c>
      <c r="EH237" s="38">
        <f t="shared" si="487"/>
        <v>0</v>
      </c>
      <c r="EI237" s="38">
        <f t="shared" si="488"/>
        <v>0</v>
      </c>
      <c r="EJ237" s="38">
        <f t="shared" si="489"/>
        <v>0</v>
      </c>
      <c r="EK237" s="38">
        <f t="shared" si="490"/>
        <v>0</v>
      </c>
      <c r="EL237" s="38">
        <f t="shared" si="491"/>
        <v>0</v>
      </c>
      <c r="EM237" s="38">
        <f t="shared" si="492"/>
        <v>0</v>
      </c>
      <c r="EN237" s="38">
        <f t="shared" si="493"/>
        <v>0</v>
      </c>
      <c r="EO237" s="38">
        <f t="shared" si="494"/>
        <v>0</v>
      </c>
      <c r="EP237" s="38">
        <f t="shared" si="495"/>
        <v>1777.0440435999999</v>
      </c>
      <c r="EQ237" s="38">
        <f t="shared" si="496"/>
        <v>0</v>
      </c>
      <c r="ER237" s="38">
        <f t="shared" si="497"/>
        <v>0</v>
      </c>
      <c r="ES237" s="38">
        <f t="shared" si="498"/>
        <v>0</v>
      </c>
      <c r="ET237" s="38">
        <f t="shared" si="499"/>
        <v>0</v>
      </c>
      <c r="EU237" s="38">
        <f t="shared" si="500"/>
        <v>0</v>
      </c>
      <c r="EV237" s="38">
        <f t="shared" si="501"/>
        <v>0</v>
      </c>
      <c r="EW237" s="38">
        <f t="shared" si="502"/>
        <v>0</v>
      </c>
      <c r="EX237" s="38">
        <f t="shared" si="503"/>
        <v>433.30306109999998</v>
      </c>
      <c r="EZ237" s="38">
        <f t="shared" si="504"/>
        <v>0</v>
      </c>
      <c r="FA237" s="38">
        <f t="shared" si="505"/>
        <v>0</v>
      </c>
      <c r="FB237" s="1">
        <f t="shared" si="506"/>
        <v>0</v>
      </c>
      <c r="FC237" s="1">
        <f t="shared" si="507"/>
        <v>0</v>
      </c>
      <c r="FD237" s="1">
        <f t="shared" si="508"/>
        <v>0</v>
      </c>
      <c r="FE237" s="1">
        <f t="shared" si="509"/>
        <v>0</v>
      </c>
      <c r="FF237" s="1">
        <f t="shared" si="510"/>
        <v>0</v>
      </c>
      <c r="FG237" s="1">
        <f t="shared" si="511"/>
        <v>0</v>
      </c>
      <c r="FH237" s="1">
        <f t="shared" si="512"/>
        <v>0</v>
      </c>
      <c r="FI237" s="1">
        <f t="shared" si="513"/>
        <v>0</v>
      </c>
      <c r="FJ237" s="1">
        <f t="shared" si="514"/>
        <v>0</v>
      </c>
      <c r="FK237" s="1">
        <f t="shared" si="515"/>
        <v>0</v>
      </c>
      <c r="FL237" s="1">
        <f t="shared" si="516"/>
        <v>0</v>
      </c>
      <c r="FM237" s="1">
        <f t="shared" si="517"/>
        <v>0</v>
      </c>
      <c r="FN237" s="1">
        <f t="shared" si="518"/>
        <v>0</v>
      </c>
      <c r="FO237" s="1">
        <f t="shared" si="519"/>
        <v>0</v>
      </c>
      <c r="FP237" s="1">
        <f t="shared" si="520"/>
        <v>0</v>
      </c>
      <c r="FQ237" s="1">
        <f t="shared" si="521"/>
        <v>0</v>
      </c>
      <c r="FS237" s="1">
        <f t="shared" si="522"/>
        <v>0</v>
      </c>
      <c r="FT237" s="1">
        <f t="shared" si="523"/>
        <v>0</v>
      </c>
      <c r="FU237" s="38">
        <f t="shared" si="524"/>
        <v>0</v>
      </c>
      <c r="FV237" s="38">
        <f t="shared" si="525"/>
        <v>0</v>
      </c>
      <c r="FW237" s="38">
        <f t="shared" si="526"/>
        <v>0</v>
      </c>
      <c r="FX237" s="38">
        <f t="shared" si="527"/>
        <v>0</v>
      </c>
      <c r="FY237" s="38">
        <f t="shared" si="528"/>
        <v>0</v>
      </c>
      <c r="FZ237" s="38">
        <f t="shared" si="529"/>
        <v>0</v>
      </c>
      <c r="GA237" s="38">
        <f t="shared" si="530"/>
        <v>0</v>
      </c>
      <c r="GB237" s="38">
        <f t="shared" si="531"/>
        <v>0</v>
      </c>
      <c r="GC237" s="38">
        <f t="shared" si="532"/>
        <v>0</v>
      </c>
      <c r="GD237" s="38">
        <f t="shared" si="533"/>
        <v>0</v>
      </c>
      <c r="GE237" s="38">
        <f t="shared" si="534"/>
        <v>0</v>
      </c>
      <c r="GF237" s="38">
        <f t="shared" si="535"/>
        <v>0</v>
      </c>
      <c r="GG237" s="38">
        <f t="shared" si="536"/>
        <v>0</v>
      </c>
      <c r="GH237" s="38">
        <f t="shared" si="537"/>
        <v>0</v>
      </c>
      <c r="GI237" s="38">
        <f t="shared" si="538"/>
        <v>0</v>
      </c>
      <c r="GJ237" s="38">
        <f t="shared" si="539"/>
        <v>0</v>
      </c>
      <c r="GL237" s="38">
        <f t="shared" si="540"/>
        <v>0</v>
      </c>
      <c r="GM237" s="38">
        <f t="shared" si="541"/>
        <v>0</v>
      </c>
      <c r="GN237" s="1" t="s">
        <v>2</v>
      </c>
      <c r="GO237" s="1">
        <f t="shared" si="464"/>
        <v>13.055</v>
      </c>
      <c r="GP237" s="13">
        <f t="shared" si="465"/>
        <v>1.0379731903485254</v>
      </c>
      <c r="GQ237" s="41">
        <f t="shared" si="466"/>
        <v>135.50739999999999</v>
      </c>
      <c r="GR237" s="41">
        <f t="shared" si="467"/>
        <v>2210.3471046999998</v>
      </c>
      <c r="GS237" s="14">
        <f t="shared" si="468"/>
        <v>169.31038718498658</v>
      </c>
      <c r="GT237" s="1">
        <f t="shared" si="542"/>
        <v>31.899899999999992</v>
      </c>
      <c r="GU237" s="1">
        <f t="shared" si="543"/>
        <v>73.996000000000009</v>
      </c>
      <c r="GV237" s="1">
        <f t="shared" si="544"/>
        <v>29.611499999999999</v>
      </c>
      <c r="GW237" s="37">
        <f t="shared" si="469"/>
        <v>0</v>
      </c>
      <c r="GX237" s="37"/>
      <c r="GY237" s="37"/>
      <c r="GZ237" s="37"/>
      <c r="HB237" s="1">
        <f t="shared" si="545"/>
        <v>0</v>
      </c>
      <c r="HC237" s="1">
        <f t="shared" si="546"/>
        <v>0</v>
      </c>
      <c r="HD237" s="37" t="s">
        <v>2</v>
      </c>
      <c r="HE237" s="1" t="s">
        <v>31</v>
      </c>
      <c r="HF237" s="1" t="s">
        <v>506</v>
      </c>
      <c r="HI237" s="1" t="s">
        <v>96</v>
      </c>
      <c r="HJ237" s="37" t="s">
        <v>2</v>
      </c>
      <c r="JH237" s="58" t="s">
        <v>2</v>
      </c>
    </row>
    <row r="238" spans="1:268" ht="16.25" customHeight="1" x14ac:dyDescent="0.2">
      <c r="A238" s="21" t="s">
        <v>284</v>
      </c>
      <c r="B238" s="1" t="s">
        <v>69</v>
      </c>
      <c r="E238" s="1" t="s">
        <v>72</v>
      </c>
      <c r="F238" s="1" t="s">
        <v>151</v>
      </c>
      <c r="H238" s="1" t="s">
        <v>211</v>
      </c>
      <c r="I238" s="1">
        <v>0</v>
      </c>
      <c r="AD238" s="1">
        <v>0</v>
      </c>
      <c r="AY238" s="13">
        <v>1.0100076</v>
      </c>
      <c r="BG238" s="1">
        <v>0.51</v>
      </c>
      <c r="BH238" s="1">
        <v>0.04</v>
      </c>
      <c r="BK238" s="11"/>
      <c r="BL238" s="11"/>
      <c r="BM238" s="11"/>
      <c r="BQ238" s="1">
        <v>40.200000000000003</v>
      </c>
      <c r="BT238" s="1">
        <v>0</v>
      </c>
      <c r="CO238" s="1">
        <v>0</v>
      </c>
      <c r="DJ238" s="1" t="s">
        <v>163</v>
      </c>
      <c r="DK238" s="1" t="s">
        <v>163</v>
      </c>
      <c r="DL238" s="1">
        <f t="shared" si="462"/>
        <v>0.51</v>
      </c>
      <c r="DM238" s="1">
        <f t="shared" si="463"/>
        <v>0.04</v>
      </c>
      <c r="DN238" s="1" t="s">
        <v>285</v>
      </c>
      <c r="DO238" s="1" t="s">
        <v>2</v>
      </c>
      <c r="DP238" s="38">
        <f t="shared" si="470"/>
        <v>0</v>
      </c>
      <c r="DQ238" s="38">
        <f t="shared" si="471"/>
        <v>0</v>
      </c>
      <c r="DR238" s="38">
        <f t="shared" si="472"/>
        <v>0</v>
      </c>
      <c r="DS238" s="38">
        <f t="shared" si="473"/>
        <v>0</v>
      </c>
      <c r="DT238" s="38">
        <f t="shared" si="474"/>
        <v>0</v>
      </c>
      <c r="DU238" s="38">
        <f t="shared" si="475"/>
        <v>0</v>
      </c>
      <c r="DV238" s="38">
        <f t="shared" si="476"/>
        <v>0</v>
      </c>
      <c r="DW238" s="38">
        <f t="shared" si="477"/>
        <v>5.1510387599999997E-3</v>
      </c>
      <c r="DX238" s="38">
        <f t="shared" si="478"/>
        <v>4.0400304E-4</v>
      </c>
      <c r="DY238" s="38">
        <f t="shared" si="479"/>
        <v>0</v>
      </c>
      <c r="DZ238" s="38">
        <f t="shared" si="480"/>
        <v>0</v>
      </c>
      <c r="EA238" s="38">
        <f t="shared" si="481"/>
        <v>0</v>
      </c>
      <c r="EB238" s="38">
        <f t="shared" si="482"/>
        <v>0</v>
      </c>
      <c r="EC238" s="38">
        <f t="shared" si="483"/>
        <v>0</v>
      </c>
      <c r="ED238" s="38">
        <f t="shared" si="484"/>
        <v>0</v>
      </c>
      <c r="EE238" s="38">
        <f t="shared" si="485"/>
        <v>0</v>
      </c>
      <c r="EG238" s="38">
        <f t="shared" si="486"/>
        <v>40.602305520000002</v>
      </c>
      <c r="EH238" s="38">
        <f t="shared" si="487"/>
        <v>0</v>
      </c>
      <c r="EI238" s="38">
        <f t="shared" si="488"/>
        <v>0</v>
      </c>
      <c r="EJ238" s="38">
        <f t="shared" si="489"/>
        <v>0</v>
      </c>
      <c r="EK238" s="38">
        <f t="shared" si="490"/>
        <v>0</v>
      </c>
      <c r="EL238" s="38">
        <f t="shared" si="491"/>
        <v>0</v>
      </c>
      <c r="EM238" s="38">
        <f t="shared" si="492"/>
        <v>0</v>
      </c>
      <c r="EN238" s="38">
        <f t="shared" si="493"/>
        <v>0</v>
      </c>
      <c r="EO238" s="38">
        <f t="shared" si="494"/>
        <v>0</v>
      </c>
      <c r="EP238" s="38">
        <f t="shared" si="495"/>
        <v>67.550722298639997</v>
      </c>
      <c r="EQ238" s="38">
        <f t="shared" si="496"/>
        <v>29.338508459352955</v>
      </c>
      <c r="ER238" s="38">
        <f t="shared" si="497"/>
        <v>0</v>
      </c>
      <c r="ES238" s="38">
        <f t="shared" si="498"/>
        <v>0</v>
      </c>
      <c r="ET238" s="38">
        <f t="shared" si="499"/>
        <v>0</v>
      </c>
      <c r="EU238" s="38">
        <f t="shared" si="500"/>
        <v>0</v>
      </c>
      <c r="EV238" s="38">
        <f t="shared" si="501"/>
        <v>0</v>
      </c>
      <c r="EW238" s="38">
        <f t="shared" si="502"/>
        <v>0</v>
      </c>
      <c r="EX238" s="38">
        <f t="shared" si="503"/>
        <v>0</v>
      </c>
      <c r="EZ238" s="38">
        <f t="shared" si="504"/>
        <v>14.616829987200001</v>
      </c>
      <c r="FA238" s="38">
        <f t="shared" si="505"/>
        <v>0</v>
      </c>
      <c r="FB238" s="1">
        <f t="shared" si="506"/>
        <v>0</v>
      </c>
      <c r="FC238" s="1">
        <f t="shared" si="507"/>
        <v>0</v>
      </c>
      <c r="FD238" s="1">
        <f t="shared" si="508"/>
        <v>0</v>
      </c>
      <c r="FE238" s="1">
        <f t="shared" si="509"/>
        <v>0</v>
      </c>
      <c r="FF238" s="1">
        <f t="shared" si="510"/>
        <v>0</v>
      </c>
      <c r="FG238" s="1">
        <f t="shared" si="511"/>
        <v>0</v>
      </c>
      <c r="FH238" s="1">
        <f t="shared" si="512"/>
        <v>0</v>
      </c>
      <c r="FI238" s="1">
        <f t="shared" si="513"/>
        <v>0</v>
      </c>
      <c r="FJ238" s="1">
        <f t="shared" si="514"/>
        <v>0</v>
      </c>
      <c r="FK238" s="1">
        <f t="shared" si="515"/>
        <v>0</v>
      </c>
      <c r="FL238" s="1">
        <f t="shared" si="516"/>
        <v>0</v>
      </c>
      <c r="FM238" s="1">
        <f t="shared" si="517"/>
        <v>0</v>
      </c>
      <c r="FN238" s="1">
        <f t="shared" si="518"/>
        <v>0</v>
      </c>
      <c r="FO238" s="1">
        <f t="shared" si="519"/>
        <v>0</v>
      </c>
      <c r="FP238" s="1">
        <f t="shared" si="520"/>
        <v>0</v>
      </c>
      <c r="FQ238" s="1">
        <f t="shared" si="521"/>
        <v>0</v>
      </c>
      <c r="FS238" s="1">
        <f t="shared" si="522"/>
        <v>0</v>
      </c>
      <c r="FT238" s="1">
        <f t="shared" si="523"/>
        <v>0</v>
      </c>
      <c r="FU238" s="38">
        <f t="shared" si="524"/>
        <v>0</v>
      </c>
      <c r="FV238" s="38">
        <f t="shared" si="525"/>
        <v>0</v>
      </c>
      <c r="FW238" s="38">
        <f t="shared" si="526"/>
        <v>0</v>
      </c>
      <c r="FX238" s="38">
        <f t="shared" si="527"/>
        <v>0</v>
      </c>
      <c r="FY238" s="38">
        <f t="shared" si="528"/>
        <v>0</v>
      </c>
      <c r="FZ238" s="38">
        <f t="shared" si="529"/>
        <v>0</v>
      </c>
      <c r="GA238" s="38">
        <f t="shared" si="530"/>
        <v>0</v>
      </c>
      <c r="GB238" s="38">
        <f t="shared" si="531"/>
        <v>0</v>
      </c>
      <c r="GC238" s="38">
        <f t="shared" si="532"/>
        <v>0</v>
      </c>
      <c r="GD238" s="38">
        <f t="shared" si="533"/>
        <v>0</v>
      </c>
      <c r="GE238" s="38">
        <f t="shared" si="534"/>
        <v>0</v>
      </c>
      <c r="GF238" s="38">
        <f t="shared" si="535"/>
        <v>0</v>
      </c>
      <c r="GG238" s="38">
        <f t="shared" si="536"/>
        <v>0</v>
      </c>
      <c r="GH238" s="38">
        <f t="shared" si="537"/>
        <v>0</v>
      </c>
      <c r="GI238" s="38">
        <f t="shared" si="538"/>
        <v>0</v>
      </c>
      <c r="GJ238" s="38">
        <f t="shared" si="539"/>
        <v>0</v>
      </c>
      <c r="GL238" s="38">
        <f t="shared" si="540"/>
        <v>0</v>
      </c>
      <c r="GM238" s="38">
        <f t="shared" si="541"/>
        <v>0</v>
      </c>
      <c r="GN238" s="1" t="s">
        <v>2</v>
      </c>
      <c r="GO238" s="2">
        <f t="shared" si="464"/>
        <v>1.0100076</v>
      </c>
      <c r="GP238" s="1">
        <f t="shared" si="465"/>
        <v>0.51</v>
      </c>
      <c r="GQ238" s="41">
        <f t="shared" si="466"/>
        <v>5.1510387600000005</v>
      </c>
      <c r="GR238" s="41">
        <f t="shared" si="467"/>
        <v>111.50606074519295</v>
      </c>
      <c r="GS238" s="14">
        <f t="shared" si="468"/>
        <v>110.40120959999999</v>
      </c>
      <c r="GT238" s="1">
        <f t="shared" si="542"/>
        <v>0</v>
      </c>
      <c r="GU238" s="1">
        <f t="shared" si="543"/>
        <v>0</v>
      </c>
      <c r="GV238" s="1">
        <f t="shared" si="544"/>
        <v>5.1510387600000005</v>
      </c>
      <c r="GW238" s="37">
        <f t="shared" si="469"/>
        <v>0</v>
      </c>
      <c r="GX238" s="37"/>
      <c r="GY238" s="37"/>
      <c r="GZ238" s="37"/>
      <c r="HB238" s="1">
        <f t="shared" si="545"/>
        <v>0</v>
      </c>
      <c r="HC238" s="1">
        <f t="shared" si="546"/>
        <v>0</v>
      </c>
      <c r="HD238" s="37" t="s">
        <v>2</v>
      </c>
      <c r="HE238" s="1" t="s">
        <v>31</v>
      </c>
      <c r="HF238" s="1" t="s">
        <v>193</v>
      </c>
      <c r="HG238" s="1" t="s">
        <v>193</v>
      </c>
      <c r="HI238" s="1" t="s">
        <v>163</v>
      </c>
      <c r="HJ238" s="37" t="s">
        <v>2</v>
      </c>
      <c r="JH238" s="58" t="s">
        <v>2</v>
      </c>
    </row>
    <row r="239" spans="1:268" ht="16.25" customHeight="1" x14ac:dyDescent="0.2">
      <c r="A239" s="21" t="s">
        <v>286</v>
      </c>
      <c r="B239" s="1" t="s">
        <v>69</v>
      </c>
      <c r="E239" s="1" t="s">
        <v>72</v>
      </c>
      <c r="F239" s="1" t="s">
        <v>151</v>
      </c>
      <c r="H239" s="1" t="s">
        <v>211</v>
      </c>
      <c r="I239" s="1">
        <v>0</v>
      </c>
      <c r="AD239" s="1">
        <v>0</v>
      </c>
      <c r="AY239" s="13">
        <v>1.1209114</v>
      </c>
      <c r="BG239" s="1">
        <v>0.33</v>
      </c>
      <c r="BH239" s="1">
        <v>0.04</v>
      </c>
      <c r="BK239" s="11"/>
      <c r="BL239" s="11"/>
      <c r="BM239" s="11"/>
      <c r="BQ239" s="1">
        <v>53.9</v>
      </c>
      <c r="BT239" s="1">
        <v>0</v>
      </c>
      <c r="CO239" s="1">
        <v>0</v>
      </c>
      <c r="DJ239" s="1" t="s">
        <v>163</v>
      </c>
      <c r="DK239" s="1" t="s">
        <v>163</v>
      </c>
      <c r="DL239" s="1">
        <f t="shared" si="462"/>
        <v>0.33</v>
      </c>
      <c r="DM239" s="1">
        <f t="shared" si="463"/>
        <v>0.04</v>
      </c>
      <c r="DN239" s="1" t="s">
        <v>285</v>
      </c>
      <c r="DO239" s="1" t="s">
        <v>2</v>
      </c>
      <c r="DP239" s="38">
        <f t="shared" si="470"/>
        <v>0</v>
      </c>
      <c r="DQ239" s="38">
        <f t="shared" si="471"/>
        <v>0</v>
      </c>
      <c r="DR239" s="38">
        <f t="shared" si="472"/>
        <v>0</v>
      </c>
      <c r="DS239" s="38">
        <f t="shared" si="473"/>
        <v>0</v>
      </c>
      <c r="DT239" s="38">
        <f t="shared" si="474"/>
        <v>0</v>
      </c>
      <c r="DU239" s="38">
        <f t="shared" si="475"/>
        <v>0</v>
      </c>
      <c r="DV239" s="38">
        <f t="shared" si="476"/>
        <v>0</v>
      </c>
      <c r="DW239" s="38">
        <f t="shared" si="477"/>
        <v>3.6990076199999999E-3</v>
      </c>
      <c r="DX239" s="38">
        <f t="shared" si="478"/>
        <v>4.4836456000000002E-4</v>
      </c>
      <c r="DY239" s="38">
        <f t="shared" si="479"/>
        <v>0</v>
      </c>
      <c r="DZ239" s="38">
        <f t="shared" si="480"/>
        <v>0</v>
      </c>
      <c r="EA239" s="38">
        <f t="shared" si="481"/>
        <v>0</v>
      </c>
      <c r="EB239" s="38">
        <f t="shared" si="482"/>
        <v>0</v>
      </c>
      <c r="EC239" s="38">
        <f t="shared" si="483"/>
        <v>0</v>
      </c>
      <c r="ED239" s="38">
        <f t="shared" si="484"/>
        <v>0</v>
      </c>
      <c r="EE239" s="38">
        <f t="shared" si="485"/>
        <v>0</v>
      </c>
      <c r="EG239" s="38">
        <f t="shared" si="486"/>
        <v>60.417124459999997</v>
      </c>
      <c r="EH239" s="38">
        <f t="shared" si="487"/>
        <v>0</v>
      </c>
      <c r="EI239" s="38">
        <f t="shared" si="488"/>
        <v>0</v>
      </c>
      <c r="EJ239" s="38">
        <f t="shared" si="489"/>
        <v>0</v>
      </c>
      <c r="EK239" s="38">
        <f t="shared" si="490"/>
        <v>0</v>
      </c>
      <c r="EL239" s="38">
        <f t="shared" si="491"/>
        <v>0</v>
      </c>
      <c r="EM239" s="38">
        <f t="shared" si="492"/>
        <v>0</v>
      </c>
      <c r="EN239" s="38">
        <f t="shared" si="493"/>
        <v>0</v>
      </c>
      <c r="EO239" s="38">
        <f t="shared" si="494"/>
        <v>0</v>
      </c>
      <c r="EP239" s="38">
        <f t="shared" si="495"/>
        <v>48.508785928679998</v>
      </c>
      <c r="EQ239" s="38">
        <f t="shared" si="496"/>
        <v>32.560020925669434</v>
      </c>
      <c r="ER239" s="38">
        <f t="shared" si="497"/>
        <v>0</v>
      </c>
      <c r="ES239" s="38">
        <f t="shared" si="498"/>
        <v>0</v>
      </c>
      <c r="ET239" s="38">
        <f t="shared" si="499"/>
        <v>0</v>
      </c>
      <c r="EU239" s="38">
        <f t="shared" si="500"/>
        <v>0</v>
      </c>
      <c r="EV239" s="38">
        <f t="shared" si="501"/>
        <v>0</v>
      </c>
      <c r="EW239" s="38">
        <f t="shared" si="502"/>
        <v>0</v>
      </c>
      <c r="EX239" s="38">
        <f t="shared" si="503"/>
        <v>0</v>
      </c>
      <c r="EZ239" s="38">
        <f t="shared" si="504"/>
        <v>21.750164805599997</v>
      </c>
      <c r="FA239" s="38">
        <f t="shared" si="505"/>
        <v>0</v>
      </c>
      <c r="FB239" s="1">
        <f t="shared" si="506"/>
        <v>0</v>
      </c>
      <c r="FC239" s="1">
        <f t="shared" si="507"/>
        <v>0</v>
      </c>
      <c r="FD239" s="1">
        <f t="shared" si="508"/>
        <v>0</v>
      </c>
      <c r="FE239" s="1">
        <f t="shared" si="509"/>
        <v>0</v>
      </c>
      <c r="FF239" s="1">
        <f t="shared" si="510"/>
        <v>0</v>
      </c>
      <c r="FG239" s="1">
        <f t="shared" si="511"/>
        <v>0</v>
      </c>
      <c r="FH239" s="1">
        <f t="shared" si="512"/>
        <v>0</v>
      </c>
      <c r="FI239" s="1">
        <f t="shared" si="513"/>
        <v>0</v>
      </c>
      <c r="FJ239" s="1">
        <f t="shared" si="514"/>
        <v>0</v>
      </c>
      <c r="FK239" s="1">
        <f t="shared" si="515"/>
        <v>0</v>
      </c>
      <c r="FL239" s="1">
        <f t="shared" si="516"/>
        <v>0</v>
      </c>
      <c r="FM239" s="1">
        <f t="shared" si="517"/>
        <v>0</v>
      </c>
      <c r="FN239" s="1">
        <f t="shared" si="518"/>
        <v>0</v>
      </c>
      <c r="FO239" s="1">
        <f t="shared" si="519"/>
        <v>0</v>
      </c>
      <c r="FP239" s="1">
        <f t="shared" si="520"/>
        <v>0</v>
      </c>
      <c r="FQ239" s="1">
        <f t="shared" si="521"/>
        <v>0</v>
      </c>
      <c r="FS239" s="1">
        <f t="shared" si="522"/>
        <v>0</v>
      </c>
      <c r="FT239" s="1">
        <f t="shared" si="523"/>
        <v>0</v>
      </c>
      <c r="FU239" s="38">
        <f t="shared" si="524"/>
        <v>0</v>
      </c>
      <c r="FV239" s="38">
        <f t="shared" si="525"/>
        <v>0</v>
      </c>
      <c r="FW239" s="38">
        <f t="shared" si="526"/>
        <v>0</v>
      </c>
      <c r="FX239" s="38">
        <f t="shared" si="527"/>
        <v>0</v>
      </c>
      <c r="FY239" s="38">
        <f t="shared" si="528"/>
        <v>0</v>
      </c>
      <c r="FZ239" s="38">
        <f t="shared" si="529"/>
        <v>0</v>
      </c>
      <c r="GA239" s="38">
        <f t="shared" si="530"/>
        <v>0</v>
      </c>
      <c r="GB239" s="38">
        <f t="shared" si="531"/>
        <v>0</v>
      </c>
      <c r="GC239" s="38">
        <f t="shared" si="532"/>
        <v>0</v>
      </c>
      <c r="GD239" s="38">
        <f t="shared" si="533"/>
        <v>0</v>
      </c>
      <c r="GE239" s="38">
        <f t="shared" si="534"/>
        <v>0</v>
      </c>
      <c r="GF239" s="38">
        <f t="shared" si="535"/>
        <v>0</v>
      </c>
      <c r="GG239" s="38">
        <f t="shared" si="536"/>
        <v>0</v>
      </c>
      <c r="GH239" s="38">
        <f t="shared" si="537"/>
        <v>0</v>
      </c>
      <c r="GI239" s="38">
        <f t="shared" si="538"/>
        <v>0</v>
      </c>
      <c r="GJ239" s="38">
        <f t="shared" si="539"/>
        <v>0</v>
      </c>
      <c r="GL239" s="38">
        <f t="shared" si="540"/>
        <v>0</v>
      </c>
      <c r="GM239" s="38">
        <f t="shared" si="541"/>
        <v>0</v>
      </c>
      <c r="GN239" s="1" t="s">
        <v>2</v>
      </c>
      <c r="GO239" s="2">
        <f t="shared" si="464"/>
        <v>1.1209114</v>
      </c>
      <c r="GP239" s="1">
        <f t="shared" si="465"/>
        <v>0.33</v>
      </c>
      <c r="GQ239" s="41">
        <f t="shared" si="466"/>
        <v>3.6990076199999997</v>
      </c>
      <c r="GR239" s="41">
        <f t="shared" si="467"/>
        <v>102.81897165994943</v>
      </c>
      <c r="GS239" s="14">
        <f t="shared" si="468"/>
        <v>91.728009599999993</v>
      </c>
      <c r="GT239" s="1">
        <f t="shared" si="542"/>
        <v>0</v>
      </c>
      <c r="GU239" s="1">
        <f t="shared" si="543"/>
        <v>0</v>
      </c>
      <c r="GV239" s="1">
        <f t="shared" si="544"/>
        <v>3.6990076199999997</v>
      </c>
      <c r="GW239" s="37">
        <f t="shared" si="469"/>
        <v>0</v>
      </c>
      <c r="GX239" s="37"/>
      <c r="GY239" s="37"/>
      <c r="GZ239" s="37"/>
      <c r="HB239" s="1">
        <f t="shared" si="545"/>
        <v>0</v>
      </c>
      <c r="HC239" s="1">
        <f t="shared" si="546"/>
        <v>0</v>
      </c>
      <c r="HD239" s="37" t="s">
        <v>2</v>
      </c>
      <c r="HE239" s="1" t="s">
        <v>31</v>
      </c>
      <c r="HF239" s="1" t="s">
        <v>193</v>
      </c>
      <c r="HG239" s="1" t="s">
        <v>193</v>
      </c>
      <c r="HI239" s="1" t="s">
        <v>163</v>
      </c>
      <c r="HJ239" s="37" t="s">
        <v>2</v>
      </c>
      <c r="JH239" s="58" t="s">
        <v>2</v>
      </c>
    </row>
    <row r="240" spans="1:268" ht="16.25" customHeight="1" x14ac:dyDescent="0.2">
      <c r="A240" s="21" t="s">
        <v>287</v>
      </c>
      <c r="B240" s="1" t="s">
        <v>69</v>
      </c>
      <c r="E240" s="1" t="s">
        <v>72</v>
      </c>
      <c r="F240" s="1" t="s">
        <v>151</v>
      </c>
      <c r="H240" s="1" t="s">
        <v>211</v>
      </c>
      <c r="I240" s="1">
        <v>0</v>
      </c>
      <c r="AD240" s="1">
        <v>0</v>
      </c>
      <c r="AY240" s="13">
        <v>1.3181643999999999</v>
      </c>
      <c r="BG240" s="1">
        <v>0.44</v>
      </c>
      <c r="BH240" s="1">
        <v>0.08</v>
      </c>
      <c r="BK240" s="11"/>
      <c r="BL240" s="11"/>
      <c r="BM240" s="11"/>
      <c r="BQ240" s="1">
        <v>47.5</v>
      </c>
      <c r="BT240" s="1">
        <v>0</v>
      </c>
      <c r="CO240" s="1">
        <v>0</v>
      </c>
      <c r="DJ240" s="1" t="s">
        <v>163</v>
      </c>
      <c r="DK240" s="1" t="s">
        <v>163</v>
      </c>
      <c r="DL240" s="1">
        <f t="shared" si="462"/>
        <v>0.44000000000000006</v>
      </c>
      <c r="DM240" s="1">
        <f t="shared" si="463"/>
        <v>0.08</v>
      </c>
      <c r="DN240" s="1" t="s">
        <v>285</v>
      </c>
      <c r="DO240" s="1" t="s">
        <v>2</v>
      </c>
      <c r="DP240" s="38">
        <f t="shared" si="470"/>
        <v>0</v>
      </c>
      <c r="DQ240" s="38">
        <f t="shared" si="471"/>
        <v>0</v>
      </c>
      <c r="DR240" s="38">
        <f t="shared" si="472"/>
        <v>0</v>
      </c>
      <c r="DS240" s="38">
        <f t="shared" si="473"/>
        <v>0</v>
      </c>
      <c r="DT240" s="38">
        <f t="shared" si="474"/>
        <v>0</v>
      </c>
      <c r="DU240" s="38">
        <f t="shared" si="475"/>
        <v>0</v>
      </c>
      <c r="DV240" s="38">
        <f t="shared" si="476"/>
        <v>0</v>
      </c>
      <c r="DW240" s="38">
        <f t="shared" si="477"/>
        <v>5.7999233599999997E-3</v>
      </c>
      <c r="DX240" s="38">
        <f t="shared" si="478"/>
        <v>1.0545315199999999E-3</v>
      </c>
      <c r="DY240" s="38">
        <f t="shared" si="479"/>
        <v>0</v>
      </c>
      <c r="DZ240" s="38">
        <f t="shared" si="480"/>
        <v>0</v>
      </c>
      <c r="EA240" s="38">
        <f t="shared" si="481"/>
        <v>0</v>
      </c>
      <c r="EB240" s="38">
        <f t="shared" si="482"/>
        <v>0</v>
      </c>
      <c r="EC240" s="38">
        <f t="shared" si="483"/>
        <v>0</v>
      </c>
      <c r="ED240" s="38">
        <f t="shared" si="484"/>
        <v>0</v>
      </c>
      <c r="EE240" s="38">
        <f t="shared" si="485"/>
        <v>0</v>
      </c>
      <c r="EG240" s="38">
        <f t="shared" si="486"/>
        <v>62.612808999999999</v>
      </c>
      <c r="EH240" s="38">
        <f t="shared" si="487"/>
        <v>0</v>
      </c>
      <c r="EI240" s="38">
        <f t="shared" si="488"/>
        <v>0</v>
      </c>
      <c r="EJ240" s="38">
        <f t="shared" si="489"/>
        <v>0</v>
      </c>
      <c r="EK240" s="38">
        <f t="shared" si="490"/>
        <v>0</v>
      </c>
      <c r="EL240" s="38">
        <f t="shared" si="491"/>
        <v>0</v>
      </c>
      <c r="EM240" s="38">
        <f t="shared" si="492"/>
        <v>0</v>
      </c>
      <c r="EN240" s="38">
        <f t="shared" si="493"/>
        <v>0</v>
      </c>
      <c r="EO240" s="38">
        <f t="shared" si="494"/>
        <v>0</v>
      </c>
      <c r="EP240" s="38">
        <f t="shared" si="495"/>
        <v>76.060194943040003</v>
      </c>
      <c r="EQ240" s="38">
        <f t="shared" si="496"/>
        <v>76.57957702539646</v>
      </c>
      <c r="ER240" s="38">
        <f t="shared" si="497"/>
        <v>0</v>
      </c>
      <c r="ES240" s="38">
        <f t="shared" si="498"/>
        <v>0</v>
      </c>
      <c r="ET240" s="38">
        <f t="shared" si="499"/>
        <v>0</v>
      </c>
      <c r="EU240" s="38">
        <f t="shared" si="500"/>
        <v>0</v>
      </c>
      <c r="EV240" s="38">
        <f t="shared" si="501"/>
        <v>0</v>
      </c>
      <c r="EW240" s="38">
        <f t="shared" si="502"/>
        <v>0</v>
      </c>
      <c r="EX240" s="38">
        <f t="shared" si="503"/>
        <v>0</v>
      </c>
      <c r="EZ240" s="38">
        <f t="shared" si="504"/>
        <v>22.540611239999997</v>
      </c>
      <c r="FA240" s="38">
        <f t="shared" si="505"/>
        <v>0</v>
      </c>
      <c r="FB240" s="1">
        <f t="shared" si="506"/>
        <v>0</v>
      </c>
      <c r="FC240" s="1">
        <f t="shared" si="507"/>
        <v>0</v>
      </c>
      <c r="FD240" s="1">
        <f t="shared" si="508"/>
        <v>0</v>
      </c>
      <c r="FE240" s="1">
        <f t="shared" si="509"/>
        <v>0</v>
      </c>
      <c r="FF240" s="1">
        <f t="shared" si="510"/>
        <v>0</v>
      </c>
      <c r="FG240" s="1">
        <f t="shared" si="511"/>
        <v>0</v>
      </c>
      <c r="FH240" s="1">
        <f t="shared" si="512"/>
        <v>0</v>
      </c>
      <c r="FI240" s="1">
        <f t="shared" si="513"/>
        <v>0</v>
      </c>
      <c r="FJ240" s="1">
        <f t="shared" si="514"/>
        <v>0</v>
      </c>
      <c r="FK240" s="1">
        <f t="shared" si="515"/>
        <v>0</v>
      </c>
      <c r="FL240" s="1">
        <f t="shared" si="516"/>
        <v>0</v>
      </c>
      <c r="FM240" s="1">
        <f t="shared" si="517"/>
        <v>0</v>
      </c>
      <c r="FN240" s="1">
        <f t="shared" si="518"/>
        <v>0</v>
      </c>
      <c r="FO240" s="1">
        <f t="shared" si="519"/>
        <v>0</v>
      </c>
      <c r="FP240" s="1">
        <f t="shared" si="520"/>
        <v>0</v>
      </c>
      <c r="FQ240" s="1">
        <f t="shared" si="521"/>
        <v>0</v>
      </c>
      <c r="FS240" s="1">
        <f t="shared" si="522"/>
        <v>0</v>
      </c>
      <c r="FT240" s="1">
        <f t="shared" si="523"/>
        <v>0</v>
      </c>
      <c r="FU240" s="38">
        <f t="shared" si="524"/>
        <v>0</v>
      </c>
      <c r="FV240" s="38">
        <f t="shared" si="525"/>
        <v>0</v>
      </c>
      <c r="FW240" s="38">
        <f t="shared" si="526"/>
        <v>0</v>
      </c>
      <c r="FX240" s="38">
        <f t="shared" si="527"/>
        <v>0</v>
      </c>
      <c r="FY240" s="38">
        <f t="shared" si="528"/>
        <v>0</v>
      </c>
      <c r="FZ240" s="38">
        <f t="shared" si="529"/>
        <v>0</v>
      </c>
      <c r="GA240" s="38">
        <f t="shared" si="530"/>
        <v>0</v>
      </c>
      <c r="GB240" s="38">
        <f t="shared" si="531"/>
        <v>0</v>
      </c>
      <c r="GC240" s="38">
        <f t="shared" si="532"/>
        <v>0</v>
      </c>
      <c r="GD240" s="38">
        <f t="shared" si="533"/>
        <v>0</v>
      </c>
      <c r="GE240" s="38">
        <f t="shared" si="534"/>
        <v>0</v>
      </c>
      <c r="GF240" s="38">
        <f t="shared" si="535"/>
        <v>0</v>
      </c>
      <c r="GG240" s="38">
        <f t="shared" si="536"/>
        <v>0</v>
      </c>
      <c r="GH240" s="38">
        <f t="shared" si="537"/>
        <v>0</v>
      </c>
      <c r="GI240" s="38">
        <f t="shared" si="538"/>
        <v>0</v>
      </c>
      <c r="GJ240" s="38">
        <f t="shared" si="539"/>
        <v>0</v>
      </c>
      <c r="GL240" s="38">
        <f t="shared" si="540"/>
        <v>0</v>
      </c>
      <c r="GM240" s="38">
        <f t="shared" si="541"/>
        <v>0</v>
      </c>
      <c r="GN240" s="1" t="s">
        <v>2</v>
      </c>
      <c r="GO240" s="2">
        <f t="shared" si="464"/>
        <v>1.3181643999999999</v>
      </c>
      <c r="GP240" s="1">
        <f t="shared" si="465"/>
        <v>0.44000000000000006</v>
      </c>
      <c r="GQ240" s="41">
        <f t="shared" si="466"/>
        <v>5.7999233600000002</v>
      </c>
      <c r="GR240" s="41">
        <f t="shared" si="467"/>
        <v>175.18038320843647</v>
      </c>
      <c r="GS240" s="14">
        <f t="shared" si="468"/>
        <v>132.89721919999999</v>
      </c>
      <c r="GT240" s="1">
        <f t="shared" si="542"/>
        <v>0</v>
      </c>
      <c r="GU240" s="1">
        <f t="shared" si="543"/>
        <v>0</v>
      </c>
      <c r="GV240" s="1">
        <f t="shared" si="544"/>
        <v>5.7999233600000002</v>
      </c>
      <c r="GW240" s="37">
        <f t="shared" si="469"/>
        <v>0</v>
      </c>
      <c r="GX240" s="37"/>
      <c r="GY240" s="37"/>
      <c r="GZ240" s="37"/>
      <c r="HB240" s="1">
        <f t="shared" si="545"/>
        <v>0</v>
      </c>
      <c r="HC240" s="1">
        <f t="shared" si="546"/>
        <v>0</v>
      </c>
      <c r="HD240" s="37" t="s">
        <v>2</v>
      </c>
      <c r="HE240" s="1" t="s">
        <v>31</v>
      </c>
      <c r="HF240" s="1" t="s">
        <v>193</v>
      </c>
      <c r="HG240" s="1" t="s">
        <v>193</v>
      </c>
      <c r="HI240" s="1" t="s">
        <v>163</v>
      </c>
      <c r="HJ240" s="37" t="s">
        <v>2</v>
      </c>
      <c r="JH240" s="58" t="s">
        <v>2</v>
      </c>
    </row>
    <row r="241" spans="1:268" ht="16.25" customHeight="1" x14ac:dyDescent="0.2">
      <c r="A241" s="21" t="s">
        <v>1137</v>
      </c>
      <c r="B241" s="1" t="s">
        <v>69</v>
      </c>
      <c r="F241" s="1" t="s">
        <v>1138</v>
      </c>
      <c r="I241" s="1">
        <v>0</v>
      </c>
      <c r="AD241" s="1">
        <v>0</v>
      </c>
      <c r="AY241" s="1">
        <v>400</v>
      </c>
      <c r="BG241" s="1">
        <v>1.1000000000000001</v>
      </c>
      <c r="BH241" s="1">
        <v>0.14000000000000001</v>
      </c>
      <c r="BT241" s="1">
        <v>0</v>
      </c>
      <c r="CO241" s="1">
        <v>0</v>
      </c>
      <c r="DJ241" s="1" t="s">
        <v>163</v>
      </c>
      <c r="DK241" s="1" t="s">
        <v>163</v>
      </c>
      <c r="DL241" s="1">
        <f t="shared" si="462"/>
        <v>1.1000000000000001</v>
      </c>
      <c r="DM241" s="1">
        <f t="shared" si="463"/>
        <v>0.14000000000000001</v>
      </c>
      <c r="DN241" s="1" t="s">
        <v>471</v>
      </c>
      <c r="DO241" s="1" t="s">
        <v>2</v>
      </c>
      <c r="DP241" s="38">
        <f t="shared" si="470"/>
        <v>0</v>
      </c>
      <c r="DQ241" s="38">
        <f t="shared" si="471"/>
        <v>0</v>
      </c>
      <c r="DR241" s="38">
        <f t="shared" si="472"/>
        <v>0</v>
      </c>
      <c r="DS241" s="38">
        <f t="shared" si="473"/>
        <v>0</v>
      </c>
      <c r="DT241" s="38">
        <f t="shared" si="474"/>
        <v>0</v>
      </c>
      <c r="DU241" s="38">
        <f t="shared" si="475"/>
        <v>0</v>
      </c>
      <c r="DV241" s="38">
        <f t="shared" si="476"/>
        <v>0</v>
      </c>
      <c r="DW241" s="38">
        <f t="shared" si="477"/>
        <v>4.4000000000000004</v>
      </c>
      <c r="DX241" s="38">
        <f t="shared" si="478"/>
        <v>0.56000000000000005</v>
      </c>
      <c r="DY241" s="38">
        <f t="shared" si="479"/>
        <v>0</v>
      </c>
      <c r="DZ241" s="38">
        <f t="shared" si="480"/>
        <v>0</v>
      </c>
      <c r="EA241" s="38">
        <f t="shared" si="481"/>
        <v>0</v>
      </c>
      <c r="EB241" s="38">
        <f t="shared" si="482"/>
        <v>0</v>
      </c>
      <c r="EC241" s="38">
        <f t="shared" si="483"/>
        <v>0</v>
      </c>
      <c r="ED241" s="38">
        <f t="shared" si="484"/>
        <v>0</v>
      </c>
      <c r="EE241" s="38">
        <f t="shared" si="485"/>
        <v>0</v>
      </c>
      <c r="EG241" s="38">
        <f t="shared" si="486"/>
        <v>0</v>
      </c>
      <c r="EH241" s="38">
        <f t="shared" si="487"/>
        <v>0</v>
      </c>
      <c r="EI241" s="38">
        <f t="shared" si="488"/>
        <v>0</v>
      </c>
      <c r="EJ241" s="38">
        <f t="shared" si="489"/>
        <v>0</v>
      </c>
      <c r="EK241" s="38">
        <f t="shared" si="490"/>
        <v>0</v>
      </c>
      <c r="EL241" s="38">
        <f t="shared" si="491"/>
        <v>0</v>
      </c>
      <c r="EM241" s="38">
        <f t="shared" si="492"/>
        <v>0</v>
      </c>
      <c r="EN241" s="38">
        <f t="shared" si="493"/>
        <v>0</v>
      </c>
      <c r="EO241" s="38">
        <f t="shared" si="494"/>
        <v>0</v>
      </c>
      <c r="EP241" s="38">
        <f t="shared" si="495"/>
        <v>57701.600000000006</v>
      </c>
      <c r="EQ241" s="38">
        <f t="shared" si="496"/>
        <v>40666.933440000001</v>
      </c>
      <c r="ER241" s="38">
        <f t="shared" si="497"/>
        <v>0</v>
      </c>
      <c r="ES241" s="38">
        <f t="shared" si="498"/>
        <v>0</v>
      </c>
      <c r="ET241" s="38">
        <f t="shared" si="499"/>
        <v>0</v>
      </c>
      <c r="EU241" s="38">
        <f t="shared" si="500"/>
        <v>0</v>
      </c>
      <c r="EV241" s="38">
        <f t="shared" si="501"/>
        <v>0</v>
      </c>
      <c r="EW241" s="38">
        <f t="shared" si="502"/>
        <v>0</v>
      </c>
      <c r="EX241" s="38">
        <f t="shared" si="503"/>
        <v>0</v>
      </c>
      <c r="EZ241" s="38">
        <f t="shared" si="504"/>
        <v>0</v>
      </c>
      <c r="FA241" s="38">
        <f t="shared" si="505"/>
        <v>0</v>
      </c>
      <c r="FB241" s="1">
        <f t="shared" si="506"/>
        <v>0</v>
      </c>
      <c r="FC241" s="1">
        <f t="shared" si="507"/>
        <v>0</v>
      </c>
      <c r="FD241" s="1">
        <f t="shared" si="508"/>
        <v>0</v>
      </c>
      <c r="FE241" s="1">
        <f t="shared" si="509"/>
        <v>0</v>
      </c>
      <c r="FF241" s="1">
        <f t="shared" si="510"/>
        <v>0</v>
      </c>
      <c r="FG241" s="1">
        <f t="shared" si="511"/>
        <v>0</v>
      </c>
      <c r="FH241" s="1">
        <f t="shared" si="512"/>
        <v>0</v>
      </c>
      <c r="FI241" s="1">
        <f t="shared" si="513"/>
        <v>0</v>
      </c>
      <c r="FJ241" s="1">
        <f t="shared" si="514"/>
        <v>0</v>
      </c>
      <c r="FK241" s="1">
        <f t="shared" si="515"/>
        <v>0</v>
      </c>
      <c r="FL241" s="1">
        <f t="shared" si="516"/>
        <v>0</v>
      </c>
      <c r="FM241" s="1">
        <f t="shared" si="517"/>
        <v>0</v>
      </c>
      <c r="FN241" s="1">
        <f t="shared" si="518"/>
        <v>0</v>
      </c>
      <c r="FO241" s="1">
        <f t="shared" si="519"/>
        <v>0</v>
      </c>
      <c r="FP241" s="1">
        <f t="shared" si="520"/>
        <v>0</v>
      </c>
      <c r="FQ241" s="1">
        <f t="shared" si="521"/>
        <v>0</v>
      </c>
      <c r="FS241" s="1">
        <f t="shared" si="522"/>
        <v>0</v>
      </c>
      <c r="FT241" s="1">
        <f t="shared" si="523"/>
        <v>0</v>
      </c>
      <c r="FU241" s="38">
        <f t="shared" si="524"/>
        <v>0</v>
      </c>
      <c r="FV241" s="38">
        <f t="shared" si="525"/>
        <v>0</v>
      </c>
      <c r="FW241" s="38">
        <f t="shared" si="526"/>
        <v>0</v>
      </c>
      <c r="FX241" s="38">
        <f t="shared" si="527"/>
        <v>0</v>
      </c>
      <c r="FY241" s="38">
        <f t="shared" si="528"/>
        <v>0</v>
      </c>
      <c r="FZ241" s="38">
        <f t="shared" si="529"/>
        <v>0</v>
      </c>
      <c r="GA241" s="38">
        <f t="shared" si="530"/>
        <v>0</v>
      </c>
      <c r="GB241" s="38">
        <f t="shared" si="531"/>
        <v>0</v>
      </c>
      <c r="GC241" s="38">
        <f t="shared" si="532"/>
        <v>0</v>
      </c>
      <c r="GD241" s="38">
        <f t="shared" si="533"/>
        <v>0</v>
      </c>
      <c r="GE241" s="38">
        <f t="shared" si="534"/>
        <v>0</v>
      </c>
      <c r="GF241" s="38">
        <f t="shared" si="535"/>
        <v>0</v>
      </c>
      <c r="GG241" s="38">
        <f t="shared" si="536"/>
        <v>0</v>
      </c>
      <c r="GH241" s="38">
        <f t="shared" si="537"/>
        <v>0</v>
      </c>
      <c r="GI241" s="38">
        <f t="shared" si="538"/>
        <v>0</v>
      </c>
      <c r="GJ241" s="38">
        <f t="shared" si="539"/>
        <v>0</v>
      </c>
      <c r="GL241" s="38">
        <f t="shared" si="540"/>
        <v>0</v>
      </c>
      <c r="GM241" s="38">
        <f t="shared" si="541"/>
        <v>0</v>
      </c>
      <c r="GN241" s="1" t="s">
        <v>2</v>
      </c>
      <c r="GO241" s="1">
        <f t="shared" si="464"/>
        <v>400</v>
      </c>
      <c r="GP241" s="1">
        <f t="shared" si="465"/>
        <v>1.1000000000000001</v>
      </c>
      <c r="GQ241" s="43">
        <f t="shared" si="466"/>
        <v>4400.0000000000009</v>
      </c>
      <c r="GR241" s="41">
        <f t="shared" si="467"/>
        <v>98368.533439999999</v>
      </c>
      <c r="GS241" s="14">
        <f t="shared" si="468"/>
        <v>245.9213336</v>
      </c>
      <c r="GT241" s="1">
        <f t="shared" si="542"/>
        <v>0</v>
      </c>
      <c r="GU241" s="1">
        <f t="shared" si="543"/>
        <v>0</v>
      </c>
      <c r="GV241" s="1">
        <f t="shared" si="544"/>
        <v>4400.0000000000009</v>
      </c>
      <c r="GW241" s="37">
        <f t="shared" si="469"/>
        <v>0</v>
      </c>
      <c r="GX241" s="37"/>
      <c r="GY241" s="37"/>
      <c r="GZ241" s="37"/>
      <c r="HB241" s="1">
        <f t="shared" si="545"/>
        <v>0</v>
      </c>
      <c r="HC241" s="1">
        <f t="shared" si="546"/>
        <v>0</v>
      </c>
      <c r="HD241" s="37" t="s">
        <v>2</v>
      </c>
      <c r="HE241" s="1" t="s">
        <v>31</v>
      </c>
      <c r="HF241" s="1" t="s">
        <v>193</v>
      </c>
      <c r="HG241" s="1" t="s">
        <v>193</v>
      </c>
      <c r="HI241" s="1" t="s">
        <v>163</v>
      </c>
      <c r="HJ241" s="37" t="s">
        <v>2</v>
      </c>
      <c r="JH241" s="58" t="s">
        <v>2</v>
      </c>
    </row>
    <row r="242" spans="1:268" ht="16.25" customHeight="1" x14ac:dyDescent="0.2">
      <c r="A242" s="21" t="s">
        <v>1143</v>
      </c>
      <c r="B242" s="1" t="s">
        <v>69</v>
      </c>
      <c r="F242" s="1" t="s">
        <v>1138</v>
      </c>
      <c r="I242" s="1">
        <v>0</v>
      </c>
      <c r="AD242" s="1">
        <v>0</v>
      </c>
      <c r="AY242" s="1">
        <v>234</v>
      </c>
      <c r="BG242" s="1">
        <v>1.3</v>
      </c>
      <c r="BT242" s="1">
        <v>0</v>
      </c>
      <c r="CO242" s="1">
        <v>0</v>
      </c>
      <c r="DJ242" s="1" t="s">
        <v>163</v>
      </c>
      <c r="DL242" s="1">
        <f t="shared" si="462"/>
        <v>1.3</v>
      </c>
      <c r="DM242" s="1">
        <f t="shared" si="463"/>
        <v>0</v>
      </c>
      <c r="DN242" s="1" t="s">
        <v>471</v>
      </c>
      <c r="DO242" s="1" t="s">
        <v>2</v>
      </c>
      <c r="DP242" s="38">
        <f t="shared" si="470"/>
        <v>0</v>
      </c>
      <c r="DQ242" s="38">
        <f t="shared" si="471"/>
        <v>0</v>
      </c>
      <c r="DR242" s="38">
        <f t="shared" si="472"/>
        <v>0</v>
      </c>
      <c r="DS242" s="38">
        <f t="shared" si="473"/>
        <v>0</v>
      </c>
      <c r="DT242" s="38">
        <f t="shared" si="474"/>
        <v>0</v>
      </c>
      <c r="DU242" s="38">
        <f t="shared" si="475"/>
        <v>0</v>
      </c>
      <c r="DV242" s="38">
        <f t="shared" si="476"/>
        <v>0</v>
      </c>
      <c r="DW242" s="38">
        <f t="shared" si="477"/>
        <v>3.0419999999999998</v>
      </c>
      <c r="DX242" s="38">
        <f t="shared" si="478"/>
        <v>0</v>
      </c>
      <c r="DY242" s="38">
        <f t="shared" si="479"/>
        <v>0</v>
      </c>
      <c r="DZ242" s="38">
        <f t="shared" si="480"/>
        <v>0</v>
      </c>
      <c r="EA242" s="38">
        <f t="shared" si="481"/>
        <v>0</v>
      </c>
      <c r="EB242" s="38">
        <f t="shared" si="482"/>
        <v>0</v>
      </c>
      <c r="EC242" s="38">
        <f t="shared" si="483"/>
        <v>0</v>
      </c>
      <c r="ED242" s="38">
        <f t="shared" si="484"/>
        <v>0</v>
      </c>
      <c r="EE242" s="38">
        <f t="shared" si="485"/>
        <v>0</v>
      </c>
      <c r="EG242" s="38">
        <f t="shared" si="486"/>
        <v>0</v>
      </c>
      <c r="EH242" s="38">
        <f t="shared" si="487"/>
        <v>0</v>
      </c>
      <c r="EI242" s="38">
        <f t="shared" si="488"/>
        <v>0</v>
      </c>
      <c r="EJ242" s="38">
        <f t="shared" si="489"/>
        <v>0</v>
      </c>
      <c r="EK242" s="38">
        <f t="shared" si="490"/>
        <v>0</v>
      </c>
      <c r="EL242" s="38">
        <f t="shared" si="491"/>
        <v>0</v>
      </c>
      <c r="EM242" s="38">
        <f t="shared" si="492"/>
        <v>0</v>
      </c>
      <c r="EN242" s="38">
        <f t="shared" si="493"/>
        <v>0</v>
      </c>
      <c r="EO242" s="38">
        <f t="shared" si="494"/>
        <v>0</v>
      </c>
      <c r="EP242" s="38">
        <f t="shared" si="495"/>
        <v>39892.788</v>
      </c>
      <c r="EQ242" s="38">
        <f t="shared" si="496"/>
        <v>0</v>
      </c>
      <c r="ER242" s="38">
        <f t="shared" si="497"/>
        <v>0</v>
      </c>
      <c r="ES242" s="38">
        <f t="shared" si="498"/>
        <v>0</v>
      </c>
      <c r="ET242" s="38">
        <f t="shared" si="499"/>
        <v>0</v>
      </c>
      <c r="EU242" s="38">
        <f t="shared" si="500"/>
        <v>0</v>
      </c>
      <c r="EV242" s="38">
        <f t="shared" si="501"/>
        <v>0</v>
      </c>
      <c r="EW242" s="38">
        <f t="shared" si="502"/>
        <v>0</v>
      </c>
      <c r="EX242" s="38">
        <f t="shared" si="503"/>
        <v>0</v>
      </c>
      <c r="EZ242" s="38">
        <f t="shared" si="504"/>
        <v>0</v>
      </c>
      <c r="FA242" s="38">
        <f t="shared" si="505"/>
        <v>0</v>
      </c>
      <c r="FB242" s="1">
        <f t="shared" si="506"/>
        <v>0</v>
      </c>
      <c r="FC242" s="1">
        <f t="shared" si="507"/>
        <v>0</v>
      </c>
      <c r="FD242" s="1">
        <f t="shared" si="508"/>
        <v>0</v>
      </c>
      <c r="FE242" s="1">
        <f t="shared" si="509"/>
        <v>0</v>
      </c>
      <c r="FF242" s="1">
        <f t="shared" si="510"/>
        <v>0</v>
      </c>
      <c r="FG242" s="1">
        <f t="shared" si="511"/>
        <v>0</v>
      </c>
      <c r="FH242" s="1">
        <f t="shared" si="512"/>
        <v>0</v>
      </c>
      <c r="FI242" s="1">
        <f t="shared" si="513"/>
        <v>0</v>
      </c>
      <c r="FJ242" s="1">
        <f t="shared" si="514"/>
        <v>0</v>
      </c>
      <c r="FK242" s="1">
        <f t="shared" si="515"/>
        <v>0</v>
      </c>
      <c r="FL242" s="1">
        <f t="shared" si="516"/>
        <v>0</v>
      </c>
      <c r="FM242" s="1">
        <f t="shared" si="517"/>
        <v>0</v>
      </c>
      <c r="FN242" s="1">
        <f t="shared" si="518"/>
        <v>0</v>
      </c>
      <c r="FO242" s="1">
        <f t="shared" si="519"/>
        <v>0</v>
      </c>
      <c r="FP242" s="1">
        <f t="shared" si="520"/>
        <v>0</v>
      </c>
      <c r="FQ242" s="1">
        <f t="shared" si="521"/>
        <v>0</v>
      </c>
      <c r="FS242" s="1">
        <f t="shared" si="522"/>
        <v>0</v>
      </c>
      <c r="FT242" s="1">
        <f t="shared" si="523"/>
        <v>0</v>
      </c>
      <c r="FU242" s="38">
        <f t="shared" si="524"/>
        <v>0</v>
      </c>
      <c r="FV242" s="38">
        <f t="shared" si="525"/>
        <v>0</v>
      </c>
      <c r="FW242" s="38">
        <f t="shared" si="526"/>
        <v>0</v>
      </c>
      <c r="FX242" s="38">
        <f t="shared" si="527"/>
        <v>0</v>
      </c>
      <c r="FY242" s="38">
        <f t="shared" si="528"/>
        <v>0</v>
      </c>
      <c r="FZ242" s="38">
        <f t="shared" si="529"/>
        <v>0</v>
      </c>
      <c r="GA242" s="38">
        <f t="shared" si="530"/>
        <v>0</v>
      </c>
      <c r="GB242" s="38">
        <f t="shared" si="531"/>
        <v>0</v>
      </c>
      <c r="GC242" s="38">
        <f t="shared" si="532"/>
        <v>0</v>
      </c>
      <c r="GD242" s="38">
        <f t="shared" si="533"/>
        <v>0</v>
      </c>
      <c r="GE242" s="38">
        <f t="shared" si="534"/>
        <v>0</v>
      </c>
      <c r="GF242" s="38">
        <f t="shared" si="535"/>
        <v>0</v>
      </c>
      <c r="GG242" s="38">
        <f t="shared" si="536"/>
        <v>0</v>
      </c>
      <c r="GH242" s="38">
        <f t="shared" si="537"/>
        <v>0</v>
      </c>
      <c r="GI242" s="38">
        <f t="shared" si="538"/>
        <v>0</v>
      </c>
      <c r="GJ242" s="38">
        <f t="shared" si="539"/>
        <v>0</v>
      </c>
      <c r="GL242" s="38">
        <f t="shared" si="540"/>
        <v>0</v>
      </c>
      <c r="GM242" s="38">
        <f t="shared" si="541"/>
        <v>0</v>
      </c>
      <c r="GN242" s="1" t="s">
        <v>2</v>
      </c>
      <c r="GO242" s="1">
        <f t="shared" si="464"/>
        <v>234</v>
      </c>
      <c r="GP242" s="1">
        <f t="shared" si="465"/>
        <v>1.3</v>
      </c>
      <c r="GQ242" s="43">
        <f t="shared" si="466"/>
        <v>3042</v>
      </c>
      <c r="GR242" s="41">
        <f t="shared" si="467"/>
        <v>39892.788</v>
      </c>
      <c r="GS242" s="14">
        <f t="shared" si="468"/>
        <v>170.482</v>
      </c>
      <c r="GT242" s="1">
        <f t="shared" si="542"/>
        <v>0</v>
      </c>
      <c r="GU242" s="1">
        <f t="shared" si="543"/>
        <v>0</v>
      </c>
      <c r="GV242" s="1">
        <f t="shared" si="544"/>
        <v>3042</v>
      </c>
      <c r="GW242" s="37">
        <f t="shared" si="469"/>
        <v>0</v>
      </c>
      <c r="GX242" s="37"/>
      <c r="GY242" s="37"/>
      <c r="GZ242" s="37"/>
      <c r="HB242" s="1">
        <f t="shared" si="545"/>
        <v>0</v>
      </c>
      <c r="HC242" s="1">
        <f t="shared" si="546"/>
        <v>0</v>
      </c>
      <c r="HD242" s="37" t="s">
        <v>2</v>
      </c>
      <c r="HE242" s="1" t="s">
        <v>31</v>
      </c>
      <c r="HF242" s="1" t="s">
        <v>193</v>
      </c>
      <c r="HG242" s="1" t="s">
        <v>193</v>
      </c>
      <c r="HI242" s="1" t="s">
        <v>163</v>
      </c>
      <c r="HJ242" s="37" t="s">
        <v>2</v>
      </c>
      <c r="JH242" s="58" t="s">
        <v>2</v>
      </c>
    </row>
    <row r="243" spans="1:268" ht="16.25" customHeight="1" x14ac:dyDescent="0.2">
      <c r="A243" s="21" t="s">
        <v>1111</v>
      </c>
      <c r="B243" s="1" t="s">
        <v>64</v>
      </c>
      <c r="F243" s="1" t="s">
        <v>1112</v>
      </c>
      <c r="H243" s="1" t="s">
        <v>467</v>
      </c>
      <c r="I243" s="1">
        <v>0</v>
      </c>
      <c r="AD243" s="1">
        <v>0</v>
      </c>
      <c r="AY243" s="1">
        <f>66.2-13*0.7</f>
        <v>57.1</v>
      </c>
      <c r="BG243" s="1" t="s">
        <v>1113</v>
      </c>
      <c r="BT243" s="1">
        <v>0</v>
      </c>
      <c r="CO243" s="1">
        <v>0</v>
      </c>
      <c r="DJ243" s="1" t="s">
        <v>163</v>
      </c>
      <c r="DL243" s="1">
        <f t="shared" si="462"/>
        <v>0.76999999999999991</v>
      </c>
      <c r="DM243" s="1">
        <f t="shared" si="463"/>
        <v>0</v>
      </c>
      <c r="DN243" s="1" t="s">
        <v>471</v>
      </c>
      <c r="DO243" s="1" t="s">
        <v>2</v>
      </c>
      <c r="DP243" s="38">
        <f t="shared" si="470"/>
        <v>0</v>
      </c>
      <c r="DQ243" s="38">
        <f t="shared" si="471"/>
        <v>0</v>
      </c>
      <c r="DR243" s="38">
        <f t="shared" si="472"/>
        <v>0</v>
      </c>
      <c r="DS243" s="38">
        <f t="shared" si="473"/>
        <v>0</v>
      </c>
      <c r="DT243" s="38">
        <f t="shared" si="474"/>
        <v>0</v>
      </c>
      <c r="DU243" s="38">
        <f t="shared" si="475"/>
        <v>0</v>
      </c>
      <c r="DV243" s="38">
        <f t="shared" si="476"/>
        <v>0</v>
      </c>
      <c r="DW243" s="38">
        <f t="shared" si="477"/>
        <v>0.43967000000000001</v>
      </c>
      <c r="DX243" s="38">
        <f t="shared" si="478"/>
        <v>0</v>
      </c>
      <c r="DY243" s="38">
        <f t="shared" si="479"/>
        <v>0</v>
      </c>
      <c r="DZ243" s="38">
        <f t="shared" si="480"/>
        <v>0</v>
      </c>
      <c r="EA243" s="38">
        <f t="shared" si="481"/>
        <v>0</v>
      </c>
      <c r="EB243" s="38">
        <f t="shared" si="482"/>
        <v>0</v>
      </c>
      <c r="EC243" s="38">
        <f t="shared" si="483"/>
        <v>0</v>
      </c>
      <c r="ED243" s="38">
        <f t="shared" si="484"/>
        <v>0</v>
      </c>
      <c r="EE243" s="38">
        <f t="shared" si="485"/>
        <v>0</v>
      </c>
      <c r="EG243" s="38">
        <f t="shared" si="486"/>
        <v>0</v>
      </c>
      <c r="EH243" s="38">
        <f t="shared" si="487"/>
        <v>0</v>
      </c>
      <c r="EI243" s="38">
        <f t="shared" si="488"/>
        <v>0</v>
      </c>
      <c r="EJ243" s="38">
        <f t="shared" si="489"/>
        <v>0</v>
      </c>
      <c r="EK243" s="38">
        <f t="shared" si="490"/>
        <v>0</v>
      </c>
      <c r="EL243" s="38">
        <f t="shared" si="491"/>
        <v>0</v>
      </c>
      <c r="EM243" s="38">
        <f t="shared" si="492"/>
        <v>0</v>
      </c>
      <c r="EN243" s="38">
        <f t="shared" si="493"/>
        <v>0</v>
      </c>
      <c r="EO243" s="38">
        <f t="shared" si="494"/>
        <v>0</v>
      </c>
      <c r="EP243" s="38">
        <f t="shared" si="495"/>
        <v>5765.8323799999998</v>
      </c>
      <c r="EQ243" s="38">
        <f t="shared" si="496"/>
        <v>0</v>
      </c>
      <c r="ER243" s="38">
        <f t="shared" si="497"/>
        <v>0</v>
      </c>
      <c r="ES243" s="38">
        <f t="shared" si="498"/>
        <v>0</v>
      </c>
      <c r="ET243" s="38">
        <f t="shared" si="499"/>
        <v>0</v>
      </c>
      <c r="EU243" s="38">
        <f t="shared" si="500"/>
        <v>0</v>
      </c>
      <c r="EV243" s="38">
        <f t="shared" si="501"/>
        <v>0</v>
      </c>
      <c r="EW243" s="38">
        <f t="shared" si="502"/>
        <v>0</v>
      </c>
      <c r="EX243" s="38">
        <f t="shared" si="503"/>
        <v>0</v>
      </c>
      <c r="EZ243" s="38">
        <f t="shared" si="504"/>
        <v>0</v>
      </c>
      <c r="FA243" s="38">
        <f t="shared" si="505"/>
        <v>0</v>
      </c>
      <c r="FB243" s="1">
        <f t="shared" si="506"/>
        <v>0</v>
      </c>
      <c r="FC243" s="1">
        <f t="shared" si="507"/>
        <v>0</v>
      </c>
      <c r="FD243" s="1">
        <f t="shared" si="508"/>
        <v>0</v>
      </c>
      <c r="FE243" s="1">
        <f t="shared" si="509"/>
        <v>0</v>
      </c>
      <c r="FF243" s="1">
        <f t="shared" si="510"/>
        <v>0</v>
      </c>
      <c r="FG243" s="1">
        <f t="shared" si="511"/>
        <v>0</v>
      </c>
      <c r="FH243" s="1">
        <f t="shared" si="512"/>
        <v>0</v>
      </c>
      <c r="FI243" s="1">
        <f t="shared" si="513"/>
        <v>0</v>
      </c>
      <c r="FJ243" s="1">
        <f t="shared" si="514"/>
        <v>0</v>
      </c>
      <c r="FK243" s="1">
        <f t="shared" si="515"/>
        <v>0</v>
      </c>
      <c r="FL243" s="1">
        <f t="shared" si="516"/>
        <v>0</v>
      </c>
      <c r="FM243" s="1">
        <f t="shared" si="517"/>
        <v>0</v>
      </c>
      <c r="FN243" s="1">
        <f t="shared" si="518"/>
        <v>0</v>
      </c>
      <c r="FO243" s="1">
        <f t="shared" si="519"/>
        <v>0</v>
      </c>
      <c r="FP243" s="1">
        <f t="shared" si="520"/>
        <v>0</v>
      </c>
      <c r="FQ243" s="1">
        <f t="shared" si="521"/>
        <v>0</v>
      </c>
      <c r="FS243" s="1">
        <f t="shared" si="522"/>
        <v>0</v>
      </c>
      <c r="FT243" s="1">
        <f t="shared" si="523"/>
        <v>0</v>
      </c>
      <c r="FU243" s="38">
        <f t="shared" si="524"/>
        <v>0</v>
      </c>
      <c r="FV243" s="38">
        <f t="shared" si="525"/>
        <v>0</v>
      </c>
      <c r="FW243" s="38">
        <f t="shared" si="526"/>
        <v>0</v>
      </c>
      <c r="FX243" s="38">
        <f t="shared" si="527"/>
        <v>0</v>
      </c>
      <c r="FY243" s="38">
        <f t="shared" si="528"/>
        <v>0</v>
      </c>
      <c r="FZ243" s="38">
        <f t="shared" si="529"/>
        <v>0</v>
      </c>
      <c r="GA243" s="38">
        <f t="shared" si="530"/>
        <v>0</v>
      </c>
      <c r="GB243" s="38">
        <f t="shared" si="531"/>
        <v>0</v>
      </c>
      <c r="GC243" s="38">
        <f t="shared" si="532"/>
        <v>0</v>
      </c>
      <c r="GD243" s="38">
        <f t="shared" si="533"/>
        <v>0</v>
      </c>
      <c r="GE243" s="38">
        <f t="shared" si="534"/>
        <v>0</v>
      </c>
      <c r="GF243" s="38">
        <f t="shared" si="535"/>
        <v>0</v>
      </c>
      <c r="GG243" s="38">
        <f t="shared" si="536"/>
        <v>0</v>
      </c>
      <c r="GH243" s="38">
        <f t="shared" si="537"/>
        <v>0</v>
      </c>
      <c r="GI243" s="38">
        <f t="shared" si="538"/>
        <v>0</v>
      </c>
      <c r="GJ243" s="38">
        <f t="shared" si="539"/>
        <v>0</v>
      </c>
      <c r="GL243" s="38">
        <f t="shared" si="540"/>
        <v>0</v>
      </c>
      <c r="GM243" s="38">
        <f t="shared" si="541"/>
        <v>0</v>
      </c>
      <c r="GN243" s="1" t="s">
        <v>2</v>
      </c>
      <c r="GO243" s="1">
        <f t="shared" si="464"/>
        <v>57.1</v>
      </c>
      <c r="GP243" s="1">
        <f t="shared" si="465"/>
        <v>0.76999999999999991</v>
      </c>
      <c r="GQ243" s="41">
        <f t="shared" si="466"/>
        <v>439.6699999999999</v>
      </c>
      <c r="GR243" s="41">
        <f t="shared" si="467"/>
        <v>5765.8323799999998</v>
      </c>
      <c r="GS243" s="14">
        <f t="shared" si="468"/>
        <v>100.97779999999999</v>
      </c>
      <c r="GT243" s="1">
        <f t="shared" si="542"/>
        <v>0</v>
      </c>
      <c r="GU243" s="1">
        <f t="shared" si="543"/>
        <v>0</v>
      </c>
      <c r="GV243" s="1">
        <f t="shared" si="544"/>
        <v>439.67</v>
      </c>
      <c r="GW243" s="37">
        <f t="shared" si="469"/>
        <v>0</v>
      </c>
      <c r="GX243" s="37"/>
      <c r="GY243" s="37"/>
      <c r="GZ243" s="37"/>
      <c r="HB243" s="1">
        <f t="shared" si="545"/>
        <v>0</v>
      </c>
      <c r="HC243" s="1">
        <f t="shared" si="546"/>
        <v>0</v>
      </c>
      <c r="HD243" s="37" t="s">
        <v>2</v>
      </c>
      <c r="HE243" s="1" t="s">
        <v>31</v>
      </c>
      <c r="HF243" s="1" t="s">
        <v>193</v>
      </c>
      <c r="HG243" s="1" t="s">
        <v>193</v>
      </c>
      <c r="HI243" s="1" t="s">
        <v>163</v>
      </c>
      <c r="HJ243" s="37" t="s">
        <v>2</v>
      </c>
      <c r="JH243" s="58" t="s">
        <v>2</v>
      </c>
    </row>
    <row r="244" spans="1:268" ht="16.25" customHeight="1" x14ac:dyDescent="0.2">
      <c r="A244" s="21" t="s">
        <v>1114</v>
      </c>
      <c r="B244" s="1" t="s">
        <v>64</v>
      </c>
      <c r="F244" s="1" t="s">
        <v>1112</v>
      </c>
      <c r="H244" s="1" t="s">
        <v>467</v>
      </c>
      <c r="I244" s="1">
        <v>0</v>
      </c>
      <c r="AD244" s="1">
        <v>0</v>
      </c>
      <c r="AY244" s="14">
        <f>228.3-13*1.35</f>
        <v>210.75</v>
      </c>
      <c r="BG244" s="1" t="s">
        <v>1115</v>
      </c>
      <c r="BT244" s="1">
        <v>0</v>
      </c>
      <c r="CO244" s="1">
        <v>0</v>
      </c>
      <c r="DJ244" s="1" t="s">
        <v>163</v>
      </c>
      <c r="DL244" s="1">
        <f t="shared" si="462"/>
        <v>0.83</v>
      </c>
      <c r="DM244" s="1">
        <f t="shared" si="463"/>
        <v>0</v>
      </c>
      <c r="DN244" s="1" t="s">
        <v>471</v>
      </c>
      <c r="DO244" s="1" t="s">
        <v>2</v>
      </c>
      <c r="DP244" s="38">
        <f t="shared" si="470"/>
        <v>0</v>
      </c>
      <c r="DQ244" s="38">
        <f t="shared" si="471"/>
        <v>0</v>
      </c>
      <c r="DR244" s="38">
        <f t="shared" si="472"/>
        <v>0</v>
      </c>
      <c r="DS244" s="38">
        <f t="shared" si="473"/>
        <v>0</v>
      </c>
      <c r="DT244" s="38">
        <f t="shared" si="474"/>
        <v>0</v>
      </c>
      <c r="DU244" s="38">
        <f t="shared" si="475"/>
        <v>0</v>
      </c>
      <c r="DV244" s="38">
        <f t="shared" si="476"/>
        <v>0</v>
      </c>
      <c r="DW244" s="38">
        <f t="shared" si="477"/>
        <v>1.7492249999999998</v>
      </c>
      <c r="DX244" s="38">
        <f t="shared" si="478"/>
        <v>0</v>
      </c>
      <c r="DY244" s="38">
        <f t="shared" si="479"/>
        <v>0</v>
      </c>
      <c r="DZ244" s="38">
        <f t="shared" si="480"/>
        <v>0</v>
      </c>
      <c r="EA244" s="38">
        <f t="shared" si="481"/>
        <v>0</v>
      </c>
      <c r="EB244" s="38">
        <f t="shared" si="482"/>
        <v>0</v>
      </c>
      <c r="EC244" s="38">
        <f t="shared" si="483"/>
        <v>0</v>
      </c>
      <c r="ED244" s="38">
        <f t="shared" si="484"/>
        <v>0</v>
      </c>
      <c r="EE244" s="38">
        <f t="shared" si="485"/>
        <v>0</v>
      </c>
      <c r="EG244" s="38">
        <f t="shared" si="486"/>
        <v>0</v>
      </c>
      <c r="EH244" s="38">
        <f t="shared" si="487"/>
        <v>0</v>
      </c>
      <c r="EI244" s="38">
        <f t="shared" si="488"/>
        <v>0</v>
      </c>
      <c r="EJ244" s="38">
        <f t="shared" si="489"/>
        <v>0</v>
      </c>
      <c r="EK244" s="38">
        <f t="shared" si="490"/>
        <v>0</v>
      </c>
      <c r="EL244" s="38">
        <f t="shared" si="491"/>
        <v>0</v>
      </c>
      <c r="EM244" s="38">
        <f t="shared" si="492"/>
        <v>0</v>
      </c>
      <c r="EN244" s="38">
        <f t="shared" si="493"/>
        <v>0</v>
      </c>
      <c r="EO244" s="38">
        <f t="shared" si="494"/>
        <v>0</v>
      </c>
      <c r="EP244" s="38">
        <f t="shared" si="495"/>
        <v>22939.336649999997</v>
      </c>
      <c r="EQ244" s="38">
        <f t="shared" si="496"/>
        <v>0</v>
      </c>
      <c r="ER244" s="38">
        <f t="shared" si="497"/>
        <v>0</v>
      </c>
      <c r="ES244" s="38">
        <f t="shared" si="498"/>
        <v>0</v>
      </c>
      <c r="ET244" s="38">
        <f t="shared" si="499"/>
        <v>0</v>
      </c>
      <c r="EU244" s="38">
        <f t="shared" si="500"/>
        <v>0</v>
      </c>
      <c r="EV244" s="38">
        <f t="shared" si="501"/>
        <v>0</v>
      </c>
      <c r="EW244" s="38">
        <f t="shared" si="502"/>
        <v>0</v>
      </c>
      <c r="EX244" s="38">
        <f t="shared" si="503"/>
        <v>0</v>
      </c>
      <c r="EZ244" s="38">
        <f t="shared" si="504"/>
        <v>0</v>
      </c>
      <c r="FA244" s="38">
        <f t="shared" si="505"/>
        <v>0</v>
      </c>
      <c r="FB244" s="1">
        <f t="shared" si="506"/>
        <v>0</v>
      </c>
      <c r="FC244" s="1">
        <f t="shared" si="507"/>
        <v>0</v>
      </c>
      <c r="FD244" s="1">
        <f t="shared" si="508"/>
        <v>0</v>
      </c>
      <c r="FE244" s="1">
        <f t="shared" si="509"/>
        <v>0</v>
      </c>
      <c r="FF244" s="1">
        <f t="shared" si="510"/>
        <v>0</v>
      </c>
      <c r="FG244" s="1">
        <f t="shared" si="511"/>
        <v>0</v>
      </c>
      <c r="FH244" s="1">
        <f t="shared" si="512"/>
        <v>0</v>
      </c>
      <c r="FI244" s="1">
        <f t="shared" si="513"/>
        <v>0</v>
      </c>
      <c r="FJ244" s="1">
        <f t="shared" si="514"/>
        <v>0</v>
      </c>
      <c r="FK244" s="1">
        <f t="shared" si="515"/>
        <v>0</v>
      </c>
      <c r="FL244" s="1">
        <f t="shared" si="516"/>
        <v>0</v>
      </c>
      <c r="FM244" s="1">
        <f t="shared" si="517"/>
        <v>0</v>
      </c>
      <c r="FN244" s="1">
        <f t="shared" si="518"/>
        <v>0</v>
      </c>
      <c r="FO244" s="1">
        <f t="shared" si="519"/>
        <v>0</v>
      </c>
      <c r="FP244" s="1">
        <f t="shared" si="520"/>
        <v>0</v>
      </c>
      <c r="FQ244" s="1">
        <f t="shared" si="521"/>
        <v>0</v>
      </c>
      <c r="FS244" s="1">
        <f t="shared" si="522"/>
        <v>0</v>
      </c>
      <c r="FT244" s="1">
        <f t="shared" si="523"/>
        <v>0</v>
      </c>
      <c r="FU244" s="38">
        <f t="shared" si="524"/>
        <v>0</v>
      </c>
      <c r="FV244" s="38">
        <f t="shared" si="525"/>
        <v>0</v>
      </c>
      <c r="FW244" s="38">
        <f t="shared" si="526"/>
        <v>0</v>
      </c>
      <c r="FX244" s="38">
        <f t="shared" si="527"/>
        <v>0</v>
      </c>
      <c r="FY244" s="38">
        <f t="shared" si="528"/>
        <v>0</v>
      </c>
      <c r="FZ244" s="38">
        <f t="shared" si="529"/>
        <v>0</v>
      </c>
      <c r="GA244" s="38">
        <f t="shared" si="530"/>
        <v>0</v>
      </c>
      <c r="GB244" s="38">
        <f t="shared" si="531"/>
        <v>0</v>
      </c>
      <c r="GC244" s="38">
        <f t="shared" si="532"/>
        <v>0</v>
      </c>
      <c r="GD244" s="38">
        <f t="shared" si="533"/>
        <v>0</v>
      </c>
      <c r="GE244" s="38">
        <f t="shared" si="534"/>
        <v>0</v>
      </c>
      <c r="GF244" s="38">
        <f t="shared" si="535"/>
        <v>0</v>
      </c>
      <c r="GG244" s="38">
        <f t="shared" si="536"/>
        <v>0</v>
      </c>
      <c r="GH244" s="38">
        <f t="shared" si="537"/>
        <v>0</v>
      </c>
      <c r="GI244" s="38">
        <f t="shared" si="538"/>
        <v>0</v>
      </c>
      <c r="GJ244" s="38">
        <f t="shared" si="539"/>
        <v>0</v>
      </c>
      <c r="GL244" s="38">
        <f t="shared" si="540"/>
        <v>0</v>
      </c>
      <c r="GM244" s="38">
        <f t="shared" si="541"/>
        <v>0</v>
      </c>
      <c r="GN244" s="1" t="s">
        <v>2</v>
      </c>
      <c r="GO244" s="14">
        <f t="shared" si="464"/>
        <v>210.75</v>
      </c>
      <c r="GP244" s="1">
        <f t="shared" si="465"/>
        <v>0.83</v>
      </c>
      <c r="GQ244" s="43">
        <f t="shared" si="466"/>
        <v>1749.2249999999999</v>
      </c>
      <c r="GR244" s="41">
        <f t="shared" si="467"/>
        <v>22939.336649999997</v>
      </c>
      <c r="GS244" s="14">
        <f t="shared" si="468"/>
        <v>108.84619999999998</v>
      </c>
      <c r="GT244" s="1">
        <f t="shared" si="542"/>
        <v>0</v>
      </c>
      <c r="GU244" s="1">
        <f t="shared" si="543"/>
        <v>0</v>
      </c>
      <c r="GV244" s="1">
        <f t="shared" si="544"/>
        <v>1749.2249999999997</v>
      </c>
      <c r="GW244" s="37">
        <f t="shared" si="469"/>
        <v>0</v>
      </c>
      <c r="GX244" s="37"/>
      <c r="GY244" s="37"/>
      <c r="GZ244" s="37"/>
      <c r="HB244" s="1">
        <f t="shared" si="545"/>
        <v>0</v>
      </c>
      <c r="HC244" s="1">
        <f t="shared" si="546"/>
        <v>0</v>
      </c>
      <c r="HD244" s="37" t="s">
        <v>2</v>
      </c>
      <c r="HE244" s="1" t="s">
        <v>31</v>
      </c>
      <c r="HF244" s="1" t="s">
        <v>193</v>
      </c>
      <c r="HG244" s="1" t="s">
        <v>193</v>
      </c>
      <c r="HI244" s="1" t="s">
        <v>163</v>
      </c>
      <c r="HJ244" s="37" t="s">
        <v>2</v>
      </c>
      <c r="JH244" s="58" t="s">
        <v>2</v>
      </c>
    </row>
    <row r="245" spans="1:268" ht="16.25" customHeight="1" x14ac:dyDescent="0.2">
      <c r="A245" s="21" t="s">
        <v>1150</v>
      </c>
      <c r="B245" s="1" t="s">
        <v>69</v>
      </c>
      <c r="F245" s="1" t="s">
        <v>1145</v>
      </c>
      <c r="I245" s="1">
        <v>0</v>
      </c>
      <c r="AD245" s="1">
        <v>0</v>
      </c>
      <c r="AY245" s="1">
        <v>40.880000000000003</v>
      </c>
      <c r="BG245" s="1" t="s">
        <v>1151</v>
      </c>
      <c r="BH245" s="1" t="s">
        <v>1152</v>
      </c>
      <c r="BT245" s="1">
        <v>0</v>
      </c>
      <c r="CO245" s="1">
        <v>0</v>
      </c>
      <c r="DJ245" s="1" t="s">
        <v>163</v>
      </c>
      <c r="DK245" s="1" t="s">
        <v>163</v>
      </c>
      <c r="DL245" s="1">
        <f t="shared" si="462"/>
        <v>0.79999999999999993</v>
      </c>
      <c r="DM245" s="1">
        <f t="shared" si="463"/>
        <v>0.08</v>
      </c>
      <c r="DN245" s="1" t="s">
        <v>471</v>
      </c>
      <c r="DO245" s="1" t="s">
        <v>2</v>
      </c>
      <c r="DP245" s="38">
        <f t="shared" si="470"/>
        <v>0</v>
      </c>
      <c r="DQ245" s="38">
        <f t="shared" si="471"/>
        <v>0</v>
      </c>
      <c r="DR245" s="38">
        <f t="shared" si="472"/>
        <v>0</v>
      </c>
      <c r="DS245" s="38">
        <f t="shared" si="473"/>
        <v>0</v>
      </c>
      <c r="DT245" s="38">
        <f t="shared" si="474"/>
        <v>0</v>
      </c>
      <c r="DU245" s="38">
        <f t="shared" si="475"/>
        <v>0</v>
      </c>
      <c r="DV245" s="38">
        <f t="shared" si="476"/>
        <v>0</v>
      </c>
      <c r="DW245" s="38">
        <f t="shared" si="477"/>
        <v>0.32704</v>
      </c>
      <c r="DX245" s="38">
        <f t="shared" si="478"/>
        <v>3.2704000000000004E-2</v>
      </c>
      <c r="DY245" s="38">
        <f t="shared" si="479"/>
        <v>0</v>
      </c>
      <c r="DZ245" s="38">
        <f t="shared" si="480"/>
        <v>0</v>
      </c>
      <c r="EA245" s="38">
        <f t="shared" si="481"/>
        <v>0</v>
      </c>
      <c r="EB245" s="38">
        <f t="shared" si="482"/>
        <v>0</v>
      </c>
      <c r="EC245" s="38">
        <f t="shared" si="483"/>
        <v>0</v>
      </c>
      <c r="ED245" s="38">
        <f t="shared" si="484"/>
        <v>0</v>
      </c>
      <c r="EE245" s="38">
        <f t="shared" si="485"/>
        <v>0</v>
      </c>
      <c r="EG245" s="38">
        <f t="shared" si="486"/>
        <v>0</v>
      </c>
      <c r="EH245" s="38">
        <f t="shared" si="487"/>
        <v>0</v>
      </c>
      <c r="EI245" s="38">
        <f t="shared" si="488"/>
        <v>0</v>
      </c>
      <c r="EJ245" s="38">
        <f t="shared" si="489"/>
        <v>0</v>
      </c>
      <c r="EK245" s="38">
        <f t="shared" si="490"/>
        <v>0</v>
      </c>
      <c r="EL245" s="38">
        <f t="shared" si="491"/>
        <v>0</v>
      </c>
      <c r="EM245" s="38">
        <f t="shared" si="492"/>
        <v>0</v>
      </c>
      <c r="EN245" s="38">
        <f t="shared" si="493"/>
        <v>0</v>
      </c>
      <c r="EO245" s="38">
        <f t="shared" si="494"/>
        <v>0</v>
      </c>
      <c r="EP245" s="38">
        <f t="shared" si="495"/>
        <v>4288.8025600000001</v>
      </c>
      <c r="EQ245" s="38">
        <f t="shared" si="496"/>
        <v>2374.9489128959999</v>
      </c>
      <c r="ER245" s="38">
        <f t="shared" si="497"/>
        <v>0</v>
      </c>
      <c r="ES245" s="38">
        <f t="shared" si="498"/>
        <v>0</v>
      </c>
      <c r="ET245" s="38">
        <f t="shared" si="499"/>
        <v>0</v>
      </c>
      <c r="EU245" s="38">
        <f t="shared" si="500"/>
        <v>0</v>
      </c>
      <c r="EV245" s="38">
        <f t="shared" si="501"/>
        <v>0</v>
      </c>
      <c r="EW245" s="38">
        <f t="shared" si="502"/>
        <v>0</v>
      </c>
      <c r="EX245" s="38">
        <f t="shared" si="503"/>
        <v>0</v>
      </c>
      <c r="EZ245" s="38">
        <f t="shared" si="504"/>
        <v>0</v>
      </c>
      <c r="FA245" s="38">
        <f t="shared" si="505"/>
        <v>0</v>
      </c>
      <c r="FB245" s="1">
        <f t="shared" si="506"/>
        <v>0</v>
      </c>
      <c r="FC245" s="1">
        <f t="shared" si="507"/>
        <v>0</v>
      </c>
      <c r="FD245" s="1">
        <f t="shared" si="508"/>
        <v>0</v>
      </c>
      <c r="FE245" s="1">
        <f t="shared" si="509"/>
        <v>0</v>
      </c>
      <c r="FF245" s="1">
        <f t="shared" si="510"/>
        <v>0</v>
      </c>
      <c r="FG245" s="1">
        <f t="shared" si="511"/>
        <v>0</v>
      </c>
      <c r="FH245" s="1">
        <f t="shared" si="512"/>
        <v>0</v>
      </c>
      <c r="FI245" s="1">
        <f t="shared" si="513"/>
        <v>0</v>
      </c>
      <c r="FJ245" s="1">
        <f t="shared" si="514"/>
        <v>0</v>
      </c>
      <c r="FK245" s="1">
        <f t="shared" si="515"/>
        <v>0</v>
      </c>
      <c r="FL245" s="1">
        <f t="shared" si="516"/>
        <v>0</v>
      </c>
      <c r="FM245" s="1">
        <f t="shared" si="517"/>
        <v>0</v>
      </c>
      <c r="FN245" s="1">
        <f t="shared" si="518"/>
        <v>0</v>
      </c>
      <c r="FO245" s="1">
        <f t="shared" si="519"/>
        <v>0</v>
      </c>
      <c r="FP245" s="1">
        <f t="shared" si="520"/>
        <v>0</v>
      </c>
      <c r="FQ245" s="1">
        <f t="shared" si="521"/>
        <v>0</v>
      </c>
      <c r="FS245" s="1">
        <f t="shared" si="522"/>
        <v>0</v>
      </c>
      <c r="FT245" s="1">
        <f t="shared" si="523"/>
        <v>0</v>
      </c>
      <c r="FU245" s="38">
        <f t="shared" si="524"/>
        <v>0</v>
      </c>
      <c r="FV245" s="38">
        <f t="shared" si="525"/>
        <v>0</v>
      </c>
      <c r="FW245" s="38">
        <f t="shared" si="526"/>
        <v>0</v>
      </c>
      <c r="FX245" s="38">
        <f t="shared" si="527"/>
        <v>0</v>
      </c>
      <c r="FY245" s="38">
        <f t="shared" si="528"/>
        <v>0</v>
      </c>
      <c r="FZ245" s="38">
        <f t="shared" si="529"/>
        <v>0</v>
      </c>
      <c r="GA245" s="38">
        <f t="shared" si="530"/>
        <v>0</v>
      </c>
      <c r="GB245" s="38">
        <f t="shared" si="531"/>
        <v>0</v>
      </c>
      <c r="GC245" s="38">
        <f t="shared" si="532"/>
        <v>0</v>
      </c>
      <c r="GD245" s="38">
        <f t="shared" si="533"/>
        <v>0</v>
      </c>
      <c r="GE245" s="38">
        <f t="shared" si="534"/>
        <v>0</v>
      </c>
      <c r="GF245" s="38">
        <f t="shared" si="535"/>
        <v>0</v>
      </c>
      <c r="GG245" s="38">
        <f t="shared" si="536"/>
        <v>0</v>
      </c>
      <c r="GH245" s="38">
        <f t="shared" si="537"/>
        <v>0</v>
      </c>
      <c r="GI245" s="38">
        <f t="shared" si="538"/>
        <v>0</v>
      </c>
      <c r="GJ245" s="38">
        <f t="shared" si="539"/>
        <v>0</v>
      </c>
      <c r="GL245" s="38">
        <f t="shared" si="540"/>
        <v>0</v>
      </c>
      <c r="GM245" s="38">
        <f t="shared" si="541"/>
        <v>0</v>
      </c>
      <c r="GN245" s="1" t="s">
        <v>2</v>
      </c>
      <c r="GO245" s="1">
        <f t="shared" si="464"/>
        <v>40.880000000000003</v>
      </c>
      <c r="GP245" s="1">
        <f t="shared" si="465"/>
        <v>0.79999999999999993</v>
      </c>
      <c r="GQ245" s="41">
        <f t="shared" si="466"/>
        <v>327.03999999999996</v>
      </c>
      <c r="GR245" s="41">
        <f t="shared" si="467"/>
        <v>6663.7514728959995</v>
      </c>
      <c r="GS245" s="14">
        <f t="shared" si="468"/>
        <v>163.00761919999997</v>
      </c>
      <c r="GT245" s="1">
        <f t="shared" si="542"/>
        <v>0</v>
      </c>
      <c r="GU245" s="1">
        <f t="shared" si="543"/>
        <v>0</v>
      </c>
      <c r="GV245" s="1">
        <f t="shared" si="544"/>
        <v>327.04000000000002</v>
      </c>
      <c r="GW245" s="37">
        <f t="shared" si="469"/>
        <v>0</v>
      </c>
      <c r="GX245" s="37"/>
      <c r="GY245" s="37"/>
      <c r="GZ245" s="37"/>
      <c r="HB245" s="1">
        <f t="shared" si="545"/>
        <v>0</v>
      </c>
      <c r="HC245" s="1">
        <f t="shared" si="546"/>
        <v>0</v>
      </c>
      <c r="HD245" s="37" t="s">
        <v>2</v>
      </c>
      <c r="HE245" s="1" t="s">
        <v>31</v>
      </c>
      <c r="HF245" s="1" t="s">
        <v>193</v>
      </c>
      <c r="HG245" s="1" t="s">
        <v>193</v>
      </c>
      <c r="HI245" s="1" t="s">
        <v>163</v>
      </c>
      <c r="HJ245" s="37" t="s">
        <v>2</v>
      </c>
      <c r="JH245" s="58" t="s">
        <v>2</v>
      </c>
    </row>
    <row r="246" spans="1:268" ht="16.25" customHeight="1" x14ac:dyDescent="0.2">
      <c r="A246" s="21" t="s">
        <v>904</v>
      </c>
      <c r="B246" s="1" t="s">
        <v>69</v>
      </c>
      <c r="F246" s="1" t="s">
        <v>131</v>
      </c>
      <c r="I246" s="1">
        <v>0</v>
      </c>
      <c r="AD246" s="1">
        <v>0</v>
      </c>
      <c r="AY246" s="1">
        <v>150</v>
      </c>
      <c r="BG246" s="1">
        <v>0.7</v>
      </c>
      <c r="BT246" s="1">
        <v>0</v>
      </c>
      <c r="CO246" s="1">
        <v>0</v>
      </c>
      <c r="DJ246" s="1" t="s">
        <v>163</v>
      </c>
      <c r="DL246" s="1">
        <f t="shared" si="462"/>
        <v>0.7</v>
      </c>
      <c r="DM246" s="1">
        <f t="shared" si="463"/>
        <v>0</v>
      </c>
      <c r="DN246" s="1" t="s">
        <v>905</v>
      </c>
      <c r="DO246" s="1" t="s">
        <v>2</v>
      </c>
      <c r="DP246" s="38">
        <f t="shared" si="470"/>
        <v>0</v>
      </c>
      <c r="DQ246" s="38">
        <f t="shared" si="471"/>
        <v>0</v>
      </c>
      <c r="DR246" s="38">
        <f t="shared" si="472"/>
        <v>0</v>
      </c>
      <c r="DS246" s="38">
        <f t="shared" si="473"/>
        <v>0</v>
      </c>
      <c r="DT246" s="38">
        <f t="shared" si="474"/>
        <v>0</v>
      </c>
      <c r="DU246" s="38">
        <f t="shared" si="475"/>
        <v>0</v>
      </c>
      <c r="DV246" s="38">
        <f t="shared" si="476"/>
        <v>0</v>
      </c>
      <c r="DW246" s="38">
        <f t="shared" si="477"/>
        <v>1.05</v>
      </c>
      <c r="DX246" s="38">
        <f t="shared" si="478"/>
        <v>0</v>
      </c>
      <c r="DY246" s="38">
        <f t="shared" si="479"/>
        <v>0</v>
      </c>
      <c r="DZ246" s="38">
        <f t="shared" si="480"/>
        <v>0</v>
      </c>
      <c r="EA246" s="38">
        <f t="shared" si="481"/>
        <v>0</v>
      </c>
      <c r="EB246" s="38">
        <f t="shared" si="482"/>
        <v>0</v>
      </c>
      <c r="EC246" s="38">
        <f t="shared" si="483"/>
        <v>0</v>
      </c>
      <c r="ED246" s="38">
        <f t="shared" si="484"/>
        <v>0</v>
      </c>
      <c r="EE246" s="38">
        <f t="shared" si="485"/>
        <v>0</v>
      </c>
      <c r="EG246" s="38">
        <f t="shared" si="486"/>
        <v>0</v>
      </c>
      <c r="EH246" s="38">
        <f t="shared" si="487"/>
        <v>0</v>
      </c>
      <c r="EI246" s="38">
        <f t="shared" si="488"/>
        <v>0</v>
      </c>
      <c r="EJ246" s="38">
        <f t="shared" si="489"/>
        <v>0</v>
      </c>
      <c r="EK246" s="38">
        <f t="shared" si="490"/>
        <v>0</v>
      </c>
      <c r="EL246" s="38">
        <f t="shared" si="491"/>
        <v>0</v>
      </c>
      <c r="EM246" s="38">
        <f t="shared" si="492"/>
        <v>0</v>
      </c>
      <c r="EN246" s="38">
        <f t="shared" si="493"/>
        <v>0</v>
      </c>
      <c r="EO246" s="38">
        <f t="shared" si="494"/>
        <v>0</v>
      </c>
      <c r="EP246" s="38">
        <f t="shared" si="495"/>
        <v>13769.7</v>
      </c>
      <c r="EQ246" s="38">
        <f t="shared" si="496"/>
        <v>0</v>
      </c>
      <c r="ER246" s="38">
        <f t="shared" si="497"/>
        <v>0</v>
      </c>
      <c r="ES246" s="38">
        <f t="shared" si="498"/>
        <v>0</v>
      </c>
      <c r="ET246" s="38">
        <f t="shared" si="499"/>
        <v>0</v>
      </c>
      <c r="EU246" s="38">
        <f t="shared" si="500"/>
        <v>0</v>
      </c>
      <c r="EV246" s="38">
        <f t="shared" si="501"/>
        <v>0</v>
      </c>
      <c r="EW246" s="38">
        <f t="shared" si="502"/>
        <v>0</v>
      </c>
      <c r="EX246" s="38">
        <f t="shared" si="503"/>
        <v>0</v>
      </c>
      <c r="EZ246" s="38">
        <f t="shared" si="504"/>
        <v>0</v>
      </c>
      <c r="FA246" s="38">
        <f t="shared" si="505"/>
        <v>0</v>
      </c>
      <c r="FB246" s="1">
        <f t="shared" si="506"/>
        <v>0</v>
      </c>
      <c r="FC246" s="1">
        <f t="shared" si="507"/>
        <v>0</v>
      </c>
      <c r="FD246" s="1">
        <f t="shared" si="508"/>
        <v>0</v>
      </c>
      <c r="FE246" s="1">
        <f t="shared" si="509"/>
        <v>0</v>
      </c>
      <c r="FF246" s="1">
        <f t="shared" si="510"/>
        <v>0</v>
      </c>
      <c r="FG246" s="1">
        <f t="shared" si="511"/>
        <v>0</v>
      </c>
      <c r="FH246" s="1">
        <f t="shared" si="512"/>
        <v>0</v>
      </c>
      <c r="FI246" s="1">
        <f t="shared" si="513"/>
        <v>0</v>
      </c>
      <c r="FJ246" s="1">
        <f t="shared" si="514"/>
        <v>0</v>
      </c>
      <c r="FK246" s="1">
        <f t="shared" si="515"/>
        <v>0</v>
      </c>
      <c r="FL246" s="1">
        <f t="shared" si="516"/>
        <v>0</v>
      </c>
      <c r="FM246" s="1">
        <f t="shared" si="517"/>
        <v>0</v>
      </c>
      <c r="FN246" s="1">
        <f t="shared" si="518"/>
        <v>0</v>
      </c>
      <c r="FO246" s="1">
        <f t="shared" si="519"/>
        <v>0</v>
      </c>
      <c r="FP246" s="1">
        <f t="shared" si="520"/>
        <v>0</v>
      </c>
      <c r="FQ246" s="1">
        <f t="shared" si="521"/>
        <v>0</v>
      </c>
      <c r="FS246" s="1">
        <f t="shared" si="522"/>
        <v>0</v>
      </c>
      <c r="FT246" s="1">
        <f t="shared" si="523"/>
        <v>0</v>
      </c>
      <c r="FU246" s="38">
        <f t="shared" si="524"/>
        <v>0</v>
      </c>
      <c r="FV246" s="38">
        <f t="shared" si="525"/>
        <v>0</v>
      </c>
      <c r="FW246" s="38">
        <f t="shared" si="526"/>
        <v>0</v>
      </c>
      <c r="FX246" s="38">
        <f t="shared" si="527"/>
        <v>0</v>
      </c>
      <c r="FY246" s="38">
        <f t="shared" si="528"/>
        <v>0</v>
      </c>
      <c r="FZ246" s="38">
        <f t="shared" si="529"/>
        <v>0</v>
      </c>
      <c r="GA246" s="38">
        <f t="shared" si="530"/>
        <v>0</v>
      </c>
      <c r="GB246" s="38">
        <f t="shared" si="531"/>
        <v>0</v>
      </c>
      <c r="GC246" s="38">
        <f t="shared" si="532"/>
        <v>0</v>
      </c>
      <c r="GD246" s="38">
        <f t="shared" si="533"/>
        <v>0</v>
      </c>
      <c r="GE246" s="38">
        <f t="shared" si="534"/>
        <v>0</v>
      </c>
      <c r="GF246" s="38">
        <f t="shared" si="535"/>
        <v>0</v>
      </c>
      <c r="GG246" s="38">
        <f t="shared" si="536"/>
        <v>0</v>
      </c>
      <c r="GH246" s="38">
        <f t="shared" si="537"/>
        <v>0</v>
      </c>
      <c r="GI246" s="38">
        <f t="shared" si="538"/>
        <v>0</v>
      </c>
      <c r="GJ246" s="38">
        <f t="shared" si="539"/>
        <v>0</v>
      </c>
      <c r="GL246" s="38">
        <f t="shared" si="540"/>
        <v>0</v>
      </c>
      <c r="GM246" s="38">
        <f t="shared" si="541"/>
        <v>0</v>
      </c>
      <c r="GN246" s="1" t="s">
        <v>2</v>
      </c>
      <c r="GO246" s="1">
        <f t="shared" si="464"/>
        <v>150</v>
      </c>
      <c r="GP246" s="1">
        <f t="shared" si="465"/>
        <v>0.7</v>
      </c>
      <c r="GQ246" s="43">
        <f t="shared" si="466"/>
        <v>1050</v>
      </c>
      <c r="GR246" s="41">
        <f t="shared" si="467"/>
        <v>13769.7</v>
      </c>
      <c r="GS246" s="14">
        <f t="shared" si="468"/>
        <v>91.798000000000002</v>
      </c>
      <c r="GT246" s="1">
        <f t="shared" si="542"/>
        <v>0</v>
      </c>
      <c r="GU246" s="1">
        <f t="shared" si="543"/>
        <v>0</v>
      </c>
      <c r="GV246" s="1">
        <f t="shared" si="544"/>
        <v>1050</v>
      </c>
      <c r="GW246" s="37">
        <f t="shared" si="469"/>
        <v>0</v>
      </c>
      <c r="GX246" s="37"/>
      <c r="GY246" s="37"/>
      <c r="GZ246" s="37"/>
      <c r="HB246" s="1">
        <f t="shared" si="545"/>
        <v>0</v>
      </c>
      <c r="HC246" s="1">
        <f t="shared" si="546"/>
        <v>0</v>
      </c>
      <c r="HD246" s="37" t="s">
        <v>2</v>
      </c>
      <c r="HE246" s="1" t="s">
        <v>31</v>
      </c>
      <c r="HF246" s="1" t="s">
        <v>193</v>
      </c>
      <c r="HG246" s="1" t="s">
        <v>193</v>
      </c>
      <c r="HI246" s="1" t="s">
        <v>163</v>
      </c>
      <c r="HJ246" s="37" t="s">
        <v>2</v>
      </c>
      <c r="JH246" s="58" t="s">
        <v>2</v>
      </c>
    </row>
    <row r="247" spans="1:268" ht="16.25" customHeight="1" x14ac:dyDescent="0.2">
      <c r="A247" s="21" t="s">
        <v>501</v>
      </c>
      <c r="B247" s="1" t="s">
        <v>69</v>
      </c>
      <c r="E247" s="1" t="s">
        <v>72</v>
      </c>
      <c r="F247" s="1" t="s">
        <v>131</v>
      </c>
      <c r="H247" s="1" t="s">
        <v>187</v>
      </c>
      <c r="I247" s="1">
        <v>0</v>
      </c>
      <c r="AD247" s="1">
        <v>0</v>
      </c>
      <c r="AY247" s="1">
        <v>23</v>
      </c>
      <c r="BG247" s="1">
        <v>1.75</v>
      </c>
      <c r="BT247" s="1">
        <v>0</v>
      </c>
      <c r="CO247" s="1">
        <v>0</v>
      </c>
      <c r="DJ247" s="1" t="s">
        <v>163</v>
      </c>
      <c r="DL247" s="1">
        <f t="shared" si="462"/>
        <v>1.75</v>
      </c>
      <c r="DM247" s="1">
        <f t="shared" si="463"/>
        <v>0</v>
      </c>
      <c r="DN247" s="1" t="s">
        <v>502</v>
      </c>
      <c r="DO247" s="1" t="s">
        <v>2</v>
      </c>
      <c r="DP247" s="38">
        <f t="shared" si="470"/>
        <v>0</v>
      </c>
      <c r="DQ247" s="38">
        <f t="shared" si="471"/>
        <v>0</v>
      </c>
      <c r="DR247" s="38">
        <f t="shared" si="472"/>
        <v>0</v>
      </c>
      <c r="DS247" s="38">
        <f t="shared" si="473"/>
        <v>0</v>
      </c>
      <c r="DT247" s="38">
        <f t="shared" si="474"/>
        <v>0</v>
      </c>
      <c r="DU247" s="38">
        <f t="shared" si="475"/>
        <v>0</v>
      </c>
      <c r="DV247" s="38">
        <f t="shared" si="476"/>
        <v>0</v>
      </c>
      <c r="DW247" s="38">
        <f t="shared" si="477"/>
        <v>0.40250000000000002</v>
      </c>
      <c r="DX247" s="38">
        <f t="shared" si="478"/>
        <v>0</v>
      </c>
      <c r="DY247" s="38">
        <f t="shared" si="479"/>
        <v>0</v>
      </c>
      <c r="DZ247" s="38">
        <f t="shared" si="480"/>
        <v>0</v>
      </c>
      <c r="EA247" s="38">
        <f t="shared" si="481"/>
        <v>0</v>
      </c>
      <c r="EB247" s="38">
        <f t="shared" si="482"/>
        <v>0</v>
      </c>
      <c r="EC247" s="38">
        <f t="shared" si="483"/>
        <v>0</v>
      </c>
      <c r="ED247" s="38">
        <f t="shared" si="484"/>
        <v>0</v>
      </c>
      <c r="EE247" s="38">
        <f t="shared" si="485"/>
        <v>0</v>
      </c>
      <c r="EG247" s="38">
        <f t="shared" si="486"/>
        <v>0</v>
      </c>
      <c r="EH247" s="38">
        <f t="shared" si="487"/>
        <v>0</v>
      </c>
      <c r="EI247" s="38">
        <f t="shared" si="488"/>
        <v>0</v>
      </c>
      <c r="EJ247" s="38">
        <f t="shared" si="489"/>
        <v>0</v>
      </c>
      <c r="EK247" s="38">
        <f t="shared" si="490"/>
        <v>0</v>
      </c>
      <c r="EL247" s="38">
        <f t="shared" si="491"/>
        <v>0</v>
      </c>
      <c r="EM247" s="38">
        <f t="shared" si="492"/>
        <v>0</v>
      </c>
      <c r="EN247" s="38">
        <f t="shared" si="493"/>
        <v>0</v>
      </c>
      <c r="EO247" s="38">
        <f t="shared" si="494"/>
        <v>0</v>
      </c>
      <c r="EP247" s="38">
        <f t="shared" si="495"/>
        <v>5278.3850000000002</v>
      </c>
      <c r="EQ247" s="38">
        <f t="shared" si="496"/>
        <v>0</v>
      </c>
      <c r="ER247" s="38">
        <f t="shared" si="497"/>
        <v>0</v>
      </c>
      <c r="ES247" s="38">
        <f t="shared" si="498"/>
        <v>0</v>
      </c>
      <c r="ET247" s="38">
        <f t="shared" si="499"/>
        <v>0</v>
      </c>
      <c r="EU247" s="38">
        <f t="shared" si="500"/>
        <v>0</v>
      </c>
      <c r="EV247" s="38">
        <f t="shared" si="501"/>
        <v>0</v>
      </c>
      <c r="EW247" s="38">
        <f t="shared" si="502"/>
        <v>0</v>
      </c>
      <c r="EX247" s="38">
        <f t="shared" si="503"/>
        <v>0</v>
      </c>
      <c r="EZ247" s="38">
        <f t="shared" si="504"/>
        <v>0</v>
      </c>
      <c r="FA247" s="38">
        <f t="shared" si="505"/>
        <v>0</v>
      </c>
      <c r="FB247" s="1">
        <f t="shared" si="506"/>
        <v>0</v>
      </c>
      <c r="FC247" s="1">
        <f t="shared" si="507"/>
        <v>0</v>
      </c>
      <c r="FD247" s="1">
        <f t="shared" si="508"/>
        <v>0</v>
      </c>
      <c r="FE247" s="1">
        <f t="shared" si="509"/>
        <v>0</v>
      </c>
      <c r="FF247" s="1">
        <f t="shared" si="510"/>
        <v>0</v>
      </c>
      <c r="FG247" s="1">
        <f t="shared" si="511"/>
        <v>0</v>
      </c>
      <c r="FH247" s="1">
        <f t="shared" si="512"/>
        <v>0</v>
      </c>
      <c r="FI247" s="1">
        <f t="shared" si="513"/>
        <v>0</v>
      </c>
      <c r="FJ247" s="1">
        <f t="shared" si="514"/>
        <v>0</v>
      </c>
      <c r="FK247" s="1">
        <f t="shared" si="515"/>
        <v>0</v>
      </c>
      <c r="FL247" s="1">
        <f t="shared" si="516"/>
        <v>0</v>
      </c>
      <c r="FM247" s="1">
        <f t="shared" si="517"/>
        <v>0</v>
      </c>
      <c r="FN247" s="1">
        <f t="shared" si="518"/>
        <v>0</v>
      </c>
      <c r="FO247" s="1">
        <f t="shared" si="519"/>
        <v>0</v>
      </c>
      <c r="FP247" s="1">
        <f t="shared" si="520"/>
        <v>0</v>
      </c>
      <c r="FQ247" s="1">
        <f t="shared" si="521"/>
        <v>0</v>
      </c>
      <c r="FS247" s="1">
        <f t="shared" si="522"/>
        <v>0</v>
      </c>
      <c r="FT247" s="1">
        <f t="shared" si="523"/>
        <v>0</v>
      </c>
      <c r="FU247" s="38">
        <f t="shared" si="524"/>
        <v>0</v>
      </c>
      <c r="FV247" s="38">
        <f t="shared" si="525"/>
        <v>0</v>
      </c>
      <c r="FW247" s="38">
        <f t="shared" si="526"/>
        <v>0</v>
      </c>
      <c r="FX247" s="38">
        <f t="shared" si="527"/>
        <v>0</v>
      </c>
      <c r="FY247" s="38">
        <f t="shared" si="528"/>
        <v>0</v>
      </c>
      <c r="FZ247" s="38">
        <f t="shared" si="529"/>
        <v>0</v>
      </c>
      <c r="GA247" s="38">
        <f t="shared" si="530"/>
        <v>0</v>
      </c>
      <c r="GB247" s="38">
        <f t="shared" si="531"/>
        <v>0</v>
      </c>
      <c r="GC247" s="38">
        <f t="shared" si="532"/>
        <v>0</v>
      </c>
      <c r="GD247" s="38">
        <f t="shared" si="533"/>
        <v>0</v>
      </c>
      <c r="GE247" s="38">
        <f t="shared" si="534"/>
        <v>0</v>
      </c>
      <c r="GF247" s="38">
        <f t="shared" si="535"/>
        <v>0</v>
      </c>
      <c r="GG247" s="38">
        <f t="shared" si="536"/>
        <v>0</v>
      </c>
      <c r="GH247" s="38">
        <f t="shared" si="537"/>
        <v>0</v>
      </c>
      <c r="GI247" s="38">
        <f t="shared" si="538"/>
        <v>0</v>
      </c>
      <c r="GJ247" s="38">
        <f t="shared" si="539"/>
        <v>0</v>
      </c>
      <c r="GL247" s="38">
        <f t="shared" si="540"/>
        <v>0</v>
      </c>
      <c r="GM247" s="38">
        <f t="shared" si="541"/>
        <v>0</v>
      </c>
      <c r="GN247" s="1" t="s">
        <v>2</v>
      </c>
      <c r="GO247" s="1">
        <f t="shared" si="464"/>
        <v>23</v>
      </c>
      <c r="GP247" s="13">
        <f t="shared" si="465"/>
        <v>1.75</v>
      </c>
      <c r="GQ247" s="41">
        <f t="shared" si="466"/>
        <v>402.5</v>
      </c>
      <c r="GR247" s="41">
        <f t="shared" si="467"/>
        <v>5278.3850000000002</v>
      </c>
      <c r="GS247" s="14">
        <f t="shared" si="468"/>
        <v>229.495</v>
      </c>
      <c r="GT247" s="1">
        <f t="shared" si="542"/>
        <v>0</v>
      </c>
      <c r="GU247" s="1">
        <f t="shared" si="543"/>
        <v>0</v>
      </c>
      <c r="GV247" s="1">
        <f t="shared" si="544"/>
        <v>402.5</v>
      </c>
      <c r="GW247" s="37">
        <f t="shared" si="469"/>
        <v>0</v>
      </c>
      <c r="GX247" s="37"/>
      <c r="GY247" s="37"/>
      <c r="GZ247" s="37"/>
      <c r="HB247" s="1">
        <f t="shared" si="545"/>
        <v>0</v>
      </c>
      <c r="HC247" s="1">
        <f t="shared" si="546"/>
        <v>0</v>
      </c>
      <c r="HD247" s="37" t="s">
        <v>2</v>
      </c>
      <c r="HE247" s="1" t="s">
        <v>31</v>
      </c>
      <c r="HF247" s="1" t="s">
        <v>193</v>
      </c>
      <c r="HG247" s="1" t="s">
        <v>193</v>
      </c>
      <c r="HI247" s="1" t="s">
        <v>163</v>
      </c>
      <c r="HJ247" s="37" t="s">
        <v>2</v>
      </c>
      <c r="JH247" s="58" t="s">
        <v>2</v>
      </c>
    </row>
    <row r="248" spans="1:268" ht="16.25" customHeight="1" x14ac:dyDescent="0.2">
      <c r="A248" s="21" t="s">
        <v>517</v>
      </c>
      <c r="B248" s="1" t="s">
        <v>518</v>
      </c>
      <c r="E248" s="1" t="s">
        <v>72</v>
      </c>
      <c r="F248" s="1" t="s">
        <v>511</v>
      </c>
      <c r="H248" s="1" t="s">
        <v>187</v>
      </c>
      <c r="I248" s="1">
        <v>0</v>
      </c>
      <c r="AD248" s="1">
        <v>0</v>
      </c>
      <c r="AY248" s="1">
        <v>34.31</v>
      </c>
      <c r="BG248" s="1">
        <v>1.1100000000000001</v>
      </c>
      <c r="BT248" s="1">
        <v>0</v>
      </c>
      <c r="CO248" s="1">
        <v>0</v>
      </c>
      <c r="DJ248" s="1" t="s">
        <v>163</v>
      </c>
      <c r="DL248" s="1">
        <f t="shared" si="462"/>
        <v>1.1100000000000001</v>
      </c>
      <c r="DM248" s="1">
        <f t="shared" si="463"/>
        <v>0</v>
      </c>
      <c r="DN248" s="1" t="s">
        <v>471</v>
      </c>
      <c r="DO248" s="1" t="s">
        <v>2</v>
      </c>
      <c r="DP248" s="38">
        <f t="shared" si="470"/>
        <v>0</v>
      </c>
      <c r="DQ248" s="38">
        <f t="shared" si="471"/>
        <v>0</v>
      </c>
      <c r="DR248" s="38">
        <f t="shared" si="472"/>
        <v>0</v>
      </c>
      <c r="DS248" s="38">
        <f t="shared" si="473"/>
        <v>0</v>
      </c>
      <c r="DT248" s="38">
        <f t="shared" si="474"/>
        <v>0</v>
      </c>
      <c r="DU248" s="38">
        <f t="shared" si="475"/>
        <v>0</v>
      </c>
      <c r="DV248" s="38">
        <f t="shared" si="476"/>
        <v>0</v>
      </c>
      <c r="DW248" s="38">
        <f t="shared" si="477"/>
        <v>0.38084100000000004</v>
      </c>
      <c r="DX248" s="38">
        <f t="shared" si="478"/>
        <v>0</v>
      </c>
      <c r="DY248" s="38">
        <f t="shared" si="479"/>
        <v>0</v>
      </c>
      <c r="DZ248" s="38">
        <f t="shared" si="480"/>
        <v>0</v>
      </c>
      <c r="EA248" s="38">
        <f t="shared" si="481"/>
        <v>0</v>
      </c>
      <c r="EB248" s="38">
        <f t="shared" si="482"/>
        <v>0</v>
      </c>
      <c r="EC248" s="38">
        <f t="shared" si="483"/>
        <v>0</v>
      </c>
      <c r="ED248" s="38">
        <f t="shared" si="484"/>
        <v>0</v>
      </c>
      <c r="EE248" s="38">
        <f t="shared" si="485"/>
        <v>0</v>
      </c>
      <c r="EG248" s="38">
        <f t="shared" si="486"/>
        <v>0</v>
      </c>
      <c r="EH248" s="38">
        <f t="shared" si="487"/>
        <v>0</v>
      </c>
      <c r="EI248" s="38">
        <f t="shared" si="488"/>
        <v>0</v>
      </c>
      <c r="EJ248" s="38">
        <f t="shared" si="489"/>
        <v>0</v>
      </c>
      <c r="EK248" s="38">
        <f t="shared" si="490"/>
        <v>0</v>
      </c>
      <c r="EL248" s="38">
        <f t="shared" si="491"/>
        <v>0</v>
      </c>
      <c r="EM248" s="38">
        <f t="shared" si="492"/>
        <v>0</v>
      </c>
      <c r="EN248" s="38">
        <f t="shared" si="493"/>
        <v>0</v>
      </c>
      <c r="EO248" s="38">
        <f t="shared" si="494"/>
        <v>0</v>
      </c>
      <c r="EP248" s="38">
        <f t="shared" si="495"/>
        <v>4994.3488740000003</v>
      </c>
      <c r="EQ248" s="38">
        <f t="shared" si="496"/>
        <v>0</v>
      </c>
      <c r="ER248" s="38">
        <f t="shared" si="497"/>
        <v>0</v>
      </c>
      <c r="ES248" s="38">
        <f t="shared" si="498"/>
        <v>0</v>
      </c>
      <c r="ET248" s="38">
        <f t="shared" si="499"/>
        <v>0</v>
      </c>
      <c r="EU248" s="38">
        <f t="shared" si="500"/>
        <v>0</v>
      </c>
      <c r="EV248" s="38">
        <f t="shared" si="501"/>
        <v>0</v>
      </c>
      <c r="EW248" s="38">
        <f t="shared" si="502"/>
        <v>0</v>
      </c>
      <c r="EX248" s="38">
        <f t="shared" si="503"/>
        <v>0</v>
      </c>
      <c r="EZ248" s="38">
        <f t="shared" si="504"/>
        <v>0</v>
      </c>
      <c r="FA248" s="38">
        <f t="shared" si="505"/>
        <v>0</v>
      </c>
      <c r="FB248" s="1">
        <f t="shared" si="506"/>
        <v>0</v>
      </c>
      <c r="FC248" s="1">
        <f t="shared" si="507"/>
        <v>0</v>
      </c>
      <c r="FD248" s="1">
        <f t="shared" si="508"/>
        <v>0</v>
      </c>
      <c r="FE248" s="1">
        <f t="shared" si="509"/>
        <v>0</v>
      </c>
      <c r="FF248" s="1">
        <f t="shared" si="510"/>
        <v>0</v>
      </c>
      <c r="FG248" s="1">
        <f t="shared" si="511"/>
        <v>0</v>
      </c>
      <c r="FH248" s="1">
        <f t="shared" si="512"/>
        <v>0</v>
      </c>
      <c r="FI248" s="1">
        <f t="shared" si="513"/>
        <v>0</v>
      </c>
      <c r="FJ248" s="1">
        <f t="shared" si="514"/>
        <v>0</v>
      </c>
      <c r="FK248" s="1">
        <f t="shared" si="515"/>
        <v>0</v>
      </c>
      <c r="FL248" s="1">
        <f t="shared" si="516"/>
        <v>0</v>
      </c>
      <c r="FM248" s="1">
        <f t="shared" si="517"/>
        <v>0</v>
      </c>
      <c r="FN248" s="1">
        <f t="shared" si="518"/>
        <v>0</v>
      </c>
      <c r="FO248" s="1">
        <f t="shared" si="519"/>
        <v>0</v>
      </c>
      <c r="FP248" s="1">
        <f t="shared" si="520"/>
        <v>0</v>
      </c>
      <c r="FQ248" s="1">
        <f t="shared" si="521"/>
        <v>0</v>
      </c>
      <c r="FS248" s="1">
        <f t="shared" si="522"/>
        <v>0</v>
      </c>
      <c r="FT248" s="1">
        <f t="shared" si="523"/>
        <v>0</v>
      </c>
      <c r="FU248" s="38">
        <f t="shared" si="524"/>
        <v>0</v>
      </c>
      <c r="FV248" s="38">
        <f t="shared" si="525"/>
        <v>0</v>
      </c>
      <c r="FW248" s="38">
        <f t="shared" si="526"/>
        <v>0</v>
      </c>
      <c r="FX248" s="38">
        <f t="shared" si="527"/>
        <v>0</v>
      </c>
      <c r="FY248" s="38">
        <f t="shared" si="528"/>
        <v>0</v>
      </c>
      <c r="FZ248" s="38">
        <f t="shared" si="529"/>
        <v>0</v>
      </c>
      <c r="GA248" s="38">
        <f t="shared" si="530"/>
        <v>0</v>
      </c>
      <c r="GB248" s="38">
        <f t="shared" si="531"/>
        <v>0</v>
      </c>
      <c r="GC248" s="38">
        <f t="shared" si="532"/>
        <v>0</v>
      </c>
      <c r="GD248" s="38">
        <f t="shared" si="533"/>
        <v>0</v>
      </c>
      <c r="GE248" s="38">
        <f t="shared" si="534"/>
        <v>0</v>
      </c>
      <c r="GF248" s="38">
        <f t="shared" si="535"/>
        <v>0</v>
      </c>
      <c r="GG248" s="38">
        <f t="shared" si="536"/>
        <v>0</v>
      </c>
      <c r="GH248" s="38">
        <f t="shared" si="537"/>
        <v>0</v>
      </c>
      <c r="GI248" s="38">
        <f t="shared" si="538"/>
        <v>0</v>
      </c>
      <c r="GJ248" s="38">
        <f t="shared" si="539"/>
        <v>0</v>
      </c>
      <c r="GL248" s="38">
        <f t="shared" si="540"/>
        <v>0</v>
      </c>
      <c r="GM248" s="38">
        <f t="shared" si="541"/>
        <v>0</v>
      </c>
      <c r="GN248" s="1" t="s">
        <v>2</v>
      </c>
      <c r="GO248" s="1">
        <f t="shared" si="464"/>
        <v>34.31</v>
      </c>
      <c r="GP248" s="13">
        <f t="shared" si="465"/>
        <v>1.1100000000000001</v>
      </c>
      <c r="GQ248" s="41">
        <f t="shared" si="466"/>
        <v>380.84100000000007</v>
      </c>
      <c r="GR248" s="41">
        <f t="shared" si="467"/>
        <v>4994.3488740000003</v>
      </c>
      <c r="GS248" s="14">
        <f t="shared" si="468"/>
        <v>145.56540000000001</v>
      </c>
      <c r="GT248" s="1">
        <f t="shared" si="542"/>
        <v>0</v>
      </c>
      <c r="GU248" s="1">
        <f t="shared" si="543"/>
        <v>0</v>
      </c>
      <c r="GV248" s="1">
        <f t="shared" si="544"/>
        <v>380.84100000000007</v>
      </c>
      <c r="GW248" s="37">
        <f t="shared" si="469"/>
        <v>0</v>
      </c>
      <c r="GX248" s="37"/>
      <c r="GY248" s="37"/>
      <c r="GZ248" s="37"/>
      <c r="HB248" s="1">
        <f t="shared" si="545"/>
        <v>0</v>
      </c>
      <c r="HC248" s="1">
        <f t="shared" si="546"/>
        <v>0</v>
      </c>
      <c r="HD248" s="37" t="s">
        <v>2</v>
      </c>
      <c r="HE248" s="1" t="s">
        <v>31</v>
      </c>
      <c r="HF248" s="1" t="s">
        <v>193</v>
      </c>
      <c r="HG248" s="1" t="s">
        <v>193</v>
      </c>
      <c r="HI248" s="1" t="s">
        <v>163</v>
      </c>
      <c r="HJ248" s="37" t="s">
        <v>2</v>
      </c>
      <c r="JH248" s="58" t="s">
        <v>2</v>
      </c>
    </row>
    <row r="249" spans="1:268" ht="16.25" customHeight="1" x14ac:dyDescent="0.2">
      <c r="A249" s="21" t="s">
        <v>888</v>
      </c>
      <c r="B249" s="1" t="s">
        <v>69</v>
      </c>
      <c r="F249" s="1" t="s">
        <v>131</v>
      </c>
      <c r="H249" s="1" t="s">
        <v>92</v>
      </c>
      <c r="I249" s="1">
        <v>0</v>
      </c>
      <c r="AD249" s="1">
        <v>0</v>
      </c>
      <c r="AY249" s="1">
        <v>33.200000000000003</v>
      </c>
      <c r="BG249" s="1">
        <v>1.1299999999999999</v>
      </c>
      <c r="BT249" s="1">
        <v>0</v>
      </c>
      <c r="CO249" s="1">
        <v>0</v>
      </c>
      <c r="DJ249" s="1" t="s">
        <v>163</v>
      </c>
      <c r="DL249" s="1">
        <f t="shared" si="462"/>
        <v>1.1299999999999999</v>
      </c>
      <c r="DM249" s="1">
        <f t="shared" si="463"/>
        <v>0</v>
      </c>
      <c r="DN249" s="1" t="s">
        <v>161</v>
      </c>
      <c r="DO249" s="1" t="s">
        <v>2</v>
      </c>
      <c r="DP249" s="38">
        <f t="shared" si="470"/>
        <v>0</v>
      </c>
      <c r="DQ249" s="38">
        <f t="shared" si="471"/>
        <v>0</v>
      </c>
      <c r="DR249" s="38">
        <f t="shared" si="472"/>
        <v>0</v>
      </c>
      <c r="DS249" s="38">
        <f t="shared" si="473"/>
        <v>0</v>
      </c>
      <c r="DT249" s="38">
        <f t="shared" si="474"/>
        <v>0</v>
      </c>
      <c r="DU249" s="38">
        <f t="shared" si="475"/>
        <v>0</v>
      </c>
      <c r="DV249" s="38">
        <f t="shared" si="476"/>
        <v>0</v>
      </c>
      <c r="DW249" s="38">
        <f t="shared" si="477"/>
        <v>0.37515999999999999</v>
      </c>
      <c r="DX249" s="38">
        <f t="shared" si="478"/>
        <v>0</v>
      </c>
      <c r="DY249" s="38">
        <f t="shared" si="479"/>
        <v>0</v>
      </c>
      <c r="DZ249" s="38">
        <f t="shared" si="480"/>
        <v>0</v>
      </c>
      <c r="EA249" s="38">
        <f t="shared" si="481"/>
        <v>0</v>
      </c>
      <c r="EB249" s="38">
        <f t="shared" si="482"/>
        <v>0</v>
      </c>
      <c r="EC249" s="38">
        <f t="shared" si="483"/>
        <v>0</v>
      </c>
      <c r="ED249" s="38">
        <f t="shared" si="484"/>
        <v>0</v>
      </c>
      <c r="EE249" s="38">
        <f t="shared" si="485"/>
        <v>0</v>
      </c>
      <c r="EG249" s="38">
        <f t="shared" si="486"/>
        <v>0</v>
      </c>
      <c r="EH249" s="38">
        <f t="shared" si="487"/>
        <v>0</v>
      </c>
      <c r="EI249" s="38">
        <f t="shared" si="488"/>
        <v>0</v>
      </c>
      <c r="EJ249" s="38">
        <f t="shared" si="489"/>
        <v>0</v>
      </c>
      <c r="EK249" s="38">
        <f t="shared" si="490"/>
        <v>0</v>
      </c>
      <c r="EL249" s="38">
        <f t="shared" si="491"/>
        <v>0</v>
      </c>
      <c r="EM249" s="38">
        <f t="shared" si="492"/>
        <v>0</v>
      </c>
      <c r="EN249" s="38">
        <f t="shared" si="493"/>
        <v>0</v>
      </c>
      <c r="EO249" s="38">
        <f t="shared" si="494"/>
        <v>0</v>
      </c>
      <c r="EP249" s="38">
        <f t="shared" si="495"/>
        <v>4919.8482400000003</v>
      </c>
      <c r="EQ249" s="38">
        <f t="shared" si="496"/>
        <v>0</v>
      </c>
      <c r="ER249" s="38">
        <f t="shared" si="497"/>
        <v>0</v>
      </c>
      <c r="ES249" s="38">
        <f t="shared" si="498"/>
        <v>0</v>
      </c>
      <c r="ET249" s="38">
        <f t="shared" si="499"/>
        <v>0</v>
      </c>
      <c r="EU249" s="38">
        <f t="shared" si="500"/>
        <v>0</v>
      </c>
      <c r="EV249" s="38">
        <f t="shared" si="501"/>
        <v>0</v>
      </c>
      <c r="EW249" s="38">
        <f t="shared" si="502"/>
        <v>0</v>
      </c>
      <c r="EX249" s="38">
        <f t="shared" si="503"/>
        <v>0</v>
      </c>
      <c r="EZ249" s="38">
        <f t="shared" si="504"/>
        <v>0</v>
      </c>
      <c r="FA249" s="38">
        <f t="shared" si="505"/>
        <v>0</v>
      </c>
      <c r="FB249" s="1">
        <f t="shared" si="506"/>
        <v>0</v>
      </c>
      <c r="FC249" s="1">
        <f t="shared" si="507"/>
        <v>0</v>
      </c>
      <c r="FD249" s="1">
        <f t="shared" si="508"/>
        <v>0</v>
      </c>
      <c r="FE249" s="1">
        <f t="shared" si="509"/>
        <v>0</v>
      </c>
      <c r="FF249" s="1">
        <f t="shared" si="510"/>
        <v>0</v>
      </c>
      <c r="FG249" s="1">
        <f t="shared" si="511"/>
        <v>0</v>
      </c>
      <c r="FH249" s="1">
        <f t="shared" si="512"/>
        <v>0</v>
      </c>
      <c r="FI249" s="1">
        <f t="shared" si="513"/>
        <v>0</v>
      </c>
      <c r="FJ249" s="1">
        <f t="shared" si="514"/>
        <v>0</v>
      </c>
      <c r="FK249" s="1">
        <f t="shared" si="515"/>
        <v>0</v>
      </c>
      <c r="FL249" s="1">
        <f t="shared" si="516"/>
        <v>0</v>
      </c>
      <c r="FM249" s="1">
        <f t="shared" si="517"/>
        <v>0</v>
      </c>
      <c r="FN249" s="1">
        <f t="shared" si="518"/>
        <v>0</v>
      </c>
      <c r="FO249" s="1">
        <f t="shared" si="519"/>
        <v>0</v>
      </c>
      <c r="FP249" s="1">
        <f t="shared" si="520"/>
        <v>0</v>
      </c>
      <c r="FQ249" s="1">
        <f t="shared" si="521"/>
        <v>0</v>
      </c>
      <c r="FS249" s="1">
        <f t="shared" si="522"/>
        <v>0</v>
      </c>
      <c r="FT249" s="1">
        <f t="shared" si="523"/>
        <v>0</v>
      </c>
      <c r="FU249" s="38">
        <f t="shared" si="524"/>
        <v>0</v>
      </c>
      <c r="FV249" s="38">
        <f t="shared" si="525"/>
        <v>0</v>
      </c>
      <c r="FW249" s="38">
        <f t="shared" si="526"/>
        <v>0</v>
      </c>
      <c r="FX249" s="38">
        <f t="shared" si="527"/>
        <v>0</v>
      </c>
      <c r="FY249" s="38">
        <f t="shared" si="528"/>
        <v>0</v>
      </c>
      <c r="FZ249" s="38">
        <f t="shared" si="529"/>
        <v>0</v>
      </c>
      <c r="GA249" s="38">
        <f t="shared" si="530"/>
        <v>0</v>
      </c>
      <c r="GB249" s="38">
        <f t="shared" si="531"/>
        <v>0</v>
      </c>
      <c r="GC249" s="38">
        <f t="shared" si="532"/>
        <v>0</v>
      </c>
      <c r="GD249" s="38">
        <f t="shared" si="533"/>
        <v>0</v>
      </c>
      <c r="GE249" s="38">
        <f t="shared" si="534"/>
        <v>0</v>
      </c>
      <c r="GF249" s="38">
        <f t="shared" si="535"/>
        <v>0</v>
      </c>
      <c r="GG249" s="38">
        <f t="shared" si="536"/>
        <v>0</v>
      </c>
      <c r="GH249" s="38">
        <f t="shared" si="537"/>
        <v>0</v>
      </c>
      <c r="GI249" s="38">
        <f t="shared" si="538"/>
        <v>0</v>
      </c>
      <c r="GJ249" s="38">
        <f t="shared" si="539"/>
        <v>0</v>
      </c>
      <c r="GL249" s="38">
        <f t="shared" si="540"/>
        <v>0</v>
      </c>
      <c r="GM249" s="38">
        <f t="shared" si="541"/>
        <v>0</v>
      </c>
      <c r="GN249" s="1" t="s">
        <v>2</v>
      </c>
      <c r="GO249" s="1">
        <f t="shared" si="464"/>
        <v>33.200000000000003</v>
      </c>
      <c r="GP249" s="1">
        <f t="shared" si="465"/>
        <v>1.1299999999999999</v>
      </c>
      <c r="GQ249" s="41">
        <f t="shared" si="466"/>
        <v>375.16</v>
      </c>
      <c r="GR249" s="41">
        <f t="shared" si="467"/>
        <v>4919.8482400000003</v>
      </c>
      <c r="GS249" s="14">
        <f t="shared" si="468"/>
        <v>148.18819999999999</v>
      </c>
      <c r="GT249" s="1">
        <f t="shared" si="542"/>
        <v>0</v>
      </c>
      <c r="GU249" s="1">
        <f t="shared" si="543"/>
        <v>0</v>
      </c>
      <c r="GV249" s="1">
        <f t="shared" si="544"/>
        <v>375.16</v>
      </c>
      <c r="GW249" s="37">
        <f t="shared" si="469"/>
        <v>0</v>
      </c>
      <c r="GX249" s="37"/>
      <c r="GY249" s="37"/>
      <c r="GZ249" s="37"/>
      <c r="HB249" s="1">
        <f t="shared" si="545"/>
        <v>0</v>
      </c>
      <c r="HC249" s="1">
        <f t="shared" si="546"/>
        <v>0</v>
      </c>
      <c r="HD249" s="37" t="s">
        <v>2</v>
      </c>
      <c r="HE249" s="1" t="s">
        <v>31</v>
      </c>
      <c r="HF249" s="1" t="s">
        <v>193</v>
      </c>
      <c r="HG249" s="1" t="s">
        <v>193</v>
      </c>
      <c r="HI249" s="1" t="s">
        <v>163</v>
      </c>
      <c r="HJ249" s="37" t="s">
        <v>2</v>
      </c>
      <c r="JH249" s="58" t="s">
        <v>2</v>
      </c>
    </row>
    <row r="250" spans="1:268" ht="16.25" customHeight="1" x14ac:dyDescent="0.2">
      <c r="A250" s="21" t="s">
        <v>889</v>
      </c>
      <c r="B250" s="1" t="s">
        <v>64</v>
      </c>
      <c r="F250" s="1" t="s">
        <v>890</v>
      </c>
      <c r="H250" s="1" t="s">
        <v>204</v>
      </c>
      <c r="I250" s="1">
        <v>0</v>
      </c>
      <c r="AD250" s="1">
        <v>0</v>
      </c>
      <c r="AY250" s="1">
        <v>70</v>
      </c>
      <c r="BG250" s="1">
        <v>1</v>
      </c>
      <c r="BT250" s="1">
        <v>0</v>
      </c>
      <c r="CO250" s="1">
        <v>0</v>
      </c>
      <c r="DJ250" s="1" t="s">
        <v>163</v>
      </c>
      <c r="DL250" s="1">
        <f t="shared" si="462"/>
        <v>1</v>
      </c>
      <c r="DM250" s="1">
        <f t="shared" si="463"/>
        <v>0</v>
      </c>
      <c r="DN250" s="1" t="s">
        <v>891</v>
      </c>
      <c r="DO250" s="1" t="s">
        <v>2</v>
      </c>
      <c r="DP250" s="38">
        <f t="shared" si="470"/>
        <v>0</v>
      </c>
      <c r="DQ250" s="38">
        <f t="shared" si="471"/>
        <v>0</v>
      </c>
      <c r="DR250" s="38">
        <f t="shared" si="472"/>
        <v>0</v>
      </c>
      <c r="DS250" s="38">
        <f t="shared" si="473"/>
        <v>0</v>
      </c>
      <c r="DT250" s="38">
        <f t="shared" si="474"/>
        <v>0</v>
      </c>
      <c r="DU250" s="38">
        <f t="shared" si="475"/>
        <v>0</v>
      </c>
      <c r="DV250" s="38">
        <f t="shared" si="476"/>
        <v>0</v>
      </c>
      <c r="DW250" s="38">
        <f t="shared" si="477"/>
        <v>0.7</v>
      </c>
      <c r="DX250" s="38">
        <f t="shared" si="478"/>
        <v>0</v>
      </c>
      <c r="DY250" s="38">
        <f t="shared" si="479"/>
        <v>0</v>
      </c>
      <c r="DZ250" s="38">
        <f t="shared" si="480"/>
        <v>0</v>
      </c>
      <c r="EA250" s="38">
        <f t="shared" si="481"/>
        <v>0</v>
      </c>
      <c r="EB250" s="38">
        <f t="shared" si="482"/>
        <v>0</v>
      </c>
      <c r="EC250" s="38">
        <f t="shared" si="483"/>
        <v>0</v>
      </c>
      <c r="ED250" s="38">
        <f t="shared" si="484"/>
        <v>0</v>
      </c>
      <c r="EE250" s="38">
        <f t="shared" si="485"/>
        <v>0</v>
      </c>
      <c r="EG250" s="38">
        <f t="shared" si="486"/>
        <v>0</v>
      </c>
      <c r="EH250" s="38">
        <f t="shared" si="487"/>
        <v>0</v>
      </c>
      <c r="EI250" s="38">
        <f t="shared" si="488"/>
        <v>0</v>
      </c>
      <c r="EJ250" s="38">
        <f t="shared" si="489"/>
        <v>0</v>
      </c>
      <c r="EK250" s="38">
        <f t="shared" si="490"/>
        <v>0</v>
      </c>
      <c r="EL250" s="38">
        <f t="shared" si="491"/>
        <v>0</v>
      </c>
      <c r="EM250" s="38">
        <f t="shared" si="492"/>
        <v>0</v>
      </c>
      <c r="EN250" s="38">
        <f t="shared" si="493"/>
        <v>0</v>
      </c>
      <c r="EO250" s="38">
        <f t="shared" si="494"/>
        <v>0</v>
      </c>
      <c r="EP250" s="38">
        <f t="shared" si="495"/>
        <v>9179.7999999999993</v>
      </c>
      <c r="EQ250" s="38">
        <f t="shared" si="496"/>
        <v>0</v>
      </c>
      <c r="ER250" s="38">
        <f t="shared" si="497"/>
        <v>0</v>
      </c>
      <c r="ES250" s="38">
        <f t="shared" si="498"/>
        <v>0</v>
      </c>
      <c r="ET250" s="38">
        <f t="shared" si="499"/>
        <v>0</v>
      </c>
      <c r="EU250" s="38">
        <f t="shared" si="500"/>
        <v>0</v>
      </c>
      <c r="EV250" s="38">
        <f t="shared" si="501"/>
        <v>0</v>
      </c>
      <c r="EW250" s="38">
        <f t="shared" si="502"/>
        <v>0</v>
      </c>
      <c r="EX250" s="38">
        <f t="shared" si="503"/>
        <v>0</v>
      </c>
      <c r="EZ250" s="38">
        <f t="shared" si="504"/>
        <v>0</v>
      </c>
      <c r="FA250" s="38">
        <f t="shared" si="505"/>
        <v>0</v>
      </c>
      <c r="FB250" s="1">
        <f t="shared" si="506"/>
        <v>0</v>
      </c>
      <c r="FC250" s="1">
        <f t="shared" si="507"/>
        <v>0</v>
      </c>
      <c r="FD250" s="1">
        <f t="shared" si="508"/>
        <v>0</v>
      </c>
      <c r="FE250" s="1">
        <f t="shared" si="509"/>
        <v>0</v>
      </c>
      <c r="FF250" s="1">
        <f t="shared" si="510"/>
        <v>0</v>
      </c>
      <c r="FG250" s="1">
        <f t="shared" si="511"/>
        <v>0</v>
      </c>
      <c r="FH250" s="1">
        <f t="shared" si="512"/>
        <v>0</v>
      </c>
      <c r="FI250" s="1">
        <f t="shared" si="513"/>
        <v>0</v>
      </c>
      <c r="FJ250" s="1">
        <f t="shared" si="514"/>
        <v>0</v>
      </c>
      <c r="FK250" s="1">
        <f t="shared" si="515"/>
        <v>0</v>
      </c>
      <c r="FL250" s="1">
        <f t="shared" si="516"/>
        <v>0</v>
      </c>
      <c r="FM250" s="1">
        <f t="shared" si="517"/>
        <v>0</v>
      </c>
      <c r="FN250" s="1">
        <f t="shared" si="518"/>
        <v>0</v>
      </c>
      <c r="FO250" s="1">
        <f t="shared" si="519"/>
        <v>0</v>
      </c>
      <c r="FP250" s="1">
        <f t="shared" si="520"/>
        <v>0</v>
      </c>
      <c r="FQ250" s="1">
        <f t="shared" si="521"/>
        <v>0</v>
      </c>
      <c r="FS250" s="1">
        <f t="shared" si="522"/>
        <v>0</v>
      </c>
      <c r="FT250" s="1">
        <f t="shared" si="523"/>
        <v>0</v>
      </c>
      <c r="FU250" s="38">
        <f t="shared" si="524"/>
        <v>0</v>
      </c>
      <c r="FV250" s="38">
        <f t="shared" si="525"/>
        <v>0</v>
      </c>
      <c r="FW250" s="38">
        <f t="shared" si="526"/>
        <v>0</v>
      </c>
      <c r="FX250" s="38">
        <f t="shared" si="527"/>
        <v>0</v>
      </c>
      <c r="FY250" s="38">
        <f t="shared" si="528"/>
        <v>0</v>
      </c>
      <c r="FZ250" s="38">
        <f t="shared" si="529"/>
        <v>0</v>
      </c>
      <c r="GA250" s="38">
        <f t="shared" si="530"/>
        <v>0</v>
      </c>
      <c r="GB250" s="38">
        <f t="shared" si="531"/>
        <v>0</v>
      </c>
      <c r="GC250" s="38">
        <f t="shared" si="532"/>
        <v>0</v>
      </c>
      <c r="GD250" s="38">
        <f t="shared" si="533"/>
        <v>0</v>
      </c>
      <c r="GE250" s="38">
        <f t="shared" si="534"/>
        <v>0</v>
      </c>
      <c r="GF250" s="38">
        <f t="shared" si="535"/>
        <v>0</v>
      </c>
      <c r="GG250" s="38">
        <f t="shared" si="536"/>
        <v>0</v>
      </c>
      <c r="GH250" s="38">
        <f t="shared" si="537"/>
        <v>0</v>
      </c>
      <c r="GI250" s="38">
        <f t="shared" si="538"/>
        <v>0</v>
      </c>
      <c r="GJ250" s="38">
        <f t="shared" si="539"/>
        <v>0</v>
      </c>
      <c r="GL250" s="38">
        <f t="shared" si="540"/>
        <v>0</v>
      </c>
      <c r="GM250" s="38">
        <f t="shared" si="541"/>
        <v>0</v>
      </c>
      <c r="GN250" s="1" t="s">
        <v>2</v>
      </c>
      <c r="GO250" s="1">
        <f t="shared" si="464"/>
        <v>70</v>
      </c>
      <c r="GP250" s="1">
        <f t="shared" si="465"/>
        <v>1</v>
      </c>
      <c r="GQ250" s="41">
        <f t="shared" si="466"/>
        <v>700</v>
      </c>
      <c r="GR250" s="41">
        <f t="shared" si="467"/>
        <v>9179.7999999999993</v>
      </c>
      <c r="GS250" s="14">
        <f t="shared" si="468"/>
        <v>131.13999999999999</v>
      </c>
      <c r="GT250" s="1">
        <f t="shared" si="542"/>
        <v>0</v>
      </c>
      <c r="GU250" s="1">
        <f t="shared" si="543"/>
        <v>0</v>
      </c>
      <c r="GV250" s="1">
        <f t="shared" si="544"/>
        <v>700</v>
      </c>
      <c r="GW250" s="37">
        <f t="shared" si="469"/>
        <v>0</v>
      </c>
      <c r="GX250" s="37"/>
      <c r="GY250" s="37"/>
      <c r="GZ250" s="37"/>
      <c r="HB250" s="1">
        <f t="shared" si="545"/>
        <v>0</v>
      </c>
      <c r="HC250" s="1">
        <f t="shared" si="546"/>
        <v>0</v>
      </c>
      <c r="HD250" s="37" t="s">
        <v>2</v>
      </c>
      <c r="HE250" s="1" t="s">
        <v>31</v>
      </c>
      <c r="HF250" s="1" t="s">
        <v>193</v>
      </c>
      <c r="HG250" s="1" t="s">
        <v>193</v>
      </c>
      <c r="HI250" s="1" t="s">
        <v>163</v>
      </c>
      <c r="HJ250" s="37" t="s">
        <v>2</v>
      </c>
      <c r="JH250" s="58" t="s">
        <v>2</v>
      </c>
    </row>
    <row r="251" spans="1:268" ht="16.25" customHeight="1" x14ac:dyDescent="0.2">
      <c r="A251" s="21" t="s">
        <v>1140</v>
      </c>
      <c r="B251" s="1" t="s">
        <v>69</v>
      </c>
      <c r="F251" s="1" t="s">
        <v>1138</v>
      </c>
      <c r="I251" s="1">
        <v>0</v>
      </c>
      <c r="AD251" s="1">
        <v>0</v>
      </c>
      <c r="AY251" s="1">
        <v>22.6</v>
      </c>
      <c r="BG251" s="1">
        <v>1.27</v>
      </c>
      <c r="BT251" s="1">
        <v>0</v>
      </c>
      <c r="CO251" s="1">
        <v>0</v>
      </c>
      <c r="DJ251" s="1" t="s">
        <v>163</v>
      </c>
      <c r="DL251" s="1">
        <f t="shared" si="462"/>
        <v>1.27</v>
      </c>
      <c r="DM251" s="1">
        <f t="shared" si="463"/>
        <v>0</v>
      </c>
      <c r="DN251" s="1" t="s">
        <v>471</v>
      </c>
      <c r="DO251" s="1" t="s">
        <v>2</v>
      </c>
      <c r="DP251" s="38">
        <f t="shared" si="470"/>
        <v>0</v>
      </c>
      <c r="DQ251" s="38">
        <f t="shared" si="471"/>
        <v>0</v>
      </c>
      <c r="DR251" s="38">
        <f t="shared" si="472"/>
        <v>0</v>
      </c>
      <c r="DS251" s="38">
        <f t="shared" si="473"/>
        <v>0</v>
      </c>
      <c r="DT251" s="38">
        <f t="shared" si="474"/>
        <v>0</v>
      </c>
      <c r="DU251" s="38">
        <f t="shared" si="475"/>
        <v>0</v>
      </c>
      <c r="DV251" s="38">
        <f t="shared" si="476"/>
        <v>0</v>
      </c>
      <c r="DW251" s="38">
        <f t="shared" si="477"/>
        <v>0.28702</v>
      </c>
      <c r="DX251" s="38">
        <f t="shared" si="478"/>
        <v>0</v>
      </c>
      <c r="DY251" s="38">
        <f t="shared" si="479"/>
        <v>0</v>
      </c>
      <c r="DZ251" s="38">
        <f t="shared" si="480"/>
        <v>0</v>
      </c>
      <c r="EA251" s="38">
        <f t="shared" si="481"/>
        <v>0</v>
      </c>
      <c r="EB251" s="38">
        <f t="shared" si="482"/>
        <v>0</v>
      </c>
      <c r="EC251" s="38">
        <f t="shared" si="483"/>
        <v>0</v>
      </c>
      <c r="ED251" s="38">
        <f t="shared" si="484"/>
        <v>0</v>
      </c>
      <c r="EE251" s="38">
        <f t="shared" si="485"/>
        <v>0</v>
      </c>
      <c r="EG251" s="38">
        <f t="shared" si="486"/>
        <v>0</v>
      </c>
      <c r="EH251" s="38">
        <f t="shared" si="487"/>
        <v>0</v>
      </c>
      <c r="EI251" s="38">
        <f t="shared" si="488"/>
        <v>0</v>
      </c>
      <c r="EJ251" s="38">
        <f t="shared" si="489"/>
        <v>0</v>
      </c>
      <c r="EK251" s="38">
        <f t="shared" si="490"/>
        <v>0</v>
      </c>
      <c r="EL251" s="38">
        <f t="shared" si="491"/>
        <v>0</v>
      </c>
      <c r="EM251" s="38">
        <f t="shared" si="492"/>
        <v>0</v>
      </c>
      <c r="EN251" s="38">
        <f t="shared" si="493"/>
        <v>0</v>
      </c>
      <c r="EO251" s="38">
        <f t="shared" si="494"/>
        <v>0</v>
      </c>
      <c r="EP251" s="38">
        <f t="shared" si="495"/>
        <v>3763.9802799999998</v>
      </c>
      <c r="EQ251" s="38">
        <f t="shared" si="496"/>
        <v>0</v>
      </c>
      <c r="ER251" s="38">
        <f t="shared" si="497"/>
        <v>0</v>
      </c>
      <c r="ES251" s="38">
        <f t="shared" si="498"/>
        <v>0</v>
      </c>
      <c r="ET251" s="38">
        <f t="shared" si="499"/>
        <v>0</v>
      </c>
      <c r="EU251" s="38">
        <f t="shared" si="500"/>
        <v>0</v>
      </c>
      <c r="EV251" s="38">
        <f t="shared" si="501"/>
        <v>0</v>
      </c>
      <c r="EW251" s="38">
        <f t="shared" si="502"/>
        <v>0</v>
      </c>
      <c r="EX251" s="38">
        <f t="shared" si="503"/>
        <v>0</v>
      </c>
      <c r="EZ251" s="38">
        <f t="shared" si="504"/>
        <v>0</v>
      </c>
      <c r="FA251" s="38">
        <f t="shared" si="505"/>
        <v>0</v>
      </c>
      <c r="FB251" s="1">
        <f t="shared" si="506"/>
        <v>0</v>
      </c>
      <c r="FC251" s="1">
        <f t="shared" si="507"/>
        <v>0</v>
      </c>
      <c r="FD251" s="1">
        <f t="shared" si="508"/>
        <v>0</v>
      </c>
      <c r="FE251" s="1">
        <f t="shared" si="509"/>
        <v>0</v>
      </c>
      <c r="FF251" s="1">
        <f t="shared" si="510"/>
        <v>0</v>
      </c>
      <c r="FG251" s="1">
        <f t="shared" si="511"/>
        <v>0</v>
      </c>
      <c r="FH251" s="1">
        <f t="shared" si="512"/>
        <v>0</v>
      </c>
      <c r="FI251" s="1">
        <f t="shared" si="513"/>
        <v>0</v>
      </c>
      <c r="FJ251" s="1">
        <f t="shared" si="514"/>
        <v>0</v>
      </c>
      <c r="FK251" s="1">
        <f t="shared" si="515"/>
        <v>0</v>
      </c>
      <c r="FL251" s="1">
        <f t="shared" si="516"/>
        <v>0</v>
      </c>
      <c r="FM251" s="1">
        <f t="shared" si="517"/>
        <v>0</v>
      </c>
      <c r="FN251" s="1">
        <f t="shared" si="518"/>
        <v>0</v>
      </c>
      <c r="FO251" s="1">
        <f t="shared" si="519"/>
        <v>0</v>
      </c>
      <c r="FP251" s="1">
        <f t="shared" si="520"/>
        <v>0</v>
      </c>
      <c r="FQ251" s="1">
        <f t="shared" si="521"/>
        <v>0</v>
      </c>
      <c r="FS251" s="1">
        <f t="shared" si="522"/>
        <v>0</v>
      </c>
      <c r="FT251" s="1">
        <f t="shared" si="523"/>
        <v>0</v>
      </c>
      <c r="FU251" s="38">
        <f t="shared" si="524"/>
        <v>0</v>
      </c>
      <c r="FV251" s="38">
        <f t="shared" si="525"/>
        <v>0</v>
      </c>
      <c r="FW251" s="38">
        <f t="shared" si="526"/>
        <v>0</v>
      </c>
      <c r="FX251" s="38">
        <f t="shared" si="527"/>
        <v>0</v>
      </c>
      <c r="FY251" s="38">
        <f t="shared" si="528"/>
        <v>0</v>
      </c>
      <c r="FZ251" s="38">
        <f t="shared" si="529"/>
        <v>0</v>
      </c>
      <c r="GA251" s="38">
        <f t="shared" si="530"/>
        <v>0</v>
      </c>
      <c r="GB251" s="38">
        <f t="shared" si="531"/>
        <v>0</v>
      </c>
      <c r="GC251" s="38">
        <f t="shared" si="532"/>
        <v>0</v>
      </c>
      <c r="GD251" s="38">
        <f t="shared" si="533"/>
        <v>0</v>
      </c>
      <c r="GE251" s="38">
        <f t="shared" si="534"/>
        <v>0</v>
      </c>
      <c r="GF251" s="38">
        <f t="shared" si="535"/>
        <v>0</v>
      </c>
      <c r="GG251" s="38">
        <f t="shared" si="536"/>
        <v>0</v>
      </c>
      <c r="GH251" s="38">
        <f t="shared" si="537"/>
        <v>0</v>
      </c>
      <c r="GI251" s="38">
        <f t="shared" si="538"/>
        <v>0</v>
      </c>
      <c r="GJ251" s="38">
        <f t="shared" si="539"/>
        <v>0</v>
      </c>
      <c r="GL251" s="38">
        <f t="shared" si="540"/>
        <v>0</v>
      </c>
      <c r="GM251" s="38">
        <f t="shared" si="541"/>
        <v>0</v>
      </c>
      <c r="GN251" s="1" t="s">
        <v>2</v>
      </c>
      <c r="GO251" s="1">
        <f t="shared" si="464"/>
        <v>22.6</v>
      </c>
      <c r="GP251" s="1">
        <f t="shared" si="465"/>
        <v>1.27</v>
      </c>
      <c r="GQ251" s="41">
        <f t="shared" si="466"/>
        <v>287.02</v>
      </c>
      <c r="GR251" s="41">
        <f t="shared" si="467"/>
        <v>3763.9802799999998</v>
      </c>
      <c r="GS251" s="14">
        <f t="shared" si="468"/>
        <v>166.54779999999997</v>
      </c>
      <c r="GT251" s="1">
        <f t="shared" si="542"/>
        <v>0</v>
      </c>
      <c r="GU251" s="1">
        <f t="shared" si="543"/>
        <v>0</v>
      </c>
      <c r="GV251" s="1">
        <f t="shared" si="544"/>
        <v>287.02</v>
      </c>
      <c r="GW251" s="37">
        <f t="shared" si="469"/>
        <v>0</v>
      </c>
      <c r="GX251" s="37"/>
      <c r="GY251" s="37"/>
      <c r="GZ251" s="37"/>
      <c r="HB251" s="1">
        <f t="shared" si="545"/>
        <v>0</v>
      </c>
      <c r="HC251" s="1">
        <f t="shared" si="546"/>
        <v>0</v>
      </c>
      <c r="HD251" s="37" t="s">
        <v>2</v>
      </c>
      <c r="HE251" s="1" t="s">
        <v>31</v>
      </c>
      <c r="HF251" s="1" t="s">
        <v>193</v>
      </c>
      <c r="HG251" s="1" t="s">
        <v>193</v>
      </c>
      <c r="HI251" s="1" t="s">
        <v>163</v>
      </c>
      <c r="HJ251" s="37" t="s">
        <v>2</v>
      </c>
      <c r="JH251" s="58" t="s">
        <v>2</v>
      </c>
    </row>
    <row r="252" spans="1:268" ht="16.25" customHeight="1" x14ac:dyDescent="0.2">
      <c r="A252" s="21" t="s">
        <v>1155</v>
      </c>
      <c r="B252" s="1" t="s">
        <v>69</v>
      </c>
      <c r="F252" s="1" t="s">
        <v>1145</v>
      </c>
      <c r="I252" s="1">
        <v>0</v>
      </c>
      <c r="AD252" s="1">
        <v>0</v>
      </c>
      <c r="AY252" s="1">
        <v>27</v>
      </c>
      <c r="BG252" s="14">
        <v>1</v>
      </c>
      <c r="BT252" s="1">
        <v>0</v>
      </c>
      <c r="CO252" s="1">
        <v>0</v>
      </c>
      <c r="DJ252" s="1" t="s">
        <v>163</v>
      </c>
      <c r="DL252" s="1">
        <f t="shared" si="462"/>
        <v>1</v>
      </c>
      <c r="DM252" s="1">
        <f t="shared" si="463"/>
        <v>0</v>
      </c>
      <c r="DN252" s="1" t="s">
        <v>471</v>
      </c>
      <c r="DO252" s="1" t="s">
        <v>2</v>
      </c>
      <c r="DP252" s="38">
        <f t="shared" si="470"/>
        <v>0</v>
      </c>
      <c r="DQ252" s="38">
        <f t="shared" si="471"/>
        <v>0</v>
      </c>
      <c r="DR252" s="38">
        <f t="shared" si="472"/>
        <v>0</v>
      </c>
      <c r="DS252" s="38">
        <f t="shared" si="473"/>
        <v>0</v>
      </c>
      <c r="DT252" s="38">
        <f t="shared" si="474"/>
        <v>0</v>
      </c>
      <c r="DU252" s="38">
        <f t="shared" si="475"/>
        <v>0</v>
      </c>
      <c r="DV252" s="38">
        <f t="shared" si="476"/>
        <v>0</v>
      </c>
      <c r="DW252" s="38">
        <f t="shared" si="477"/>
        <v>0.27</v>
      </c>
      <c r="DX252" s="38">
        <f t="shared" si="478"/>
        <v>0</v>
      </c>
      <c r="DY252" s="38">
        <f t="shared" si="479"/>
        <v>0</v>
      </c>
      <c r="DZ252" s="38">
        <f t="shared" si="480"/>
        <v>0</v>
      </c>
      <c r="EA252" s="38">
        <f t="shared" si="481"/>
        <v>0</v>
      </c>
      <c r="EB252" s="38">
        <f t="shared" si="482"/>
        <v>0</v>
      </c>
      <c r="EC252" s="38">
        <f t="shared" si="483"/>
        <v>0</v>
      </c>
      <c r="ED252" s="38">
        <f t="shared" si="484"/>
        <v>0</v>
      </c>
      <c r="EE252" s="38">
        <f t="shared" si="485"/>
        <v>0</v>
      </c>
      <c r="EG252" s="38">
        <f t="shared" si="486"/>
        <v>0</v>
      </c>
      <c r="EH252" s="38">
        <f t="shared" si="487"/>
        <v>0</v>
      </c>
      <c r="EI252" s="38">
        <f t="shared" si="488"/>
        <v>0</v>
      </c>
      <c r="EJ252" s="38">
        <f t="shared" si="489"/>
        <v>0</v>
      </c>
      <c r="EK252" s="38">
        <f t="shared" si="490"/>
        <v>0</v>
      </c>
      <c r="EL252" s="38">
        <f t="shared" si="491"/>
        <v>0</v>
      </c>
      <c r="EM252" s="38">
        <f t="shared" si="492"/>
        <v>0</v>
      </c>
      <c r="EN252" s="38">
        <f t="shared" si="493"/>
        <v>0</v>
      </c>
      <c r="EO252" s="38">
        <f t="shared" si="494"/>
        <v>0</v>
      </c>
      <c r="EP252" s="38">
        <f t="shared" si="495"/>
        <v>3540.78</v>
      </c>
      <c r="EQ252" s="38">
        <f t="shared" si="496"/>
        <v>0</v>
      </c>
      <c r="ER252" s="38">
        <f t="shared" si="497"/>
        <v>0</v>
      </c>
      <c r="ES252" s="38">
        <f t="shared" si="498"/>
        <v>0</v>
      </c>
      <c r="ET252" s="38">
        <f t="shared" si="499"/>
        <v>0</v>
      </c>
      <c r="EU252" s="38">
        <f t="shared" si="500"/>
        <v>0</v>
      </c>
      <c r="EV252" s="38">
        <f t="shared" si="501"/>
        <v>0</v>
      </c>
      <c r="EW252" s="38">
        <f t="shared" si="502"/>
        <v>0</v>
      </c>
      <c r="EX252" s="38">
        <f t="shared" si="503"/>
        <v>0</v>
      </c>
      <c r="EZ252" s="38">
        <f t="shared" si="504"/>
        <v>0</v>
      </c>
      <c r="FA252" s="38">
        <f t="shared" si="505"/>
        <v>0</v>
      </c>
      <c r="FB252" s="1">
        <f t="shared" si="506"/>
        <v>0</v>
      </c>
      <c r="FC252" s="1">
        <f t="shared" si="507"/>
        <v>0</v>
      </c>
      <c r="FD252" s="1">
        <f t="shared" si="508"/>
        <v>0</v>
      </c>
      <c r="FE252" s="1">
        <f t="shared" si="509"/>
        <v>0</v>
      </c>
      <c r="FF252" s="1">
        <f t="shared" si="510"/>
        <v>0</v>
      </c>
      <c r="FG252" s="1">
        <f t="shared" si="511"/>
        <v>0</v>
      </c>
      <c r="FH252" s="1">
        <f t="shared" si="512"/>
        <v>0</v>
      </c>
      <c r="FI252" s="1">
        <f t="shared" si="513"/>
        <v>0</v>
      </c>
      <c r="FJ252" s="1">
        <f t="shared" si="514"/>
        <v>0</v>
      </c>
      <c r="FK252" s="1">
        <f t="shared" si="515"/>
        <v>0</v>
      </c>
      <c r="FL252" s="1">
        <f t="shared" si="516"/>
        <v>0</v>
      </c>
      <c r="FM252" s="1">
        <f t="shared" si="517"/>
        <v>0</v>
      </c>
      <c r="FN252" s="1">
        <f t="shared" si="518"/>
        <v>0</v>
      </c>
      <c r="FO252" s="1">
        <f t="shared" si="519"/>
        <v>0</v>
      </c>
      <c r="FP252" s="1">
        <f t="shared" si="520"/>
        <v>0</v>
      </c>
      <c r="FQ252" s="1">
        <f t="shared" si="521"/>
        <v>0</v>
      </c>
      <c r="FS252" s="1">
        <f t="shared" si="522"/>
        <v>0</v>
      </c>
      <c r="FT252" s="1">
        <f t="shared" si="523"/>
        <v>0</v>
      </c>
      <c r="FU252" s="38">
        <f t="shared" si="524"/>
        <v>0</v>
      </c>
      <c r="FV252" s="38">
        <f t="shared" si="525"/>
        <v>0</v>
      </c>
      <c r="FW252" s="38">
        <f t="shared" si="526"/>
        <v>0</v>
      </c>
      <c r="FX252" s="38">
        <f t="shared" si="527"/>
        <v>0</v>
      </c>
      <c r="FY252" s="38">
        <f t="shared" si="528"/>
        <v>0</v>
      </c>
      <c r="FZ252" s="38">
        <f t="shared" si="529"/>
        <v>0</v>
      </c>
      <c r="GA252" s="38">
        <f t="shared" si="530"/>
        <v>0</v>
      </c>
      <c r="GB252" s="38">
        <f t="shared" si="531"/>
        <v>0</v>
      </c>
      <c r="GC252" s="38">
        <f t="shared" si="532"/>
        <v>0</v>
      </c>
      <c r="GD252" s="38">
        <f t="shared" si="533"/>
        <v>0</v>
      </c>
      <c r="GE252" s="38">
        <f t="shared" si="534"/>
        <v>0</v>
      </c>
      <c r="GF252" s="38">
        <f t="shared" si="535"/>
        <v>0</v>
      </c>
      <c r="GG252" s="38">
        <f t="shared" si="536"/>
        <v>0</v>
      </c>
      <c r="GH252" s="38">
        <f t="shared" si="537"/>
        <v>0</v>
      </c>
      <c r="GI252" s="38">
        <f t="shared" si="538"/>
        <v>0</v>
      </c>
      <c r="GJ252" s="38">
        <f t="shared" si="539"/>
        <v>0</v>
      </c>
      <c r="GL252" s="38">
        <f t="shared" si="540"/>
        <v>0</v>
      </c>
      <c r="GM252" s="38">
        <f t="shared" si="541"/>
        <v>0</v>
      </c>
      <c r="GN252" s="1" t="s">
        <v>2</v>
      </c>
      <c r="GO252" s="1">
        <f t="shared" si="464"/>
        <v>27</v>
      </c>
      <c r="GP252" s="1">
        <f t="shared" si="465"/>
        <v>1</v>
      </c>
      <c r="GQ252" s="41">
        <f t="shared" si="466"/>
        <v>270</v>
      </c>
      <c r="GR252" s="41">
        <f t="shared" si="467"/>
        <v>3540.78</v>
      </c>
      <c r="GS252" s="14">
        <f t="shared" si="468"/>
        <v>131.14000000000001</v>
      </c>
      <c r="GT252" s="1">
        <f t="shared" si="542"/>
        <v>0</v>
      </c>
      <c r="GU252" s="1">
        <f t="shared" si="543"/>
        <v>0</v>
      </c>
      <c r="GV252" s="1">
        <f t="shared" si="544"/>
        <v>270</v>
      </c>
      <c r="GW252" s="37">
        <f t="shared" si="469"/>
        <v>0</v>
      </c>
      <c r="GX252" s="37"/>
      <c r="GY252" s="37"/>
      <c r="GZ252" s="37"/>
      <c r="HB252" s="1">
        <f t="shared" si="545"/>
        <v>0</v>
      </c>
      <c r="HC252" s="1">
        <f t="shared" si="546"/>
        <v>0</v>
      </c>
      <c r="HD252" s="37" t="s">
        <v>2</v>
      </c>
      <c r="HE252" s="1" t="s">
        <v>31</v>
      </c>
      <c r="HF252" s="1" t="s">
        <v>193</v>
      </c>
      <c r="HG252" s="1" t="s">
        <v>193</v>
      </c>
      <c r="HI252" s="1" t="s">
        <v>163</v>
      </c>
      <c r="HJ252" s="37" t="s">
        <v>2</v>
      </c>
      <c r="JH252" s="58" t="s">
        <v>2</v>
      </c>
    </row>
    <row r="253" spans="1:268" ht="16.25" customHeight="1" x14ac:dyDescent="0.2">
      <c r="A253" s="21" t="s">
        <v>1036</v>
      </c>
      <c r="B253" s="1" t="s">
        <v>69</v>
      </c>
      <c r="F253" s="1" t="s">
        <v>131</v>
      </c>
      <c r="I253" s="1">
        <v>0</v>
      </c>
      <c r="AD253" s="1">
        <v>0</v>
      </c>
      <c r="AY253" s="1">
        <v>55.1</v>
      </c>
      <c r="BG253" s="1">
        <v>0.96</v>
      </c>
      <c r="BH253" s="1">
        <v>0.05</v>
      </c>
      <c r="BT253" s="1">
        <v>0</v>
      </c>
      <c r="CO253" s="1">
        <v>0</v>
      </c>
      <c r="DJ253" s="1" t="s">
        <v>163</v>
      </c>
      <c r="DK253" s="1" t="s">
        <v>163</v>
      </c>
      <c r="DL253" s="1">
        <f t="shared" si="462"/>
        <v>0.96</v>
      </c>
      <c r="DM253" s="1">
        <f t="shared" si="463"/>
        <v>0.05</v>
      </c>
      <c r="DN253" s="1" t="s">
        <v>1030</v>
      </c>
      <c r="DO253" s="1" t="s">
        <v>2</v>
      </c>
      <c r="DP253" s="38">
        <f t="shared" si="470"/>
        <v>0</v>
      </c>
      <c r="DQ253" s="38">
        <f t="shared" si="471"/>
        <v>0</v>
      </c>
      <c r="DR253" s="38">
        <f t="shared" si="472"/>
        <v>0</v>
      </c>
      <c r="DS253" s="38">
        <f t="shared" si="473"/>
        <v>0</v>
      </c>
      <c r="DT253" s="38">
        <f t="shared" si="474"/>
        <v>0</v>
      </c>
      <c r="DU253" s="38">
        <f t="shared" si="475"/>
        <v>0</v>
      </c>
      <c r="DV253" s="38">
        <f t="shared" si="476"/>
        <v>0</v>
      </c>
      <c r="DW253" s="38">
        <f t="shared" si="477"/>
        <v>0.52895999999999999</v>
      </c>
      <c r="DX253" s="38">
        <f t="shared" si="478"/>
        <v>2.7550000000000005E-2</v>
      </c>
      <c r="DY253" s="38">
        <f t="shared" si="479"/>
        <v>0</v>
      </c>
      <c r="DZ253" s="38">
        <f t="shared" si="480"/>
        <v>0</v>
      </c>
      <c r="EA253" s="38">
        <f t="shared" si="481"/>
        <v>0</v>
      </c>
      <c r="EB253" s="38">
        <f t="shared" si="482"/>
        <v>0</v>
      </c>
      <c r="EC253" s="38">
        <f t="shared" si="483"/>
        <v>0</v>
      </c>
      <c r="ED253" s="38">
        <f t="shared" si="484"/>
        <v>0</v>
      </c>
      <c r="EE253" s="38">
        <f t="shared" si="485"/>
        <v>0</v>
      </c>
      <c r="EG253" s="38">
        <f t="shared" si="486"/>
        <v>0</v>
      </c>
      <c r="EH253" s="38">
        <f t="shared" si="487"/>
        <v>0</v>
      </c>
      <c r="EI253" s="38">
        <f t="shared" si="488"/>
        <v>0</v>
      </c>
      <c r="EJ253" s="38">
        <f t="shared" si="489"/>
        <v>0</v>
      </c>
      <c r="EK253" s="38">
        <f t="shared" si="490"/>
        <v>0</v>
      </c>
      <c r="EL253" s="38">
        <f t="shared" si="491"/>
        <v>0</v>
      </c>
      <c r="EM253" s="38">
        <f t="shared" si="492"/>
        <v>0</v>
      </c>
      <c r="EN253" s="38">
        <f t="shared" si="493"/>
        <v>0</v>
      </c>
      <c r="EO253" s="38">
        <f t="shared" si="494"/>
        <v>0</v>
      </c>
      <c r="EP253" s="38">
        <f t="shared" si="495"/>
        <v>6936.7814399999997</v>
      </c>
      <c r="EQ253" s="38">
        <f t="shared" si="496"/>
        <v>2000.6678862000001</v>
      </c>
      <c r="ER253" s="38">
        <f t="shared" si="497"/>
        <v>0</v>
      </c>
      <c r="ES253" s="38">
        <f t="shared" si="498"/>
        <v>0</v>
      </c>
      <c r="ET253" s="38">
        <f t="shared" si="499"/>
        <v>0</v>
      </c>
      <c r="EU253" s="38">
        <f t="shared" si="500"/>
        <v>0</v>
      </c>
      <c r="EV253" s="38">
        <f t="shared" si="501"/>
        <v>0</v>
      </c>
      <c r="EW253" s="38">
        <f t="shared" si="502"/>
        <v>0</v>
      </c>
      <c r="EX253" s="38">
        <f t="shared" si="503"/>
        <v>0</v>
      </c>
      <c r="EZ253" s="38">
        <f t="shared" si="504"/>
        <v>0</v>
      </c>
      <c r="FA253" s="38">
        <f t="shared" si="505"/>
        <v>0</v>
      </c>
      <c r="FB253" s="1">
        <f t="shared" si="506"/>
        <v>0</v>
      </c>
      <c r="FC253" s="1">
        <f t="shared" si="507"/>
        <v>0</v>
      </c>
      <c r="FD253" s="1">
        <f t="shared" si="508"/>
        <v>0</v>
      </c>
      <c r="FE253" s="1">
        <f t="shared" si="509"/>
        <v>0</v>
      </c>
      <c r="FF253" s="1">
        <f t="shared" si="510"/>
        <v>0</v>
      </c>
      <c r="FG253" s="1">
        <f t="shared" si="511"/>
        <v>0</v>
      </c>
      <c r="FH253" s="1">
        <f t="shared" si="512"/>
        <v>0</v>
      </c>
      <c r="FI253" s="1">
        <f t="shared" si="513"/>
        <v>0</v>
      </c>
      <c r="FJ253" s="1">
        <f t="shared" si="514"/>
        <v>0</v>
      </c>
      <c r="FK253" s="1">
        <f t="shared" si="515"/>
        <v>0</v>
      </c>
      <c r="FL253" s="1">
        <f t="shared" si="516"/>
        <v>0</v>
      </c>
      <c r="FM253" s="1">
        <f t="shared" si="517"/>
        <v>0</v>
      </c>
      <c r="FN253" s="1">
        <f t="shared" si="518"/>
        <v>0</v>
      </c>
      <c r="FO253" s="1">
        <f t="shared" si="519"/>
        <v>0</v>
      </c>
      <c r="FP253" s="1">
        <f t="shared" si="520"/>
        <v>0</v>
      </c>
      <c r="FQ253" s="1">
        <f t="shared" si="521"/>
        <v>0</v>
      </c>
      <c r="FS253" s="1">
        <f t="shared" si="522"/>
        <v>0</v>
      </c>
      <c r="FT253" s="1">
        <f t="shared" si="523"/>
        <v>0</v>
      </c>
      <c r="FU253" s="38">
        <f t="shared" si="524"/>
        <v>0</v>
      </c>
      <c r="FV253" s="38">
        <f t="shared" si="525"/>
        <v>0</v>
      </c>
      <c r="FW253" s="38">
        <f t="shared" si="526"/>
        <v>0</v>
      </c>
      <c r="FX253" s="38">
        <f t="shared" si="527"/>
        <v>0</v>
      </c>
      <c r="FY253" s="38">
        <f t="shared" si="528"/>
        <v>0</v>
      </c>
      <c r="FZ253" s="38">
        <f t="shared" si="529"/>
        <v>0</v>
      </c>
      <c r="GA253" s="38">
        <f t="shared" si="530"/>
        <v>0</v>
      </c>
      <c r="GB253" s="38">
        <f t="shared" si="531"/>
        <v>0</v>
      </c>
      <c r="GC253" s="38">
        <f t="shared" si="532"/>
        <v>0</v>
      </c>
      <c r="GD253" s="38">
        <f t="shared" si="533"/>
        <v>0</v>
      </c>
      <c r="GE253" s="38">
        <f t="shared" si="534"/>
        <v>0</v>
      </c>
      <c r="GF253" s="38">
        <f t="shared" si="535"/>
        <v>0</v>
      </c>
      <c r="GG253" s="38">
        <f t="shared" si="536"/>
        <v>0</v>
      </c>
      <c r="GH253" s="38">
        <f t="shared" si="537"/>
        <v>0</v>
      </c>
      <c r="GI253" s="38">
        <f t="shared" si="538"/>
        <v>0</v>
      </c>
      <c r="GJ253" s="38">
        <f t="shared" si="539"/>
        <v>0</v>
      </c>
      <c r="GL253" s="38">
        <f t="shared" si="540"/>
        <v>0</v>
      </c>
      <c r="GM253" s="38">
        <f t="shared" si="541"/>
        <v>0</v>
      </c>
      <c r="GN253" s="1" t="s">
        <v>2</v>
      </c>
      <c r="GO253" s="1">
        <f t="shared" si="464"/>
        <v>55.1</v>
      </c>
      <c r="GP253" s="1">
        <f t="shared" si="465"/>
        <v>0.96</v>
      </c>
      <c r="GQ253" s="41">
        <f t="shared" si="466"/>
        <v>528.96</v>
      </c>
      <c r="GR253" s="41">
        <f t="shared" si="467"/>
        <v>8937.4493261999996</v>
      </c>
      <c r="GS253" s="14">
        <f t="shared" si="468"/>
        <v>162.204162</v>
      </c>
      <c r="GT253" s="1">
        <f t="shared" si="542"/>
        <v>0</v>
      </c>
      <c r="GU253" s="1">
        <f t="shared" si="543"/>
        <v>0</v>
      </c>
      <c r="GV253" s="1">
        <f t="shared" si="544"/>
        <v>528.96</v>
      </c>
      <c r="GW253" s="37">
        <f t="shared" si="469"/>
        <v>0</v>
      </c>
      <c r="GX253" s="37"/>
      <c r="GY253" s="37"/>
      <c r="GZ253" s="37"/>
      <c r="HB253" s="1">
        <f t="shared" si="545"/>
        <v>0</v>
      </c>
      <c r="HC253" s="1">
        <f t="shared" si="546"/>
        <v>0</v>
      </c>
      <c r="HD253" s="37" t="s">
        <v>2</v>
      </c>
      <c r="HE253" s="1" t="s">
        <v>31</v>
      </c>
      <c r="HF253" s="1" t="s">
        <v>193</v>
      </c>
      <c r="HG253" s="1" t="s">
        <v>193</v>
      </c>
      <c r="HI253" s="1" t="s">
        <v>163</v>
      </c>
      <c r="HJ253" s="37" t="s">
        <v>2</v>
      </c>
      <c r="JH253" s="58" t="s">
        <v>2</v>
      </c>
    </row>
    <row r="254" spans="1:268" ht="16.25" customHeight="1" x14ac:dyDescent="0.2">
      <c r="A254" s="21" t="s">
        <v>191</v>
      </c>
      <c r="B254" s="1" t="s">
        <v>69</v>
      </c>
      <c r="E254" s="1" t="s">
        <v>72</v>
      </c>
      <c r="F254" s="1" t="s">
        <v>131</v>
      </c>
      <c r="H254" s="1" t="s">
        <v>192</v>
      </c>
      <c r="I254" s="1">
        <v>0</v>
      </c>
      <c r="AD254" s="1">
        <v>0</v>
      </c>
      <c r="AY254" s="2">
        <v>7.7690999999999996E-2</v>
      </c>
      <c r="BG254" s="1">
        <v>0.3</v>
      </c>
      <c r="BH254" s="1">
        <v>0.44600000000000001</v>
      </c>
      <c r="BT254" s="1">
        <v>0</v>
      </c>
      <c r="CO254" s="1">
        <v>0</v>
      </c>
      <c r="DJ254" s="1" t="s">
        <v>163</v>
      </c>
      <c r="DK254" s="1" t="s">
        <v>163</v>
      </c>
      <c r="DL254" s="1">
        <f t="shared" si="462"/>
        <v>0.3</v>
      </c>
      <c r="DM254" s="1">
        <f t="shared" si="463"/>
        <v>0.44600000000000001</v>
      </c>
      <c r="DN254" s="1" t="s">
        <v>161</v>
      </c>
      <c r="DO254" s="1" t="s">
        <v>2</v>
      </c>
      <c r="DP254" s="38">
        <f t="shared" si="470"/>
        <v>0</v>
      </c>
      <c r="DQ254" s="38">
        <f t="shared" si="471"/>
        <v>0</v>
      </c>
      <c r="DR254" s="38">
        <f t="shared" si="472"/>
        <v>0</v>
      </c>
      <c r="DS254" s="38">
        <f t="shared" si="473"/>
        <v>0</v>
      </c>
      <c r="DT254" s="38">
        <f t="shared" si="474"/>
        <v>0</v>
      </c>
      <c r="DU254" s="38">
        <f t="shared" si="475"/>
        <v>0</v>
      </c>
      <c r="DV254" s="38">
        <f t="shared" si="476"/>
        <v>0</v>
      </c>
      <c r="DW254" s="38">
        <f t="shared" si="477"/>
        <v>2.3307299999999998E-4</v>
      </c>
      <c r="DX254" s="38">
        <f t="shared" si="478"/>
        <v>3.4650186000000001E-4</v>
      </c>
      <c r="DY254" s="38">
        <f t="shared" si="479"/>
        <v>0</v>
      </c>
      <c r="DZ254" s="38">
        <f t="shared" si="480"/>
        <v>0</v>
      </c>
      <c r="EA254" s="38">
        <f t="shared" si="481"/>
        <v>0</v>
      </c>
      <c r="EB254" s="38">
        <f t="shared" si="482"/>
        <v>0</v>
      </c>
      <c r="EC254" s="38">
        <f t="shared" si="483"/>
        <v>0</v>
      </c>
      <c r="ED254" s="38">
        <f t="shared" si="484"/>
        <v>0</v>
      </c>
      <c r="EE254" s="38">
        <f t="shared" si="485"/>
        <v>0</v>
      </c>
      <c r="EG254" s="38">
        <f t="shared" si="486"/>
        <v>0</v>
      </c>
      <c r="EH254" s="38">
        <f t="shared" si="487"/>
        <v>0</v>
      </c>
      <c r="EI254" s="38">
        <f t="shared" si="488"/>
        <v>0</v>
      </c>
      <c r="EJ254" s="38">
        <f t="shared" si="489"/>
        <v>0</v>
      </c>
      <c r="EK254" s="38">
        <f t="shared" si="490"/>
        <v>0</v>
      </c>
      <c r="EL254" s="38">
        <f t="shared" si="491"/>
        <v>0</v>
      </c>
      <c r="EM254" s="38">
        <f t="shared" si="492"/>
        <v>0</v>
      </c>
      <c r="EN254" s="38">
        <f t="shared" si="493"/>
        <v>0</v>
      </c>
      <c r="EO254" s="38">
        <f t="shared" si="494"/>
        <v>0</v>
      </c>
      <c r="EP254" s="38">
        <f t="shared" si="495"/>
        <v>3.0565193219999998</v>
      </c>
      <c r="EQ254" s="38">
        <f t="shared" si="496"/>
        <v>25.162800138314637</v>
      </c>
      <c r="ER254" s="38">
        <f t="shared" si="497"/>
        <v>0</v>
      </c>
      <c r="ES254" s="38">
        <f t="shared" si="498"/>
        <v>0</v>
      </c>
      <c r="ET254" s="38">
        <f t="shared" si="499"/>
        <v>0</v>
      </c>
      <c r="EU254" s="38">
        <f t="shared" si="500"/>
        <v>0</v>
      </c>
      <c r="EV254" s="38">
        <f t="shared" si="501"/>
        <v>0</v>
      </c>
      <c r="EW254" s="38">
        <f t="shared" si="502"/>
        <v>0</v>
      </c>
      <c r="EX254" s="38">
        <f t="shared" si="503"/>
        <v>0</v>
      </c>
      <c r="EZ254" s="38">
        <f t="shared" si="504"/>
        <v>0</v>
      </c>
      <c r="FA254" s="38">
        <f t="shared" si="505"/>
        <v>0</v>
      </c>
      <c r="FB254" s="1">
        <f t="shared" si="506"/>
        <v>0</v>
      </c>
      <c r="FC254" s="1">
        <f t="shared" si="507"/>
        <v>0</v>
      </c>
      <c r="FD254" s="1">
        <f t="shared" si="508"/>
        <v>0</v>
      </c>
      <c r="FE254" s="1">
        <f t="shared" si="509"/>
        <v>0</v>
      </c>
      <c r="FF254" s="1">
        <f t="shared" si="510"/>
        <v>0</v>
      </c>
      <c r="FG254" s="1">
        <f t="shared" si="511"/>
        <v>0</v>
      </c>
      <c r="FH254" s="1">
        <f t="shared" si="512"/>
        <v>0</v>
      </c>
      <c r="FI254" s="1">
        <f t="shared" si="513"/>
        <v>0</v>
      </c>
      <c r="FJ254" s="1">
        <f t="shared" si="514"/>
        <v>0</v>
      </c>
      <c r="FK254" s="1">
        <f t="shared" si="515"/>
        <v>0</v>
      </c>
      <c r="FL254" s="1">
        <f t="shared" si="516"/>
        <v>0</v>
      </c>
      <c r="FM254" s="1">
        <f t="shared" si="517"/>
        <v>0</v>
      </c>
      <c r="FN254" s="1">
        <f t="shared" si="518"/>
        <v>0</v>
      </c>
      <c r="FO254" s="1">
        <f t="shared" si="519"/>
        <v>0</v>
      </c>
      <c r="FP254" s="1">
        <f t="shared" si="520"/>
        <v>0</v>
      </c>
      <c r="FQ254" s="1">
        <f t="shared" si="521"/>
        <v>0</v>
      </c>
      <c r="FS254" s="1">
        <f t="shared" si="522"/>
        <v>0</v>
      </c>
      <c r="FT254" s="1">
        <f t="shared" si="523"/>
        <v>0</v>
      </c>
      <c r="FU254" s="38">
        <f t="shared" si="524"/>
        <v>0</v>
      </c>
      <c r="FV254" s="38">
        <f t="shared" si="525"/>
        <v>0</v>
      </c>
      <c r="FW254" s="38">
        <f t="shared" si="526"/>
        <v>0</v>
      </c>
      <c r="FX254" s="38">
        <f t="shared" si="527"/>
        <v>0</v>
      </c>
      <c r="FY254" s="38">
        <f t="shared" si="528"/>
        <v>0</v>
      </c>
      <c r="FZ254" s="38">
        <f t="shared" si="529"/>
        <v>0</v>
      </c>
      <c r="GA254" s="38">
        <f t="shared" si="530"/>
        <v>0</v>
      </c>
      <c r="GB254" s="38">
        <f t="shared" si="531"/>
        <v>0</v>
      </c>
      <c r="GC254" s="38">
        <f t="shared" si="532"/>
        <v>0</v>
      </c>
      <c r="GD254" s="38">
        <f t="shared" si="533"/>
        <v>0</v>
      </c>
      <c r="GE254" s="38">
        <f t="shared" si="534"/>
        <v>0</v>
      </c>
      <c r="GF254" s="38">
        <f t="shared" si="535"/>
        <v>0</v>
      </c>
      <c r="GG254" s="38">
        <f t="shared" si="536"/>
        <v>0</v>
      </c>
      <c r="GH254" s="38">
        <f t="shared" si="537"/>
        <v>0</v>
      </c>
      <c r="GI254" s="38">
        <f t="shared" si="538"/>
        <v>0</v>
      </c>
      <c r="GJ254" s="38">
        <f t="shared" si="539"/>
        <v>0</v>
      </c>
      <c r="GL254" s="38">
        <f t="shared" si="540"/>
        <v>0</v>
      </c>
      <c r="GM254" s="38">
        <f t="shared" si="541"/>
        <v>0</v>
      </c>
      <c r="GN254" s="1" t="s">
        <v>2</v>
      </c>
      <c r="GO254" s="2">
        <f t="shared" si="464"/>
        <v>7.7690999999999996E-2</v>
      </c>
      <c r="GP254" s="1">
        <f t="shared" si="465"/>
        <v>0.3</v>
      </c>
      <c r="GQ254" s="41">
        <f t="shared" si="466"/>
        <v>0.233073</v>
      </c>
      <c r="GR254" s="41">
        <f t="shared" si="467"/>
        <v>28.219319460314637</v>
      </c>
      <c r="GS254" s="14">
        <f t="shared" si="468"/>
        <v>363.22507703999997</v>
      </c>
      <c r="GT254" s="1">
        <f t="shared" si="542"/>
        <v>0</v>
      </c>
      <c r="GU254" s="1">
        <f t="shared" si="543"/>
        <v>0</v>
      </c>
      <c r="GV254" s="1">
        <f t="shared" si="544"/>
        <v>0.23307299999999997</v>
      </c>
      <c r="GW254" s="37">
        <f t="shared" si="469"/>
        <v>0</v>
      </c>
      <c r="GX254" s="37"/>
      <c r="GY254" s="37"/>
      <c r="GZ254" s="37"/>
      <c r="HB254" s="1">
        <f t="shared" si="545"/>
        <v>0</v>
      </c>
      <c r="HC254" s="1">
        <f t="shared" si="546"/>
        <v>0</v>
      </c>
      <c r="HD254" s="37" t="s">
        <v>2</v>
      </c>
      <c r="HE254" s="1" t="s">
        <v>31</v>
      </c>
      <c r="HF254" s="1" t="s">
        <v>193</v>
      </c>
      <c r="HI254" s="1" t="s">
        <v>163</v>
      </c>
      <c r="HJ254" s="37" t="s">
        <v>2</v>
      </c>
      <c r="JH254" s="58" t="s">
        <v>2</v>
      </c>
    </row>
    <row r="255" spans="1:268" ht="16.25" customHeight="1" x14ac:dyDescent="0.2">
      <c r="A255" s="21" t="s">
        <v>1141</v>
      </c>
      <c r="B255" s="1" t="s">
        <v>69</v>
      </c>
      <c r="F255" s="1" t="s">
        <v>1138</v>
      </c>
      <c r="I255" s="1">
        <v>0</v>
      </c>
      <c r="AD255" s="1">
        <v>0</v>
      </c>
      <c r="AY255" s="1">
        <v>200</v>
      </c>
      <c r="BG255" s="14">
        <v>1</v>
      </c>
      <c r="BH255" s="1">
        <v>0.1</v>
      </c>
      <c r="BT255" s="1">
        <v>0</v>
      </c>
      <c r="CO255" s="1">
        <v>0</v>
      </c>
      <c r="DJ255" s="1" t="s">
        <v>163</v>
      </c>
      <c r="DK255" s="1" t="s">
        <v>163</v>
      </c>
      <c r="DL255" s="1">
        <f t="shared" si="462"/>
        <v>1</v>
      </c>
      <c r="DM255" s="1">
        <f t="shared" si="463"/>
        <v>0.1</v>
      </c>
      <c r="DN255" s="1" t="s">
        <v>471</v>
      </c>
      <c r="DO255" s="1" t="s">
        <v>2</v>
      </c>
      <c r="DP255" s="38">
        <f t="shared" si="470"/>
        <v>0</v>
      </c>
      <c r="DQ255" s="38">
        <f t="shared" si="471"/>
        <v>0</v>
      </c>
      <c r="DR255" s="38">
        <f t="shared" si="472"/>
        <v>0</v>
      </c>
      <c r="DS255" s="38">
        <f t="shared" si="473"/>
        <v>0</v>
      </c>
      <c r="DT255" s="38">
        <f t="shared" si="474"/>
        <v>0</v>
      </c>
      <c r="DU255" s="38">
        <f t="shared" si="475"/>
        <v>0</v>
      </c>
      <c r="DV255" s="38">
        <f t="shared" si="476"/>
        <v>0</v>
      </c>
      <c r="DW255" s="38">
        <f t="shared" si="477"/>
        <v>2</v>
      </c>
      <c r="DX255" s="38">
        <f t="shared" si="478"/>
        <v>0.2</v>
      </c>
      <c r="DY255" s="38">
        <f t="shared" si="479"/>
        <v>0</v>
      </c>
      <c r="DZ255" s="38">
        <f t="shared" si="480"/>
        <v>0</v>
      </c>
      <c r="EA255" s="38">
        <f t="shared" si="481"/>
        <v>0</v>
      </c>
      <c r="EB255" s="38">
        <f t="shared" si="482"/>
        <v>0</v>
      </c>
      <c r="EC255" s="38">
        <f t="shared" si="483"/>
        <v>0</v>
      </c>
      <c r="ED255" s="38">
        <f t="shared" si="484"/>
        <v>0</v>
      </c>
      <c r="EE255" s="38">
        <f t="shared" si="485"/>
        <v>0</v>
      </c>
      <c r="EG255" s="38">
        <f t="shared" si="486"/>
        <v>0</v>
      </c>
      <c r="EH255" s="38">
        <f t="shared" si="487"/>
        <v>0</v>
      </c>
      <c r="EI255" s="38">
        <f t="shared" si="488"/>
        <v>0</v>
      </c>
      <c r="EJ255" s="38">
        <f t="shared" si="489"/>
        <v>0</v>
      </c>
      <c r="EK255" s="38">
        <f t="shared" si="490"/>
        <v>0</v>
      </c>
      <c r="EL255" s="38">
        <f t="shared" si="491"/>
        <v>0</v>
      </c>
      <c r="EM255" s="38">
        <f t="shared" si="492"/>
        <v>0</v>
      </c>
      <c r="EN255" s="38">
        <f t="shared" si="493"/>
        <v>0</v>
      </c>
      <c r="EO255" s="38">
        <f t="shared" si="494"/>
        <v>0</v>
      </c>
      <c r="EP255" s="38">
        <f t="shared" si="495"/>
        <v>26228</v>
      </c>
      <c r="EQ255" s="38">
        <f t="shared" si="496"/>
        <v>14523.904799999998</v>
      </c>
      <c r="ER255" s="38">
        <f t="shared" si="497"/>
        <v>0</v>
      </c>
      <c r="ES255" s="38">
        <f t="shared" si="498"/>
        <v>0</v>
      </c>
      <c r="ET255" s="38">
        <f t="shared" si="499"/>
        <v>0</v>
      </c>
      <c r="EU255" s="38">
        <f t="shared" si="500"/>
        <v>0</v>
      </c>
      <c r="EV255" s="38">
        <f t="shared" si="501"/>
        <v>0</v>
      </c>
      <c r="EW255" s="38">
        <f t="shared" si="502"/>
        <v>0</v>
      </c>
      <c r="EX255" s="38">
        <f t="shared" si="503"/>
        <v>0</v>
      </c>
      <c r="EZ255" s="38">
        <f t="shared" si="504"/>
        <v>0</v>
      </c>
      <c r="FA255" s="38">
        <f t="shared" si="505"/>
        <v>0</v>
      </c>
      <c r="FB255" s="1">
        <f t="shared" si="506"/>
        <v>0</v>
      </c>
      <c r="FC255" s="1">
        <f t="shared" si="507"/>
        <v>0</v>
      </c>
      <c r="FD255" s="1">
        <f t="shared" si="508"/>
        <v>0</v>
      </c>
      <c r="FE255" s="1">
        <f t="shared" si="509"/>
        <v>0</v>
      </c>
      <c r="FF255" s="1">
        <f t="shared" si="510"/>
        <v>0</v>
      </c>
      <c r="FG255" s="1">
        <f t="shared" si="511"/>
        <v>0</v>
      </c>
      <c r="FH255" s="1">
        <f t="shared" si="512"/>
        <v>0</v>
      </c>
      <c r="FI255" s="1">
        <f t="shared" si="513"/>
        <v>0</v>
      </c>
      <c r="FJ255" s="1">
        <f t="shared" si="514"/>
        <v>0</v>
      </c>
      <c r="FK255" s="1">
        <f t="shared" si="515"/>
        <v>0</v>
      </c>
      <c r="FL255" s="1">
        <f t="shared" si="516"/>
        <v>0</v>
      </c>
      <c r="FM255" s="1">
        <f t="shared" si="517"/>
        <v>0</v>
      </c>
      <c r="FN255" s="1">
        <f t="shared" si="518"/>
        <v>0</v>
      </c>
      <c r="FO255" s="1">
        <f t="shared" si="519"/>
        <v>0</v>
      </c>
      <c r="FP255" s="1">
        <f t="shared" si="520"/>
        <v>0</v>
      </c>
      <c r="FQ255" s="1">
        <f t="shared" si="521"/>
        <v>0</v>
      </c>
      <c r="FS255" s="1">
        <f t="shared" si="522"/>
        <v>0</v>
      </c>
      <c r="FT255" s="1">
        <f t="shared" si="523"/>
        <v>0</v>
      </c>
      <c r="FU255" s="38">
        <f t="shared" si="524"/>
        <v>0</v>
      </c>
      <c r="FV255" s="38">
        <f t="shared" si="525"/>
        <v>0</v>
      </c>
      <c r="FW255" s="38">
        <f t="shared" si="526"/>
        <v>0</v>
      </c>
      <c r="FX255" s="38">
        <f t="shared" si="527"/>
        <v>0</v>
      </c>
      <c r="FY255" s="38">
        <f t="shared" si="528"/>
        <v>0</v>
      </c>
      <c r="FZ255" s="38">
        <f t="shared" si="529"/>
        <v>0</v>
      </c>
      <c r="GA255" s="38">
        <f t="shared" si="530"/>
        <v>0</v>
      </c>
      <c r="GB255" s="38">
        <f t="shared" si="531"/>
        <v>0</v>
      </c>
      <c r="GC255" s="38">
        <f t="shared" si="532"/>
        <v>0</v>
      </c>
      <c r="GD255" s="38">
        <f t="shared" si="533"/>
        <v>0</v>
      </c>
      <c r="GE255" s="38">
        <f t="shared" si="534"/>
        <v>0</v>
      </c>
      <c r="GF255" s="38">
        <f t="shared" si="535"/>
        <v>0</v>
      </c>
      <c r="GG255" s="38">
        <f t="shared" si="536"/>
        <v>0</v>
      </c>
      <c r="GH255" s="38">
        <f t="shared" si="537"/>
        <v>0</v>
      </c>
      <c r="GI255" s="38">
        <f t="shared" si="538"/>
        <v>0</v>
      </c>
      <c r="GJ255" s="38">
        <f t="shared" si="539"/>
        <v>0</v>
      </c>
      <c r="GL255" s="38">
        <f t="shared" si="540"/>
        <v>0</v>
      </c>
      <c r="GM255" s="38">
        <f t="shared" si="541"/>
        <v>0</v>
      </c>
      <c r="GN255" s="1" t="s">
        <v>2</v>
      </c>
      <c r="GO255" s="1">
        <f t="shared" si="464"/>
        <v>200</v>
      </c>
      <c r="GP255" s="1">
        <f t="shared" si="465"/>
        <v>1</v>
      </c>
      <c r="GQ255" s="43">
        <f t="shared" si="466"/>
        <v>2000</v>
      </c>
      <c r="GR255" s="41">
        <f t="shared" si="467"/>
        <v>40751.904799999997</v>
      </c>
      <c r="GS255" s="14">
        <f t="shared" si="468"/>
        <v>203.75952399999997</v>
      </c>
      <c r="GT255" s="1">
        <f t="shared" si="542"/>
        <v>0</v>
      </c>
      <c r="GU255" s="1">
        <f t="shared" si="543"/>
        <v>0</v>
      </c>
      <c r="GV255" s="1">
        <f t="shared" si="544"/>
        <v>2000</v>
      </c>
      <c r="GW255" s="37">
        <f t="shared" si="469"/>
        <v>0</v>
      </c>
      <c r="GX255" s="37"/>
      <c r="GY255" s="37"/>
      <c r="GZ255" s="37"/>
      <c r="HB255" s="1">
        <f t="shared" si="545"/>
        <v>0</v>
      </c>
      <c r="HC255" s="1">
        <f t="shared" si="546"/>
        <v>0</v>
      </c>
      <c r="HD255" s="37" t="s">
        <v>2</v>
      </c>
      <c r="HE255" s="1" t="s">
        <v>31</v>
      </c>
      <c r="HF255" s="1" t="s">
        <v>233</v>
      </c>
      <c r="HG255" s="1" t="s">
        <v>233</v>
      </c>
      <c r="HI255" s="1" t="s">
        <v>163</v>
      </c>
      <c r="HJ255" s="37" t="s">
        <v>2</v>
      </c>
      <c r="JH255" s="58" t="s">
        <v>2</v>
      </c>
    </row>
    <row r="256" spans="1:268" ht="16.25" customHeight="1" x14ac:dyDescent="0.2">
      <c r="A256" s="21" t="s">
        <v>903</v>
      </c>
      <c r="B256" s="1" t="s">
        <v>69</v>
      </c>
      <c r="F256" s="1" t="s">
        <v>131</v>
      </c>
      <c r="I256" s="1">
        <v>0</v>
      </c>
      <c r="AD256" s="1">
        <v>0</v>
      </c>
      <c r="AY256" s="1">
        <f>1.2/0.4</f>
        <v>2.9999999999999996</v>
      </c>
      <c r="BG256" s="1">
        <v>1</v>
      </c>
      <c r="BH256" s="1">
        <v>0.1</v>
      </c>
      <c r="BN256" s="1">
        <v>3.5</v>
      </c>
      <c r="BO256" s="1">
        <v>40</v>
      </c>
      <c r="BT256" s="1">
        <v>0</v>
      </c>
      <c r="CO256" s="1">
        <v>0</v>
      </c>
      <c r="DJ256" s="1" t="s">
        <v>163</v>
      </c>
      <c r="DK256" s="1" t="s">
        <v>163</v>
      </c>
      <c r="DL256" s="1">
        <f t="shared" si="462"/>
        <v>1</v>
      </c>
      <c r="DM256" s="1">
        <f t="shared" si="463"/>
        <v>0.1</v>
      </c>
      <c r="DN256" s="1" t="s">
        <v>899</v>
      </c>
      <c r="DO256" s="1" t="s">
        <v>2</v>
      </c>
      <c r="DP256" s="38">
        <f t="shared" si="470"/>
        <v>0</v>
      </c>
      <c r="DQ256" s="38">
        <f t="shared" si="471"/>
        <v>0</v>
      </c>
      <c r="DR256" s="38">
        <f t="shared" si="472"/>
        <v>0</v>
      </c>
      <c r="DS256" s="38">
        <f t="shared" si="473"/>
        <v>0</v>
      </c>
      <c r="DT256" s="38">
        <f t="shared" si="474"/>
        <v>0</v>
      </c>
      <c r="DU256" s="38">
        <f t="shared" si="475"/>
        <v>0</v>
      </c>
      <c r="DV256" s="38">
        <f t="shared" si="476"/>
        <v>0</v>
      </c>
      <c r="DW256" s="38">
        <f t="shared" si="477"/>
        <v>2.9999999999999995E-2</v>
      </c>
      <c r="DX256" s="38">
        <f t="shared" si="478"/>
        <v>3.0000000000000001E-3</v>
      </c>
      <c r="DY256" s="38">
        <f t="shared" si="479"/>
        <v>0</v>
      </c>
      <c r="DZ256" s="38">
        <f t="shared" si="480"/>
        <v>0</v>
      </c>
      <c r="EA256" s="38">
        <f t="shared" si="481"/>
        <v>0</v>
      </c>
      <c r="EB256" s="38">
        <f t="shared" si="482"/>
        <v>0</v>
      </c>
      <c r="EC256" s="38">
        <f t="shared" si="483"/>
        <v>0</v>
      </c>
      <c r="ED256" s="38">
        <f t="shared" si="484"/>
        <v>0.10499999999999998</v>
      </c>
      <c r="EE256" s="38">
        <f t="shared" si="485"/>
        <v>1.2</v>
      </c>
      <c r="EG256" s="38">
        <f t="shared" si="486"/>
        <v>0</v>
      </c>
      <c r="EH256" s="38">
        <f t="shared" si="487"/>
        <v>0</v>
      </c>
      <c r="EI256" s="38">
        <f t="shared" si="488"/>
        <v>0</v>
      </c>
      <c r="EJ256" s="38">
        <f t="shared" si="489"/>
        <v>0</v>
      </c>
      <c r="EK256" s="38">
        <f t="shared" si="490"/>
        <v>0</v>
      </c>
      <c r="EL256" s="38">
        <f t="shared" si="491"/>
        <v>0</v>
      </c>
      <c r="EM256" s="38">
        <f t="shared" si="492"/>
        <v>0</v>
      </c>
      <c r="EN256" s="38">
        <f t="shared" si="493"/>
        <v>0</v>
      </c>
      <c r="EO256" s="38">
        <f t="shared" si="494"/>
        <v>0</v>
      </c>
      <c r="EP256" s="38">
        <f t="shared" si="495"/>
        <v>393.41999999999996</v>
      </c>
      <c r="EQ256" s="38">
        <f t="shared" si="496"/>
        <v>217.85857199999998</v>
      </c>
      <c r="ER256" s="38">
        <f t="shared" si="497"/>
        <v>0</v>
      </c>
      <c r="ES256" s="38">
        <f t="shared" si="498"/>
        <v>0</v>
      </c>
      <c r="ET256" s="38">
        <f t="shared" si="499"/>
        <v>0</v>
      </c>
      <c r="EU256" s="38">
        <f t="shared" si="500"/>
        <v>0</v>
      </c>
      <c r="EV256" s="38">
        <f t="shared" si="501"/>
        <v>0</v>
      </c>
      <c r="EW256" s="38">
        <f t="shared" si="502"/>
        <v>29.294999999999995</v>
      </c>
      <c r="EX256" s="38">
        <f t="shared" si="503"/>
        <v>111.6</v>
      </c>
      <c r="EZ256" s="38">
        <f t="shared" si="504"/>
        <v>0</v>
      </c>
      <c r="FA256" s="38">
        <f t="shared" si="505"/>
        <v>0</v>
      </c>
      <c r="FB256" s="1">
        <f t="shared" si="506"/>
        <v>0</v>
      </c>
      <c r="FC256" s="1">
        <f t="shared" si="507"/>
        <v>0</v>
      </c>
      <c r="FD256" s="1">
        <f t="shared" si="508"/>
        <v>0</v>
      </c>
      <c r="FE256" s="1">
        <f t="shared" si="509"/>
        <v>0</v>
      </c>
      <c r="FF256" s="1">
        <f t="shared" si="510"/>
        <v>0</v>
      </c>
      <c r="FG256" s="1">
        <f t="shared" si="511"/>
        <v>0</v>
      </c>
      <c r="FH256" s="1">
        <f t="shared" si="512"/>
        <v>0</v>
      </c>
      <c r="FI256" s="1">
        <f t="shared" si="513"/>
        <v>0</v>
      </c>
      <c r="FJ256" s="1">
        <f t="shared" si="514"/>
        <v>0</v>
      </c>
      <c r="FK256" s="1">
        <f t="shared" si="515"/>
        <v>0</v>
      </c>
      <c r="FL256" s="1">
        <f t="shared" si="516"/>
        <v>0</v>
      </c>
      <c r="FM256" s="1">
        <f t="shared" si="517"/>
        <v>0</v>
      </c>
      <c r="FN256" s="1">
        <f t="shared" si="518"/>
        <v>0</v>
      </c>
      <c r="FO256" s="1">
        <f t="shared" si="519"/>
        <v>0</v>
      </c>
      <c r="FP256" s="1">
        <f t="shared" si="520"/>
        <v>0</v>
      </c>
      <c r="FQ256" s="1">
        <f t="shared" si="521"/>
        <v>0</v>
      </c>
      <c r="FS256" s="1">
        <f t="shared" si="522"/>
        <v>0</v>
      </c>
      <c r="FT256" s="1">
        <f t="shared" si="523"/>
        <v>0</v>
      </c>
      <c r="FU256" s="38">
        <f t="shared" si="524"/>
        <v>0</v>
      </c>
      <c r="FV256" s="38">
        <f t="shared" si="525"/>
        <v>0</v>
      </c>
      <c r="FW256" s="38">
        <f t="shared" si="526"/>
        <v>0</v>
      </c>
      <c r="FX256" s="38">
        <f t="shared" si="527"/>
        <v>0</v>
      </c>
      <c r="FY256" s="38">
        <f t="shared" si="528"/>
        <v>0</v>
      </c>
      <c r="FZ256" s="38">
        <f t="shared" si="529"/>
        <v>0</v>
      </c>
      <c r="GA256" s="38">
        <f t="shared" si="530"/>
        <v>0</v>
      </c>
      <c r="GB256" s="38">
        <f t="shared" si="531"/>
        <v>0</v>
      </c>
      <c r="GC256" s="38">
        <f t="shared" si="532"/>
        <v>0</v>
      </c>
      <c r="GD256" s="38">
        <f t="shared" si="533"/>
        <v>0</v>
      </c>
      <c r="GE256" s="38">
        <f t="shared" si="534"/>
        <v>0</v>
      </c>
      <c r="GF256" s="38">
        <f t="shared" si="535"/>
        <v>0</v>
      </c>
      <c r="GG256" s="38">
        <f t="shared" si="536"/>
        <v>0</v>
      </c>
      <c r="GH256" s="38">
        <f t="shared" si="537"/>
        <v>0</v>
      </c>
      <c r="GI256" s="38">
        <f t="shared" si="538"/>
        <v>0</v>
      </c>
      <c r="GJ256" s="38">
        <f t="shared" si="539"/>
        <v>0</v>
      </c>
      <c r="GL256" s="38">
        <f t="shared" si="540"/>
        <v>0</v>
      </c>
      <c r="GM256" s="38">
        <f t="shared" si="541"/>
        <v>0</v>
      </c>
      <c r="GN256" s="1" t="s">
        <v>2</v>
      </c>
      <c r="GO256" s="1">
        <f t="shared" si="464"/>
        <v>2.9999999999999996</v>
      </c>
      <c r="GP256" s="1">
        <f t="shared" si="465"/>
        <v>1</v>
      </c>
      <c r="GQ256" s="41">
        <f t="shared" si="466"/>
        <v>29.999999999999996</v>
      </c>
      <c r="GR256" s="41">
        <f t="shared" si="467"/>
        <v>752.17357199999992</v>
      </c>
      <c r="GS256" s="14">
        <f t="shared" si="468"/>
        <v>250.724524</v>
      </c>
      <c r="GT256" s="1">
        <f t="shared" si="542"/>
        <v>0</v>
      </c>
      <c r="GU256" s="1">
        <f t="shared" si="543"/>
        <v>0</v>
      </c>
      <c r="GV256" s="1">
        <f t="shared" si="544"/>
        <v>29.999999999999996</v>
      </c>
      <c r="GW256" s="37">
        <f t="shared" si="469"/>
        <v>0</v>
      </c>
      <c r="GX256" s="37"/>
      <c r="GY256" s="37"/>
      <c r="GZ256" s="37"/>
      <c r="HB256" s="1">
        <f t="shared" si="545"/>
        <v>0</v>
      </c>
      <c r="HC256" s="1">
        <f t="shared" si="546"/>
        <v>0</v>
      </c>
      <c r="HD256" s="37" t="s">
        <v>2</v>
      </c>
      <c r="HE256" s="1" t="s">
        <v>31</v>
      </c>
      <c r="HF256" s="1" t="s">
        <v>280</v>
      </c>
      <c r="HG256" s="1" t="s">
        <v>280</v>
      </c>
      <c r="HI256" s="1" t="s">
        <v>163</v>
      </c>
      <c r="HJ256" s="37" t="s">
        <v>2</v>
      </c>
      <c r="JH256" s="58" t="s">
        <v>2</v>
      </c>
    </row>
    <row r="257" spans="1:268" ht="16.25" customHeight="1" x14ac:dyDescent="0.2">
      <c r="A257" s="21" t="s">
        <v>521</v>
      </c>
      <c r="B257" s="1" t="s">
        <v>518</v>
      </c>
      <c r="E257" s="1" t="s">
        <v>72</v>
      </c>
      <c r="F257" s="1" t="s">
        <v>522</v>
      </c>
      <c r="H257" s="1" t="s">
        <v>523</v>
      </c>
      <c r="I257" s="1">
        <v>0</v>
      </c>
      <c r="AD257" s="1">
        <v>0</v>
      </c>
      <c r="AY257" s="1">
        <v>144.69999999999999</v>
      </c>
      <c r="BG257" s="1">
        <v>1.1000000000000001</v>
      </c>
      <c r="BH257" s="1">
        <v>0.11</v>
      </c>
      <c r="BT257" s="1">
        <v>0</v>
      </c>
      <c r="CO257" s="1">
        <v>0</v>
      </c>
      <c r="DJ257" s="1" t="s">
        <v>163</v>
      </c>
      <c r="DK257" s="1" t="s">
        <v>163</v>
      </c>
      <c r="DL257" s="1">
        <f t="shared" si="462"/>
        <v>1.1000000000000001</v>
      </c>
      <c r="DM257" s="1">
        <f t="shared" si="463"/>
        <v>0.11</v>
      </c>
      <c r="DN257" s="1" t="s">
        <v>524</v>
      </c>
      <c r="DO257" s="1" t="s">
        <v>2</v>
      </c>
      <c r="DP257" s="38">
        <f t="shared" si="470"/>
        <v>0</v>
      </c>
      <c r="DQ257" s="38">
        <f t="shared" si="471"/>
        <v>0</v>
      </c>
      <c r="DR257" s="38">
        <f t="shared" si="472"/>
        <v>0</v>
      </c>
      <c r="DS257" s="38">
        <f t="shared" si="473"/>
        <v>0</v>
      </c>
      <c r="DT257" s="38">
        <f t="shared" si="474"/>
        <v>0</v>
      </c>
      <c r="DU257" s="38">
        <f t="shared" si="475"/>
        <v>0</v>
      </c>
      <c r="DV257" s="38">
        <f t="shared" si="476"/>
        <v>0</v>
      </c>
      <c r="DW257" s="38">
        <f t="shared" si="477"/>
        <v>1.5916999999999999</v>
      </c>
      <c r="DX257" s="38">
        <f t="shared" si="478"/>
        <v>0.15916999999999998</v>
      </c>
      <c r="DY257" s="38">
        <f t="shared" si="479"/>
        <v>0</v>
      </c>
      <c r="DZ257" s="38">
        <f t="shared" si="480"/>
        <v>0</v>
      </c>
      <c r="EA257" s="38">
        <f t="shared" si="481"/>
        <v>0</v>
      </c>
      <c r="EB257" s="38">
        <f t="shared" si="482"/>
        <v>0</v>
      </c>
      <c r="EC257" s="38">
        <f t="shared" si="483"/>
        <v>0</v>
      </c>
      <c r="ED257" s="38">
        <f t="shared" si="484"/>
        <v>0</v>
      </c>
      <c r="EE257" s="38">
        <f t="shared" si="485"/>
        <v>0</v>
      </c>
      <c r="EG257" s="38">
        <f t="shared" si="486"/>
        <v>0</v>
      </c>
      <c r="EH257" s="38">
        <f t="shared" si="487"/>
        <v>0</v>
      </c>
      <c r="EI257" s="38">
        <f t="shared" si="488"/>
        <v>0</v>
      </c>
      <c r="EJ257" s="38">
        <f t="shared" si="489"/>
        <v>0</v>
      </c>
      <c r="EK257" s="38">
        <f t="shared" si="490"/>
        <v>0</v>
      </c>
      <c r="EL257" s="38">
        <f t="shared" si="491"/>
        <v>0</v>
      </c>
      <c r="EM257" s="38">
        <f t="shared" si="492"/>
        <v>0</v>
      </c>
      <c r="EN257" s="38">
        <f t="shared" si="493"/>
        <v>0</v>
      </c>
      <c r="EO257" s="38">
        <f t="shared" si="494"/>
        <v>0</v>
      </c>
      <c r="EP257" s="38">
        <f t="shared" si="495"/>
        <v>20873.553799999998</v>
      </c>
      <c r="EQ257" s="38">
        <f t="shared" si="496"/>
        <v>11558.849635079996</v>
      </c>
      <c r="ER257" s="38">
        <f t="shared" si="497"/>
        <v>0</v>
      </c>
      <c r="ES257" s="38">
        <f t="shared" si="498"/>
        <v>0</v>
      </c>
      <c r="ET257" s="38">
        <f t="shared" si="499"/>
        <v>0</v>
      </c>
      <c r="EU257" s="38">
        <f t="shared" si="500"/>
        <v>0</v>
      </c>
      <c r="EV257" s="38">
        <f t="shared" si="501"/>
        <v>0</v>
      </c>
      <c r="EW257" s="38">
        <f t="shared" si="502"/>
        <v>0</v>
      </c>
      <c r="EX257" s="38">
        <f t="shared" si="503"/>
        <v>0</v>
      </c>
      <c r="EZ257" s="38">
        <f t="shared" si="504"/>
        <v>0</v>
      </c>
      <c r="FA257" s="38">
        <f t="shared" si="505"/>
        <v>0</v>
      </c>
      <c r="FB257" s="1">
        <f t="shared" si="506"/>
        <v>0</v>
      </c>
      <c r="FC257" s="1">
        <f t="shared" si="507"/>
        <v>0</v>
      </c>
      <c r="FD257" s="1">
        <f t="shared" si="508"/>
        <v>0</v>
      </c>
      <c r="FE257" s="1">
        <f t="shared" si="509"/>
        <v>0</v>
      </c>
      <c r="FF257" s="1">
        <f t="shared" si="510"/>
        <v>0</v>
      </c>
      <c r="FG257" s="1">
        <f t="shared" si="511"/>
        <v>0</v>
      </c>
      <c r="FH257" s="1">
        <f t="shared" si="512"/>
        <v>0</v>
      </c>
      <c r="FI257" s="1">
        <f t="shared" si="513"/>
        <v>0</v>
      </c>
      <c r="FJ257" s="1">
        <f t="shared" si="514"/>
        <v>0</v>
      </c>
      <c r="FK257" s="1">
        <f t="shared" si="515"/>
        <v>0</v>
      </c>
      <c r="FL257" s="1">
        <f t="shared" si="516"/>
        <v>0</v>
      </c>
      <c r="FM257" s="1">
        <f t="shared" si="517"/>
        <v>0</v>
      </c>
      <c r="FN257" s="1">
        <f t="shared" si="518"/>
        <v>0</v>
      </c>
      <c r="FO257" s="1">
        <f t="shared" si="519"/>
        <v>0</v>
      </c>
      <c r="FP257" s="1">
        <f t="shared" si="520"/>
        <v>0</v>
      </c>
      <c r="FQ257" s="1">
        <f t="shared" si="521"/>
        <v>0</v>
      </c>
      <c r="FS257" s="1">
        <f t="shared" si="522"/>
        <v>0</v>
      </c>
      <c r="FT257" s="1">
        <f t="shared" si="523"/>
        <v>0</v>
      </c>
      <c r="FU257" s="38">
        <f t="shared" si="524"/>
        <v>0</v>
      </c>
      <c r="FV257" s="38">
        <f t="shared" si="525"/>
        <v>0</v>
      </c>
      <c r="FW257" s="38">
        <f t="shared" si="526"/>
        <v>0</v>
      </c>
      <c r="FX257" s="38">
        <f t="shared" si="527"/>
        <v>0</v>
      </c>
      <c r="FY257" s="38">
        <f t="shared" si="528"/>
        <v>0</v>
      </c>
      <c r="FZ257" s="38">
        <f t="shared" si="529"/>
        <v>0</v>
      </c>
      <c r="GA257" s="38">
        <f t="shared" si="530"/>
        <v>0</v>
      </c>
      <c r="GB257" s="38">
        <f t="shared" si="531"/>
        <v>0</v>
      </c>
      <c r="GC257" s="38">
        <f t="shared" si="532"/>
        <v>0</v>
      </c>
      <c r="GD257" s="38">
        <f t="shared" si="533"/>
        <v>0</v>
      </c>
      <c r="GE257" s="38">
        <f t="shared" si="534"/>
        <v>0</v>
      </c>
      <c r="GF257" s="38">
        <f t="shared" si="535"/>
        <v>0</v>
      </c>
      <c r="GG257" s="38">
        <f t="shared" si="536"/>
        <v>0</v>
      </c>
      <c r="GH257" s="38">
        <f t="shared" si="537"/>
        <v>0</v>
      </c>
      <c r="GI257" s="38">
        <f t="shared" si="538"/>
        <v>0</v>
      </c>
      <c r="GJ257" s="38">
        <f t="shared" si="539"/>
        <v>0</v>
      </c>
      <c r="GL257" s="38">
        <f t="shared" si="540"/>
        <v>0</v>
      </c>
      <c r="GM257" s="38">
        <f t="shared" si="541"/>
        <v>0</v>
      </c>
      <c r="GN257" s="1" t="s">
        <v>2</v>
      </c>
      <c r="GO257" s="1">
        <f t="shared" si="464"/>
        <v>144.69999999999999</v>
      </c>
      <c r="GP257" s="13">
        <f t="shared" si="465"/>
        <v>1.1000000000000001</v>
      </c>
      <c r="GQ257" s="43">
        <f t="shared" si="466"/>
        <v>1591.7</v>
      </c>
      <c r="GR257" s="41">
        <f t="shared" si="467"/>
        <v>32432.403435079992</v>
      </c>
      <c r="GS257" s="14">
        <f t="shared" si="468"/>
        <v>224.13547639999996</v>
      </c>
      <c r="GT257" s="1">
        <f t="shared" si="542"/>
        <v>0</v>
      </c>
      <c r="GU257" s="1">
        <f t="shared" si="543"/>
        <v>0</v>
      </c>
      <c r="GV257" s="1">
        <f t="shared" si="544"/>
        <v>1591.7</v>
      </c>
      <c r="GW257" s="37">
        <f t="shared" si="469"/>
        <v>0</v>
      </c>
      <c r="GX257" s="37"/>
      <c r="GY257" s="37"/>
      <c r="GZ257" s="37"/>
      <c r="HB257" s="1">
        <f t="shared" si="545"/>
        <v>0</v>
      </c>
      <c r="HC257" s="1">
        <f t="shared" si="546"/>
        <v>0</v>
      </c>
      <c r="HD257" s="37" t="s">
        <v>2</v>
      </c>
      <c r="HE257" s="1" t="s">
        <v>31</v>
      </c>
      <c r="HF257" s="1" t="s">
        <v>233</v>
      </c>
      <c r="HG257" s="1" t="s">
        <v>233</v>
      </c>
      <c r="HI257" s="1" t="s">
        <v>163</v>
      </c>
      <c r="HJ257" s="37" t="s">
        <v>2</v>
      </c>
      <c r="JH257" s="58" t="s">
        <v>2</v>
      </c>
    </row>
    <row r="258" spans="1:268" ht="16.25" customHeight="1" x14ac:dyDescent="0.2">
      <c r="A258" s="21" t="s">
        <v>1139</v>
      </c>
      <c r="B258" s="1" t="s">
        <v>69</v>
      </c>
      <c r="F258" s="1" t="s">
        <v>1138</v>
      </c>
      <c r="I258" s="1">
        <v>0</v>
      </c>
      <c r="AD258" s="1">
        <v>0</v>
      </c>
      <c r="AY258" s="1">
        <v>310</v>
      </c>
      <c r="BG258" s="1">
        <v>1.3</v>
      </c>
      <c r="BH258" s="1">
        <v>0.11</v>
      </c>
      <c r="BT258" s="1">
        <v>0</v>
      </c>
      <c r="CO258" s="1">
        <v>0</v>
      </c>
      <c r="DJ258" s="1" t="s">
        <v>163</v>
      </c>
      <c r="DK258" s="1" t="s">
        <v>163</v>
      </c>
      <c r="DL258" s="1">
        <f t="shared" si="462"/>
        <v>1.3</v>
      </c>
      <c r="DM258" s="1">
        <f t="shared" si="463"/>
        <v>0.11</v>
      </c>
      <c r="DN258" s="1" t="s">
        <v>471</v>
      </c>
      <c r="DO258" s="1" t="s">
        <v>2</v>
      </c>
      <c r="DP258" s="38">
        <f t="shared" si="470"/>
        <v>0</v>
      </c>
      <c r="DQ258" s="38">
        <f t="shared" si="471"/>
        <v>0</v>
      </c>
      <c r="DR258" s="38">
        <f t="shared" si="472"/>
        <v>0</v>
      </c>
      <c r="DS258" s="38">
        <f t="shared" si="473"/>
        <v>0</v>
      </c>
      <c r="DT258" s="38">
        <f t="shared" si="474"/>
        <v>0</v>
      </c>
      <c r="DU258" s="38">
        <f t="shared" si="475"/>
        <v>0</v>
      </c>
      <c r="DV258" s="38">
        <f t="shared" si="476"/>
        <v>0</v>
      </c>
      <c r="DW258" s="38">
        <f t="shared" si="477"/>
        <v>4.03</v>
      </c>
      <c r="DX258" s="38">
        <f t="shared" si="478"/>
        <v>0.34100000000000003</v>
      </c>
      <c r="DY258" s="38">
        <f t="shared" si="479"/>
        <v>0</v>
      </c>
      <c r="DZ258" s="38">
        <f t="shared" si="480"/>
        <v>0</v>
      </c>
      <c r="EA258" s="38">
        <f t="shared" si="481"/>
        <v>0</v>
      </c>
      <c r="EB258" s="38">
        <f t="shared" si="482"/>
        <v>0</v>
      </c>
      <c r="EC258" s="38">
        <f t="shared" si="483"/>
        <v>0</v>
      </c>
      <c r="ED258" s="38">
        <f t="shared" si="484"/>
        <v>0</v>
      </c>
      <c r="EE258" s="38">
        <f t="shared" si="485"/>
        <v>0</v>
      </c>
      <c r="EG258" s="38">
        <f t="shared" si="486"/>
        <v>0</v>
      </c>
      <c r="EH258" s="38">
        <f t="shared" si="487"/>
        <v>0</v>
      </c>
      <c r="EI258" s="38">
        <f t="shared" si="488"/>
        <v>0</v>
      </c>
      <c r="EJ258" s="38">
        <f t="shared" si="489"/>
        <v>0</v>
      </c>
      <c r="EK258" s="38">
        <f t="shared" si="490"/>
        <v>0</v>
      </c>
      <c r="EL258" s="38">
        <f t="shared" si="491"/>
        <v>0</v>
      </c>
      <c r="EM258" s="38">
        <f t="shared" si="492"/>
        <v>0</v>
      </c>
      <c r="EN258" s="38">
        <f t="shared" si="493"/>
        <v>0</v>
      </c>
      <c r="EO258" s="38">
        <f t="shared" si="494"/>
        <v>0</v>
      </c>
      <c r="EP258" s="38">
        <f t="shared" si="495"/>
        <v>52849.420000000006</v>
      </c>
      <c r="EQ258" s="38">
        <f t="shared" si="496"/>
        <v>24763.257684</v>
      </c>
      <c r="ER258" s="38">
        <f t="shared" si="497"/>
        <v>0</v>
      </c>
      <c r="ES258" s="38">
        <f t="shared" si="498"/>
        <v>0</v>
      </c>
      <c r="ET258" s="38">
        <f t="shared" si="499"/>
        <v>0</v>
      </c>
      <c r="EU258" s="38">
        <f t="shared" si="500"/>
        <v>0</v>
      </c>
      <c r="EV258" s="38">
        <f t="shared" si="501"/>
        <v>0</v>
      </c>
      <c r="EW258" s="38">
        <f t="shared" si="502"/>
        <v>0</v>
      </c>
      <c r="EX258" s="38">
        <f t="shared" si="503"/>
        <v>0</v>
      </c>
      <c r="EZ258" s="38">
        <f t="shared" si="504"/>
        <v>0</v>
      </c>
      <c r="FA258" s="38">
        <f t="shared" si="505"/>
        <v>0</v>
      </c>
      <c r="FB258" s="1">
        <f t="shared" si="506"/>
        <v>0</v>
      </c>
      <c r="FC258" s="1">
        <f t="shared" si="507"/>
        <v>0</v>
      </c>
      <c r="FD258" s="1">
        <f t="shared" si="508"/>
        <v>0</v>
      </c>
      <c r="FE258" s="1">
        <f t="shared" si="509"/>
        <v>0</v>
      </c>
      <c r="FF258" s="1">
        <f t="shared" si="510"/>
        <v>0</v>
      </c>
      <c r="FG258" s="1">
        <f t="shared" si="511"/>
        <v>0</v>
      </c>
      <c r="FH258" s="1">
        <f t="shared" si="512"/>
        <v>0</v>
      </c>
      <c r="FI258" s="1">
        <f t="shared" si="513"/>
        <v>0</v>
      </c>
      <c r="FJ258" s="1">
        <f t="shared" si="514"/>
        <v>0</v>
      </c>
      <c r="FK258" s="1">
        <f t="shared" si="515"/>
        <v>0</v>
      </c>
      <c r="FL258" s="1">
        <f t="shared" si="516"/>
        <v>0</v>
      </c>
      <c r="FM258" s="1">
        <f t="shared" si="517"/>
        <v>0</v>
      </c>
      <c r="FN258" s="1">
        <f t="shared" si="518"/>
        <v>0</v>
      </c>
      <c r="FO258" s="1">
        <f t="shared" si="519"/>
        <v>0</v>
      </c>
      <c r="FP258" s="1">
        <f t="shared" si="520"/>
        <v>0</v>
      </c>
      <c r="FQ258" s="1">
        <f t="shared" si="521"/>
        <v>0</v>
      </c>
      <c r="FS258" s="1">
        <f t="shared" si="522"/>
        <v>0</v>
      </c>
      <c r="FT258" s="1">
        <f t="shared" si="523"/>
        <v>0</v>
      </c>
      <c r="FU258" s="38">
        <f t="shared" si="524"/>
        <v>0</v>
      </c>
      <c r="FV258" s="38">
        <f t="shared" si="525"/>
        <v>0</v>
      </c>
      <c r="FW258" s="38">
        <f t="shared" si="526"/>
        <v>0</v>
      </c>
      <c r="FX258" s="38">
        <f t="shared" si="527"/>
        <v>0</v>
      </c>
      <c r="FY258" s="38">
        <f t="shared" si="528"/>
        <v>0</v>
      </c>
      <c r="FZ258" s="38">
        <f t="shared" si="529"/>
        <v>0</v>
      </c>
      <c r="GA258" s="38">
        <f t="shared" si="530"/>
        <v>0</v>
      </c>
      <c r="GB258" s="38">
        <f t="shared" si="531"/>
        <v>0</v>
      </c>
      <c r="GC258" s="38">
        <f t="shared" si="532"/>
        <v>0</v>
      </c>
      <c r="GD258" s="38">
        <f t="shared" si="533"/>
        <v>0</v>
      </c>
      <c r="GE258" s="38">
        <f t="shared" si="534"/>
        <v>0</v>
      </c>
      <c r="GF258" s="38">
        <f t="shared" si="535"/>
        <v>0</v>
      </c>
      <c r="GG258" s="38">
        <f t="shared" si="536"/>
        <v>0</v>
      </c>
      <c r="GH258" s="38">
        <f t="shared" si="537"/>
        <v>0</v>
      </c>
      <c r="GI258" s="38">
        <f t="shared" si="538"/>
        <v>0</v>
      </c>
      <c r="GJ258" s="38">
        <f t="shared" si="539"/>
        <v>0</v>
      </c>
      <c r="GL258" s="38">
        <f t="shared" si="540"/>
        <v>0</v>
      </c>
      <c r="GM258" s="38">
        <f t="shared" si="541"/>
        <v>0</v>
      </c>
      <c r="GN258" s="1" t="s">
        <v>2</v>
      </c>
      <c r="GO258" s="1">
        <f t="shared" si="464"/>
        <v>310</v>
      </c>
      <c r="GP258" s="1">
        <f t="shared" si="465"/>
        <v>1.3</v>
      </c>
      <c r="GQ258" s="43">
        <f t="shared" si="466"/>
        <v>4030</v>
      </c>
      <c r="GR258" s="41">
        <f t="shared" si="467"/>
        <v>77612.677684000009</v>
      </c>
      <c r="GS258" s="14">
        <f t="shared" si="468"/>
        <v>250.36347640000002</v>
      </c>
      <c r="GT258" s="1">
        <f t="shared" si="542"/>
        <v>0</v>
      </c>
      <c r="GU258" s="1">
        <f t="shared" si="543"/>
        <v>0</v>
      </c>
      <c r="GV258" s="1">
        <f t="shared" si="544"/>
        <v>4030</v>
      </c>
      <c r="GW258" s="37">
        <f t="shared" si="469"/>
        <v>0</v>
      </c>
      <c r="GX258" s="37"/>
      <c r="GY258" s="37"/>
      <c r="GZ258" s="37"/>
      <c r="HB258" s="1">
        <f t="shared" si="545"/>
        <v>0</v>
      </c>
      <c r="HC258" s="1">
        <f t="shared" si="546"/>
        <v>0</v>
      </c>
      <c r="HD258" s="37" t="s">
        <v>2</v>
      </c>
      <c r="HE258" s="1" t="s">
        <v>31</v>
      </c>
      <c r="HF258" s="1" t="s">
        <v>205</v>
      </c>
      <c r="HG258" s="1" t="s">
        <v>205</v>
      </c>
      <c r="HI258" s="1" t="s">
        <v>163</v>
      </c>
      <c r="HJ258" s="37" t="s">
        <v>2</v>
      </c>
      <c r="JH258" s="58" t="s">
        <v>2</v>
      </c>
    </row>
    <row r="259" spans="1:268" ht="16.25" customHeight="1" x14ac:dyDescent="0.2">
      <c r="A259" s="21" t="s">
        <v>1142</v>
      </c>
      <c r="B259" s="1" t="s">
        <v>69</v>
      </c>
      <c r="F259" s="1" t="s">
        <v>1138</v>
      </c>
      <c r="I259" s="1">
        <v>0</v>
      </c>
      <c r="AD259" s="1">
        <v>0</v>
      </c>
      <c r="AY259" s="1">
        <v>44.8</v>
      </c>
      <c r="BG259" s="1">
        <v>1.1100000000000001</v>
      </c>
      <c r="BT259" s="1">
        <v>0</v>
      </c>
      <c r="CO259" s="1">
        <v>0</v>
      </c>
      <c r="DJ259" s="1" t="s">
        <v>163</v>
      </c>
      <c r="DL259" s="1">
        <f t="shared" si="462"/>
        <v>1.1100000000000001</v>
      </c>
      <c r="DM259" s="1">
        <f t="shared" si="463"/>
        <v>0</v>
      </c>
      <c r="DN259" s="1" t="s">
        <v>471</v>
      </c>
      <c r="DO259" s="1" t="s">
        <v>2</v>
      </c>
      <c r="DP259" s="38">
        <f t="shared" si="470"/>
        <v>0</v>
      </c>
      <c r="DQ259" s="38">
        <f t="shared" si="471"/>
        <v>0</v>
      </c>
      <c r="DR259" s="38">
        <f t="shared" si="472"/>
        <v>0</v>
      </c>
      <c r="DS259" s="38">
        <f t="shared" si="473"/>
        <v>0</v>
      </c>
      <c r="DT259" s="38">
        <f t="shared" si="474"/>
        <v>0</v>
      </c>
      <c r="DU259" s="38">
        <f t="shared" si="475"/>
        <v>0</v>
      </c>
      <c r="DV259" s="38">
        <f t="shared" si="476"/>
        <v>0</v>
      </c>
      <c r="DW259" s="38">
        <f t="shared" si="477"/>
        <v>0.49728</v>
      </c>
      <c r="DX259" s="38">
        <f t="shared" si="478"/>
        <v>0</v>
      </c>
      <c r="DY259" s="38">
        <f t="shared" si="479"/>
        <v>0</v>
      </c>
      <c r="DZ259" s="38">
        <f t="shared" si="480"/>
        <v>0</v>
      </c>
      <c r="EA259" s="38">
        <f t="shared" si="481"/>
        <v>0</v>
      </c>
      <c r="EB259" s="38">
        <f t="shared" si="482"/>
        <v>0</v>
      </c>
      <c r="EC259" s="38">
        <f t="shared" si="483"/>
        <v>0</v>
      </c>
      <c r="ED259" s="38">
        <f t="shared" si="484"/>
        <v>0</v>
      </c>
      <c r="EE259" s="38">
        <f t="shared" si="485"/>
        <v>0</v>
      </c>
      <c r="EG259" s="38">
        <f t="shared" si="486"/>
        <v>0</v>
      </c>
      <c r="EH259" s="38">
        <f t="shared" si="487"/>
        <v>0</v>
      </c>
      <c r="EI259" s="38">
        <f t="shared" si="488"/>
        <v>0</v>
      </c>
      <c r="EJ259" s="38">
        <f t="shared" si="489"/>
        <v>0</v>
      </c>
      <c r="EK259" s="38">
        <f t="shared" si="490"/>
        <v>0</v>
      </c>
      <c r="EL259" s="38">
        <f t="shared" si="491"/>
        <v>0</v>
      </c>
      <c r="EM259" s="38">
        <f t="shared" si="492"/>
        <v>0</v>
      </c>
      <c r="EN259" s="38">
        <f t="shared" si="493"/>
        <v>0</v>
      </c>
      <c r="EO259" s="38">
        <f t="shared" si="494"/>
        <v>0</v>
      </c>
      <c r="EP259" s="38">
        <f t="shared" si="495"/>
        <v>6521.3299200000001</v>
      </c>
      <c r="EQ259" s="38">
        <f t="shared" si="496"/>
        <v>0</v>
      </c>
      <c r="ER259" s="38">
        <f t="shared" si="497"/>
        <v>0</v>
      </c>
      <c r="ES259" s="38">
        <f t="shared" si="498"/>
        <v>0</v>
      </c>
      <c r="ET259" s="38">
        <f t="shared" si="499"/>
        <v>0</v>
      </c>
      <c r="EU259" s="38">
        <f t="shared" si="500"/>
        <v>0</v>
      </c>
      <c r="EV259" s="38">
        <f t="shared" si="501"/>
        <v>0</v>
      </c>
      <c r="EW259" s="38">
        <f t="shared" si="502"/>
        <v>0</v>
      </c>
      <c r="EX259" s="38">
        <f t="shared" si="503"/>
        <v>0</v>
      </c>
      <c r="EZ259" s="38">
        <f t="shared" si="504"/>
        <v>0</v>
      </c>
      <c r="FA259" s="38">
        <f t="shared" si="505"/>
        <v>0</v>
      </c>
      <c r="FB259" s="1">
        <f t="shared" si="506"/>
        <v>0</v>
      </c>
      <c r="FC259" s="1">
        <f t="shared" si="507"/>
        <v>0</v>
      </c>
      <c r="FD259" s="1">
        <f t="shared" si="508"/>
        <v>0</v>
      </c>
      <c r="FE259" s="1">
        <f t="shared" si="509"/>
        <v>0</v>
      </c>
      <c r="FF259" s="1">
        <f t="shared" si="510"/>
        <v>0</v>
      </c>
      <c r="FG259" s="1">
        <f t="shared" si="511"/>
        <v>0</v>
      </c>
      <c r="FH259" s="1">
        <f t="shared" si="512"/>
        <v>0</v>
      </c>
      <c r="FI259" s="1">
        <f t="shared" si="513"/>
        <v>0</v>
      </c>
      <c r="FJ259" s="1">
        <f t="shared" si="514"/>
        <v>0</v>
      </c>
      <c r="FK259" s="1">
        <f t="shared" si="515"/>
        <v>0</v>
      </c>
      <c r="FL259" s="1">
        <f t="shared" si="516"/>
        <v>0</v>
      </c>
      <c r="FM259" s="1">
        <f t="shared" si="517"/>
        <v>0</v>
      </c>
      <c r="FN259" s="1">
        <f t="shared" si="518"/>
        <v>0</v>
      </c>
      <c r="FO259" s="1">
        <f t="shared" si="519"/>
        <v>0</v>
      </c>
      <c r="FP259" s="1">
        <f t="shared" si="520"/>
        <v>0</v>
      </c>
      <c r="FQ259" s="1">
        <f t="shared" si="521"/>
        <v>0</v>
      </c>
      <c r="FS259" s="1">
        <f t="shared" si="522"/>
        <v>0</v>
      </c>
      <c r="FT259" s="1">
        <f t="shared" si="523"/>
        <v>0</v>
      </c>
      <c r="FU259" s="38">
        <f t="shared" si="524"/>
        <v>0</v>
      </c>
      <c r="FV259" s="38">
        <f t="shared" si="525"/>
        <v>0</v>
      </c>
      <c r="FW259" s="38">
        <f t="shared" si="526"/>
        <v>0</v>
      </c>
      <c r="FX259" s="38">
        <f t="shared" si="527"/>
        <v>0</v>
      </c>
      <c r="FY259" s="38">
        <f t="shared" si="528"/>
        <v>0</v>
      </c>
      <c r="FZ259" s="38">
        <f t="shared" si="529"/>
        <v>0</v>
      </c>
      <c r="GA259" s="38">
        <f t="shared" si="530"/>
        <v>0</v>
      </c>
      <c r="GB259" s="38">
        <f t="shared" si="531"/>
        <v>0</v>
      </c>
      <c r="GC259" s="38">
        <f t="shared" si="532"/>
        <v>0</v>
      </c>
      <c r="GD259" s="38">
        <f t="shared" si="533"/>
        <v>0</v>
      </c>
      <c r="GE259" s="38">
        <f t="shared" si="534"/>
        <v>0</v>
      </c>
      <c r="GF259" s="38">
        <f t="shared" si="535"/>
        <v>0</v>
      </c>
      <c r="GG259" s="38">
        <f t="shared" si="536"/>
        <v>0</v>
      </c>
      <c r="GH259" s="38">
        <f t="shared" si="537"/>
        <v>0</v>
      </c>
      <c r="GI259" s="38">
        <f t="shared" si="538"/>
        <v>0</v>
      </c>
      <c r="GJ259" s="38">
        <f t="shared" si="539"/>
        <v>0</v>
      </c>
      <c r="GL259" s="38">
        <f t="shared" si="540"/>
        <v>0</v>
      </c>
      <c r="GM259" s="38">
        <f t="shared" si="541"/>
        <v>0</v>
      </c>
      <c r="GN259" s="1" t="s">
        <v>2</v>
      </c>
      <c r="GO259" s="1">
        <f t="shared" si="464"/>
        <v>44.8</v>
      </c>
      <c r="GP259" s="1">
        <f t="shared" si="465"/>
        <v>1.1100000000000001</v>
      </c>
      <c r="GQ259" s="41">
        <f t="shared" si="466"/>
        <v>497.28000000000009</v>
      </c>
      <c r="GR259" s="41">
        <f t="shared" si="467"/>
        <v>6521.3299200000001</v>
      </c>
      <c r="GS259" s="14">
        <f t="shared" si="468"/>
        <v>145.56540000000001</v>
      </c>
      <c r="GT259" s="1">
        <f t="shared" si="542"/>
        <v>0</v>
      </c>
      <c r="GU259" s="1">
        <f t="shared" si="543"/>
        <v>0</v>
      </c>
      <c r="GV259" s="1">
        <f t="shared" si="544"/>
        <v>497.28</v>
      </c>
      <c r="GW259" s="37">
        <f t="shared" si="469"/>
        <v>0</v>
      </c>
      <c r="GX259" s="37"/>
      <c r="GY259" s="37"/>
      <c r="GZ259" s="37"/>
      <c r="HB259" s="1">
        <f t="shared" si="545"/>
        <v>0</v>
      </c>
      <c r="HC259" s="1">
        <f t="shared" si="546"/>
        <v>0</v>
      </c>
      <c r="HD259" s="37" t="s">
        <v>2</v>
      </c>
      <c r="HE259" s="1" t="s">
        <v>31</v>
      </c>
      <c r="HF259" s="1" t="s">
        <v>205</v>
      </c>
      <c r="HG259" s="1" t="s">
        <v>205</v>
      </c>
      <c r="HI259" s="1" t="s">
        <v>163</v>
      </c>
      <c r="HJ259" s="37" t="s">
        <v>2</v>
      </c>
      <c r="JH259" s="58" t="s">
        <v>2</v>
      </c>
    </row>
    <row r="260" spans="1:268" ht="16.25" customHeight="1" x14ac:dyDescent="0.2">
      <c r="A260" s="21" t="s">
        <v>1116</v>
      </c>
      <c r="B260" s="1" t="s">
        <v>64</v>
      </c>
      <c r="F260" s="1" t="s">
        <v>1112</v>
      </c>
      <c r="H260" s="1" t="s">
        <v>467</v>
      </c>
      <c r="I260" s="1">
        <v>0</v>
      </c>
      <c r="AD260" s="1">
        <v>0</v>
      </c>
      <c r="AY260" s="1">
        <f>5.5-13*0.3</f>
        <v>1.6</v>
      </c>
      <c r="BG260" s="1" t="s">
        <v>1117</v>
      </c>
      <c r="BT260" s="1">
        <v>0</v>
      </c>
      <c r="CO260" s="1">
        <v>0</v>
      </c>
      <c r="DJ260" s="1" t="s">
        <v>163</v>
      </c>
      <c r="DL260" s="1">
        <f t="shared" si="462"/>
        <v>1.32</v>
      </c>
      <c r="DM260" s="1">
        <f t="shared" si="463"/>
        <v>0</v>
      </c>
      <c r="DN260" s="1" t="s">
        <v>471</v>
      </c>
      <c r="DO260" s="1" t="s">
        <v>2</v>
      </c>
      <c r="DP260" s="38">
        <f t="shared" si="470"/>
        <v>0</v>
      </c>
      <c r="DQ260" s="38">
        <f t="shared" si="471"/>
        <v>0</v>
      </c>
      <c r="DR260" s="38">
        <f t="shared" si="472"/>
        <v>0</v>
      </c>
      <c r="DS260" s="38">
        <f t="shared" si="473"/>
        <v>0</v>
      </c>
      <c r="DT260" s="38">
        <f t="shared" si="474"/>
        <v>0</v>
      </c>
      <c r="DU260" s="38">
        <f t="shared" si="475"/>
        <v>0</v>
      </c>
      <c r="DV260" s="38">
        <f t="shared" si="476"/>
        <v>0</v>
      </c>
      <c r="DW260" s="38">
        <f t="shared" si="477"/>
        <v>2.112E-2</v>
      </c>
      <c r="DX260" s="38">
        <f t="shared" si="478"/>
        <v>0</v>
      </c>
      <c r="DY260" s="38">
        <f t="shared" si="479"/>
        <v>0</v>
      </c>
      <c r="DZ260" s="38">
        <f t="shared" si="480"/>
        <v>0</v>
      </c>
      <c r="EA260" s="38">
        <f t="shared" si="481"/>
        <v>0</v>
      </c>
      <c r="EB260" s="38">
        <f t="shared" si="482"/>
        <v>0</v>
      </c>
      <c r="EC260" s="38">
        <f t="shared" si="483"/>
        <v>0</v>
      </c>
      <c r="ED260" s="38">
        <f t="shared" si="484"/>
        <v>0</v>
      </c>
      <c r="EE260" s="38">
        <f t="shared" si="485"/>
        <v>0</v>
      </c>
      <c r="EG260" s="38">
        <f t="shared" si="486"/>
        <v>0</v>
      </c>
      <c r="EH260" s="38">
        <f t="shared" si="487"/>
        <v>0</v>
      </c>
      <c r="EI260" s="38">
        <f t="shared" si="488"/>
        <v>0</v>
      </c>
      <c r="EJ260" s="38">
        <f t="shared" si="489"/>
        <v>0</v>
      </c>
      <c r="EK260" s="38">
        <f t="shared" si="490"/>
        <v>0</v>
      </c>
      <c r="EL260" s="38">
        <f t="shared" si="491"/>
        <v>0</v>
      </c>
      <c r="EM260" s="38">
        <f t="shared" si="492"/>
        <v>0</v>
      </c>
      <c r="EN260" s="38">
        <f t="shared" si="493"/>
        <v>0</v>
      </c>
      <c r="EO260" s="38">
        <f t="shared" si="494"/>
        <v>0</v>
      </c>
      <c r="EP260" s="38">
        <f t="shared" si="495"/>
        <v>276.96767999999997</v>
      </c>
      <c r="EQ260" s="38">
        <f t="shared" si="496"/>
        <v>0</v>
      </c>
      <c r="ER260" s="38">
        <f t="shared" si="497"/>
        <v>0</v>
      </c>
      <c r="ES260" s="38">
        <f t="shared" si="498"/>
        <v>0</v>
      </c>
      <c r="ET260" s="38">
        <f t="shared" si="499"/>
        <v>0</v>
      </c>
      <c r="EU260" s="38">
        <f t="shared" si="500"/>
        <v>0</v>
      </c>
      <c r="EV260" s="38">
        <f t="shared" si="501"/>
        <v>0</v>
      </c>
      <c r="EW260" s="38">
        <f t="shared" si="502"/>
        <v>0</v>
      </c>
      <c r="EX260" s="38">
        <f t="shared" si="503"/>
        <v>0</v>
      </c>
      <c r="EZ260" s="38">
        <f t="shared" si="504"/>
        <v>0</v>
      </c>
      <c r="FA260" s="38">
        <f t="shared" si="505"/>
        <v>0</v>
      </c>
      <c r="FB260" s="1">
        <f t="shared" si="506"/>
        <v>0</v>
      </c>
      <c r="FC260" s="1">
        <f t="shared" si="507"/>
        <v>0</v>
      </c>
      <c r="FD260" s="1">
        <f t="shared" si="508"/>
        <v>0</v>
      </c>
      <c r="FE260" s="1">
        <f t="shared" si="509"/>
        <v>0</v>
      </c>
      <c r="FF260" s="1">
        <f t="shared" si="510"/>
        <v>0</v>
      </c>
      <c r="FG260" s="1">
        <f t="shared" si="511"/>
        <v>0</v>
      </c>
      <c r="FH260" s="1">
        <f t="shared" si="512"/>
        <v>0</v>
      </c>
      <c r="FI260" s="1">
        <f t="shared" si="513"/>
        <v>0</v>
      </c>
      <c r="FJ260" s="1">
        <f t="shared" si="514"/>
        <v>0</v>
      </c>
      <c r="FK260" s="1">
        <f t="shared" si="515"/>
        <v>0</v>
      </c>
      <c r="FL260" s="1">
        <f t="shared" si="516"/>
        <v>0</v>
      </c>
      <c r="FM260" s="1">
        <f t="shared" si="517"/>
        <v>0</v>
      </c>
      <c r="FN260" s="1">
        <f t="shared" si="518"/>
        <v>0</v>
      </c>
      <c r="FO260" s="1">
        <f t="shared" si="519"/>
        <v>0</v>
      </c>
      <c r="FP260" s="1">
        <f t="shared" si="520"/>
        <v>0</v>
      </c>
      <c r="FQ260" s="1">
        <f t="shared" si="521"/>
        <v>0</v>
      </c>
      <c r="FS260" s="1">
        <f t="shared" si="522"/>
        <v>0</v>
      </c>
      <c r="FT260" s="1">
        <f t="shared" si="523"/>
        <v>0</v>
      </c>
      <c r="FU260" s="38">
        <f t="shared" si="524"/>
        <v>0</v>
      </c>
      <c r="FV260" s="38">
        <f t="shared" si="525"/>
        <v>0</v>
      </c>
      <c r="FW260" s="38">
        <f t="shared" si="526"/>
        <v>0</v>
      </c>
      <c r="FX260" s="38">
        <f t="shared" si="527"/>
        <v>0</v>
      </c>
      <c r="FY260" s="38">
        <f t="shared" si="528"/>
        <v>0</v>
      </c>
      <c r="FZ260" s="38">
        <f t="shared" si="529"/>
        <v>0</v>
      </c>
      <c r="GA260" s="38">
        <f t="shared" si="530"/>
        <v>0</v>
      </c>
      <c r="GB260" s="38">
        <f t="shared" si="531"/>
        <v>0</v>
      </c>
      <c r="GC260" s="38">
        <f t="shared" si="532"/>
        <v>0</v>
      </c>
      <c r="GD260" s="38">
        <f t="shared" si="533"/>
        <v>0</v>
      </c>
      <c r="GE260" s="38">
        <f t="shared" si="534"/>
        <v>0</v>
      </c>
      <c r="GF260" s="38">
        <f t="shared" si="535"/>
        <v>0</v>
      </c>
      <c r="GG260" s="38">
        <f t="shared" si="536"/>
        <v>0</v>
      </c>
      <c r="GH260" s="38">
        <f t="shared" si="537"/>
        <v>0</v>
      </c>
      <c r="GI260" s="38">
        <f t="shared" si="538"/>
        <v>0</v>
      </c>
      <c r="GJ260" s="38">
        <f t="shared" si="539"/>
        <v>0</v>
      </c>
      <c r="GL260" s="38">
        <f t="shared" si="540"/>
        <v>0</v>
      </c>
      <c r="GM260" s="38">
        <f t="shared" si="541"/>
        <v>0</v>
      </c>
      <c r="GN260" s="1" t="s">
        <v>2</v>
      </c>
      <c r="GO260" s="1">
        <f t="shared" si="464"/>
        <v>1.6</v>
      </c>
      <c r="GP260" s="1">
        <f t="shared" si="465"/>
        <v>1.32</v>
      </c>
      <c r="GQ260" s="41">
        <f t="shared" si="466"/>
        <v>21.12</v>
      </c>
      <c r="GR260" s="41">
        <f t="shared" si="467"/>
        <v>276.96767999999997</v>
      </c>
      <c r="GS260" s="14">
        <f t="shared" si="468"/>
        <v>173.10479999999998</v>
      </c>
      <c r="GT260" s="1">
        <f t="shared" si="542"/>
        <v>0</v>
      </c>
      <c r="GU260" s="1">
        <f t="shared" si="543"/>
        <v>0</v>
      </c>
      <c r="GV260" s="1">
        <f t="shared" si="544"/>
        <v>21.12</v>
      </c>
      <c r="GW260" s="37">
        <f t="shared" si="469"/>
        <v>0</v>
      </c>
      <c r="GX260" s="37"/>
      <c r="GY260" s="37"/>
      <c r="GZ260" s="37"/>
      <c r="HB260" s="1">
        <f t="shared" si="545"/>
        <v>0</v>
      </c>
      <c r="HC260" s="1">
        <f t="shared" si="546"/>
        <v>0</v>
      </c>
      <c r="HD260" s="37" t="s">
        <v>2</v>
      </c>
      <c r="HE260" s="1" t="s">
        <v>31</v>
      </c>
      <c r="HF260" s="1" t="s">
        <v>205</v>
      </c>
      <c r="HG260" s="1" t="s">
        <v>205</v>
      </c>
      <c r="HI260" s="1" t="s">
        <v>163</v>
      </c>
      <c r="HJ260" s="37" t="s">
        <v>2</v>
      </c>
      <c r="JH260" s="58" t="s">
        <v>2</v>
      </c>
    </row>
    <row r="261" spans="1:268" ht="16.25" customHeight="1" x14ac:dyDescent="0.2">
      <c r="A261" s="21" t="s">
        <v>1144</v>
      </c>
      <c r="B261" s="1" t="s">
        <v>69</v>
      </c>
      <c r="F261" s="1" t="s">
        <v>1145</v>
      </c>
      <c r="I261" s="1">
        <v>0</v>
      </c>
      <c r="AD261" s="1">
        <v>0</v>
      </c>
      <c r="AY261" s="1">
        <v>63.9</v>
      </c>
      <c r="BG261" s="1" t="s">
        <v>1146</v>
      </c>
      <c r="BH261" s="1" t="s">
        <v>1147</v>
      </c>
      <c r="BT261" s="1">
        <v>0</v>
      </c>
      <c r="CO261" s="1">
        <v>0</v>
      </c>
      <c r="DJ261" s="1" t="s">
        <v>163</v>
      </c>
      <c r="DK261" s="1" t="s">
        <v>163</v>
      </c>
      <c r="DL261" s="1">
        <f t="shared" ref="DL261:DL324" si="547">(Q261*I261+AL261*AD261+BG261*AY261)/(I261+AD261+AY261)</f>
        <v>1.03</v>
      </c>
      <c r="DM261" s="1">
        <f t="shared" ref="DM261:DM324" si="548">(R261*I261+AM261*AD261+BH261*AY261)/(I261+AD261+AY261)</f>
        <v>0.15</v>
      </c>
      <c r="DN261" s="1" t="s">
        <v>471</v>
      </c>
      <c r="DO261" s="1" t="s">
        <v>2</v>
      </c>
      <c r="DP261" s="38">
        <f t="shared" si="470"/>
        <v>0</v>
      </c>
      <c r="DQ261" s="38">
        <f t="shared" si="471"/>
        <v>0</v>
      </c>
      <c r="DR261" s="38">
        <f t="shared" si="472"/>
        <v>0</v>
      </c>
      <c r="DS261" s="38">
        <f t="shared" si="473"/>
        <v>0</v>
      </c>
      <c r="DT261" s="38">
        <f t="shared" si="474"/>
        <v>0</v>
      </c>
      <c r="DU261" s="38">
        <f t="shared" si="475"/>
        <v>0</v>
      </c>
      <c r="DV261" s="38">
        <f t="shared" si="476"/>
        <v>0</v>
      </c>
      <c r="DW261" s="38">
        <f t="shared" si="477"/>
        <v>0.65817000000000003</v>
      </c>
      <c r="DX261" s="38">
        <f t="shared" si="478"/>
        <v>9.5849999999999991E-2</v>
      </c>
      <c r="DY261" s="38">
        <f t="shared" si="479"/>
        <v>0</v>
      </c>
      <c r="DZ261" s="38">
        <f t="shared" si="480"/>
        <v>0</v>
      </c>
      <c r="EA261" s="38">
        <f t="shared" si="481"/>
        <v>0</v>
      </c>
      <c r="EB261" s="38">
        <f t="shared" si="482"/>
        <v>0</v>
      </c>
      <c r="EC261" s="38">
        <f t="shared" si="483"/>
        <v>0</v>
      </c>
      <c r="ED261" s="38">
        <f t="shared" si="484"/>
        <v>0</v>
      </c>
      <c r="EE261" s="38">
        <f t="shared" si="485"/>
        <v>0</v>
      </c>
      <c r="EG261" s="38">
        <f t="shared" si="486"/>
        <v>0</v>
      </c>
      <c r="EH261" s="38">
        <f t="shared" si="487"/>
        <v>0</v>
      </c>
      <c r="EI261" s="38">
        <f t="shared" si="488"/>
        <v>0</v>
      </c>
      <c r="EJ261" s="38">
        <f t="shared" si="489"/>
        <v>0</v>
      </c>
      <c r="EK261" s="38">
        <f t="shared" si="490"/>
        <v>0</v>
      </c>
      <c r="EL261" s="38">
        <f t="shared" si="491"/>
        <v>0</v>
      </c>
      <c r="EM261" s="38">
        <f t="shared" si="492"/>
        <v>0</v>
      </c>
      <c r="EN261" s="38">
        <f t="shared" si="493"/>
        <v>0</v>
      </c>
      <c r="EO261" s="38">
        <f t="shared" si="494"/>
        <v>0</v>
      </c>
      <c r="EP261" s="38">
        <f t="shared" si="495"/>
        <v>8631.2413800000013</v>
      </c>
      <c r="EQ261" s="38">
        <f t="shared" si="496"/>
        <v>6960.5813753999983</v>
      </c>
      <c r="ER261" s="38">
        <f t="shared" si="497"/>
        <v>0</v>
      </c>
      <c r="ES261" s="38">
        <f t="shared" si="498"/>
        <v>0</v>
      </c>
      <c r="ET261" s="38">
        <f t="shared" si="499"/>
        <v>0</v>
      </c>
      <c r="EU261" s="38">
        <f t="shared" si="500"/>
        <v>0</v>
      </c>
      <c r="EV261" s="38">
        <f t="shared" si="501"/>
        <v>0</v>
      </c>
      <c r="EW261" s="38">
        <f t="shared" si="502"/>
        <v>0</v>
      </c>
      <c r="EX261" s="38">
        <f t="shared" si="503"/>
        <v>0</v>
      </c>
      <c r="EZ261" s="38">
        <f t="shared" si="504"/>
        <v>0</v>
      </c>
      <c r="FA261" s="38">
        <f t="shared" si="505"/>
        <v>0</v>
      </c>
      <c r="FB261" s="1">
        <f t="shared" si="506"/>
        <v>0</v>
      </c>
      <c r="FC261" s="1">
        <f t="shared" si="507"/>
        <v>0</v>
      </c>
      <c r="FD261" s="1">
        <f t="shared" si="508"/>
        <v>0</v>
      </c>
      <c r="FE261" s="1">
        <f t="shared" si="509"/>
        <v>0</v>
      </c>
      <c r="FF261" s="1">
        <f t="shared" si="510"/>
        <v>0</v>
      </c>
      <c r="FG261" s="1">
        <f t="shared" si="511"/>
        <v>0</v>
      </c>
      <c r="FH261" s="1">
        <f t="shared" si="512"/>
        <v>0</v>
      </c>
      <c r="FI261" s="1">
        <f t="shared" si="513"/>
        <v>0</v>
      </c>
      <c r="FJ261" s="1">
        <f t="shared" si="514"/>
        <v>0</v>
      </c>
      <c r="FK261" s="1">
        <f t="shared" si="515"/>
        <v>0</v>
      </c>
      <c r="FL261" s="1">
        <f t="shared" si="516"/>
        <v>0</v>
      </c>
      <c r="FM261" s="1">
        <f t="shared" si="517"/>
        <v>0</v>
      </c>
      <c r="FN261" s="1">
        <f t="shared" si="518"/>
        <v>0</v>
      </c>
      <c r="FO261" s="1">
        <f t="shared" si="519"/>
        <v>0</v>
      </c>
      <c r="FP261" s="1">
        <f t="shared" si="520"/>
        <v>0</v>
      </c>
      <c r="FQ261" s="1">
        <f t="shared" si="521"/>
        <v>0</v>
      </c>
      <c r="FS261" s="1">
        <f t="shared" si="522"/>
        <v>0</v>
      </c>
      <c r="FT261" s="1">
        <f t="shared" si="523"/>
        <v>0</v>
      </c>
      <c r="FU261" s="38">
        <f t="shared" si="524"/>
        <v>0</v>
      </c>
      <c r="FV261" s="38">
        <f t="shared" si="525"/>
        <v>0</v>
      </c>
      <c r="FW261" s="38">
        <f t="shared" si="526"/>
        <v>0</v>
      </c>
      <c r="FX261" s="38">
        <f t="shared" si="527"/>
        <v>0</v>
      </c>
      <c r="FY261" s="38">
        <f t="shared" si="528"/>
        <v>0</v>
      </c>
      <c r="FZ261" s="38">
        <f t="shared" si="529"/>
        <v>0</v>
      </c>
      <c r="GA261" s="38">
        <f t="shared" si="530"/>
        <v>0</v>
      </c>
      <c r="GB261" s="38">
        <f t="shared" si="531"/>
        <v>0</v>
      </c>
      <c r="GC261" s="38">
        <f t="shared" si="532"/>
        <v>0</v>
      </c>
      <c r="GD261" s="38">
        <f t="shared" si="533"/>
        <v>0</v>
      </c>
      <c r="GE261" s="38">
        <f t="shared" si="534"/>
        <v>0</v>
      </c>
      <c r="GF261" s="38">
        <f t="shared" si="535"/>
        <v>0</v>
      </c>
      <c r="GG261" s="38">
        <f t="shared" si="536"/>
        <v>0</v>
      </c>
      <c r="GH261" s="38">
        <f t="shared" si="537"/>
        <v>0</v>
      </c>
      <c r="GI261" s="38">
        <f t="shared" si="538"/>
        <v>0</v>
      </c>
      <c r="GJ261" s="38">
        <f t="shared" si="539"/>
        <v>0</v>
      </c>
      <c r="GL261" s="38">
        <f t="shared" si="540"/>
        <v>0</v>
      </c>
      <c r="GM261" s="38">
        <f t="shared" si="541"/>
        <v>0</v>
      </c>
      <c r="GN261" s="1" t="s">
        <v>2</v>
      </c>
      <c r="GO261" s="1">
        <f t="shared" ref="GO261:GO324" si="549">I261+AD261+AY261</f>
        <v>63.9</v>
      </c>
      <c r="GP261" s="1">
        <f t="shared" ref="GP261:GP324" si="550">(I261*Q261+AD261*AL261+AY261*BG261)/GO261</f>
        <v>1.03</v>
      </c>
      <c r="GQ261" s="41">
        <f t="shared" ref="GQ261:GQ324" si="551">1000*GO261*GP261/100</f>
        <v>658.17</v>
      </c>
      <c r="GR261" s="41">
        <f t="shared" ref="GR261:GR324" si="552">SUM(EI261:FA261)</f>
        <v>15591.8227554</v>
      </c>
      <c r="GS261" s="14">
        <f t="shared" ref="GS261:GS324" si="553">GR261/GO261</f>
        <v>244.00348600000001</v>
      </c>
      <c r="GT261" s="1">
        <f t="shared" si="542"/>
        <v>0</v>
      </c>
      <c r="GU261" s="1">
        <f t="shared" si="543"/>
        <v>0</v>
      </c>
      <c r="GV261" s="1">
        <f t="shared" si="544"/>
        <v>658.17</v>
      </c>
      <c r="GW261" s="37">
        <f t="shared" ref="GW261:GW324" si="554">BT261+CO261</f>
        <v>0</v>
      </c>
      <c r="GX261" s="37"/>
      <c r="GY261" s="37"/>
      <c r="GZ261" s="37"/>
      <c r="HB261" s="1">
        <f t="shared" si="545"/>
        <v>0</v>
      </c>
      <c r="HC261" s="1">
        <f t="shared" si="546"/>
        <v>0</v>
      </c>
      <c r="HD261" s="37" t="s">
        <v>2</v>
      </c>
      <c r="HE261" s="1" t="s">
        <v>31</v>
      </c>
      <c r="HF261" s="1" t="s">
        <v>205</v>
      </c>
      <c r="HG261" s="1" t="s">
        <v>205</v>
      </c>
      <c r="HI261" s="1" t="s">
        <v>163</v>
      </c>
      <c r="HJ261" s="37" t="s">
        <v>2</v>
      </c>
      <c r="JH261" s="58" t="s">
        <v>2</v>
      </c>
    </row>
    <row r="262" spans="1:268" ht="16.25" customHeight="1" x14ac:dyDescent="0.2">
      <c r="A262" s="21" t="s">
        <v>1148</v>
      </c>
      <c r="B262" s="1" t="s">
        <v>69</v>
      </c>
      <c r="F262" s="1" t="s">
        <v>1145</v>
      </c>
      <c r="I262" s="1">
        <v>0</v>
      </c>
      <c r="AD262" s="1">
        <v>0</v>
      </c>
      <c r="AY262" s="1">
        <v>64.599999999999994</v>
      </c>
      <c r="BG262" s="1" t="s">
        <v>1149</v>
      </c>
      <c r="BT262" s="1">
        <v>0</v>
      </c>
      <c r="CO262" s="1">
        <v>0</v>
      </c>
      <c r="DJ262" s="1" t="s">
        <v>163</v>
      </c>
      <c r="DL262" s="1">
        <f t="shared" si="547"/>
        <v>0.88</v>
      </c>
      <c r="DM262" s="1">
        <f t="shared" si="548"/>
        <v>0</v>
      </c>
      <c r="DN262" s="1" t="s">
        <v>471</v>
      </c>
      <c r="DO262" s="1" t="s">
        <v>2</v>
      </c>
      <c r="DP262" s="38">
        <f t="shared" si="470"/>
        <v>0</v>
      </c>
      <c r="DQ262" s="38">
        <f t="shared" si="471"/>
        <v>0</v>
      </c>
      <c r="DR262" s="38">
        <f t="shared" si="472"/>
        <v>0</v>
      </c>
      <c r="DS262" s="38">
        <f t="shared" si="473"/>
        <v>0</v>
      </c>
      <c r="DT262" s="38">
        <f t="shared" si="474"/>
        <v>0</v>
      </c>
      <c r="DU262" s="38">
        <f t="shared" si="475"/>
        <v>0</v>
      </c>
      <c r="DV262" s="38">
        <f t="shared" si="476"/>
        <v>0</v>
      </c>
      <c r="DW262" s="38">
        <f t="shared" si="477"/>
        <v>0.56847999999999987</v>
      </c>
      <c r="DX262" s="38">
        <f t="shared" si="478"/>
        <v>0</v>
      </c>
      <c r="DY262" s="38">
        <f t="shared" si="479"/>
        <v>0</v>
      </c>
      <c r="DZ262" s="38">
        <f t="shared" si="480"/>
        <v>0</v>
      </c>
      <c r="EA262" s="38">
        <f t="shared" si="481"/>
        <v>0</v>
      </c>
      <c r="EB262" s="38">
        <f t="shared" si="482"/>
        <v>0</v>
      </c>
      <c r="EC262" s="38">
        <f t="shared" si="483"/>
        <v>0</v>
      </c>
      <c r="ED262" s="38">
        <f t="shared" si="484"/>
        <v>0</v>
      </c>
      <c r="EE262" s="38">
        <f t="shared" si="485"/>
        <v>0</v>
      </c>
      <c r="EG262" s="38">
        <f t="shared" si="486"/>
        <v>0</v>
      </c>
      <c r="EH262" s="38">
        <f t="shared" si="487"/>
        <v>0</v>
      </c>
      <c r="EI262" s="38">
        <f t="shared" si="488"/>
        <v>0</v>
      </c>
      <c r="EJ262" s="38">
        <f t="shared" si="489"/>
        <v>0</v>
      </c>
      <c r="EK262" s="38">
        <f t="shared" si="490"/>
        <v>0</v>
      </c>
      <c r="EL262" s="38">
        <f t="shared" si="491"/>
        <v>0</v>
      </c>
      <c r="EM262" s="38">
        <f t="shared" si="492"/>
        <v>0</v>
      </c>
      <c r="EN262" s="38">
        <f t="shared" si="493"/>
        <v>0</v>
      </c>
      <c r="EO262" s="38">
        <f t="shared" si="494"/>
        <v>0</v>
      </c>
      <c r="EP262" s="38">
        <f t="shared" si="495"/>
        <v>7455.0467199999985</v>
      </c>
      <c r="EQ262" s="38">
        <f t="shared" si="496"/>
        <v>0</v>
      </c>
      <c r="ER262" s="38">
        <f t="shared" si="497"/>
        <v>0</v>
      </c>
      <c r="ES262" s="38">
        <f t="shared" si="498"/>
        <v>0</v>
      </c>
      <c r="ET262" s="38">
        <f t="shared" si="499"/>
        <v>0</v>
      </c>
      <c r="EU262" s="38">
        <f t="shared" si="500"/>
        <v>0</v>
      </c>
      <c r="EV262" s="38">
        <f t="shared" si="501"/>
        <v>0</v>
      </c>
      <c r="EW262" s="38">
        <f t="shared" si="502"/>
        <v>0</v>
      </c>
      <c r="EX262" s="38">
        <f t="shared" si="503"/>
        <v>0</v>
      </c>
      <c r="EZ262" s="38">
        <f t="shared" si="504"/>
        <v>0</v>
      </c>
      <c r="FA262" s="38">
        <f t="shared" si="505"/>
        <v>0</v>
      </c>
      <c r="FB262" s="1">
        <f t="shared" si="506"/>
        <v>0</v>
      </c>
      <c r="FC262" s="1">
        <f t="shared" si="507"/>
        <v>0</v>
      </c>
      <c r="FD262" s="1">
        <f t="shared" si="508"/>
        <v>0</v>
      </c>
      <c r="FE262" s="1">
        <f t="shared" si="509"/>
        <v>0</v>
      </c>
      <c r="FF262" s="1">
        <f t="shared" si="510"/>
        <v>0</v>
      </c>
      <c r="FG262" s="1">
        <f t="shared" si="511"/>
        <v>0</v>
      </c>
      <c r="FH262" s="1">
        <f t="shared" si="512"/>
        <v>0</v>
      </c>
      <c r="FI262" s="1">
        <f t="shared" si="513"/>
        <v>0</v>
      </c>
      <c r="FJ262" s="1">
        <f t="shared" si="514"/>
        <v>0</v>
      </c>
      <c r="FK262" s="1">
        <f t="shared" si="515"/>
        <v>0</v>
      </c>
      <c r="FL262" s="1">
        <f t="shared" si="516"/>
        <v>0</v>
      </c>
      <c r="FM262" s="1">
        <f t="shared" si="517"/>
        <v>0</v>
      </c>
      <c r="FN262" s="1">
        <f t="shared" si="518"/>
        <v>0</v>
      </c>
      <c r="FO262" s="1">
        <f t="shared" si="519"/>
        <v>0</v>
      </c>
      <c r="FP262" s="1">
        <f t="shared" si="520"/>
        <v>0</v>
      </c>
      <c r="FQ262" s="1">
        <f t="shared" si="521"/>
        <v>0</v>
      </c>
      <c r="FS262" s="1">
        <f t="shared" si="522"/>
        <v>0</v>
      </c>
      <c r="FT262" s="1">
        <f t="shared" si="523"/>
        <v>0</v>
      </c>
      <c r="FU262" s="38">
        <f t="shared" si="524"/>
        <v>0</v>
      </c>
      <c r="FV262" s="38">
        <f t="shared" si="525"/>
        <v>0</v>
      </c>
      <c r="FW262" s="38">
        <f t="shared" si="526"/>
        <v>0</v>
      </c>
      <c r="FX262" s="38">
        <f t="shared" si="527"/>
        <v>0</v>
      </c>
      <c r="FY262" s="38">
        <f t="shared" si="528"/>
        <v>0</v>
      </c>
      <c r="FZ262" s="38">
        <f t="shared" si="529"/>
        <v>0</v>
      </c>
      <c r="GA262" s="38">
        <f t="shared" si="530"/>
        <v>0</v>
      </c>
      <c r="GB262" s="38">
        <f t="shared" si="531"/>
        <v>0</v>
      </c>
      <c r="GC262" s="38">
        <f t="shared" si="532"/>
        <v>0</v>
      </c>
      <c r="GD262" s="38">
        <f t="shared" si="533"/>
        <v>0</v>
      </c>
      <c r="GE262" s="38">
        <f t="shared" si="534"/>
        <v>0</v>
      </c>
      <c r="GF262" s="38">
        <f t="shared" si="535"/>
        <v>0</v>
      </c>
      <c r="GG262" s="38">
        <f t="shared" si="536"/>
        <v>0</v>
      </c>
      <c r="GH262" s="38">
        <f t="shared" si="537"/>
        <v>0</v>
      </c>
      <c r="GI262" s="38">
        <f t="shared" si="538"/>
        <v>0</v>
      </c>
      <c r="GJ262" s="38">
        <f t="shared" si="539"/>
        <v>0</v>
      </c>
      <c r="GL262" s="38">
        <f t="shared" si="540"/>
        <v>0</v>
      </c>
      <c r="GM262" s="38">
        <f t="shared" si="541"/>
        <v>0</v>
      </c>
      <c r="GN262" s="1" t="s">
        <v>2</v>
      </c>
      <c r="GO262" s="1">
        <f t="shared" si="549"/>
        <v>64.599999999999994</v>
      </c>
      <c r="GP262" s="1">
        <f t="shared" si="550"/>
        <v>0.88</v>
      </c>
      <c r="GQ262" s="41">
        <f t="shared" si="551"/>
        <v>568.4799999999999</v>
      </c>
      <c r="GR262" s="41">
        <f t="shared" si="552"/>
        <v>7455.0467199999985</v>
      </c>
      <c r="GS262" s="14">
        <f t="shared" si="553"/>
        <v>115.40319999999998</v>
      </c>
      <c r="GT262" s="1">
        <f t="shared" si="542"/>
        <v>0</v>
      </c>
      <c r="GU262" s="1">
        <f t="shared" si="543"/>
        <v>0</v>
      </c>
      <c r="GV262" s="1">
        <f t="shared" si="544"/>
        <v>568.4799999999999</v>
      </c>
      <c r="GW262" s="37">
        <f t="shared" si="554"/>
        <v>0</v>
      </c>
      <c r="GX262" s="37"/>
      <c r="GY262" s="37"/>
      <c r="GZ262" s="37"/>
      <c r="HB262" s="1">
        <f t="shared" si="545"/>
        <v>0</v>
      </c>
      <c r="HC262" s="1">
        <f t="shared" si="546"/>
        <v>0</v>
      </c>
      <c r="HD262" s="37" t="s">
        <v>2</v>
      </c>
      <c r="HE262" s="1" t="s">
        <v>31</v>
      </c>
      <c r="HF262" s="1" t="s">
        <v>205</v>
      </c>
      <c r="HG262" s="1" t="s">
        <v>205</v>
      </c>
      <c r="HI262" s="1" t="s">
        <v>163</v>
      </c>
      <c r="HJ262" s="37" t="s">
        <v>2</v>
      </c>
      <c r="JH262" s="58" t="s">
        <v>2</v>
      </c>
    </row>
    <row r="263" spans="1:268" ht="16.25" customHeight="1" x14ac:dyDescent="0.2">
      <c r="A263" s="21" t="s">
        <v>1153</v>
      </c>
      <c r="B263" s="1" t="s">
        <v>69</v>
      </c>
      <c r="F263" s="1" t="s">
        <v>1145</v>
      </c>
      <c r="I263" s="1">
        <v>0</v>
      </c>
      <c r="AD263" s="1">
        <v>0</v>
      </c>
      <c r="AY263" s="1">
        <v>18.399999999999999</v>
      </c>
      <c r="BG263" s="1" t="s">
        <v>1154</v>
      </c>
      <c r="BH263" s="1" t="s">
        <v>1152</v>
      </c>
      <c r="BT263" s="1">
        <v>0</v>
      </c>
      <c r="CO263" s="1">
        <v>0</v>
      </c>
      <c r="DJ263" s="1" t="s">
        <v>163</v>
      </c>
      <c r="DK263" s="1" t="s">
        <v>163</v>
      </c>
      <c r="DL263" s="1">
        <f t="shared" si="547"/>
        <v>0.92000000000000015</v>
      </c>
      <c r="DM263" s="1">
        <f t="shared" si="548"/>
        <v>0.08</v>
      </c>
      <c r="DN263" s="1" t="s">
        <v>471</v>
      </c>
      <c r="DO263" s="1" t="s">
        <v>2</v>
      </c>
      <c r="DP263" s="38">
        <f t="shared" si="470"/>
        <v>0</v>
      </c>
      <c r="DQ263" s="38">
        <f t="shared" si="471"/>
        <v>0</v>
      </c>
      <c r="DR263" s="38">
        <f t="shared" si="472"/>
        <v>0</v>
      </c>
      <c r="DS263" s="38">
        <f t="shared" si="473"/>
        <v>0</v>
      </c>
      <c r="DT263" s="38">
        <f t="shared" si="474"/>
        <v>0</v>
      </c>
      <c r="DU263" s="38">
        <f t="shared" si="475"/>
        <v>0</v>
      </c>
      <c r="DV263" s="38">
        <f t="shared" si="476"/>
        <v>0</v>
      </c>
      <c r="DW263" s="38">
        <f t="shared" si="477"/>
        <v>0.16928000000000001</v>
      </c>
      <c r="DX263" s="38">
        <f t="shared" si="478"/>
        <v>1.472E-2</v>
      </c>
      <c r="DY263" s="38">
        <f t="shared" si="479"/>
        <v>0</v>
      </c>
      <c r="DZ263" s="38">
        <f t="shared" si="480"/>
        <v>0</v>
      </c>
      <c r="EA263" s="38">
        <f t="shared" si="481"/>
        <v>0</v>
      </c>
      <c r="EB263" s="38">
        <f t="shared" si="482"/>
        <v>0</v>
      </c>
      <c r="EC263" s="38">
        <f t="shared" si="483"/>
        <v>0</v>
      </c>
      <c r="ED263" s="38">
        <f t="shared" si="484"/>
        <v>0</v>
      </c>
      <c r="EE263" s="38">
        <f t="shared" si="485"/>
        <v>0</v>
      </c>
      <c r="EG263" s="38">
        <f t="shared" si="486"/>
        <v>0</v>
      </c>
      <c r="EH263" s="38">
        <f t="shared" si="487"/>
        <v>0</v>
      </c>
      <c r="EI263" s="38">
        <f t="shared" si="488"/>
        <v>0</v>
      </c>
      <c r="EJ263" s="38">
        <f t="shared" si="489"/>
        <v>0</v>
      </c>
      <c r="EK263" s="38">
        <f t="shared" si="490"/>
        <v>0</v>
      </c>
      <c r="EL263" s="38">
        <f t="shared" si="491"/>
        <v>0</v>
      </c>
      <c r="EM263" s="38">
        <f t="shared" si="492"/>
        <v>0</v>
      </c>
      <c r="EN263" s="38">
        <f t="shared" si="493"/>
        <v>0</v>
      </c>
      <c r="EO263" s="38">
        <f t="shared" si="494"/>
        <v>0</v>
      </c>
      <c r="EP263" s="38">
        <f t="shared" si="495"/>
        <v>2219.9379200000003</v>
      </c>
      <c r="EQ263" s="38">
        <f t="shared" si="496"/>
        <v>1068.9593932799999</v>
      </c>
      <c r="ER263" s="38">
        <f t="shared" si="497"/>
        <v>0</v>
      </c>
      <c r="ES263" s="38">
        <f t="shared" si="498"/>
        <v>0</v>
      </c>
      <c r="ET263" s="38">
        <f t="shared" si="499"/>
        <v>0</v>
      </c>
      <c r="EU263" s="38">
        <f t="shared" si="500"/>
        <v>0</v>
      </c>
      <c r="EV263" s="38">
        <f t="shared" si="501"/>
        <v>0</v>
      </c>
      <c r="EW263" s="38">
        <f t="shared" si="502"/>
        <v>0</v>
      </c>
      <c r="EX263" s="38">
        <f t="shared" si="503"/>
        <v>0</v>
      </c>
      <c r="EZ263" s="38">
        <f t="shared" si="504"/>
        <v>0</v>
      </c>
      <c r="FA263" s="38">
        <f t="shared" si="505"/>
        <v>0</v>
      </c>
      <c r="FB263" s="1">
        <f t="shared" si="506"/>
        <v>0</v>
      </c>
      <c r="FC263" s="1">
        <f t="shared" si="507"/>
        <v>0</v>
      </c>
      <c r="FD263" s="1">
        <f t="shared" si="508"/>
        <v>0</v>
      </c>
      <c r="FE263" s="1">
        <f t="shared" si="509"/>
        <v>0</v>
      </c>
      <c r="FF263" s="1">
        <f t="shared" si="510"/>
        <v>0</v>
      </c>
      <c r="FG263" s="1">
        <f t="shared" si="511"/>
        <v>0</v>
      </c>
      <c r="FH263" s="1">
        <f t="shared" si="512"/>
        <v>0</v>
      </c>
      <c r="FI263" s="1">
        <f t="shared" si="513"/>
        <v>0</v>
      </c>
      <c r="FJ263" s="1">
        <f t="shared" si="514"/>
        <v>0</v>
      </c>
      <c r="FK263" s="1">
        <f t="shared" si="515"/>
        <v>0</v>
      </c>
      <c r="FL263" s="1">
        <f t="shared" si="516"/>
        <v>0</v>
      </c>
      <c r="FM263" s="1">
        <f t="shared" si="517"/>
        <v>0</v>
      </c>
      <c r="FN263" s="1">
        <f t="shared" si="518"/>
        <v>0</v>
      </c>
      <c r="FO263" s="1">
        <f t="shared" si="519"/>
        <v>0</v>
      </c>
      <c r="FP263" s="1">
        <f t="shared" si="520"/>
        <v>0</v>
      </c>
      <c r="FQ263" s="1">
        <f t="shared" si="521"/>
        <v>0</v>
      </c>
      <c r="FS263" s="1">
        <f t="shared" si="522"/>
        <v>0</v>
      </c>
      <c r="FT263" s="1">
        <f t="shared" si="523"/>
        <v>0</v>
      </c>
      <c r="FU263" s="38">
        <f t="shared" si="524"/>
        <v>0</v>
      </c>
      <c r="FV263" s="38">
        <f t="shared" si="525"/>
        <v>0</v>
      </c>
      <c r="FW263" s="38">
        <f t="shared" si="526"/>
        <v>0</v>
      </c>
      <c r="FX263" s="38">
        <f t="shared" si="527"/>
        <v>0</v>
      </c>
      <c r="FY263" s="38">
        <f t="shared" si="528"/>
        <v>0</v>
      </c>
      <c r="FZ263" s="38">
        <f t="shared" si="529"/>
        <v>0</v>
      </c>
      <c r="GA263" s="38">
        <f t="shared" si="530"/>
        <v>0</v>
      </c>
      <c r="GB263" s="38">
        <f t="shared" si="531"/>
        <v>0</v>
      </c>
      <c r="GC263" s="38">
        <f t="shared" si="532"/>
        <v>0</v>
      </c>
      <c r="GD263" s="38">
        <f t="shared" si="533"/>
        <v>0</v>
      </c>
      <c r="GE263" s="38">
        <f t="shared" si="534"/>
        <v>0</v>
      </c>
      <c r="GF263" s="38">
        <f t="shared" si="535"/>
        <v>0</v>
      </c>
      <c r="GG263" s="38">
        <f t="shared" si="536"/>
        <v>0</v>
      </c>
      <c r="GH263" s="38">
        <f t="shared" si="537"/>
        <v>0</v>
      </c>
      <c r="GI263" s="38">
        <f t="shared" si="538"/>
        <v>0</v>
      </c>
      <c r="GJ263" s="38">
        <f t="shared" si="539"/>
        <v>0</v>
      </c>
      <c r="GL263" s="38">
        <f t="shared" si="540"/>
        <v>0</v>
      </c>
      <c r="GM263" s="38">
        <f t="shared" si="541"/>
        <v>0</v>
      </c>
      <c r="GN263" s="1" t="s">
        <v>2</v>
      </c>
      <c r="GO263" s="1">
        <f t="shared" si="549"/>
        <v>18.399999999999999</v>
      </c>
      <c r="GP263" s="1">
        <f t="shared" si="550"/>
        <v>0.92000000000000015</v>
      </c>
      <c r="GQ263" s="41">
        <f t="shared" si="551"/>
        <v>169.28000000000003</v>
      </c>
      <c r="GR263" s="41">
        <f t="shared" si="552"/>
        <v>3288.8973132800002</v>
      </c>
      <c r="GS263" s="14">
        <f t="shared" si="553"/>
        <v>178.74441920000001</v>
      </c>
      <c r="GT263" s="1">
        <f t="shared" si="542"/>
        <v>0</v>
      </c>
      <c r="GU263" s="1">
        <f t="shared" si="543"/>
        <v>0</v>
      </c>
      <c r="GV263" s="1">
        <f t="shared" si="544"/>
        <v>169.28</v>
      </c>
      <c r="GW263" s="37">
        <f t="shared" si="554"/>
        <v>0</v>
      </c>
      <c r="GX263" s="37"/>
      <c r="GY263" s="37"/>
      <c r="GZ263" s="37"/>
      <c r="HB263" s="1">
        <f t="shared" si="545"/>
        <v>0</v>
      </c>
      <c r="HC263" s="1">
        <f t="shared" si="546"/>
        <v>0</v>
      </c>
      <c r="HD263" s="37" t="s">
        <v>2</v>
      </c>
      <c r="HE263" s="1" t="s">
        <v>31</v>
      </c>
      <c r="HF263" s="1" t="s">
        <v>205</v>
      </c>
      <c r="HG263" s="1" t="s">
        <v>205</v>
      </c>
      <c r="HI263" s="1" t="s">
        <v>163</v>
      </c>
      <c r="HJ263" s="37" t="s">
        <v>2</v>
      </c>
      <c r="JH263" s="58" t="s">
        <v>2</v>
      </c>
    </row>
    <row r="264" spans="1:268" ht="16.25" customHeight="1" x14ac:dyDescent="0.2">
      <c r="A264" s="21" t="s">
        <v>481</v>
      </c>
      <c r="B264" s="1" t="s">
        <v>69</v>
      </c>
      <c r="F264" s="1" t="s">
        <v>482</v>
      </c>
      <c r="H264" s="1" t="s">
        <v>216</v>
      </c>
      <c r="I264" s="1">
        <v>0</v>
      </c>
      <c r="AD264" s="1">
        <v>0</v>
      </c>
      <c r="AY264" s="1">
        <v>88</v>
      </c>
      <c r="BG264" s="1">
        <v>1.2</v>
      </c>
      <c r="BT264" s="1">
        <v>0</v>
      </c>
      <c r="CO264" s="1">
        <v>0</v>
      </c>
      <c r="DJ264" s="1" t="s">
        <v>163</v>
      </c>
      <c r="DL264" s="1">
        <f t="shared" si="547"/>
        <v>1.2</v>
      </c>
      <c r="DM264" s="1">
        <f t="shared" si="548"/>
        <v>0</v>
      </c>
      <c r="DN264" s="1" t="s">
        <v>471</v>
      </c>
      <c r="DO264" s="1" t="s">
        <v>2</v>
      </c>
      <c r="DP264" s="38">
        <f t="shared" si="470"/>
        <v>0</v>
      </c>
      <c r="DQ264" s="38">
        <f t="shared" si="471"/>
        <v>0</v>
      </c>
      <c r="DR264" s="38">
        <f t="shared" si="472"/>
        <v>0</v>
      </c>
      <c r="DS264" s="38">
        <f t="shared" si="473"/>
        <v>0</v>
      </c>
      <c r="DT264" s="38">
        <f t="shared" si="474"/>
        <v>0</v>
      </c>
      <c r="DU264" s="38">
        <f t="shared" si="475"/>
        <v>0</v>
      </c>
      <c r="DV264" s="38">
        <f t="shared" si="476"/>
        <v>0</v>
      </c>
      <c r="DW264" s="38">
        <f t="shared" si="477"/>
        <v>1.056</v>
      </c>
      <c r="DX264" s="38">
        <f t="shared" si="478"/>
        <v>0</v>
      </c>
      <c r="DY264" s="38">
        <f t="shared" si="479"/>
        <v>0</v>
      </c>
      <c r="DZ264" s="38">
        <f t="shared" si="480"/>
        <v>0</v>
      </c>
      <c r="EA264" s="38">
        <f t="shared" si="481"/>
        <v>0</v>
      </c>
      <c r="EB264" s="38">
        <f t="shared" si="482"/>
        <v>0</v>
      </c>
      <c r="EC264" s="38">
        <f t="shared" si="483"/>
        <v>0</v>
      </c>
      <c r="ED264" s="38">
        <f t="shared" si="484"/>
        <v>0</v>
      </c>
      <c r="EE264" s="38">
        <f t="shared" si="485"/>
        <v>0</v>
      </c>
      <c r="EG264" s="38">
        <f t="shared" si="486"/>
        <v>0</v>
      </c>
      <c r="EH264" s="38">
        <f t="shared" si="487"/>
        <v>0</v>
      </c>
      <c r="EI264" s="38">
        <f t="shared" si="488"/>
        <v>0</v>
      </c>
      <c r="EJ264" s="38">
        <f t="shared" si="489"/>
        <v>0</v>
      </c>
      <c r="EK264" s="38">
        <f t="shared" si="490"/>
        <v>0</v>
      </c>
      <c r="EL264" s="38">
        <f t="shared" si="491"/>
        <v>0</v>
      </c>
      <c r="EM264" s="38">
        <f t="shared" si="492"/>
        <v>0</v>
      </c>
      <c r="EN264" s="38">
        <f t="shared" si="493"/>
        <v>0</v>
      </c>
      <c r="EO264" s="38">
        <f t="shared" si="494"/>
        <v>0</v>
      </c>
      <c r="EP264" s="38">
        <f t="shared" si="495"/>
        <v>13848.384</v>
      </c>
      <c r="EQ264" s="38">
        <f t="shared" si="496"/>
        <v>0</v>
      </c>
      <c r="ER264" s="38">
        <f t="shared" si="497"/>
        <v>0</v>
      </c>
      <c r="ES264" s="38">
        <f t="shared" si="498"/>
        <v>0</v>
      </c>
      <c r="ET264" s="38">
        <f t="shared" si="499"/>
        <v>0</v>
      </c>
      <c r="EU264" s="38">
        <f t="shared" si="500"/>
        <v>0</v>
      </c>
      <c r="EV264" s="38">
        <f t="shared" si="501"/>
        <v>0</v>
      </c>
      <c r="EW264" s="38">
        <f t="shared" si="502"/>
        <v>0</v>
      </c>
      <c r="EX264" s="38">
        <f t="shared" si="503"/>
        <v>0</v>
      </c>
      <c r="EZ264" s="38">
        <f t="shared" si="504"/>
        <v>0</v>
      </c>
      <c r="FA264" s="38">
        <f t="shared" si="505"/>
        <v>0</v>
      </c>
      <c r="FB264" s="1">
        <f t="shared" si="506"/>
        <v>0</v>
      </c>
      <c r="FC264" s="1">
        <f t="shared" si="507"/>
        <v>0</v>
      </c>
      <c r="FD264" s="1">
        <f t="shared" si="508"/>
        <v>0</v>
      </c>
      <c r="FE264" s="1">
        <f t="shared" si="509"/>
        <v>0</v>
      </c>
      <c r="FF264" s="1">
        <f t="shared" si="510"/>
        <v>0</v>
      </c>
      <c r="FG264" s="1">
        <f t="shared" si="511"/>
        <v>0</v>
      </c>
      <c r="FH264" s="1">
        <f t="shared" si="512"/>
        <v>0</v>
      </c>
      <c r="FI264" s="1">
        <f t="shared" si="513"/>
        <v>0</v>
      </c>
      <c r="FJ264" s="1">
        <f t="shared" si="514"/>
        <v>0</v>
      </c>
      <c r="FK264" s="1">
        <f t="shared" si="515"/>
        <v>0</v>
      </c>
      <c r="FL264" s="1">
        <f t="shared" si="516"/>
        <v>0</v>
      </c>
      <c r="FM264" s="1">
        <f t="shared" si="517"/>
        <v>0</v>
      </c>
      <c r="FN264" s="1">
        <f t="shared" si="518"/>
        <v>0</v>
      </c>
      <c r="FO264" s="1">
        <f t="shared" si="519"/>
        <v>0</v>
      </c>
      <c r="FP264" s="1">
        <f t="shared" si="520"/>
        <v>0</v>
      </c>
      <c r="FQ264" s="1">
        <f t="shared" si="521"/>
        <v>0</v>
      </c>
      <c r="FS264" s="1">
        <f t="shared" si="522"/>
        <v>0</v>
      </c>
      <c r="FT264" s="1">
        <f t="shared" si="523"/>
        <v>0</v>
      </c>
      <c r="FU264" s="38">
        <f t="shared" si="524"/>
        <v>0</v>
      </c>
      <c r="FV264" s="38">
        <f t="shared" si="525"/>
        <v>0</v>
      </c>
      <c r="FW264" s="38">
        <f t="shared" si="526"/>
        <v>0</v>
      </c>
      <c r="FX264" s="38">
        <f t="shared" si="527"/>
        <v>0</v>
      </c>
      <c r="FY264" s="38">
        <f t="shared" si="528"/>
        <v>0</v>
      </c>
      <c r="FZ264" s="38">
        <f t="shared" si="529"/>
        <v>0</v>
      </c>
      <c r="GA264" s="38">
        <f t="shared" si="530"/>
        <v>0</v>
      </c>
      <c r="GB264" s="38">
        <f t="shared" si="531"/>
        <v>0</v>
      </c>
      <c r="GC264" s="38">
        <f t="shared" si="532"/>
        <v>0</v>
      </c>
      <c r="GD264" s="38">
        <f t="shared" si="533"/>
        <v>0</v>
      </c>
      <c r="GE264" s="38">
        <f t="shared" si="534"/>
        <v>0</v>
      </c>
      <c r="GF264" s="38">
        <f t="shared" si="535"/>
        <v>0</v>
      </c>
      <c r="GG264" s="38">
        <f t="shared" si="536"/>
        <v>0</v>
      </c>
      <c r="GH264" s="38">
        <f t="shared" si="537"/>
        <v>0</v>
      </c>
      <c r="GI264" s="38">
        <f t="shared" si="538"/>
        <v>0</v>
      </c>
      <c r="GJ264" s="38">
        <f t="shared" si="539"/>
        <v>0</v>
      </c>
      <c r="GL264" s="38">
        <f t="shared" si="540"/>
        <v>0</v>
      </c>
      <c r="GM264" s="38">
        <f t="shared" si="541"/>
        <v>0</v>
      </c>
      <c r="GN264" s="1" t="s">
        <v>2</v>
      </c>
      <c r="GO264" s="1">
        <f t="shared" si="549"/>
        <v>88</v>
      </c>
      <c r="GP264" s="13">
        <f t="shared" si="550"/>
        <v>1.2</v>
      </c>
      <c r="GQ264" s="43">
        <f t="shared" si="551"/>
        <v>1056</v>
      </c>
      <c r="GR264" s="41">
        <f t="shared" si="552"/>
        <v>13848.384</v>
      </c>
      <c r="GS264" s="14">
        <f t="shared" si="553"/>
        <v>157.36799999999999</v>
      </c>
      <c r="GT264" s="1">
        <f t="shared" si="542"/>
        <v>0</v>
      </c>
      <c r="GU264" s="1">
        <f t="shared" si="543"/>
        <v>0</v>
      </c>
      <c r="GV264" s="1">
        <f t="shared" si="544"/>
        <v>1056</v>
      </c>
      <c r="GW264" s="37">
        <f t="shared" si="554"/>
        <v>0</v>
      </c>
      <c r="GX264" s="37"/>
      <c r="GY264" s="37"/>
      <c r="GZ264" s="37"/>
      <c r="HB264" s="1">
        <f t="shared" si="545"/>
        <v>0</v>
      </c>
      <c r="HC264" s="1">
        <f t="shared" si="546"/>
        <v>0</v>
      </c>
      <c r="HD264" s="37" t="s">
        <v>2</v>
      </c>
      <c r="HE264" s="1" t="s">
        <v>31</v>
      </c>
      <c r="HF264" s="1" t="s">
        <v>205</v>
      </c>
      <c r="HG264" s="1" t="s">
        <v>205</v>
      </c>
      <c r="HI264" s="1" t="s">
        <v>163</v>
      </c>
      <c r="HJ264" s="37" t="s">
        <v>2</v>
      </c>
      <c r="JH264" s="58" t="s">
        <v>2</v>
      </c>
    </row>
    <row r="265" spans="1:268" ht="16.25" customHeight="1" x14ac:dyDescent="0.2">
      <c r="A265" s="21" t="s">
        <v>1126</v>
      </c>
      <c r="B265" s="1" t="s">
        <v>71</v>
      </c>
      <c r="F265" s="1" t="s">
        <v>1127</v>
      </c>
      <c r="I265" s="1">
        <v>0</v>
      </c>
      <c r="AD265" s="1">
        <v>0</v>
      </c>
      <c r="AY265" s="1">
        <v>107.4</v>
      </c>
      <c r="BG265" s="1" t="s">
        <v>1128</v>
      </c>
      <c r="BT265" s="1">
        <v>0</v>
      </c>
      <c r="CO265" s="1">
        <v>0</v>
      </c>
      <c r="DJ265" s="1" t="s">
        <v>163</v>
      </c>
      <c r="DL265" s="1">
        <f t="shared" si="547"/>
        <v>0.84000000000000008</v>
      </c>
      <c r="DM265" s="1">
        <f t="shared" si="548"/>
        <v>0</v>
      </c>
      <c r="DN265" s="1" t="s">
        <v>471</v>
      </c>
      <c r="DO265" s="1" t="s">
        <v>2</v>
      </c>
      <c r="DP265" s="38">
        <f t="shared" si="470"/>
        <v>0</v>
      </c>
      <c r="DQ265" s="38">
        <f t="shared" si="471"/>
        <v>0</v>
      </c>
      <c r="DR265" s="38">
        <f t="shared" si="472"/>
        <v>0</v>
      </c>
      <c r="DS265" s="38">
        <f t="shared" si="473"/>
        <v>0</v>
      </c>
      <c r="DT265" s="38">
        <f t="shared" si="474"/>
        <v>0</v>
      </c>
      <c r="DU265" s="38">
        <f t="shared" si="475"/>
        <v>0</v>
      </c>
      <c r="DV265" s="38">
        <f t="shared" si="476"/>
        <v>0</v>
      </c>
      <c r="DW265" s="38">
        <f t="shared" si="477"/>
        <v>0.90216000000000007</v>
      </c>
      <c r="DX265" s="38">
        <f t="shared" si="478"/>
        <v>0</v>
      </c>
      <c r="DY265" s="38">
        <f t="shared" si="479"/>
        <v>0</v>
      </c>
      <c r="DZ265" s="38">
        <f t="shared" si="480"/>
        <v>0</v>
      </c>
      <c r="EA265" s="38">
        <f t="shared" si="481"/>
        <v>0</v>
      </c>
      <c r="EB265" s="38">
        <f t="shared" si="482"/>
        <v>0</v>
      </c>
      <c r="EC265" s="38">
        <f t="shared" si="483"/>
        <v>0</v>
      </c>
      <c r="ED265" s="38">
        <f t="shared" si="484"/>
        <v>0</v>
      </c>
      <c r="EE265" s="38">
        <f t="shared" si="485"/>
        <v>0</v>
      </c>
      <c r="EG265" s="38">
        <f t="shared" si="486"/>
        <v>0</v>
      </c>
      <c r="EH265" s="38">
        <f t="shared" si="487"/>
        <v>0</v>
      </c>
      <c r="EI265" s="38">
        <f t="shared" si="488"/>
        <v>0</v>
      </c>
      <c r="EJ265" s="38">
        <f t="shared" si="489"/>
        <v>0</v>
      </c>
      <c r="EK265" s="38">
        <f t="shared" si="490"/>
        <v>0</v>
      </c>
      <c r="EL265" s="38">
        <f t="shared" si="491"/>
        <v>0</v>
      </c>
      <c r="EM265" s="38">
        <f t="shared" si="492"/>
        <v>0</v>
      </c>
      <c r="EN265" s="38">
        <f t="shared" si="493"/>
        <v>0</v>
      </c>
      <c r="EO265" s="38">
        <f t="shared" si="494"/>
        <v>0</v>
      </c>
      <c r="EP265" s="38">
        <f t="shared" si="495"/>
        <v>11830.926240000001</v>
      </c>
      <c r="EQ265" s="38">
        <f t="shared" si="496"/>
        <v>0</v>
      </c>
      <c r="ER265" s="38">
        <f t="shared" si="497"/>
        <v>0</v>
      </c>
      <c r="ES265" s="38">
        <f t="shared" si="498"/>
        <v>0</v>
      </c>
      <c r="ET265" s="38">
        <f t="shared" si="499"/>
        <v>0</v>
      </c>
      <c r="EU265" s="38">
        <f t="shared" si="500"/>
        <v>0</v>
      </c>
      <c r="EV265" s="38">
        <f t="shared" si="501"/>
        <v>0</v>
      </c>
      <c r="EW265" s="38">
        <f t="shared" si="502"/>
        <v>0</v>
      </c>
      <c r="EX265" s="38">
        <f t="shared" si="503"/>
        <v>0</v>
      </c>
      <c r="EZ265" s="38">
        <f t="shared" si="504"/>
        <v>0</v>
      </c>
      <c r="FA265" s="38">
        <f t="shared" si="505"/>
        <v>0</v>
      </c>
      <c r="FB265" s="1">
        <f t="shared" si="506"/>
        <v>0</v>
      </c>
      <c r="FC265" s="1">
        <f t="shared" si="507"/>
        <v>0</v>
      </c>
      <c r="FD265" s="1">
        <f t="shared" si="508"/>
        <v>0</v>
      </c>
      <c r="FE265" s="1">
        <f t="shared" si="509"/>
        <v>0</v>
      </c>
      <c r="FF265" s="1">
        <f t="shared" si="510"/>
        <v>0</v>
      </c>
      <c r="FG265" s="1">
        <f t="shared" si="511"/>
        <v>0</v>
      </c>
      <c r="FH265" s="1">
        <f t="shared" si="512"/>
        <v>0</v>
      </c>
      <c r="FI265" s="1">
        <f t="shared" si="513"/>
        <v>0</v>
      </c>
      <c r="FJ265" s="1">
        <f t="shared" si="514"/>
        <v>0</v>
      </c>
      <c r="FK265" s="1">
        <f t="shared" si="515"/>
        <v>0</v>
      </c>
      <c r="FL265" s="1">
        <f t="shared" si="516"/>
        <v>0</v>
      </c>
      <c r="FM265" s="1">
        <f t="shared" si="517"/>
        <v>0</v>
      </c>
      <c r="FN265" s="1">
        <f t="shared" si="518"/>
        <v>0</v>
      </c>
      <c r="FO265" s="1">
        <f t="shared" si="519"/>
        <v>0</v>
      </c>
      <c r="FP265" s="1">
        <f t="shared" si="520"/>
        <v>0</v>
      </c>
      <c r="FQ265" s="1">
        <f t="shared" si="521"/>
        <v>0</v>
      </c>
      <c r="FS265" s="1">
        <f t="shared" si="522"/>
        <v>0</v>
      </c>
      <c r="FT265" s="1">
        <f t="shared" si="523"/>
        <v>0</v>
      </c>
      <c r="FU265" s="38">
        <f t="shared" si="524"/>
        <v>0</v>
      </c>
      <c r="FV265" s="38">
        <f t="shared" si="525"/>
        <v>0</v>
      </c>
      <c r="FW265" s="38">
        <f t="shared" si="526"/>
        <v>0</v>
      </c>
      <c r="FX265" s="38">
        <f t="shared" si="527"/>
        <v>0</v>
      </c>
      <c r="FY265" s="38">
        <f t="shared" si="528"/>
        <v>0</v>
      </c>
      <c r="FZ265" s="38">
        <f t="shared" si="529"/>
        <v>0</v>
      </c>
      <c r="GA265" s="38">
        <f t="shared" si="530"/>
        <v>0</v>
      </c>
      <c r="GB265" s="38">
        <f t="shared" si="531"/>
        <v>0</v>
      </c>
      <c r="GC265" s="38">
        <f t="shared" si="532"/>
        <v>0</v>
      </c>
      <c r="GD265" s="38">
        <f t="shared" si="533"/>
        <v>0</v>
      </c>
      <c r="GE265" s="38">
        <f t="shared" si="534"/>
        <v>0</v>
      </c>
      <c r="GF265" s="38">
        <f t="shared" si="535"/>
        <v>0</v>
      </c>
      <c r="GG265" s="38">
        <f t="shared" si="536"/>
        <v>0</v>
      </c>
      <c r="GH265" s="38">
        <f t="shared" si="537"/>
        <v>0</v>
      </c>
      <c r="GI265" s="38">
        <f t="shared" si="538"/>
        <v>0</v>
      </c>
      <c r="GJ265" s="38">
        <f t="shared" si="539"/>
        <v>0</v>
      </c>
      <c r="GL265" s="38">
        <f t="shared" si="540"/>
        <v>0</v>
      </c>
      <c r="GM265" s="38">
        <f t="shared" si="541"/>
        <v>0</v>
      </c>
      <c r="GN265" s="1" t="s">
        <v>2</v>
      </c>
      <c r="GO265" s="1">
        <f t="shared" si="549"/>
        <v>107.4</v>
      </c>
      <c r="GP265" s="1">
        <f t="shared" si="550"/>
        <v>0.84000000000000008</v>
      </c>
      <c r="GQ265" s="41">
        <f t="shared" si="551"/>
        <v>902.1600000000002</v>
      </c>
      <c r="GR265" s="41">
        <f t="shared" si="552"/>
        <v>11830.926240000001</v>
      </c>
      <c r="GS265" s="14">
        <f t="shared" si="553"/>
        <v>110.1576</v>
      </c>
      <c r="GT265" s="1">
        <f t="shared" si="542"/>
        <v>0</v>
      </c>
      <c r="GU265" s="1">
        <f t="shared" si="543"/>
        <v>0</v>
      </c>
      <c r="GV265" s="1">
        <f t="shared" si="544"/>
        <v>902.1600000000002</v>
      </c>
      <c r="GW265" s="37">
        <f t="shared" si="554"/>
        <v>0</v>
      </c>
      <c r="GX265" s="37"/>
      <c r="GY265" s="37"/>
      <c r="GZ265" s="37"/>
      <c r="HB265" s="1">
        <f t="shared" si="545"/>
        <v>0</v>
      </c>
      <c r="HC265" s="1">
        <f t="shared" si="546"/>
        <v>0</v>
      </c>
      <c r="HD265" s="37" t="s">
        <v>2</v>
      </c>
      <c r="HE265" s="1" t="s">
        <v>31</v>
      </c>
      <c r="HF265" s="1" t="s">
        <v>205</v>
      </c>
      <c r="HG265" s="1" t="s">
        <v>205</v>
      </c>
      <c r="HI265" s="1" t="s">
        <v>163</v>
      </c>
      <c r="HJ265" s="37" t="s">
        <v>2</v>
      </c>
      <c r="JH265" s="58" t="s">
        <v>2</v>
      </c>
    </row>
    <row r="266" spans="1:268" ht="16.25" customHeight="1" x14ac:dyDescent="0.2">
      <c r="A266" s="21" t="s">
        <v>1131</v>
      </c>
      <c r="B266" s="1" t="s">
        <v>69</v>
      </c>
      <c r="F266" s="1" t="s">
        <v>131</v>
      </c>
      <c r="I266" s="1">
        <v>0</v>
      </c>
      <c r="AD266" s="1">
        <v>0</v>
      </c>
      <c r="AY266" s="1">
        <v>3.7</v>
      </c>
      <c r="BG266" s="1">
        <v>1.75</v>
      </c>
      <c r="BT266" s="1">
        <v>0</v>
      </c>
      <c r="CO266" s="1">
        <v>0</v>
      </c>
      <c r="DJ266" s="1" t="s">
        <v>163</v>
      </c>
      <c r="DK266" s="1" t="s">
        <v>163</v>
      </c>
      <c r="DL266" s="1">
        <f t="shared" si="547"/>
        <v>1.75</v>
      </c>
      <c r="DM266" s="1">
        <f t="shared" si="548"/>
        <v>0</v>
      </c>
      <c r="DN266" s="1" t="s">
        <v>471</v>
      </c>
      <c r="DO266" s="1" t="s">
        <v>2</v>
      </c>
      <c r="DP266" s="38">
        <f t="shared" si="470"/>
        <v>0</v>
      </c>
      <c r="DQ266" s="38">
        <f t="shared" si="471"/>
        <v>0</v>
      </c>
      <c r="DR266" s="38">
        <f t="shared" si="472"/>
        <v>0</v>
      </c>
      <c r="DS266" s="38">
        <f t="shared" si="473"/>
        <v>0</v>
      </c>
      <c r="DT266" s="38">
        <f t="shared" si="474"/>
        <v>0</v>
      </c>
      <c r="DU266" s="38">
        <f t="shared" si="475"/>
        <v>0</v>
      </c>
      <c r="DV266" s="38">
        <f t="shared" si="476"/>
        <v>0</v>
      </c>
      <c r="DW266" s="38">
        <f t="shared" si="477"/>
        <v>6.4750000000000002E-2</v>
      </c>
      <c r="DX266" s="38">
        <f t="shared" si="478"/>
        <v>0</v>
      </c>
      <c r="DY266" s="38">
        <f t="shared" si="479"/>
        <v>0</v>
      </c>
      <c r="DZ266" s="38">
        <f t="shared" si="480"/>
        <v>0</v>
      </c>
      <c r="EA266" s="38">
        <f t="shared" si="481"/>
        <v>0</v>
      </c>
      <c r="EB266" s="38">
        <f t="shared" si="482"/>
        <v>0</v>
      </c>
      <c r="EC266" s="38">
        <f t="shared" si="483"/>
        <v>0</v>
      </c>
      <c r="ED266" s="38">
        <f t="shared" si="484"/>
        <v>0</v>
      </c>
      <c r="EE266" s="38">
        <f t="shared" si="485"/>
        <v>0</v>
      </c>
      <c r="EG266" s="38">
        <f t="shared" si="486"/>
        <v>0</v>
      </c>
      <c r="EH266" s="38">
        <f t="shared" si="487"/>
        <v>0</v>
      </c>
      <c r="EI266" s="38">
        <f t="shared" si="488"/>
        <v>0</v>
      </c>
      <c r="EJ266" s="38">
        <f t="shared" si="489"/>
        <v>0</v>
      </c>
      <c r="EK266" s="38">
        <f t="shared" si="490"/>
        <v>0</v>
      </c>
      <c r="EL266" s="38">
        <f t="shared" si="491"/>
        <v>0</v>
      </c>
      <c r="EM266" s="38">
        <f t="shared" si="492"/>
        <v>0</v>
      </c>
      <c r="EN266" s="38">
        <f t="shared" si="493"/>
        <v>0</v>
      </c>
      <c r="EO266" s="38">
        <f t="shared" si="494"/>
        <v>0</v>
      </c>
      <c r="EP266" s="38">
        <f t="shared" si="495"/>
        <v>849.13150000000007</v>
      </c>
      <c r="EQ266" s="38">
        <f t="shared" si="496"/>
        <v>0</v>
      </c>
      <c r="ER266" s="38">
        <f t="shared" si="497"/>
        <v>0</v>
      </c>
      <c r="ES266" s="38">
        <f t="shared" si="498"/>
        <v>0</v>
      </c>
      <c r="ET266" s="38">
        <f t="shared" si="499"/>
        <v>0</v>
      </c>
      <c r="EU266" s="38">
        <f t="shared" si="500"/>
        <v>0</v>
      </c>
      <c r="EV266" s="38">
        <f t="shared" si="501"/>
        <v>0</v>
      </c>
      <c r="EW266" s="38">
        <f t="shared" si="502"/>
        <v>0</v>
      </c>
      <c r="EX266" s="38">
        <f t="shared" si="503"/>
        <v>0</v>
      </c>
      <c r="EZ266" s="38">
        <f t="shared" si="504"/>
        <v>0</v>
      </c>
      <c r="FA266" s="38">
        <f t="shared" si="505"/>
        <v>0</v>
      </c>
      <c r="FB266" s="1">
        <f t="shared" si="506"/>
        <v>0</v>
      </c>
      <c r="FC266" s="1">
        <f t="shared" si="507"/>
        <v>0</v>
      </c>
      <c r="FD266" s="1">
        <f t="shared" si="508"/>
        <v>0</v>
      </c>
      <c r="FE266" s="1">
        <f t="shared" si="509"/>
        <v>0</v>
      </c>
      <c r="FF266" s="1">
        <f t="shared" si="510"/>
        <v>0</v>
      </c>
      <c r="FG266" s="1">
        <f t="shared" si="511"/>
        <v>0</v>
      </c>
      <c r="FH266" s="1">
        <f t="shared" si="512"/>
        <v>0</v>
      </c>
      <c r="FI266" s="1">
        <f t="shared" si="513"/>
        <v>0</v>
      </c>
      <c r="FJ266" s="1">
        <f t="shared" si="514"/>
        <v>0</v>
      </c>
      <c r="FK266" s="1">
        <f t="shared" si="515"/>
        <v>0</v>
      </c>
      <c r="FL266" s="1">
        <f t="shared" si="516"/>
        <v>0</v>
      </c>
      <c r="FM266" s="1">
        <f t="shared" si="517"/>
        <v>0</v>
      </c>
      <c r="FN266" s="1">
        <f t="shared" si="518"/>
        <v>0</v>
      </c>
      <c r="FO266" s="1">
        <f t="shared" si="519"/>
        <v>0</v>
      </c>
      <c r="FP266" s="1">
        <f t="shared" si="520"/>
        <v>0</v>
      </c>
      <c r="FQ266" s="1">
        <f t="shared" si="521"/>
        <v>0</v>
      </c>
      <c r="FS266" s="1">
        <f t="shared" si="522"/>
        <v>0</v>
      </c>
      <c r="FT266" s="1">
        <f t="shared" si="523"/>
        <v>0</v>
      </c>
      <c r="FU266" s="38">
        <f t="shared" si="524"/>
        <v>0</v>
      </c>
      <c r="FV266" s="38">
        <f t="shared" si="525"/>
        <v>0</v>
      </c>
      <c r="FW266" s="38">
        <f t="shared" si="526"/>
        <v>0</v>
      </c>
      <c r="FX266" s="38">
        <f t="shared" si="527"/>
        <v>0</v>
      </c>
      <c r="FY266" s="38">
        <f t="shared" si="528"/>
        <v>0</v>
      </c>
      <c r="FZ266" s="38">
        <f t="shared" si="529"/>
        <v>0</v>
      </c>
      <c r="GA266" s="38">
        <f t="shared" si="530"/>
        <v>0</v>
      </c>
      <c r="GB266" s="38">
        <f t="shared" si="531"/>
        <v>0</v>
      </c>
      <c r="GC266" s="38">
        <f t="shared" si="532"/>
        <v>0</v>
      </c>
      <c r="GD266" s="38">
        <f t="shared" si="533"/>
        <v>0</v>
      </c>
      <c r="GE266" s="38">
        <f t="shared" si="534"/>
        <v>0</v>
      </c>
      <c r="GF266" s="38">
        <f t="shared" si="535"/>
        <v>0</v>
      </c>
      <c r="GG266" s="38">
        <f t="shared" si="536"/>
        <v>0</v>
      </c>
      <c r="GH266" s="38">
        <f t="shared" si="537"/>
        <v>0</v>
      </c>
      <c r="GI266" s="38">
        <f t="shared" si="538"/>
        <v>0</v>
      </c>
      <c r="GJ266" s="38">
        <f t="shared" si="539"/>
        <v>0</v>
      </c>
      <c r="GL266" s="38">
        <f t="shared" si="540"/>
        <v>0</v>
      </c>
      <c r="GM266" s="38">
        <f t="shared" si="541"/>
        <v>0</v>
      </c>
      <c r="GN266" s="1" t="s">
        <v>2</v>
      </c>
      <c r="GO266" s="1">
        <f t="shared" si="549"/>
        <v>3.7</v>
      </c>
      <c r="GP266" s="1">
        <f t="shared" si="550"/>
        <v>1.75</v>
      </c>
      <c r="GQ266" s="41">
        <f t="shared" si="551"/>
        <v>64.75</v>
      </c>
      <c r="GR266" s="41">
        <f t="shared" si="552"/>
        <v>849.13150000000007</v>
      </c>
      <c r="GS266" s="14">
        <f t="shared" si="553"/>
        <v>229.495</v>
      </c>
      <c r="GT266" s="1">
        <f t="shared" si="542"/>
        <v>0</v>
      </c>
      <c r="GU266" s="1">
        <f t="shared" si="543"/>
        <v>0</v>
      </c>
      <c r="GV266" s="1">
        <f t="shared" si="544"/>
        <v>64.750000000000014</v>
      </c>
      <c r="GW266" s="37">
        <f t="shared" si="554"/>
        <v>0</v>
      </c>
      <c r="GX266" s="37"/>
      <c r="GY266" s="37"/>
      <c r="GZ266" s="37"/>
      <c r="HB266" s="1">
        <f t="shared" si="545"/>
        <v>0</v>
      </c>
      <c r="HC266" s="1">
        <f t="shared" si="546"/>
        <v>0</v>
      </c>
      <c r="HD266" s="37" t="s">
        <v>2</v>
      </c>
      <c r="HE266" s="1" t="s">
        <v>31</v>
      </c>
      <c r="HF266" s="1" t="s">
        <v>506</v>
      </c>
      <c r="HG266" s="1" t="s">
        <v>506</v>
      </c>
      <c r="HI266" s="1" t="s">
        <v>163</v>
      </c>
      <c r="HJ266" s="37" t="s">
        <v>2</v>
      </c>
      <c r="JH266" s="58" t="s">
        <v>2</v>
      </c>
    </row>
    <row r="267" spans="1:268" ht="16.25" customHeight="1" x14ac:dyDescent="0.2">
      <c r="A267" s="21" t="s">
        <v>565</v>
      </c>
      <c r="B267" s="1" t="s">
        <v>69</v>
      </c>
      <c r="E267" s="1" t="s">
        <v>72</v>
      </c>
      <c r="F267" s="1" t="s">
        <v>566</v>
      </c>
      <c r="I267" s="1">
        <v>0</v>
      </c>
      <c r="AD267" s="1">
        <v>0</v>
      </c>
      <c r="AY267" s="1">
        <v>110</v>
      </c>
      <c r="BG267" s="1" t="s">
        <v>567</v>
      </c>
      <c r="BT267" s="1">
        <v>0</v>
      </c>
      <c r="CO267" s="1">
        <v>0</v>
      </c>
      <c r="DJ267" s="1" t="s">
        <v>163</v>
      </c>
      <c r="DK267" s="1" t="s">
        <v>163</v>
      </c>
      <c r="DL267" s="1">
        <f t="shared" si="547"/>
        <v>1.0900000000000001</v>
      </c>
      <c r="DM267" s="1">
        <f t="shared" si="548"/>
        <v>0</v>
      </c>
      <c r="DN267" s="1" t="s">
        <v>471</v>
      </c>
      <c r="DO267" s="1" t="s">
        <v>2</v>
      </c>
      <c r="DP267" s="38">
        <f t="shared" si="470"/>
        <v>0</v>
      </c>
      <c r="DQ267" s="38">
        <f t="shared" si="471"/>
        <v>0</v>
      </c>
      <c r="DR267" s="38">
        <f t="shared" si="472"/>
        <v>0</v>
      </c>
      <c r="DS267" s="38">
        <f t="shared" si="473"/>
        <v>0</v>
      </c>
      <c r="DT267" s="38">
        <f t="shared" si="474"/>
        <v>0</v>
      </c>
      <c r="DU267" s="38">
        <f t="shared" si="475"/>
        <v>0</v>
      </c>
      <c r="DV267" s="38">
        <f t="shared" si="476"/>
        <v>0</v>
      </c>
      <c r="DW267" s="38">
        <f t="shared" si="477"/>
        <v>1.1990000000000001</v>
      </c>
      <c r="DX267" s="38">
        <f t="shared" si="478"/>
        <v>0</v>
      </c>
      <c r="DY267" s="38">
        <f t="shared" si="479"/>
        <v>0</v>
      </c>
      <c r="DZ267" s="38">
        <f t="shared" si="480"/>
        <v>0</v>
      </c>
      <c r="EA267" s="38">
        <f t="shared" si="481"/>
        <v>0</v>
      </c>
      <c r="EB267" s="38">
        <f t="shared" si="482"/>
        <v>0</v>
      </c>
      <c r="EC267" s="38">
        <f t="shared" si="483"/>
        <v>0</v>
      </c>
      <c r="ED267" s="38">
        <f t="shared" si="484"/>
        <v>0</v>
      </c>
      <c r="EE267" s="38">
        <f t="shared" si="485"/>
        <v>0</v>
      </c>
      <c r="EG267" s="38">
        <f t="shared" si="486"/>
        <v>0</v>
      </c>
      <c r="EH267" s="38">
        <f t="shared" si="487"/>
        <v>0</v>
      </c>
      <c r="EI267" s="38">
        <f t="shared" si="488"/>
        <v>0</v>
      </c>
      <c r="EJ267" s="38">
        <f t="shared" si="489"/>
        <v>0</v>
      </c>
      <c r="EK267" s="38">
        <f t="shared" si="490"/>
        <v>0</v>
      </c>
      <c r="EL267" s="38">
        <f t="shared" si="491"/>
        <v>0</v>
      </c>
      <c r="EM267" s="38">
        <f t="shared" si="492"/>
        <v>0</v>
      </c>
      <c r="EN267" s="38">
        <f t="shared" si="493"/>
        <v>0</v>
      </c>
      <c r="EO267" s="38">
        <f t="shared" si="494"/>
        <v>0</v>
      </c>
      <c r="EP267" s="38">
        <f t="shared" si="495"/>
        <v>15723.686000000002</v>
      </c>
      <c r="EQ267" s="38">
        <f t="shared" si="496"/>
        <v>0</v>
      </c>
      <c r="ER267" s="38">
        <f t="shared" si="497"/>
        <v>0</v>
      </c>
      <c r="ES267" s="38">
        <f t="shared" si="498"/>
        <v>0</v>
      </c>
      <c r="ET267" s="38">
        <f t="shared" si="499"/>
        <v>0</v>
      </c>
      <c r="EU267" s="38">
        <f t="shared" si="500"/>
        <v>0</v>
      </c>
      <c r="EV267" s="38">
        <f t="shared" si="501"/>
        <v>0</v>
      </c>
      <c r="EW267" s="38">
        <f t="shared" si="502"/>
        <v>0</v>
      </c>
      <c r="EX267" s="38">
        <f t="shared" si="503"/>
        <v>0</v>
      </c>
      <c r="EZ267" s="38">
        <f t="shared" si="504"/>
        <v>0</v>
      </c>
      <c r="FA267" s="38">
        <f t="shared" si="505"/>
        <v>0</v>
      </c>
      <c r="FB267" s="1">
        <f t="shared" si="506"/>
        <v>0</v>
      </c>
      <c r="FC267" s="1">
        <f t="shared" si="507"/>
        <v>0</v>
      </c>
      <c r="FD267" s="1">
        <f t="shared" si="508"/>
        <v>0</v>
      </c>
      <c r="FE267" s="1">
        <f t="shared" si="509"/>
        <v>0</v>
      </c>
      <c r="FF267" s="1">
        <f t="shared" si="510"/>
        <v>0</v>
      </c>
      <c r="FG267" s="1">
        <f t="shared" si="511"/>
        <v>0</v>
      </c>
      <c r="FH267" s="1">
        <f t="shared" si="512"/>
        <v>0</v>
      </c>
      <c r="FI267" s="1">
        <f t="shared" si="513"/>
        <v>0</v>
      </c>
      <c r="FJ267" s="1">
        <f t="shared" si="514"/>
        <v>0</v>
      </c>
      <c r="FK267" s="1">
        <f t="shared" si="515"/>
        <v>0</v>
      </c>
      <c r="FL267" s="1">
        <f t="shared" si="516"/>
        <v>0</v>
      </c>
      <c r="FM267" s="1">
        <f t="shared" si="517"/>
        <v>0</v>
      </c>
      <c r="FN267" s="1">
        <f t="shared" si="518"/>
        <v>0</v>
      </c>
      <c r="FO267" s="1">
        <f t="shared" si="519"/>
        <v>0</v>
      </c>
      <c r="FP267" s="1">
        <f t="shared" si="520"/>
        <v>0</v>
      </c>
      <c r="FQ267" s="1">
        <f t="shared" si="521"/>
        <v>0</v>
      </c>
      <c r="FS267" s="1">
        <f t="shared" si="522"/>
        <v>0</v>
      </c>
      <c r="FT267" s="1">
        <f t="shared" si="523"/>
        <v>0</v>
      </c>
      <c r="FU267" s="38">
        <f t="shared" si="524"/>
        <v>0</v>
      </c>
      <c r="FV267" s="38">
        <f t="shared" si="525"/>
        <v>0</v>
      </c>
      <c r="FW267" s="38">
        <f t="shared" si="526"/>
        <v>0</v>
      </c>
      <c r="FX267" s="38">
        <f t="shared" si="527"/>
        <v>0</v>
      </c>
      <c r="FY267" s="38">
        <f t="shared" si="528"/>
        <v>0</v>
      </c>
      <c r="FZ267" s="38">
        <f t="shared" si="529"/>
        <v>0</v>
      </c>
      <c r="GA267" s="38">
        <f t="shared" si="530"/>
        <v>0</v>
      </c>
      <c r="GB267" s="38">
        <f t="shared" si="531"/>
        <v>0</v>
      </c>
      <c r="GC267" s="38">
        <f t="shared" si="532"/>
        <v>0</v>
      </c>
      <c r="GD267" s="38">
        <f t="shared" si="533"/>
        <v>0</v>
      </c>
      <c r="GE267" s="38">
        <f t="shared" si="534"/>
        <v>0</v>
      </c>
      <c r="GF267" s="38">
        <f t="shared" si="535"/>
        <v>0</v>
      </c>
      <c r="GG267" s="38">
        <f t="shared" si="536"/>
        <v>0</v>
      </c>
      <c r="GH267" s="38">
        <f t="shared" si="537"/>
        <v>0</v>
      </c>
      <c r="GI267" s="38">
        <f t="shared" si="538"/>
        <v>0</v>
      </c>
      <c r="GJ267" s="38">
        <f t="shared" si="539"/>
        <v>0</v>
      </c>
      <c r="GL267" s="38">
        <f t="shared" si="540"/>
        <v>0</v>
      </c>
      <c r="GM267" s="38">
        <f t="shared" si="541"/>
        <v>0</v>
      </c>
      <c r="GN267" s="1" t="s">
        <v>2</v>
      </c>
      <c r="GO267" s="1">
        <f t="shared" si="549"/>
        <v>110</v>
      </c>
      <c r="GP267" s="13">
        <f t="shared" si="550"/>
        <v>1.0900000000000001</v>
      </c>
      <c r="GQ267" s="43">
        <f t="shared" si="551"/>
        <v>1199.0000000000002</v>
      </c>
      <c r="GR267" s="41">
        <f t="shared" si="552"/>
        <v>15723.686000000002</v>
      </c>
      <c r="GS267" s="14">
        <f t="shared" si="553"/>
        <v>142.94260000000003</v>
      </c>
      <c r="GT267" s="1">
        <f t="shared" si="542"/>
        <v>0</v>
      </c>
      <c r="GU267" s="1">
        <f t="shared" si="543"/>
        <v>0</v>
      </c>
      <c r="GV267" s="1">
        <f t="shared" si="544"/>
        <v>1199</v>
      </c>
      <c r="GW267" s="37">
        <f t="shared" si="554"/>
        <v>0</v>
      </c>
      <c r="GX267" s="37"/>
      <c r="GY267" s="37"/>
      <c r="GZ267" s="37"/>
      <c r="HB267" s="1">
        <f t="shared" si="545"/>
        <v>0</v>
      </c>
      <c r="HC267" s="1">
        <f t="shared" si="546"/>
        <v>0</v>
      </c>
      <c r="HD267" s="37" t="s">
        <v>2</v>
      </c>
      <c r="HE267" s="1" t="s">
        <v>31</v>
      </c>
      <c r="HF267" s="1" t="s">
        <v>205</v>
      </c>
      <c r="HG267" s="1" t="s">
        <v>205</v>
      </c>
      <c r="HI267" s="1" t="s">
        <v>163</v>
      </c>
      <c r="HJ267" s="37" t="s">
        <v>2</v>
      </c>
      <c r="JH267" s="58" t="s">
        <v>2</v>
      </c>
    </row>
    <row r="268" spans="1:268" ht="16.25" customHeight="1" x14ac:dyDescent="0.2">
      <c r="A268" s="21" t="s">
        <v>577</v>
      </c>
      <c r="B268" s="1" t="s">
        <v>69</v>
      </c>
      <c r="E268" s="1" t="s">
        <v>72</v>
      </c>
      <c r="F268" s="1" t="s">
        <v>466</v>
      </c>
      <c r="H268" s="1" t="s">
        <v>204</v>
      </c>
      <c r="I268" s="1">
        <v>0</v>
      </c>
      <c r="AD268" s="1">
        <v>0</v>
      </c>
      <c r="AY268" s="1">
        <v>150</v>
      </c>
      <c r="BG268" s="1">
        <v>1.38</v>
      </c>
      <c r="BT268" s="1">
        <v>0</v>
      </c>
      <c r="CO268" s="1">
        <v>0</v>
      </c>
      <c r="DJ268" s="1" t="s">
        <v>163</v>
      </c>
      <c r="DL268" s="1">
        <f t="shared" si="547"/>
        <v>1.38</v>
      </c>
      <c r="DM268" s="1">
        <f t="shared" si="548"/>
        <v>0</v>
      </c>
      <c r="DN268" s="1" t="s">
        <v>468</v>
      </c>
      <c r="DO268" s="1" t="s">
        <v>2</v>
      </c>
      <c r="DP268" s="38">
        <f t="shared" si="470"/>
        <v>0</v>
      </c>
      <c r="DQ268" s="38">
        <f t="shared" si="471"/>
        <v>0</v>
      </c>
      <c r="DR268" s="38">
        <f t="shared" si="472"/>
        <v>0</v>
      </c>
      <c r="DS268" s="38">
        <f t="shared" si="473"/>
        <v>0</v>
      </c>
      <c r="DT268" s="38">
        <f t="shared" si="474"/>
        <v>0</v>
      </c>
      <c r="DU268" s="38">
        <f t="shared" si="475"/>
        <v>0</v>
      </c>
      <c r="DV268" s="38">
        <f t="shared" si="476"/>
        <v>0</v>
      </c>
      <c r="DW268" s="38">
        <f t="shared" si="477"/>
        <v>2.0699999999999998</v>
      </c>
      <c r="DX268" s="38">
        <f t="shared" si="478"/>
        <v>0</v>
      </c>
      <c r="DY268" s="38">
        <f t="shared" si="479"/>
        <v>0</v>
      </c>
      <c r="DZ268" s="38">
        <f t="shared" si="480"/>
        <v>0</v>
      </c>
      <c r="EA268" s="38">
        <f t="shared" si="481"/>
        <v>0</v>
      </c>
      <c r="EB268" s="38">
        <f t="shared" si="482"/>
        <v>0</v>
      </c>
      <c r="EC268" s="38">
        <f t="shared" si="483"/>
        <v>0</v>
      </c>
      <c r="ED268" s="38">
        <f t="shared" si="484"/>
        <v>0</v>
      </c>
      <c r="EE268" s="38">
        <f t="shared" si="485"/>
        <v>0</v>
      </c>
      <c r="EG268" s="38">
        <f t="shared" si="486"/>
        <v>0</v>
      </c>
      <c r="EH268" s="38">
        <f t="shared" si="487"/>
        <v>0</v>
      </c>
      <c r="EI268" s="38">
        <f t="shared" si="488"/>
        <v>0</v>
      </c>
      <c r="EJ268" s="38">
        <f t="shared" si="489"/>
        <v>0</v>
      </c>
      <c r="EK268" s="38">
        <f t="shared" si="490"/>
        <v>0</v>
      </c>
      <c r="EL268" s="38">
        <f t="shared" si="491"/>
        <v>0</v>
      </c>
      <c r="EM268" s="38">
        <f t="shared" si="492"/>
        <v>0</v>
      </c>
      <c r="EN268" s="38">
        <f t="shared" si="493"/>
        <v>0</v>
      </c>
      <c r="EO268" s="38">
        <f t="shared" si="494"/>
        <v>0</v>
      </c>
      <c r="EP268" s="38">
        <f t="shared" si="495"/>
        <v>27145.98</v>
      </c>
      <c r="EQ268" s="38">
        <f t="shared" si="496"/>
        <v>0</v>
      </c>
      <c r="ER268" s="38">
        <f t="shared" si="497"/>
        <v>0</v>
      </c>
      <c r="ES268" s="38">
        <f t="shared" si="498"/>
        <v>0</v>
      </c>
      <c r="ET268" s="38">
        <f t="shared" si="499"/>
        <v>0</v>
      </c>
      <c r="EU268" s="38">
        <f t="shared" si="500"/>
        <v>0</v>
      </c>
      <c r="EV268" s="38">
        <f t="shared" si="501"/>
        <v>0</v>
      </c>
      <c r="EW268" s="38">
        <f t="shared" si="502"/>
        <v>0</v>
      </c>
      <c r="EX268" s="38">
        <f t="shared" si="503"/>
        <v>0</v>
      </c>
      <c r="EZ268" s="38">
        <f t="shared" si="504"/>
        <v>0</v>
      </c>
      <c r="FA268" s="38">
        <f t="shared" si="505"/>
        <v>0</v>
      </c>
      <c r="FB268" s="1">
        <f t="shared" si="506"/>
        <v>0</v>
      </c>
      <c r="FC268" s="1">
        <f t="shared" si="507"/>
        <v>0</v>
      </c>
      <c r="FD268" s="1">
        <f t="shared" si="508"/>
        <v>0</v>
      </c>
      <c r="FE268" s="1">
        <f t="shared" si="509"/>
        <v>0</v>
      </c>
      <c r="FF268" s="1">
        <f t="shared" si="510"/>
        <v>0</v>
      </c>
      <c r="FG268" s="1">
        <f t="shared" si="511"/>
        <v>0</v>
      </c>
      <c r="FH268" s="1">
        <f t="shared" si="512"/>
        <v>0</v>
      </c>
      <c r="FI268" s="1">
        <f t="shared" si="513"/>
        <v>0</v>
      </c>
      <c r="FJ268" s="1">
        <f t="shared" si="514"/>
        <v>0</v>
      </c>
      <c r="FK268" s="1">
        <f t="shared" si="515"/>
        <v>0</v>
      </c>
      <c r="FL268" s="1">
        <f t="shared" si="516"/>
        <v>0</v>
      </c>
      <c r="FM268" s="1">
        <f t="shared" si="517"/>
        <v>0</v>
      </c>
      <c r="FN268" s="1">
        <f t="shared" si="518"/>
        <v>0</v>
      </c>
      <c r="FO268" s="1">
        <f t="shared" si="519"/>
        <v>0</v>
      </c>
      <c r="FP268" s="1">
        <f t="shared" si="520"/>
        <v>0</v>
      </c>
      <c r="FQ268" s="1">
        <f t="shared" si="521"/>
        <v>0</v>
      </c>
      <c r="FS268" s="1">
        <f t="shared" si="522"/>
        <v>0</v>
      </c>
      <c r="FT268" s="1">
        <f t="shared" si="523"/>
        <v>0</v>
      </c>
      <c r="FU268" s="38">
        <f t="shared" si="524"/>
        <v>0</v>
      </c>
      <c r="FV268" s="38">
        <f t="shared" si="525"/>
        <v>0</v>
      </c>
      <c r="FW268" s="38">
        <f t="shared" si="526"/>
        <v>0</v>
      </c>
      <c r="FX268" s="38">
        <f t="shared" si="527"/>
        <v>0</v>
      </c>
      <c r="FY268" s="38">
        <f t="shared" si="528"/>
        <v>0</v>
      </c>
      <c r="FZ268" s="38">
        <f t="shared" si="529"/>
        <v>0</v>
      </c>
      <c r="GA268" s="38">
        <f t="shared" si="530"/>
        <v>0</v>
      </c>
      <c r="GB268" s="38">
        <f t="shared" si="531"/>
        <v>0</v>
      </c>
      <c r="GC268" s="38">
        <f t="shared" si="532"/>
        <v>0</v>
      </c>
      <c r="GD268" s="38">
        <f t="shared" si="533"/>
        <v>0</v>
      </c>
      <c r="GE268" s="38">
        <f t="shared" si="534"/>
        <v>0</v>
      </c>
      <c r="GF268" s="38">
        <f t="shared" si="535"/>
        <v>0</v>
      </c>
      <c r="GG268" s="38">
        <f t="shared" si="536"/>
        <v>0</v>
      </c>
      <c r="GH268" s="38">
        <f t="shared" si="537"/>
        <v>0</v>
      </c>
      <c r="GI268" s="38">
        <f t="shared" si="538"/>
        <v>0</v>
      </c>
      <c r="GJ268" s="38">
        <f t="shared" si="539"/>
        <v>0</v>
      </c>
      <c r="GL268" s="38">
        <f t="shared" si="540"/>
        <v>0</v>
      </c>
      <c r="GM268" s="38">
        <f t="shared" si="541"/>
        <v>0</v>
      </c>
      <c r="GN268" s="1" t="s">
        <v>2</v>
      </c>
      <c r="GO268" s="1">
        <f t="shared" si="549"/>
        <v>150</v>
      </c>
      <c r="GP268" s="13">
        <f t="shared" si="550"/>
        <v>1.38</v>
      </c>
      <c r="GQ268" s="43">
        <f t="shared" si="551"/>
        <v>2069.9999999999995</v>
      </c>
      <c r="GR268" s="41">
        <f t="shared" si="552"/>
        <v>27145.98</v>
      </c>
      <c r="GS268" s="14">
        <f t="shared" si="553"/>
        <v>180.97319999999999</v>
      </c>
      <c r="GT268" s="1">
        <f t="shared" si="542"/>
        <v>0</v>
      </c>
      <c r="GU268" s="1">
        <f t="shared" si="543"/>
        <v>0</v>
      </c>
      <c r="GV268" s="1">
        <f t="shared" si="544"/>
        <v>2069.9999999999995</v>
      </c>
      <c r="GW268" s="37">
        <f t="shared" si="554"/>
        <v>0</v>
      </c>
      <c r="GX268" s="37"/>
      <c r="GY268" s="37"/>
      <c r="GZ268" s="37"/>
      <c r="HB268" s="1">
        <f t="shared" si="545"/>
        <v>0</v>
      </c>
      <c r="HC268" s="1">
        <f t="shared" si="546"/>
        <v>0</v>
      </c>
      <c r="HD268" s="37" t="s">
        <v>2</v>
      </c>
      <c r="HE268" s="1" t="s">
        <v>31</v>
      </c>
      <c r="HF268" s="1" t="s">
        <v>506</v>
      </c>
      <c r="HG268" s="1" t="s">
        <v>506</v>
      </c>
      <c r="HI268" s="1" t="s">
        <v>163</v>
      </c>
      <c r="HJ268" s="37" t="s">
        <v>2</v>
      </c>
      <c r="JH268" s="58" t="s">
        <v>2</v>
      </c>
    </row>
    <row r="269" spans="1:268" ht="16.25" customHeight="1" x14ac:dyDescent="0.2">
      <c r="A269" s="21" t="s">
        <v>529</v>
      </c>
      <c r="B269" s="1" t="s">
        <v>69</v>
      </c>
      <c r="E269" s="1" t="s">
        <v>72</v>
      </c>
      <c r="F269" s="1" t="s">
        <v>530</v>
      </c>
      <c r="I269" s="1">
        <v>0</v>
      </c>
      <c r="AD269" s="1">
        <v>0</v>
      </c>
      <c r="AY269" s="1">
        <v>200</v>
      </c>
      <c r="BG269" s="1" t="s">
        <v>531</v>
      </c>
      <c r="BH269" s="1">
        <v>0.06</v>
      </c>
      <c r="BT269" s="1">
        <v>0</v>
      </c>
      <c r="CO269" s="1">
        <v>0</v>
      </c>
      <c r="DJ269" s="1" t="s">
        <v>163</v>
      </c>
      <c r="DK269" s="1" t="s">
        <v>163</v>
      </c>
      <c r="DL269" s="1">
        <f t="shared" si="547"/>
        <v>1.3</v>
      </c>
      <c r="DM269" s="1">
        <f t="shared" si="548"/>
        <v>0.06</v>
      </c>
      <c r="DN269" s="1" t="s">
        <v>471</v>
      </c>
      <c r="DO269" s="1" t="s">
        <v>2</v>
      </c>
      <c r="DP269" s="38">
        <f t="shared" si="470"/>
        <v>0</v>
      </c>
      <c r="DQ269" s="38">
        <f t="shared" si="471"/>
        <v>0</v>
      </c>
      <c r="DR269" s="38">
        <f t="shared" si="472"/>
        <v>0</v>
      </c>
      <c r="DS269" s="38">
        <f t="shared" si="473"/>
        <v>0</v>
      </c>
      <c r="DT269" s="38">
        <f t="shared" si="474"/>
        <v>0</v>
      </c>
      <c r="DU269" s="38">
        <f t="shared" si="475"/>
        <v>0</v>
      </c>
      <c r="DV269" s="38">
        <f t="shared" si="476"/>
        <v>0</v>
      </c>
      <c r="DW269" s="38">
        <f t="shared" si="477"/>
        <v>2.6</v>
      </c>
      <c r="DX269" s="38">
        <f t="shared" si="478"/>
        <v>0.12</v>
      </c>
      <c r="DY269" s="38">
        <f t="shared" si="479"/>
        <v>0</v>
      </c>
      <c r="DZ269" s="38">
        <f t="shared" si="480"/>
        <v>0</v>
      </c>
      <c r="EA269" s="38">
        <f t="shared" si="481"/>
        <v>0</v>
      </c>
      <c r="EB269" s="38">
        <f t="shared" si="482"/>
        <v>0</v>
      </c>
      <c r="EC269" s="38">
        <f t="shared" si="483"/>
        <v>0</v>
      </c>
      <c r="ED269" s="38">
        <f t="shared" si="484"/>
        <v>0</v>
      </c>
      <c r="EE269" s="38">
        <f t="shared" si="485"/>
        <v>0</v>
      </c>
      <c r="EG269" s="38">
        <f t="shared" si="486"/>
        <v>0</v>
      </c>
      <c r="EH269" s="38">
        <f t="shared" si="487"/>
        <v>0</v>
      </c>
      <c r="EI269" s="38">
        <f t="shared" si="488"/>
        <v>0</v>
      </c>
      <c r="EJ269" s="38">
        <f t="shared" si="489"/>
        <v>0</v>
      </c>
      <c r="EK269" s="38">
        <f t="shared" si="490"/>
        <v>0</v>
      </c>
      <c r="EL269" s="38">
        <f t="shared" si="491"/>
        <v>0</v>
      </c>
      <c r="EM269" s="38">
        <f t="shared" si="492"/>
        <v>0</v>
      </c>
      <c r="EN269" s="38">
        <f t="shared" si="493"/>
        <v>0</v>
      </c>
      <c r="EO269" s="38">
        <f t="shared" si="494"/>
        <v>0</v>
      </c>
      <c r="EP269" s="38">
        <f t="shared" si="495"/>
        <v>34096.400000000001</v>
      </c>
      <c r="EQ269" s="38">
        <f t="shared" si="496"/>
        <v>8714.3428799999983</v>
      </c>
      <c r="ER269" s="38">
        <f t="shared" si="497"/>
        <v>0</v>
      </c>
      <c r="ES269" s="38">
        <f t="shared" si="498"/>
        <v>0</v>
      </c>
      <c r="ET269" s="38">
        <f t="shared" si="499"/>
        <v>0</v>
      </c>
      <c r="EU269" s="38">
        <f t="shared" si="500"/>
        <v>0</v>
      </c>
      <c r="EV269" s="38">
        <f t="shared" si="501"/>
        <v>0</v>
      </c>
      <c r="EW269" s="38">
        <f t="shared" si="502"/>
        <v>0</v>
      </c>
      <c r="EX269" s="38">
        <f t="shared" si="503"/>
        <v>0</v>
      </c>
      <c r="EZ269" s="38">
        <f t="shared" si="504"/>
        <v>0</v>
      </c>
      <c r="FA269" s="38">
        <f t="shared" si="505"/>
        <v>0</v>
      </c>
      <c r="FB269" s="1">
        <f t="shared" si="506"/>
        <v>0</v>
      </c>
      <c r="FC269" s="1">
        <f t="shared" si="507"/>
        <v>0</v>
      </c>
      <c r="FD269" s="1">
        <f t="shared" si="508"/>
        <v>0</v>
      </c>
      <c r="FE269" s="1">
        <f t="shared" si="509"/>
        <v>0</v>
      </c>
      <c r="FF269" s="1">
        <f t="shared" si="510"/>
        <v>0</v>
      </c>
      <c r="FG269" s="1">
        <f t="shared" si="511"/>
        <v>0</v>
      </c>
      <c r="FH269" s="1">
        <f t="shared" si="512"/>
        <v>0</v>
      </c>
      <c r="FI269" s="1">
        <f t="shared" si="513"/>
        <v>0</v>
      </c>
      <c r="FJ269" s="1">
        <f t="shared" si="514"/>
        <v>0</v>
      </c>
      <c r="FK269" s="1">
        <f t="shared" si="515"/>
        <v>0</v>
      </c>
      <c r="FL269" s="1">
        <f t="shared" si="516"/>
        <v>0</v>
      </c>
      <c r="FM269" s="1">
        <f t="shared" si="517"/>
        <v>0</v>
      </c>
      <c r="FN269" s="1">
        <f t="shared" si="518"/>
        <v>0</v>
      </c>
      <c r="FO269" s="1">
        <f t="shared" si="519"/>
        <v>0</v>
      </c>
      <c r="FP269" s="1">
        <f t="shared" si="520"/>
        <v>0</v>
      </c>
      <c r="FQ269" s="1">
        <f t="shared" si="521"/>
        <v>0</v>
      </c>
      <c r="FS269" s="1">
        <f t="shared" si="522"/>
        <v>0</v>
      </c>
      <c r="FT269" s="1">
        <f t="shared" si="523"/>
        <v>0</v>
      </c>
      <c r="FU269" s="38">
        <f t="shared" si="524"/>
        <v>0</v>
      </c>
      <c r="FV269" s="38">
        <f t="shared" si="525"/>
        <v>0</v>
      </c>
      <c r="FW269" s="38">
        <f t="shared" si="526"/>
        <v>0</v>
      </c>
      <c r="FX269" s="38">
        <f t="shared" si="527"/>
        <v>0</v>
      </c>
      <c r="FY269" s="38">
        <f t="shared" si="528"/>
        <v>0</v>
      </c>
      <c r="FZ269" s="38">
        <f t="shared" si="529"/>
        <v>0</v>
      </c>
      <c r="GA269" s="38">
        <f t="shared" si="530"/>
        <v>0</v>
      </c>
      <c r="GB269" s="38">
        <f t="shared" si="531"/>
        <v>0</v>
      </c>
      <c r="GC269" s="38">
        <f t="shared" si="532"/>
        <v>0</v>
      </c>
      <c r="GD269" s="38">
        <f t="shared" si="533"/>
        <v>0</v>
      </c>
      <c r="GE269" s="38">
        <f t="shared" si="534"/>
        <v>0</v>
      </c>
      <c r="GF269" s="38">
        <f t="shared" si="535"/>
        <v>0</v>
      </c>
      <c r="GG269" s="38">
        <f t="shared" si="536"/>
        <v>0</v>
      </c>
      <c r="GH269" s="38">
        <f t="shared" si="537"/>
        <v>0</v>
      </c>
      <c r="GI269" s="38">
        <f t="shared" si="538"/>
        <v>0</v>
      </c>
      <c r="GJ269" s="38">
        <f t="shared" si="539"/>
        <v>0</v>
      </c>
      <c r="GL269" s="38">
        <f t="shared" si="540"/>
        <v>0</v>
      </c>
      <c r="GM269" s="38">
        <f t="shared" si="541"/>
        <v>0</v>
      </c>
      <c r="GN269" s="1" t="s">
        <v>2</v>
      </c>
      <c r="GO269" s="1">
        <f t="shared" si="549"/>
        <v>200</v>
      </c>
      <c r="GP269" s="13">
        <f t="shared" si="550"/>
        <v>1.3</v>
      </c>
      <c r="GQ269" s="43">
        <f t="shared" si="551"/>
        <v>2600</v>
      </c>
      <c r="GR269" s="41">
        <f t="shared" si="552"/>
        <v>42810.742879999998</v>
      </c>
      <c r="GS269" s="14">
        <f t="shared" si="553"/>
        <v>214.05371439999999</v>
      </c>
      <c r="GT269" s="1">
        <f t="shared" si="542"/>
        <v>0</v>
      </c>
      <c r="GU269" s="1">
        <f t="shared" si="543"/>
        <v>0</v>
      </c>
      <c r="GV269" s="1">
        <f t="shared" si="544"/>
        <v>2600</v>
      </c>
      <c r="GW269" s="37">
        <f t="shared" si="554"/>
        <v>0</v>
      </c>
      <c r="GX269" s="37"/>
      <c r="GY269" s="37"/>
      <c r="GZ269" s="37"/>
      <c r="HB269" s="1">
        <f t="shared" si="545"/>
        <v>0</v>
      </c>
      <c r="HC269" s="1">
        <f t="shared" si="546"/>
        <v>0</v>
      </c>
      <c r="HD269" s="37" t="s">
        <v>2</v>
      </c>
      <c r="HE269" s="1" t="s">
        <v>31</v>
      </c>
      <c r="HF269" s="1" t="s">
        <v>506</v>
      </c>
      <c r="HG269" s="1" t="s">
        <v>506</v>
      </c>
      <c r="HI269" s="1" t="s">
        <v>163</v>
      </c>
      <c r="HJ269" s="37" t="s">
        <v>2</v>
      </c>
      <c r="JH269" s="58" t="s">
        <v>2</v>
      </c>
    </row>
    <row r="270" spans="1:268" ht="16.25" customHeight="1" x14ac:dyDescent="0.2">
      <c r="A270" s="21" t="s">
        <v>539</v>
      </c>
      <c r="B270" s="1" t="s">
        <v>69</v>
      </c>
      <c r="E270" s="1" t="s">
        <v>72</v>
      </c>
      <c r="F270" s="1" t="s">
        <v>131</v>
      </c>
      <c r="H270" s="1" t="s">
        <v>216</v>
      </c>
      <c r="I270" s="1">
        <v>0</v>
      </c>
      <c r="AD270" s="1">
        <v>0</v>
      </c>
      <c r="AY270" s="1">
        <v>35</v>
      </c>
      <c r="BG270" s="1">
        <v>0.65</v>
      </c>
      <c r="BT270" s="1">
        <v>0</v>
      </c>
      <c r="CO270" s="1">
        <v>0</v>
      </c>
      <c r="DJ270" s="1" t="s">
        <v>163</v>
      </c>
      <c r="DL270" s="1">
        <f t="shared" si="547"/>
        <v>0.65</v>
      </c>
      <c r="DM270" s="1">
        <f t="shared" si="548"/>
        <v>0</v>
      </c>
      <c r="DN270" s="1" t="s">
        <v>471</v>
      </c>
      <c r="DO270" s="1" t="s">
        <v>2</v>
      </c>
      <c r="DP270" s="38">
        <f t="shared" si="470"/>
        <v>0</v>
      </c>
      <c r="DQ270" s="38">
        <f t="shared" si="471"/>
        <v>0</v>
      </c>
      <c r="DR270" s="38">
        <f t="shared" si="472"/>
        <v>0</v>
      </c>
      <c r="DS270" s="38">
        <f t="shared" si="473"/>
        <v>0</v>
      </c>
      <c r="DT270" s="38">
        <f t="shared" si="474"/>
        <v>0</v>
      </c>
      <c r="DU270" s="38">
        <f t="shared" si="475"/>
        <v>0</v>
      </c>
      <c r="DV270" s="38">
        <f t="shared" si="476"/>
        <v>0</v>
      </c>
      <c r="DW270" s="38">
        <f t="shared" si="477"/>
        <v>0.22750000000000001</v>
      </c>
      <c r="DX270" s="38">
        <f t="shared" si="478"/>
        <v>0</v>
      </c>
      <c r="DY270" s="38">
        <f t="shared" si="479"/>
        <v>0</v>
      </c>
      <c r="DZ270" s="38">
        <f t="shared" si="480"/>
        <v>0</v>
      </c>
      <c r="EA270" s="38">
        <f t="shared" si="481"/>
        <v>0</v>
      </c>
      <c r="EB270" s="38">
        <f t="shared" si="482"/>
        <v>0</v>
      </c>
      <c r="EC270" s="38">
        <f t="shared" si="483"/>
        <v>0</v>
      </c>
      <c r="ED270" s="38">
        <f t="shared" si="484"/>
        <v>0</v>
      </c>
      <c r="EE270" s="38">
        <f t="shared" si="485"/>
        <v>0</v>
      </c>
      <c r="EG270" s="38">
        <f t="shared" si="486"/>
        <v>0</v>
      </c>
      <c r="EH270" s="38">
        <f t="shared" si="487"/>
        <v>0</v>
      </c>
      <c r="EI270" s="38">
        <f t="shared" si="488"/>
        <v>0</v>
      </c>
      <c r="EJ270" s="38">
        <f t="shared" si="489"/>
        <v>0</v>
      </c>
      <c r="EK270" s="38">
        <f t="shared" si="490"/>
        <v>0</v>
      </c>
      <c r="EL270" s="38">
        <f t="shared" si="491"/>
        <v>0</v>
      </c>
      <c r="EM270" s="38">
        <f t="shared" si="492"/>
        <v>0</v>
      </c>
      <c r="EN270" s="38">
        <f t="shared" si="493"/>
        <v>0</v>
      </c>
      <c r="EO270" s="38">
        <f t="shared" si="494"/>
        <v>0</v>
      </c>
      <c r="EP270" s="38">
        <f t="shared" si="495"/>
        <v>2983.4349999999999</v>
      </c>
      <c r="EQ270" s="38">
        <f t="shared" si="496"/>
        <v>0</v>
      </c>
      <c r="ER270" s="38">
        <f t="shared" si="497"/>
        <v>0</v>
      </c>
      <c r="ES270" s="38">
        <f t="shared" si="498"/>
        <v>0</v>
      </c>
      <c r="ET270" s="38">
        <f t="shared" si="499"/>
        <v>0</v>
      </c>
      <c r="EU270" s="38">
        <f t="shared" si="500"/>
        <v>0</v>
      </c>
      <c r="EV270" s="38">
        <f t="shared" si="501"/>
        <v>0</v>
      </c>
      <c r="EW270" s="38">
        <f t="shared" si="502"/>
        <v>0</v>
      </c>
      <c r="EX270" s="38">
        <f t="shared" si="503"/>
        <v>0</v>
      </c>
      <c r="EZ270" s="38">
        <f t="shared" si="504"/>
        <v>0</v>
      </c>
      <c r="FA270" s="38">
        <f t="shared" si="505"/>
        <v>0</v>
      </c>
      <c r="FB270" s="1">
        <f t="shared" si="506"/>
        <v>0</v>
      </c>
      <c r="FC270" s="1">
        <f t="shared" si="507"/>
        <v>0</v>
      </c>
      <c r="FD270" s="1">
        <f t="shared" si="508"/>
        <v>0</v>
      </c>
      <c r="FE270" s="1">
        <f t="shared" si="509"/>
        <v>0</v>
      </c>
      <c r="FF270" s="1">
        <f t="shared" si="510"/>
        <v>0</v>
      </c>
      <c r="FG270" s="1">
        <f t="shared" si="511"/>
        <v>0</v>
      </c>
      <c r="FH270" s="1">
        <f t="shared" si="512"/>
        <v>0</v>
      </c>
      <c r="FI270" s="1">
        <f t="shared" si="513"/>
        <v>0</v>
      </c>
      <c r="FJ270" s="1">
        <f t="shared" si="514"/>
        <v>0</v>
      </c>
      <c r="FK270" s="1">
        <f t="shared" si="515"/>
        <v>0</v>
      </c>
      <c r="FL270" s="1">
        <f t="shared" si="516"/>
        <v>0</v>
      </c>
      <c r="FM270" s="1">
        <f t="shared" si="517"/>
        <v>0</v>
      </c>
      <c r="FN270" s="1">
        <f t="shared" si="518"/>
        <v>0</v>
      </c>
      <c r="FO270" s="1">
        <f t="shared" si="519"/>
        <v>0</v>
      </c>
      <c r="FP270" s="1">
        <f t="shared" si="520"/>
        <v>0</v>
      </c>
      <c r="FQ270" s="1">
        <f t="shared" si="521"/>
        <v>0</v>
      </c>
      <c r="FS270" s="1">
        <f t="shared" si="522"/>
        <v>0</v>
      </c>
      <c r="FT270" s="1">
        <f t="shared" si="523"/>
        <v>0</v>
      </c>
      <c r="FU270" s="38">
        <f t="shared" si="524"/>
        <v>0</v>
      </c>
      <c r="FV270" s="38">
        <f t="shared" si="525"/>
        <v>0</v>
      </c>
      <c r="FW270" s="38">
        <f t="shared" si="526"/>
        <v>0</v>
      </c>
      <c r="FX270" s="38">
        <f t="shared" si="527"/>
        <v>0</v>
      </c>
      <c r="FY270" s="38">
        <f t="shared" si="528"/>
        <v>0</v>
      </c>
      <c r="FZ270" s="38">
        <f t="shared" si="529"/>
        <v>0</v>
      </c>
      <c r="GA270" s="38">
        <f t="shared" si="530"/>
        <v>0</v>
      </c>
      <c r="GB270" s="38">
        <f t="shared" si="531"/>
        <v>0</v>
      </c>
      <c r="GC270" s="38">
        <f t="shared" si="532"/>
        <v>0</v>
      </c>
      <c r="GD270" s="38">
        <f t="shared" si="533"/>
        <v>0</v>
      </c>
      <c r="GE270" s="38">
        <f t="shared" si="534"/>
        <v>0</v>
      </c>
      <c r="GF270" s="38">
        <f t="shared" si="535"/>
        <v>0</v>
      </c>
      <c r="GG270" s="38">
        <f t="shared" si="536"/>
        <v>0</v>
      </c>
      <c r="GH270" s="38">
        <f t="shared" si="537"/>
        <v>0</v>
      </c>
      <c r="GI270" s="38">
        <f t="shared" si="538"/>
        <v>0</v>
      </c>
      <c r="GJ270" s="38">
        <f t="shared" si="539"/>
        <v>0</v>
      </c>
      <c r="GL270" s="38">
        <f t="shared" si="540"/>
        <v>0</v>
      </c>
      <c r="GM270" s="38">
        <f t="shared" si="541"/>
        <v>0</v>
      </c>
      <c r="GN270" s="1" t="s">
        <v>2</v>
      </c>
      <c r="GO270" s="1">
        <f t="shared" si="549"/>
        <v>35</v>
      </c>
      <c r="GP270" s="13">
        <f t="shared" si="550"/>
        <v>0.65</v>
      </c>
      <c r="GQ270" s="41">
        <f t="shared" si="551"/>
        <v>227.5</v>
      </c>
      <c r="GR270" s="41">
        <f t="shared" si="552"/>
        <v>2983.4349999999999</v>
      </c>
      <c r="GS270" s="14">
        <f t="shared" si="553"/>
        <v>85.241</v>
      </c>
      <c r="GT270" s="1">
        <f t="shared" si="542"/>
        <v>0</v>
      </c>
      <c r="GU270" s="1">
        <f t="shared" si="543"/>
        <v>0</v>
      </c>
      <c r="GV270" s="1">
        <f t="shared" si="544"/>
        <v>227.5</v>
      </c>
      <c r="GW270" s="37">
        <f t="shared" si="554"/>
        <v>0</v>
      </c>
      <c r="GX270" s="37"/>
      <c r="GY270" s="37"/>
      <c r="GZ270" s="37"/>
      <c r="HB270" s="1">
        <f t="shared" si="545"/>
        <v>0</v>
      </c>
      <c r="HC270" s="1">
        <f t="shared" si="546"/>
        <v>0</v>
      </c>
      <c r="HD270" s="37" t="s">
        <v>2</v>
      </c>
      <c r="HE270" s="1" t="s">
        <v>31</v>
      </c>
      <c r="HF270" s="1" t="s">
        <v>506</v>
      </c>
      <c r="HG270" s="1" t="s">
        <v>506</v>
      </c>
      <c r="HI270" s="1" t="s">
        <v>163</v>
      </c>
      <c r="HJ270" s="37" t="s">
        <v>2</v>
      </c>
      <c r="JH270" s="58" t="s">
        <v>2</v>
      </c>
    </row>
    <row r="271" spans="1:268" ht="16.25" customHeight="1" x14ac:dyDescent="0.2">
      <c r="A271" s="21" t="s">
        <v>553</v>
      </c>
      <c r="B271" s="1" t="s">
        <v>69</v>
      </c>
      <c r="E271" s="1" t="s">
        <v>72</v>
      </c>
      <c r="F271" s="1" t="s">
        <v>554</v>
      </c>
      <c r="H271" s="1" t="s">
        <v>187</v>
      </c>
      <c r="I271" s="1">
        <v>0</v>
      </c>
      <c r="AD271" s="1">
        <v>0</v>
      </c>
      <c r="AY271" s="1">
        <v>42.38</v>
      </c>
      <c r="BG271" s="1">
        <v>1.1599999999999999</v>
      </c>
      <c r="BT271" s="1">
        <v>0</v>
      </c>
      <c r="CO271" s="1">
        <v>0</v>
      </c>
      <c r="DJ271" s="1" t="s">
        <v>163</v>
      </c>
      <c r="DL271" s="1">
        <f t="shared" si="547"/>
        <v>1.1599999999999999</v>
      </c>
      <c r="DM271" s="1">
        <f t="shared" si="548"/>
        <v>0</v>
      </c>
      <c r="DN271" s="1" t="s">
        <v>502</v>
      </c>
      <c r="DO271" s="1" t="s">
        <v>2</v>
      </c>
      <c r="DP271" s="38">
        <f t="shared" si="470"/>
        <v>0</v>
      </c>
      <c r="DQ271" s="38">
        <f t="shared" si="471"/>
        <v>0</v>
      </c>
      <c r="DR271" s="38">
        <f t="shared" si="472"/>
        <v>0</v>
      </c>
      <c r="DS271" s="38">
        <f t="shared" si="473"/>
        <v>0</v>
      </c>
      <c r="DT271" s="38">
        <f t="shared" si="474"/>
        <v>0</v>
      </c>
      <c r="DU271" s="38">
        <f t="shared" si="475"/>
        <v>0</v>
      </c>
      <c r="DV271" s="38">
        <f t="shared" si="476"/>
        <v>0</v>
      </c>
      <c r="DW271" s="38">
        <f t="shared" si="477"/>
        <v>0.49160800000000004</v>
      </c>
      <c r="DX271" s="38">
        <f t="shared" si="478"/>
        <v>0</v>
      </c>
      <c r="DY271" s="38">
        <f t="shared" si="479"/>
        <v>0</v>
      </c>
      <c r="DZ271" s="38">
        <f t="shared" si="480"/>
        <v>0</v>
      </c>
      <c r="EA271" s="38">
        <f t="shared" si="481"/>
        <v>0</v>
      </c>
      <c r="EB271" s="38">
        <f t="shared" si="482"/>
        <v>0</v>
      </c>
      <c r="EC271" s="38">
        <f t="shared" si="483"/>
        <v>0</v>
      </c>
      <c r="ED271" s="38">
        <f t="shared" si="484"/>
        <v>0</v>
      </c>
      <c r="EE271" s="38">
        <f t="shared" si="485"/>
        <v>0</v>
      </c>
      <c r="EG271" s="38">
        <f t="shared" si="486"/>
        <v>0</v>
      </c>
      <c r="EH271" s="38">
        <f t="shared" si="487"/>
        <v>0</v>
      </c>
      <c r="EI271" s="38">
        <f t="shared" si="488"/>
        <v>0</v>
      </c>
      <c r="EJ271" s="38">
        <f t="shared" si="489"/>
        <v>0</v>
      </c>
      <c r="EK271" s="38">
        <f t="shared" si="490"/>
        <v>0</v>
      </c>
      <c r="EL271" s="38">
        <f t="shared" si="491"/>
        <v>0</v>
      </c>
      <c r="EM271" s="38">
        <f t="shared" si="492"/>
        <v>0</v>
      </c>
      <c r="EN271" s="38">
        <f t="shared" si="493"/>
        <v>0</v>
      </c>
      <c r="EO271" s="38">
        <f t="shared" si="494"/>
        <v>0</v>
      </c>
      <c r="EP271" s="38">
        <f t="shared" si="495"/>
        <v>6446.9473120000002</v>
      </c>
      <c r="EQ271" s="38">
        <f t="shared" si="496"/>
        <v>0</v>
      </c>
      <c r="ER271" s="38">
        <f t="shared" si="497"/>
        <v>0</v>
      </c>
      <c r="ES271" s="38">
        <f t="shared" si="498"/>
        <v>0</v>
      </c>
      <c r="ET271" s="38">
        <f t="shared" si="499"/>
        <v>0</v>
      </c>
      <c r="EU271" s="38">
        <f t="shared" si="500"/>
        <v>0</v>
      </c>
      <c r="EV271" s="38">
        <f t="shared" si="501"/>
        <v>0</v>
      </c>
      <c r="EW271" s="38">
        <f t="shared" si="502"/>
        <v>0</v>
      </c>
      <c r="EX271" s="38">
        <f t="shared" si="503"/>
        <v>0</v>
      </c>
      <c r="EZ271" s="38">
        <f t="shared" si="504"/>
        <v>0</v>
      </c>
      <c r="FA271" s="38">
        <f t="shared" si="505"/>
        <v>0</v>
      </c>
      <c r="FB271" s="1">
        <f t="shared" si="506"/>
        <v>0</v>
      </c>
      <c r="FC271" s="1">
        <f t="shared" si="507"/>
        <v>0</v>
      </c>
      <c r="FD271" s="1">
        <f t="shared" si="508"/>
        <v>0</v>
      </c>
      <c r="FE271" s="1">
        <f t="shared" si="509"/>
        <v>0</v>
      </c>
      <c r="FF271" s="1">
        <f t="shared" si="510"/>
        <v>0</v>
      </c>
      <c r="FG271" s="1">
        <f t="shared" si="511"/>
        <v>0</v>
      </c>
      <c r="FH271" s="1">
        <f t="shared" si="512"/>
        <v>0</v>
      </c>
      <c r="FI271" s="1">
        <f t="shared" si="513"/>
        <v>0</v>
      </c>
      <c r="FJ271" s="1">
        <f t="shared" si="514"/>
        <v>0</v>
      </c>
      <c r="FK271" s="1">
        <f t="shared" si="515"/>
        <v>0</v>
      </c>
      <c r="FL271" s="1">
        <f t="shared" si="516"/>
        <v>0</v>
      </c>
      <c r="FM271" s="1">
        <f t="shared" si="517"/>
        <v>0</v>
      </c>
      <c r="FN271" s="1">
        <f t="shared" si="518"/>
        <v>0</v>
      </c>
      <c r="FO271" s="1">
        <f t="shared" si="519"/>
        <v>0</v>
      </c>
      <c r="FP271" s="1">
        <f t="shared" si="520"/>
        <v>0</v>
      </c>
      <c r="FQ271" s="1">
        <f t="shared" si="521"/>
        <v>0</v>
      </c>
      <c r="FS271" s="1">
        <f t="shared" si="522"/>
        <v>0</v>
      </c>
      <c r="FT271" s="1">
        <f t="shared" si="523"/>
        <v>0</v>
      </c>
      <c r="FU271" s="38">
        <f t="shared" si="524"/>
        <v>0</v>
      </c>
      <c r="FV271" s="38">
        <f t="shared" si="525"/>
        <v>0</v>
      </c>
      <c r="FW271" s="38">
        <f t="shared" si="526"/>
        <v>0</v>
      </c>
      <c r="FX271" s="38">
        <f t="shared" si="527"/>
        <v>0</v>
      </c>
      <c r="FY271" s="38">
        <f t="shared" si="528"/>
        <v>0</v>
      </c>
      <c r="FZ271" s="38">
        <f t="shared" si="529"/>
        <v>0</v>
      </c>
      <c r="GA271" s="38">
        <f t="shared" si="530"/>
        <v>0</v>
      </c>
      <c r="GB271" s="38">
        <f t="shared" si="531"/>
        <v>0</v>
      </c>
      <c r="GC271" s="38">
        <f t="shared" si="532"/>
        <v>0</v>
      </c>
      <c r="GD271" s="38">
        <f t="shared" si="533"/>
        <v>0</v>
      </c>
      <c r="GE271" s="38">
        <f t="shared" si="534"/>
        <v>0</v>
      </c>
      <c r="GF271" s="38">
        <f t="shared" si="535"/>
        <v>0</v>
      </c>
      <c r="GG271" s="38">
        <f t="shared" si="536"/>
        <v>0</v>
      </c>
      <c r="GH271" s="38">
        <f t="shared" si="537"/>
        <v>0</v>
      </c>
      <c r="GI271" s="38">
        <f t="shared" si="538"/>
        <v>0</v>
      </c>
      <c r="GJ271" s="38">
        <f t="shared" si="539"/>
        <v>0</v>
      </c>
      <c r="GL271" s="38">
        <f t="shared" si="540"/>
        <v>0</v>
      </c>
      <c r="GM271" s="38">
        <f t="shared" si="541"/>
        <v>0</v>
      </c>
      <c r="GN271" s="1" t="s">
        <v>2</v>
      </c>
      <c r="GO271" s="1">
        <f t="shared" si="549"/>
        <v>42.38</v>
      </c>
      <c r="GP271" s="13">
        <f t="shared" si="550"/>
        <v>1.1599999999999999</v>
      </c>
      <c r="GQ271" s="41">
        <f t="shared" si="551"/>
        <v>491.60799999999995</v>
      </c>
      <c r="GR271" s="41">
        <f t="shared" si="552"/>
        <v>6446.9473120000002</v>
      </c>
      <c r="GS271" s="14">
        <f t="shared" si="553"/>
        <v>152.1224</v>
      </c>
      <c r="GT271" s="1">
        <f t="shared" si="542"/>
        <v>0</v>
      </c>
      <c r="GU271" s="1">
        <f t="shared" si="543"/>
        <v>0</v>
      </c>
      <c r="GV271" s="1">
        <f t="shared" si="544"/>
        <v>491.608</v>
      </c>
      <c r="GW271" s="37">
        <f t="shared" si="554"/>
        <v>0</v>
      </c>
      <c r="GX271" s="37"/>
      <c r="GY271" s="37"/>
      <c r="GZ271" s="37"/>
      <c r="HB271" s="1">
        <f t="shared" si="545"/>
        <v>0</v>
      </c>
      <c r="HC271" s="1">
        <f t="shared" si="546"/>
        <v>0</v>
      </c>
      <c r="HD271" s="37" t="s">
        <v>2</v>
      </c>
      <c r="HE271" s="1" t="s">
        <v>31</v>
      </c>
      <c r="HF271" s="1" t="s">
        <v>506</v>
      </c>
      <c r="HG271" s="1" t="s">
        <v>506</v>
      </c>
      <c r="HI271" s="1" t="s">
        <v>163</v>
      </c>
      <c r="HJ271" s="37" t="s">
        <v>2</v>
      </c>
      <c r="JH271" s="58" t="s">
        <v>2</v>
      </c>
    </row>
    <row r="272" spans="1:268" ht="16.25" customHeight="1" x14ac:dyDescent="0.2">
      <c r="A272" s="21" t="s">
        <v>212</v>
      </c>
      <c r="B272" s="1" t="s">
        <v>69</v>
      </c>
      <c r="C272" s="23">
        <f>-7-30/60</f>
        <v>-7.5</v>
      </c>
      <c r="D272" s="23">
        <f>146+45/60</f>
        <v>146.75</v>
      </c>
      <c r="E272" s="1" t="s">
        <v>72</v>
      </c>
      <c r="F272" s="1" t="s">
        <v>213</v>
      </c>
      <c r="H272" s="1" t="s">
        <v>211</v>
      </c>
      <c r="I272" s="1">
        <v>0</v>
      </c>
      <c r="AD272" s="1">
        <v>0</v>
      </c>
      <c r="AY272" s="1">
        <v>70</v>
      </c>
      <c r="BG272" s="1">
        <v>0.68</v>
      </c>
      <c r="BT272" s="1">
        <v>0</v>
      </c>
      <c r="CO272" s="1">
        <v>0</v>
      </c>
      <c r="DJ272" s="1" t="s">
        <v>163</v>
      </c>
      <c r="DL272" s="1">
        <f t="shared" si="547"/>
        <v>0.68</v>
      </c>
      <c r="DM272" s="1">
        <f t="shared" si="548"/>
        <v>0</v>
      </c>
      <c r="DN272" s="1" t="s">
        <v>154</v>
      </c>
      <c r="DO272" s="1" t="s">
        <v>2</v>
      </c>
      <c r="DP272" s="38">
        <f t="shared" si="470"/>
        <v>0</v>
      </c>
      <c r="DQ272" s="38">
        <f t="shared" si="471"/>
        <v>0</v>
      </c>
      <c r="DR272" s="38">
        <f t="shared" si="472"/>
        <v>0</v>
      </c>
      <c r="DS272" s="38">
        <f t="shared" si="473"/>
        <v>0</v>
      </c>
      <c r="DT272" s="38">
        <f t="shared" si="474"/>
        <v>0</v>
      </c>
      <c r="DU272" s="38">
        <f t="shared" si="475"/>
        <v>0</v>
      </c>
      <c r="DV272" s="38">
        <f t="shared" si="476"/>
        <v>0</v>
      </c>
      <c r="DW272" s="38">
        <f t="shared" si="477"/>
        <v>0.47600000000000003</v>
      </c>
      <c r="DX272" s="38">
        <f t="shared" si="478"/>
        <v>0</v>
      </c>
      <c r="DY272" s="38">
        <f t="shared" si="479"/>
        <v>0</v>
      </c>
      <c r="DZ272" s="38">
        <f t="shared" si="480"/>
        <v>0</v>
      </c>
      <c r="EA272" s="38">
        <f t="shared" si="481"/>
        <v>0</v>
      </c>
      <c r="EB272" s="38">
        <f t="shared" si="482"/>
        <v>0</v>
      </c>
      <c r="EC272" s="38">
        <f t="shared" si="483"/>
        <v>0</v>
      </c>
      <c r="ED272" s="38">
        <f t="shared" si="484"/>
        <v>0</v>
      </c>
      <c r="EE272" s="38">
        <f t="shared" si="485"/>
        <v>0</v>
      </c>
      <c r="EG272" s="38">
        <f t="shared" si="486"/>
        <v>0</v>
      </c>
      <c r="EH272" s="38">
        <f t="shared" si="487"/>
        <v>0</v>
      </c>
      <c r="EI272" s="38">
        <f t="shared" si="488"/>
        <v>0</v>
      </c>
      <c r="EJ272" s="38">
        <f t="shared" si="489"/>
        <v>0</v>
      </c>
      <c r="EK272" s="38">
        <f t="shared" si="490"/>
        <v>0</v>
      </c>
      <c r="EL272" s="38">
        <f t="shared" si="491"/>
        <v>0</v>
      </c>
      <c r="EM272" s="38">
        <f t="shared" si="492"/>
        <v>0</v>
      </c>
      <c r="EN272" s="38">
        <f t="shared" si="493"/>
        <v>0</v>
      </c>
      <c r="EO272" s="38">
        <f t="shared" si="494"/>
        <v>0</v>
      </c>
      <c r="EP272" s="38">
        <f t="shared" si="495"/>
        <v>6242.2640000000001</v>
      </c>
      <c r="EQ272" s="38">
        <f t="shared" si="496"/>
        <v>0</v>
      </c>
      <c r="ER272" s="38">
        <f t="shared" si="497"/>
        <v>0</v>
      </c>
      <c r="ES272" s="38">
        <f t="shared" si="498"/>
        <v>0</v>
      </c>
      <c r="ET272" s="38">
        <f t="shared" si="499"/>
        <v>0</v>
      </c>
      <c r="EU272" s="38">
        <f t="shared" si="500"/>
        <v>0</v>
      </c>
      <c r="EV272" s="38">
        <f t="shared" si="501"/>
        <v>0</v>
      </c>
      <c r="EW272" s="38">
        <f t="shared" si="502"/>
        <v>0</v>
      </c>
      <c r="EX272" s="38">
        <f t="shared" si="503"/>
        <v>0</v>
      </c>
      <c r="EZ272" s="38">
        <f t="shared" si="504"/>
        <v>0</v>
      </c>
      <c r="FA272" s="38">
        <f t="shared" si="505"/>
        <v>0</v>
      </c>
      <c r="FB272" s="1">
        <f t="shared" si="506"/>
        <v>0</v>
      </c>
      <c r="FC272" s="1">
        <f t="shared" si="507"/>
        <v>0</v>
      </c>
      <c r="FD272" s="1">
        <f t="shared" si="508"/>
        <v>0</v>
      </c>
      <c r="FE272" s="1">
        <f t="shared" si="509"/>
        <v>0</v>
      </c>
      <c r="FF272" s="1">
        <f t="shared" si="510"/>
        <v>0</v>
      </c>
      <c r="FG272" s="1">
        <f t="shared" si="511"/>
        <v>0</v>
      </c>
      <c r="FH272" s="1">
        <f t="shared" si="512"/>
        <v>0</v>
      </c>
      <c r="FI272" s="1">
        <f t="shared" si="513"/>
        <v>0</v>
      </c>
      <c r="FJ272" s="1">
        <f t="shared" si="514"/>
        <v>0</v>
      </c>
      <c r="FK272" s="1">
        <f t="shared" si="515"/>
        <v>0</v>
      </c>
      <c r="FL272" s="1">
        <f t="shared" si="516"/>
        <v>0</v>
      </c>
      <c r="FM272" s="1">
        <f t="shared" si="517"/>
        <v>0</v>
      </c>
      <c r="FN272" s="1">
        <f t="shared" si="518"/>
        <v>0</v>
      </c>
      <c r="FO272" s="1">
        <f t="shared" si="519"/>
        <v>0</v>
      </c>
      <c r="FP272" s="1">
        <f t="shared" si="520"/>
        <v>0</v>
      </c>
      <c r="FQ272" s="1">
        <f t="shared" si="521"/>
        <v>0</v>
      </c>
      <c r="FS272" s="1">
        <f t="shared" si="522"/>
        <v>0</v>
      </c>
      <c r="FT272" s="1">
        <f t="shared" si="523"/>
        <v>0</v>
      </c>
      <c r="FU272" s="38">
        <f t="shared" si="524"/>
        <v>0</v>
      </c>
      <c r="FV272" s="38">
        <f t="shared" si="525"/>
        <v>0</v>
      </c>
      <c r="FW272" s="38">
        <f t="shared" si="526"/>
        <v>0</v>
      </c>
      <c r="FX272" s="38">
        <f t="shared" si="527"/>
        <v>0</v>
      </c>
      <c r="FY272" s="38">
        <f t="shared" si="528"/>
        <v>0</v>
      </c>
      <c r="FZ272" s="38">
        <f t="shared" si="529"/>
        <v>0</v>
      </c>
      <c r="GA272" s="38">
        <f t="shared" si="530"/>
        <v>0</v>
      </c>
      <c r="GB272" s="38">
        <f t="shared" si="531"/>
        <v>0</v>
      </c>
      <c r="GC272" s="38">
        <f t="shared" si="532"/>
        <v>0</v>
      </c>
      <c r="GD272" s="38">
        <f t="shared" si="533"/>
        <v>0</v>
      </c>
      <c r="GE272" s="38">
        <f t="shared" si="534"/>
        <v>0</v>
      </c>
      <c r="GF272" s="38">
        <f t="shared" si="535"/>
        <v>0</v>
      </c>
      <c r="GG272" s="38">
        <f t="shared" si="536"/>
        <v>0</v>
      </c>
      <c r="GH272" s="38">
        <f t="shared" si="537"/>
        <v>0</v>
      </c>
      <c r="GI272" s="38">
        <f t="shared" si="538"/>
        <v>0</v>
      </c>
      <c r="GJ272" s="38">
        <f t="shared" si="539"/>
        <v>0</v>
      </c>
      <c r="GL272" s="38">
        <f t="shared" si="540"/>
        <v>0</v>
      </c>
      <c r="GM272" s="38">
        <f t="shared" si="541"/>
        <v>0</v>
      </c>
      <c r="GN272" s="1" t="s">
        <v>2</v>
      </c>
      <c r="GO272" s="1">
        <f t="shared" si="549"/>
        <v>70</v>
      </c>
      <c r="GP272" s="1">
        <f t="shared" si="550"/>
        <v>0.68</v>
      </c>
      <c r="GQ272" s="41">
        <f t="shared" si="551"/>
        <v>476</v>
      </c>
      <c r="GR272" s="41">
        <f t="shared" si="552"/>
        <v>6242.2640000000001</v>
      </c>
      <c r="GS272" s="14">
        <f t="shared" si="553"/>
        <v>89.175200000000004</v>
      </c>
      <c r="GT272" s="1">
        <f t="shared" si="542"/>
        <v>0</v>
      </c>
      <c r="GU272" s="1">
        <f t="shared" si="543"/>
        <v>0</v>
      </c>
      <c r="GV272" s="1">
        <f t="shared" si="544"/>
        <v>476</v>
      </c>
      <c r="GW272" s="37">
        <f t="shared" si="554"/>
        <v>0</v>
      </c>
      <c r="GX272" s="37"/>
      <c r="GY272" s="37"/>
      <c r="GZ272" s="37"/>
      <c r="HB272" s="1">
        <f t="shared" si="545"/>
        <v>0</v>
      </c>
      <c r="HC272" s="1">
        <f t="shared" si="546"/>
        <v>0</v>
      </c>
      <c r="HD272" s="37" t="s">
        <v>2</v>
      </c>
      <c r="HE272" s="1" t="s">
        <v>31</v>
      </c>
      <c r="HF272" s="1" t="s">
        <v>205</v>
      </c>
      <c r="HG272" s="1" t="s">
        <v>205</v>
      </c>
      <c r="HI272" s="1" t="s">
        <v>163</v>
      </c>
      <c r="HJ272" s="37" t="s">
        <v>2</v>
      </c>
      <c r="JH272" s="58" t="s">
        <v>2</v>
      </c>
    </row>
    <row r="273" spans="1:268" ht="16.25" customHeight="1" x14ac:dyDescent="0.2">
      <c r="A273" s="21" t="s">
        <v>214</v>
      </c>
      <c r="B273" s="1" t="s">
        <v>69</v>
      </c>
      <c r="C273" s="23">
        <f>-4-40/60</f>
        <v>-4.666666666666667</v>
      </c>
      <c r="D273" s="23">
        <f>141+56/60</f>
        <v>141.93333333333334</v>
      </c>
      <c r="E273" s="1" t="s">
        <v>72</v>
      </c>
      <c r="F273" s="1" t="s">
        <v>215</v>
      </c>
      <c r="H273" s="1" t="s">
        <v>216</v>
      </c>
      <c r="I273" s="1">
        <v>0</v>
      </c>
      <c r="AD273" s="1">
        <v>0</v>
      </c>
      <c r="AY273" s="24">
        <f>0.21/(BG273/100)</f>
        <v>23.333333333333329</v>
      </c>
      <c r="BG273" s="11">
        <v>0.9</v>
      </c>
      <c r="BT273" s="1">
        <v>0</v>
      </c>
      <c r="CO273" s="1">
        <v>0</v>
      </c>
      <c r="DJ273" s="1" t="s">
        <v>163</v>
      </c>
      <c r="DL273" s="1">
        <f t="shared" si="547"/>
        <v>0.9</v>
      </c>
      <c r="DM273" s="1">
        <f t="shared" si="548"/>
        <v>0</v>
      </c>
      <c r="DN273" s="1" t="s">
        <v>217</v>
      </c>
      <c r="DO273" s="1" t="s">
        <v>2</v>
      </c>
      <c r="DP273" s="38">
        <f t="shared" si="470"/>
        <v>0</v>
      </c>
      <c r="DQ273" s="38">
        <f t="shared" si="471"/>
        <v>0</v>
      </c>
      <c r="DR273" s="38">
        <f t="shared" si="472"/>
        <v>0</v>
      </c>
      <c r="DS273" s="38">
        <f t="shared" si="473"/>
        <v>0</v>
      </c>
      <c r="DT273" s="38">
        <f t="shared" si="474"/>
        <v>0</v>
      </c>
      <c r="DU273" s="38">
        <f t="shared" si="475"/>
        <v>0</v>
      </c>
      <c r="DV273" s="38">
        <f t="shared" si="476"/>
        <v>0</v>
      </c>
      <c r="DW273" s="38">
        <f t="shared" si="477"/>
        <v>0.20999999999999996</v>
      </c>
      <c r="DX273" s="38">
        <f t="shared" si="478"/>
        <v>0</v>
      </c>
      <c r="DY273" s="38">
        <f t="shared" si="479"/>
        <v>0</v>
      </c>
      <c r="DZ273" s="38">
        <f t="shared" si="480"/>
        <v>0</v>
      </c>
      <c r="EA273" s="38">
        <f t="shared" si="481"/>
        <v>0</v>
      </c>
      <c r="EB273" s="38">
        <f t="shared" si="482"/>
        <v>0</v>
      </c>
      <c r="EC273" s="38">
        <f t="shared" si="483"/>
        <v>0</v>
      </c>
      <c r="ED273" s="38">
        <f t="shared" si="484"/>
        <v>0</v>
      </c>
      <c r="EE273" s="38">
        <f t="shared" si="485"/>
        <v>0</v>
      </c>
      <c r="EG273" s="38">
        <f t="shared" si="486"/>
        <v>0</v>
      </c>
      <c r="EH273" s="38">
        <f t="shared" si="487"/>
        <v>0</v>
      </c>
      <c r="EI273" s="38">
        <f t="shared" si="488"/>
        <v>0</v>
      </c>
      <c r="EJ273" s="38">
        <f t="shared" si="489"/>
        <v>0</v>
      </c>
      <c r="EK273" s="38">
        <f t="shared" si="490"/>
        <v>0</v>
      </c>
      <c r="EL273" s="38">
        <f t="shared" si="491"/>
        <v>0</v>
      </c>
      <c r="EM273" s="38">
        <f t="shared" si="492"/>
        <v>0</v>
      </c>
      <c r="EN273" s="38">
        <f t="shared" si="493"/>
        <v>0</v>
      </c>
      <c r="EO273" s="38">
        <f t="shared" si="494"/>
        <v>0</v>
      </c>
      <c r="EP273" s="38">
        <f t="shared" si="495"/>
        <v>2753.9399999999996</v>
      </c>
      <c r="EQ273" s="38">
        <f t="shared" si="496"/>
        <v>0</v>
      </c>
      <c r="ER273" s="38">
        <f t="shared" si="497"/>
        <v>0</v>
      </c>
      <c r="ES273" s="38">
        <f t="shared" si="498"/>
        <v>0</v>
      </c>
      <c r="ET273" s="38">
        <f t="shared" si="499"/>
        <v>0</v>
      </c>
      <c r="EU273" s="38">
        <f t="shared" si="500"/>
        <v>0</v>
      </c>
      <c r="EV273" s="38">
        <f t="shared" si="501"/>
        <v>0</v>
      </c>
      <c r="EW273" s="38">
        <f t="shared" si="502"/>
        <v>0</v>
      </c>
      <c r="EX273" s="38">
        <f t="shared" si="503"/>
        <v>0</v>
      </c>
      <c r="EZ273" s="38">
        <f t="shared" si="504"/>
        <v>0</v>
      </c>
      <c r="FA273" s="38">
        <f t="shared" si="505"/>
        <v>0</v>
      </c>
      <c r="FB273" s="1">
        <f t="shared" si="506"/>
        <v>0</v>
      </c>
      <c r="FC273" s="1">
        <f t="shared" si="507"/>
        <v>0</v>
      </c>
      <c r="FD273" s="1">
        <f t="shared" si="508"/>
        <v>0</v>
      </c>
      <c r="FE273" s="1">
        <f t="shared" si="509"/>
        <v>0</v>
      </c>
      <c r="FF273" s="1">
        <f t="shared" si="510"/>
        <v>0</v>
      </c>
      <c r="FG273" s="1">
        <f t="shared" si="511"/>
        <v>0</v>
      </c>
      <c r="FH273" s="1">
        <f t="shared" si="512"/>
        <v>0</v>
      </c>
      <c r="FI273" s="1">
        <f t="shared" si="513"/>
        <v>0</v>
      </c>
      <c r="FJ273" s="1">
        <f t="shared" si="514"/>
        <v>0</v>
      </c>
      <c r="FK273" s="1">
        <f t="shared" si="515"/>
        <v>0</v>
      </c>
      <c r="FL273" s="1">
        <f t="shared" si="516"/>
        <v>0</v>
      </c>
      <c r="FM273" s="1">
        <f t="shared" si="517"/>
        <v>0</v>
      </c>
      <c r="FN273" s="1">
        <f t="shared" si="518"/>
        <v>0</v>
      </c>
      <c r="FO273" s="1">
        <f t="shared" si="519"/>
        <v>0</v>
      </c>
      <c r="FP273" s="1">
        <f t="shared" si="520"/>
        <v>0</v>
      </c>
      <c r="FQ273" s="1">
        <f t="shared" si="521"/>
        <v>0</v>
      </c>
      <c r="FS273" s="1">
        <f t="shared" si="522"/>
        <v>0</v>
      </c>
      <c r="FT273" s="1">
        <f t="shared" si="523"/>
        <v>0</v>
      </c>
      <c r="FU273" s="38">
        <f t="shared" si="524"/>
        <v>0</v>
      </c>
      <c r="FV273" s="38">
        <f t="shared" si="525"/>
        <v>0</v>
      </c>
      <c r="FW273" s="38">
        <f t="shared" si="526"/>
        <v>0</v>
      </c>
      <c r="FX273" s="38">
        <f t="shared" si="527"/>
        <v>0</v>
      </c>
      <c r="FY273" s="38">
        <f t="shared" si="528"/>
        <v>0</v>
      </c>
      <c r="FZ273" s="38">
        <f t="shared" si="529"/>
        <v>0</v>
      </c>
      <c r="GA273" s="38">
        <f t="shared" si="530"/>
        <v>0</v>
      </c>
      <c r="GB273" s="38">
        <f t="shared" si="531"/>
        <v>0</v>
      </c>
      <c r="GC273" s="38">
        <f t="shared" si="532"/>
        <v>0</v>
      </c>
      <c r="GD273" s="38">
        <f t="shared" si="533"/>
        <v>0</v>
      </c>
      <c r="GE273" s="38">
        <f t="shared" si="534"/>
        <v>0</v>
      </c>
      <c r="GF273" s="38">
        <f t="shared" si="535"/>
        <v>0</v>
      </c>
      <c r="GG273" s="38">
        <f t="shared" si="536"/>
        <v>0</v>
      </c>
      <c r="GH273" s="38">
        <f t="shared" si="537"/>
        <v>0</v>
      </c>
      <c r="GI273" s="38">
        <f t="shared" si="538"/>
        <v>0</v>
      </c>
      <c r="GJ273" s="38">
        <f t="shared" si="539"/>
        <v>0</v>
      </c>
      <c r="GL273" s="38">
        <f t="shared" si="540"/>
        <v>0</v>
      </c>
      <c r="GM273" s="38">
        <f t="shared" si="541"/>
        <v>0</v>
      </c>
      <c r="GN273" s="1" t="s">
        <v>2</v>
      </c>
      <c r="GO273" s="14">
        <f t="shared" si="549"/>
        <v>23.333333333333329</v>
      </c>
      <c r="GP273" s="1">
        <f t="shared" si="550"/>
        <v>0.9</v>
      </c>
      <c r="GQ273" s="41">
        <f t="shared" si="551"/>
        <v>209.99999999999997</v>
      </c>
      <c r="GR273" s="41">
        <f t="shared" si="552"/>
        <v>2753.9399999999996</v>
      </c>
      <c r="GS273" s="14">
        <f t="shared" si="553"/>
        <v>118.02600000000001</v>
      </c>
      <c r="GT273" s="1">
        <f t="shared" si="542"/>
        <v>0</v>
      </c>
      <c r="GU273" s="1">
        <f t="shared" si="543"/>
        <v>0</v>
      </c>
      <c r="GV273" s="1">
        <f t="shared" si="544"/>
        <v>209.99999999999997</v>
      </c>
      <c r="GW273" s="37">
        <f t="shared" si="554"/>
        <v>0</v>
      </c>
      <c r="GX273" s="37"/>
      <c r="GY273" s="37"/>
      <c r="GZ273" s="37"/>
      <c r="HB273" s="1">
        <f t="shared" si="545"/>
        <v>0</v>
      </c>
      <c r="HC273" s="1">
        <f t="shared" si="546"/>
        <v>0</v>
      </c>
      <c r="HD273" s="37" t="s">
        <v>2</v>
      </c>
      <c r="HE273" s="1" t="s">
        <v>31</v>
      </c>
      <c r="HF273" s="1" t="s">
        <v>205</v>
      </c>
      <c r="HG273" s="1" t="s">
        <v>205</v>
      </c>
      <c r="HI273" s="1" t="s">
        <v>163</v>
      </c>
      <c r="HJ273" s="37" t="s">
        <v>2</v>
      </c>
      <c r="JH273" s="58" t="s">
        <v>2</v>
      </c>
    </row>
    <row r="274" spans="1:268" ht="16.25" customHeight="1" x14ac:dyDescent="0.2">
      <c r="A274" s="21" t="s">
        <v>218</v>
      </c>
      <c r="B274" s="1" t="s">
        <v>69</v>
      </c>
      <c r="C274" s="23">
        <f>-7-57/60</f>
        <v>-7.95</v>
      </c>
      <c r="D274" s="23">
        <f>147+15/60</f>
        <v>147.25</v>
      </c>
      <c r="E274" s="1" t="s">
        <v>72</v>
      </c>
      <c r="F274" s="1" t="s">
        <v>131</v>
      </c>
      <c r="H274" s="1" t="s">
        <v>216</v>
      </c>
      <c r="I274" s="1">
        <v>0</v>
      </c>
      <c r="AD274" s="1">
        <v>0</v>
      </c>
      <c r="AY274" s="13">
        <f>(1.112+12)*1.016</f>
        <v>13.321792</v>
      </c>
      <c r="BG274" s="13">
        <f>(0.86*1.112+0.7*12)/(1.112+12)</f>
        <v>0.71356924954240375</v>
      </c>
      <c r="BT274" s="1">
        <v>0</v>
      </c>
      <c r="CO274" s="1">
        <v>0</v>
      </c>
      <c r="DJ274" s="1" t="s">
        <v>163</v>
      </c>
      <c r="DL274" s="1">
        <f t="shared" si="547"/>
        <v>0.71356924954240375</v>
      </c>
      <c r="DM274" s="1">
        <f t="shared" si="548"/>
        <v>0</v>
      </c>
      <c r="DN274" s="1" t="s">
        <v>219</v>
      </c>
      <c r="DO274" s="1" t="s">
        <v>2</v>
      </c>
      <c r="DP274" s="38">
        <f t="shared" si="470"/>
        <v>0</v>
      </c>
      <c r="DQ274" s="38">
        <f t="shared" si="471"/>
        <v>0</v>
      </c>
      <c r="DR274" s="38">
        <f t="shared" si="472"/>
        <v>0</v>
      </c>
      <c r="DS274" s="38">
        <f t="shared" si="473"/>
        <v>0</v>
      </c>
      <c r="DT274" s="38">
        <f t="shared" si="474"/>
        <v>0</v>
      </c>
      <c r="DU274" s="38">
        <f t="shared" si="475"/>
        <v>0</v>
      </c>
      <c r="DV274" s="38">
        <f t="shared" si="476"/>
        <v>0</v>
      </c>
      <c r="DW274" s="38">
        <f t="shared" si="477"/>
        <v>9.506021119999998E-2</v>
      </c>
      <c r="DX274" s="38">
        <f t="shared" si="478"/>
        <v>0</v>
      </c>
      <c r="DY274" s="38">
        <f t="shared" si="479"/>
        <v>0</v>
      </c>
      <c r="DZ274" s="38">
        <f t="shared" si="480"/>
        <v>0</v>
      </c>
      <c r="EA274" s="38">
        <f t="shared" si="481"/>
        <v>0</v>
      </c>
      <c r="EB274" s="38">
        <f t="shared" si="482"/>
        <v>0</v>
      </c>
      <c r="EC274" s="38">
        <f t="shared" si="483"/>
        <v>0</v>
      </c>
      <c r="ED274" s="38">
        <f t="shared" si="484"/>
        <v>0</v>
      </c>
      <c r="EE274" s="38">
        <f t="shared" si="485"/>
        <v>0</v>
      </c>
      <c r="EG274" s="38">
        <f t="shared" si="486"/>
        <v>0</v>
      </c>
      <c r="EH274" s="38">
        <f t="shared" si="487"/>
        <v>0</v>
      </c>
      <c r="EI274" s="38">
        <f t="shared" si="488"/>
        <v>0</v>
      </c>
      <c r="EJ274" s="38">
        <f t="shared" si="489"/>
        <v>0</v>
      </c>
      <c r="EK274" s="38">
        <f t="shared" si="490"/>
        <v>0</v>
      </c>
      <c r="EL274" s="38">
        <f t="shared" si="491"/>
        <v>0</v>
      </c>
      <c r="EM274" s="38">
        <f t="shared" si="492"/>
        <v>0</v>
      </c>
      <c r="EN274" s="38">
        <f t="shared" si="493"/>
        <v>0</v>
      </c>
      <c r="EO274" s="38">
        <f t="shared" si="494"/>
        <v>0</v>
      </c>
      <c r="EP274" s="38">
        <f t="shared" si="495"/>
        <v>1246.6196096767997</v>
      </c>
      <c r="EQ274" s="38">
        <f t="shared" si="496"/>
        <v>0</v>
      </c>
      <c r="ER274" s="38">
        <f t="shared" si="497"/>
        <v>0</v>
      </c>
      <c r="ES274" s="38">
        <f t="shared" si="498"/>
        <v>0</v>
      </c>
      <c r="ET274" s="38">
        <f t="shared" si="499"/>
        <v>0</v>
      </c>
      <c r="EU274" s="38">
        <f t="shared" si="500"/>
        <v>0</v>
      </c>
      <c r="EV274" s="38">
        <f t="shared" si="501"/>
        <v>0</v>
      </c>
      <c r="EW274" s="38">
        <f t="shared" si="502"/>
        <v>0</v>
      </c>
      <c r="EX274" s="38">
        <f t="shared" si="503"/>
        <v>0</v>
      </c>
      <c r="EZ274" s="38">
        <f t="shared" si="504"/>
        <v>0</v>
      </c>
      <c r="FA274" s="38">
        <f t="shared" si="505"/>
        <v>0</v>
      </c>
      <c r="FB274" s="1">
        <f t="shared" si="506"/>
        <v>0</v>
      </c>
      <c r="FC274" s="1">
        <f t="shared" si="507"/>
        <v>0</v>
      </c>
      <c r="FD274" s="1">
        <f t="shared" si="508"/>
        <v>0</v>
      </c>
      <c r="FE274" s="1">
        <f t="shared" si="509"/>
        <v>0</v>
      </c>
      <c r="FF274" s="1">
        <f t="shared" si="510"/>
        <v>0</v>
      </c>
      <c r="FG274" s="1">
        <f t="shared" si="511"/>
        <v>0</v>
      </c>
      <c r="FH274" s="1">
        <f t="shared" si="512"/>
        <v>0</v>
      </c>
      <c r="FI274" s="1">
        <f t="shared" si="513"/>
        <v>0</v>
      </c>
      <c r="FJ274" s="1">
        <f t="shared" si="514"/>
        <v>0</v>
      </c>
      <c r="FK274" s="1">
        <f t="shared" si="515"/>
        <v>0</v>
      </c>
      <c r="FL274" s="1">
        <f t="shared" si="516"/>
        <v>0</v>
      </c>
      <c r="FM274" s="1">
        <f t="shared" si="517"/>
        <v>0</v>
      </c>
      <c r="FN274" s="1">
        <f t="shared" si="518"/>
        <v>0</v>
      </c>
      <c r="FO274" s="1">
        <f t="shared" si="519"/>
        <v>0</v>
      </c>
      <c r="FP274" s="1">
        <f t="shared" si="520"/>
        <v>0</v>
      </c>
      <c r="FQ274" s="1">
        <f t="shared" si="521"/>
        <v>0</v>
      </c>
      <c r="FS274" s="1">
        <f t="shared" si="522"/>
        <v>0</v>
      </c>
      <c r="FT274" s="1">
        <f t="shared" si="523"/>
        <v>0</v>
      </c>
      <c r="FU274" s="38">
        <f t="shared" si="524"/>
        <v>0</v>
      </c>
      <c r="FV274" s="38">
        <f t="shared" si="525"/>
        <v>0</v>
      </c>
      <c r="FW274" s="38">
        <f t="shared" si="526"/>
        <v>0</v>
      </c>
      <c r="FX274" s="38">
        <f t="shared" si="527"/>
        <v>0</v>
      </c>
      <c r="FY274" s="38">
        <f t="shared" si="528"/>
        <v>0</v>
      </c>
      <c r="FZ274" s="38">
        <f t="shared" si="529"/>
        <v>0</v>
      </c>
      <c r="GA274" s="38">
        <f t="shared" si="530"/>
        <v>0</v>
      </c>
      <c r="GB274" s="38">
        <f t="shared" si="531"/>
        <v>0</v>
      </c>
      <c r="GC274" s="38">
        <f t="shared" si="532"/>
        <v>0</v>
      </c>
      <c r="GD274" s="38">
        <f t="shared" si="533"/>
        <v>0</v>
      </c>
      <c r="GE274" s="38">
        <f t="shared" si="534"/>
        <v>0</v>
      </c>
      <c r="GF274" s="38">
        <f t="shared" si="535"/>
        <v>0</v>
      </c>
      <c r="GG274" s="38">
        <f t="shared" si="536"/>
        <v>0</v>
      </c>
      <c r="GH274" s="38">
        <f t="shared" si="537"/>
        <v>0</v>
      </c>
      <c r="GI274" s="38">
        <f t="shared" si="538"/>
        <v>0</v>
      </c>
      <c r="GJ274" s="38">
        <f t="shared" si="539"/>
        <v>0</v>
      </c>
      <c r="GL274" s="38">
        <f t="shared" si="540"/>
        <v>0</v>
      </c>
      <c r="GM274" s="38">
        <f t="shared" si="541"/>
        <v>0</v>
      </c>
      <c r="GN274" s="1" t="s">
        <v>2</v>
      </c>
      <c r="GO274" s="14">
        <f t="shared" si="549"/>
        <v>13.321792</v>
      </c>
      <c r="GP274" s="13">
        <f t="shared" si="550"/>
        <v>0.71356924954240375</v>
      </c>
      <c r="GQ274" s="41">
        <f t="shared" si="551"/>
        <v>95.060211199999969</v>
      </c>
      <c r="GR274" s="41">
        <f t="shared" si="552"/>
        <v>1246.6196096767997</v>
      </c>
      <c r="GS274" s="14">
        <f t="shared" si="553"/>
        <v>93.577471384990815</v>
      </c>
      <c r="GT274" s="1">
        <f t="shared" si="542"/>
        <v>0</v>
      </c>
      <c r="GU274" s="1">
        <f t="shared" si="543"/>
        <v>0</v>
      </c>
      <c r="GV274" s="1">
        <f t="shared" si="544"/>
        <v>95.060211199999969</v>
      </c>
      <c r="GW274" s="37">
        <f t="shared" si="554"/>
        <v>0</v>
      </c>
      <c r="GX274" s="37"/>
      <c r="GY274" s="37"/>
      <c r="GZ274" s="37"/>
      <c r="HB274" s="1">
        <f t="shared" si="545"/>
        <v>0</v>
      </c>
      <c r="HC274" s="1">
        <f t="shared" si="546"/>
        <v>0</v>
      </c>
      <c r="HD274" s="37" t="s">
        <v>2</v>
      </c>
      <c r="HE274" s="1" t="s">
        <v>31</v>
      </c>
      <c r="HF274" s="1" t="s">
        <v>205</v>
      </c>
      <c r="HG274" s="1" t="s">
        <v>205</v>
      </c>
      <c r="HI274" s="1" t="s">
        <v>163</v>
      </c>
      <c r="HJ274" s="37" t="s">
        <v>2</v>
      </c>
      <c r="JH274" s="58" t="s">
        <v>2</v>
      </c>
    </row>
    <row r="275" spans="1:268" ht="16.25" customHeight="1" x14ac:dyDescent="0.2">
      <c r="A275" s="21" t="s">
        <v>881</v>
      </c>
      <c r="B275" s="1" t="s">
        <v>69</v>
      </c>
      <c r="F275" s="1" t="s">
        <v>131</v>
      </c>
      <c r="I275" s="1">
        <v>0</v>
      </c>
      <c r="AD275" s="1">
        <v>0</v>
      </c>
      <c r="AY275" s="1">
        <v>44.4</v>
      </c>
      <c r="BG275" s="1" t="s">
        <v>882</v>
      </c>
      <c r="BH275" s="1">
        <v>0.08</v>
      </c>
      <c r="BT275" s="1">
        <v>0</v>
      </c>
      <c r="CO275" s="1">
        <v>0</v>
      </c>
      <c r="DJ275" s="1" t="s">
        <v>163</v>
      </c>
      <c r="DK275" s="1" t="s">
        <v>163</v>
      </c>
      <c r="DL275" s="1">
        <f t="shared" si="547"/>
        <v>0.89</v>
      </c>
      <c r="DM275" s="1">
        <f t="shared" si="548"/>
        <v>0.08</v>
      </c>
      <c r="DN275" s="1" t="s">
        <v>471</v>
      </c>
      <c r="DO275" s="1" t="s">
        <v>2</v>
      </c>
      <c r="DP275" s="38">
        <f t="shared" si="470"/>
        <v>0</v>
      </c>
      <c r="DQ275" s="38">
        <f t="shared" si="471"/>
        <v>0</v>
      </c>
      <c r="DR275" s="38">
        <f t="shared" si="472"/>
        <v>0</v>
      </c>
      <c r="DS275" s="38">
        <f t="shared" si="473"/>
        <v>0</v>
      </c>
      <c r="DT275" s="38">
        <f t="shared" si="474"/>
        <v>0</v>
      </c>
      <c r="DU275" s="38">
        <f t="shared" si="475"/>
        <v>0</v>
      </c>
      <c r="DV275" s="38">
        <f t="shared" si="476"/>
        <v>0</v>
      </c>
      <c r="DW275" s="38">
        <f t="shared" si="477"/>
        <v>0.39515999999999996</v>
      </c>
      <c r="DX275" s="38">
        <f t="shared" si="478"/>
        <v>3.5520000000000003E-2</v>
      </c>
      <c r="DY275" s="38">
        <f t="shared" si="479"/>
        <v>0</v>
      </c>
      <c r="DZ275" s="38">
        <f t="shared" si="480"/>
        <v>0</v>
      </c>
      <c r="EA275" s="38">
        <f t="shared" si="481"/>
        <v>0</v>
      </c>
      <c r="EB275" s="38">
        <f t="shared" si="482"/>
        <v>0</v>
      </c>
      <c r="EC275" s="38">
        <f t="shared" si="483"/>
        <v>0</v>
      </c>
      <c r="ED275" s="38">
        <f t="shared" si="484"/>
        <v>0</v>
      </c>
      <c r="EE275" s="38">
        <f t="shared" si="485"/>
        <v>0</v>
      </c>
      <c r="EG275" s="38">
        <f t="shared" si="486"/>
        <v>0</v>
      </c>
      <c r="EH275" s="38">
        <f t="shared" si="487"/>
        <v>0</v>
      </c>
      <c r="EI275" s="38">
        <f t="shared" si="488"/>
        <v>0</v>
      </c>
      <c r="EJ275" s="38">
        <f t="shared" si="489"/>
        <v>0</v>
      </c>
      <c r="EK275" s="38">
        <f t="shared" si="490"/>
        <v>0</v>
      </c>
      <c r="EL275" s="38">
        <f t="shared" si="491"/>
        <v>0</v>
      </c>
      <c r="EM275" s="38">
        <f t="shared" si="492"/>
        <v>0</v>
      </c>
      <c r="EN275" s="38">
        <f t="shared" si="493"/>
        <v>0</v>
      </c>
      <c r="EO275" s="38">
        <f t="shared" si="494"/>
        <v>0</v>
      </c>
      <c r="EP275" s="38">
        <f t="shared" si="495"/>
        <v>5182.1282399999991</v>
      </c>
      <c r="EQ275" s="38">
        <f t="shared" si="496"/>
        <v>2579.4454924799998</v>
      </c>
      <c r="ER275" s="38">
        <f t="shared" si="497"/>
        <v>0</v>
      </c>
      <c r="ES275" s="38">
        <f t="shared" si="498"/>
        <v>0</v>
      </c>
      <c r="ET275" s="38">
        <f t="shared" si="499"/>
        <v>0</v>
      </c>
      <c r="EU275" s="38">
        <f t="shared" si="500"/>
        <v>0</v>
      </c>
      <c r="EV275" s="38">
        <f t="shared" si="501"/>
        <v>0</v>
      </c>
      <c r="EW275" s="38">
        <f t="shared" si="502"/>
        <v>0</v>
      </c>
      <c r="EX275" s="38">
        <f t="shared" si="503"/>
        <v>0</v>
      </c>
      <c r="EZ275" s="38">
        <f t="shared" si="504"/>
        <v>0</v>
      </c>
      <c r="FA275" s="38">
        <f t="shared" si="505"/>
        <v>0</v>
      </c>
      <c r="FB275" s="1">
        <f t="shared" si="506"/>
        <v>0</v>
      </c>
      <c r="FC275" s="1">
        <f t="shared" si="507"/>
        <v>0</v>
      </c>
      <c r="FD275" s="1">
        <f t="shared" si="508"/>
        <v>0</v>
      </c>
      <c r="FE275" s="1">
        <f t="shared" si="509"/>
        <v>0</v>
      </c>
      <c r="FF275" s="1">
        <f t="shared" si="510"/>
        <v>0</v>
      </c>
      <c r="FG275" s="1">
        <f t="shared" si="511"/>
        <v>0</v>
      </c>
      <c r="FH275" s="1">
        <f t="shared" si="512"/>
        <v>0</v>
      </c>
      <c r="FI275" s="1">
        <f t="shared" si="513"/>
        <v>0</v>
      </c>
      <c r="FJ275" s="1">
        <f t="shared" si="514"/>
        <v>0</v>
      </c>
      <c r="FK275" s="1">
        <f t="shared" si="515"/>
        <v>0</v>
      </c>
      <c r="FL275" s="1">
        <f t="shared" si="516"/>
        <v>0</v>
      </c>
      <c r="FM275" s="1">
        <f t="shared" si="517"/>
        <v>0</v>
      </c>
      <c r="FN275" s="1">
        <f t="shared" si="518"/>
        <v>0</v>
      </c>
      <c r="FO275" s="1">
        <f t="shared" si="519"/>
        <v>0</v>
      </c>
      <c r="FP275" s="1">
        <f t="shared" si="520"/>
        <v>0</v>
      </c>
      <c r="FQ275" s="1">
        <f t="shared" si="521"/>
        <v>0</v>
      </c>
      <c r="FS275" s="1">
        <f t="shared" si="522"/>
        <v>0</v>
      </c>
      <c r="FT275" s="1">
        <f t="shared" si="523"/>
        <v>0</v>
      </c>
      <c r="FU275" s="38">
        <f t="shared" si="524"/>
        <v>0</v>
      </c>
      <c r="FV275" s="38">
        <f t="shared" si="525"/>
        <v>0</v>
      </c>
      <c r="FW275" s="38">
        <f t="shared" si="526"/>
        <v>0</v>
      </c>
      <c r="FX275" s="38">
        <f t="shared" si="527"/>
        <v>0</v>
      </c>
      <c r="FY275" s="38">
        <f t="shared" si="528"/>
        <v>0</v>
      </c>
      <c r="FZ275" s="38">
        <f t="shared" si="529"/>
        <v>0</v>
      </c>
      <c r="GA275" s="38">
        <f t="shared" si="530"/>
        <v>0</v>
      </c>
      <c r="GB275" s="38">
        <f t="shared" si="531"/>
        <v>0</v>
      </c>
      <c r="GC275" s="38">
        <f t="shared" si="532"/>
        <v>0</v>
      </c>
      <c r="GD275" s="38">
        <f t="shared" si="533"/>
        <v>0</v>
      </c>
      <c r="GE275" s="38">
        <f t="shared" si="534"/>
        <v>0</v>
      </c>
      <c r="GF275" s="38">
        <f t="shared" si="535"/>
        <v>0</v>
      </c>
      <c r="GG275" s="38">
        <f t="shared" si="536"/>
        <v>0</v>
      </c>
      <c r="GH275" s="38">
        <f t="shared" si="537"/>
        <v>0</v>
      </c>
      <c r="GI275" s="38">
        <f t="shared" si="538"/>
        <v>0</v>
      </c>
      <c r="GJ275" s="38">
        <f t="shared" si="539"/>
        <v>0</v>
      </c>
      <c r="GL275" s="38">
        <f t="shared" si="540"/>
        <v>0</v>
      </c>
      <c r="GM275" s="38">
        <f t="shared" si="541"/>
        <v>0</v>
      </c>
      <c r="GN275" s="1" t="s">
        <v>2</v>
      </c>
      <c r="GO275" s="1">
        <f t="shared" si="549"/>
        <v>44.4</v>
      </c>
      <c r="GP275" s="1">
        <f t="shared" si="550"/>
        <v>0.89</v>
      </c>
      <c r="GQ275" s="41">
        <f t="shared" si="551"/>
        <v>395.16</v>
      </c>
      <c r="GR275" s="41">
        <f t="shared" si="552"/>
        <v>7761.5737324799993</v>
      </c>
      <c r="GS275" s="14">
        <f t="shared" si="553"/>
        <v>174.81021919999998</v>
      </c>
      <c r="GT275" s="1">
        <f t="shared" si="542"/>
        <v>0</v>
      </c>
      <c r="GU275" s="1">
        <f t="shared" si="543"/>
        <v>0</v>
      </c>
      <c r="GV275" s="1">
        <f t="shared" si="544"/>
        <v>395.16</v>
      </c>
      <c r="GW275" s="37">
        <f t="shared" si="554"/>
        <v>0</v>
      </c>
      <c r="GX275" s="37"/>
      <c r="GY275" s="37"/>
      <c r="GZ275" s="37"/>
      <c r="HB275" s="1">
        <f t="shared" si="545"/>
        <v>0</v>
      </c>
      <c r="HC275" s="1">
        <f t="shared" si="546"/>
        <v>0</v>
      </c>
      <c r="HD275" s="37" t="s">
        <v>2</v>
      </c>
      <c r="HE275" s="1" t="s">
        <v>31</v>
      </c>
      <c r="HF275" s="1" t="s">
        <v>205</v>
      </c>
      <c r="HG275" s="1" t="s">
        <v>205</v>
      </c>
      <c r="HI275" s="1" t="s">
        <v>163</v>
      </c>
      <c r="HJ275" s="37" t="s">
        <v>2</v>
      </c>
      <c r="JH275" s="58" t="s">
        <v>2</v>
      </c>
    </row>
    <row r="276" spans="1:268" ht="16.25" customHeight="1" x14ac:dyDescent="0.2">
      <c r="A276" s="21" t="s">
        <v>883</v>
      </c>
      <c r="B276" s="1" t="s">
        <v>69</v>
      </c>
      <c r="F276" s="1" t="s">
        <v>131</v>
      </c>
      <c r="I276" s="1">
        <v>0</v>
      </c>
      <c r="AD276" s="1">
        <v>0</v>
      </c>
      <c r="AY276" s="1">
        <v>22.7</v>
      </c>
      <c r="BG276" s="1" t="s">
        <v>884</v>
      </c>
      <c r="BH276" s="1">
        <v>0.12</v>
      </c>
      <c r="BT276" s="1">
        <v>0</v>
      </c>
      <c r="CO276" s="1">
        <v>0</v>
      </c>
      <c r="DJ276" s="1" t="s">
        <v>163</v>
      </c>
      <c r="DK276" s="1" t="s">
        <v>163</v>
      </c>
      <c r="DL276" s="1">
        <f t="shared" si="547"/>
        <v>0.81</v>
      </c>
      <c r="DM276" s="1">
        <f t="shared" si="548"/>
        <v>0.12</v>
      </c>
      <c r="DN276" s="1" t="s">
        <v>471</v>
      </c>
      <c r="DO276" s="1" t="s">
        <v>2</v>
      </c>
      <c r="DP276" s="38">
        <f t="shared" si="470"/>
        <v>0</v>
      </c>
      <c r="DQ276" s="38">
        <f t="shared" si="471"/>
        <v>0</v>
      </c>
      <c r="DR276" s="38">
        <f t="shared" si="472"/>
        <v>0</v>
      </c>
      <c r="DS276" s="38">
        <f t="shared" si="473"/>
        <v>0</v>
      </c>
      <c r="DT276" s="38">
        <f t="shared" si="474"/>
        <v>0</v>
      </c>
      <c r="DU276" s="38">
        <f t="shared" si="475"/>
        <v>0</v>
      </c>
      <c r="DV276" s="38">
        <f t="shared" si="476"/>
        <v>0</v>
      </c>
      <c r="DW276" s="38">
        <f t="shared" si="477"/>
        <v>0.18387000000000001</v>
      </c>
      <c r="DX276" s="38">
        <f t="shared" si="478"/>
        <v>2.7239999999999997E-2</v>
      </c>
      <c r="DY276" s="38">
        <f t="shared" si="479"/>
        <v>0</v>
      </c>
      <c r="DZ276" s="38">
        <f t="shared" si="480"/>
        <v>0</v>
      </c>
      <c r="EA276" s="38">
        <f t="shared" si="481"/>
        <v>0</v>
      </c>
      <c r="EB276" s="38">
        <f t="shared" si="482"/>
        <v>0</v>
      </c>
      <c r="EC276" s="38">
        <f t="shared" si="483"/>
        <v>0</v>
      </c>
      <c r="ED276" s="38">
        <f t="shared" si="484"/>
        <v>0</v>
      </c>
      <c r="EE276" s="38">
        <f t="shared" si="485"/>
        <v>0</v>
      </c>
      <c r="EG276" s="38">
        <f t="shared" si="486"/>
        <v>0</v>
      </c>
      <c r="EH276" s="38">
        <f t="shared" si="487"/>
        <v>0</v>
      </c>
      <c r="EI276" s="38">
        <f t="shared" si="488"/>
        <v>0</v>
      </c>
      <c r="EJ276" s="38">
        <f t="shared" si="489"/>
        <v>0</v>
      </c>
      <c r="EK276" s="38">
        <f t="shared" si="490"/>
        <v>0</v>
      </c>
      <c r="EL276" s="38">
        <f t="shared" si="491"/>
        <v>0</v>
      </c>
      <c r="EM276" s="38">
        <f t="shared" si="492"/>
        <v>0</v>
      </c>
      <c r="EN276" s="38">
        <f t="shared" si="493"/>
        <v>0</v>
      </c>
      <c r="EO276" s="38">
        <f t="shared" si="494"/>
        <v>0</v>
      </c>
      <c r="EP276" s="38">
        <f t="shared" si="495"/>
        <v>2411.2711800000002</v>
      </c>
      <c r="EQ276" s="38">
        <f t="shared" si="496"/>
        <v>1978.1558337599995</v>
      </c>
      <c r="ER276" s="38">
        <f t="shared" si="497"/>
        <v>0</v>
      </c>
      <c r="ES276" s="38">
        <f t="shared" si="498"/>
        <v>0</v>
      </c>
      <c r="ET276" s="38">
        <f t="shared" si="499"/>
        <v>0</v>
      </c>
      <c r="EU276" s="38">
        <f t="shared" si="500"/>
        <v>0</v>
      </c>
      <c r="EV276" s="38">
        <f t="shared" si="501"/>
        <v>0</v>
      </c>
      <c r="EW276" s="38">
        <f t="shared" si="502"/>
        <v>0</v>
      </c>
      <c r="EX276" s="38">
        <f t="shared" si="503"/>
        <v>0</v>
      </c>
      <c r="EZ276" s="38">
        <f t="shared" si="504"/>
        <v>0</v>
      </c>
      <c r="FA276" s="38">
        <f t="shared" si="505"/>
        <v>0</v>
      </c>
      <c r="FB276" s="1">
        <f t="shared" si="506"/>
        <v>0</v>
      </c>
      <c r="FC276" s="1">
        <f t="shared" si="507"/>
        <v>0</v>
      </c>
      <c r="FD276" s="1">
        <f t="shared" si="508"/>
        <v>0</v>
      </c>
      <c r="FE276" s="1">
        <f t="shared" si="509"/>
        <v>0</v>
      </c>
      <c r="FF276" s="1">
        <f t="shared" si="510"/>
        <v>0</v>
      </c>
      <c r="FG276" s="1">
        <f t="shared" si="511"/>
        <v>0</v>
      </c>
      <c r="FH276" s="1">
        <f t="shared" si="512"/>
        <v>0</v>
      </c>
      <c r="FI276" s="1">
        <f t="shared" si="513"/>
        <v>0</v>
      </c>
      <c r="FJ276" s="1">
        <f t="shared" si="514"/>
        <v>0</v>
      </c>
      <c r="FK276" s="1">
        <f t="shared" si="515"/>
        <v>0</v>
      </c>
      <c r="FL276" s="1">
        <f t="shared" si="516"/>
        <v>0</v>
      </c>
      <c r="FM276" s="1">
        <f t="shared" si="517"/>
        <v>0</v>
      </c>
      <c r="FN276" s="1">
        <f t="shared" si="518"/>
        <v>0</v>
      </c>
      <c r="FO276" s="1">
        <f t="shared" si="519"/>
        <v>0</v>
      </c>
      <c r="FP276" s="1">
        <f t="shared" si="520"/>
        <v>0</v>
      </c>
      <c r="FQ276" s="1">
        <f t="shared" si="521"/>
        <v>0</v>
      </c>
      <c r="FS276" s="1">
        <f t="shared" si="522"/>
        <v>0</v>
      </c>
      <c r="FT276" s="1">
        <f t="shared" si="523"/>
        <v>0</v>
      </c>
      <c r="FU276" s="38">
        <f t="shared" si="524"/>
        <v>0</v>
      </c>
      <c r="FV276" s="38">
        <f t="shared" si="525"/>
        <v>0</v>
      </c>
      <c r="FW276" s="38">
        <f t="shared" si="526"/>
        <v>0</v>
      </c>
      <c r="FX276" s="38">
        <f t="shared" si="527"/>
        <v>0</v>
      </c>
      <c r="FY276" s="38">
        <f t="shared" si="528"/>
        <v>0</v>
      </c>
      <c r="FZ276" s="38">
        <f t="shared" si="529"/>
        <v>0</v>
      </c>
      <c r="GA276" s="38">
        <f t="shared" si="530"/>
        <v>0</v>
      </c>
      <c r="GB276" s="38">
        <f t="shared" si="531"/>
        <v>0</v>
      </c>
      <c r="GC276" s="38">
        <f t="shared" si="532"/>
        <v>0</v>
      </c>
      <c r="GD276" s="38">
        <f t="shared" si="533"/>
        <v>0</v>
      </c>
      <c r="GE276" s="38">
        <f t="shared" si="534"/>
        <v>0</v>
      </c>
      <c r="GF276" s="38">
        <f t="shared" si="535"/>
        <v>0</v>
      </c>
      <c r="GG276" s="38">
        <f t="shared" si="536"/>
        <v>0</v>
      </c>
      <c r="GH276" s="38">
        <f t="shared" si="537"/>
        <v>0</v>
      </c>
      <c r="GI276" s="38">
        <f t="shared" si="538"/>
        <v>0</v>
      </c>
      <c r="GJ276" s="38">
        <f t="shared" si="539"/>
        <v>0</v>
      </c>
      <c r="GL276" s="38">
        <f t="shared" si="540"/>
        <v>0</v>
      </c>
      <c r="GM276" s="38">
        <f t="shared" si="541"/>
        <v>0</v>
      </c>
      <c r="GN276" s="1" t="s">
        <v>2</v>
      </c>
      <c r="GO276" s="1">
        <f t="shared" si="549"/>
        <v>22.7</v>
      </c>
      <c r="GP276" s="1">
        <f t="shared" si="550"/>
        <v>0.81</v>
      </c>
      <c r="GQ276" s="41">
        <f t="shared" si="551"/>
        <v>183.87</v>
      </c>
      <c r="GR276" s="41">
        <f t="shared" si="552"/>
        <v>4389.4270137599997</v>
      </c>
      <c r="GS276" s="14">
        <f t="shared" si="553"/>
        <v>193.36682879999998</v>
      </c>
      <c r="GT276" s="1">
        <f t="shared" si="542"/>
        <v>0</v>
      </c>
      <c r="GU276" s="1">
        <f t="shared" si="543"/>
        <v>0</v>
      </c>
      <c r="GV276" s="1">
        <f t="shared" si="544"/>
        <v>183.87</v>
      </c>
      <c r="GW276" s="37">
        <f t="shared" si="554"/>
        <v>0</v>
      </c>
      <c r="GX276" s="37"/>
      <c r="GY276" s="37"/>
      <c r="GZ276" s="37"/>
      <c r="HB276" s="1">
        <f t="shared" si="545"/>
        <v>0</v>
      </c>
      <c r="HC276" s="1">
        <f t="shared" si="546"/>
        <v>0</v>
      </c>
      <c r="HD276" s="37" t="s">
        <v>2</v>
      </c>
      <c r="HE276" s="1" t="s">
        <v>31</v>
      </c>
      <c r="HF276" s="1" t="s">
        <v>205</v>
      </c>
      <c r="HG276" s="1" t="s">
        <v>205</v>
      </c>
      <c r="HI276" s="1" t="s">
        <v>163</v>
      </c>
      <c r="HJ276" s="37" t="s">
        <v>2</v>
      </c>
      <c r="JH276" s="58" t="s">
        <v>2</v>
      </c>
    </row>
    <row r="277" spans="1:268" ht="16.25" customHeight="1" x14ac:dyDescent="0.2">
      <c r="A277" s="21" t="s">
        <v>885</v>
      </c>
      <c r="B277" s="1" t="s">
        <v>69</v>
      </c>
      <c r="F277" s="1" t="s">
        <v>131</v>
      </c>
      <c r="I277" s="1">
        <v>0</v>
      </c>
      <c r="AD277" s="1">
        <v>0</v>
      </c>
      <c r="AY277" s="14">
        <f>(4.8+1.1)*0.9072</f>
        <v>5.3524800000000008</v>
      </c>
      <c r="BG277" s="13">
        <f>(0.85*4.8+0.71*1.1)/(4.8+1.1)</f>
        <v>0.82389830508474571</v>
      </c>
      <c r="BH277" s="13">
        <f>(0.07*4.8+0.06*1.1)/(4.8+1.1)</f>
        <v>6.8135593220338977E-2</v>
      </c>
      <c r="BN277" s="13">
        <f>(0.58*4.8+0.34*1.1)/(4.8+1.1)</f>
        <v>0.53525423728813559</v>
      </c>
      <c r="BO277" s="13">
        <f>(20.76*4.8+12.47*1.1)/(4.8+1.1)</f>
        <v>19.214406779661019</v>
      </c>
      <c r="BT277" s="1">
        <v>0</v>
      </c>
      <c r="CO277" s="1">
        <v>0</v>
      </c>
      <c r="DJ277" s="1" t="s">
        <v>163</v>
      </c>
      <c r="DK277" s="1" t="s">
        <v>163</v>
      </c>
      <c r="DL277" s="1">
        <f t="shared" si="547"/>
        <v>0.82389830508474582</v>
      </c>
      <c r="DM277" s="1">
        <f t="shared" si="548"/>
        <v>6.8135593220338977E-2</v>
      </c>
      <c r="DN277" s="1" t="s">
        <v>886</v>
      </c>
      <c r="DO277" s="1" t="s">
        <v>2</v>
      </c>
      <c r="DP277" s="38">
        <f t="shared" si="470"/>
        <v>0</v>
      </c>
      <c r="DQ277" s="38">
        <f t="shared" si="471"/>
        <v>0</v>
      </c>
      <c r="DR277" s="38">
        <f t="shared" si="472"/>
        <v>0</v>
      </c>
      <c r="DS277" s="38">
        <f t="shared" si="473"/>
        <v>0</v>
      </c>
      <c r="DT277" s="38">
        <f t="shared" si="474"/>
        <v>0</v>
      </c>
      <c r="DU277" s="38">
        <f t="shared" si="475"/>
        <v>0</v>
      </c>
      <c r="DV277" s="38">
        <f t="shared" si="476"/>
        <v>0</v>
      </c>
      <c r="DW277" s="38">
        <f t="shared" si="477"/>
        <v>4.409899200000001E-2</v>
      </c>
      <c r="DX277" s="38">
        <f t="shared" si="478"/>
        <v>3.6469440000000005E-3</v>
      </c>
      <c r="DY277" s="38">
        <f t="shared" si="479"/>
        <v>0</v>
      </c>
      <c r="DZ277" s="38">
        <f t="shared" si="480"/>
        <v>0</v>
      </c>
      <c r="EA277" s="38">
        <f t="shared" si="481"/>
        <v>0</v>
      </c>
      <c r="EB277" s="38">
        <f t="shared" si="482"/>
        <v>0</v>
      </c>
      <c r="EC277" s="38">
        <f t="shared" si="483"/>
        <v>0</v>
      </c>
      <c r="ED277" s="38">
        <f t="shared" si="484"/>
        <v>2.8649376000000008E-2</v>
      </c>
      <c r="EE277" s="38">
        <f t="shared" si="485"/>
        <v>1.0284472800000002</v>
      </c>
      <c r="EG277" s="38">
        <f t="shared" si="486"/>
        <v>0</v>
      </c>
      <c r="EH277" s="38">
        <f t="shared" si="487"/>
        <v>0</v>
      </c>
      <c r="EI277" s="38">
        <f t="shared" si="488"/>
        <v>0</v>
      </c>
      <c r="EJ277" s="38">
        <f t="shared" si="489"/>
        <v>0</v>
      </c>
      <c r="EK277" s="38">
        <f t="shared" si="490"/>
        <v>0</v>
      </c>
      <c r="EL277" s="38">
        <f t="shared" si="491"/>
        <v>0</v>
      </c>
      <c r="EM277" s="38">
        <f t="shared" si="492"/>
        <v>0</v>
      </c>
      <c r="EN277" s="38">
        <f t="shared" si="493"/>
        <v>0</v>
      </c>
      <c r="EO277" s="38">
        <f t="shared" si="494"/>
        <v>0</v>
      </c>
      <c r="EP277" s="38">
        <f t="shared" si="495"/>
        <v>578.31418108800017</v>
      </c>
      <c r="EQ277" s="38">
        <f t="shared" si="496"/>
        <v>264.83933733465602</v>
      </c>
      <c r="ER277" s="38">
        <f t="shared" si="497"/>
        <v>0</v>
      </c>
      <c r="ES277" s="38">
        <f t="shared" si="498"/>
        <v>0</v>
      </c>
      <c r="ET277" s="38">
        <f t="shared" si="499"/>
        <v>0</v>
      </c>
      <c r="EU277" s="38">
        <f t="shared" si="500"/>
        <v>0</v>
      </c>
      <c r="EV277" s="38">
        <f t="shared" si="501"/>
        <v>0</v>
      </c>
      <c r="EW277" s="38">
        <f t="shared" si="502"/>
        <v>7.9931759040000019</v>
      </c>
      <c r="EX277" s="38">
        <f t="shared" si="503"/>
        <v>95.645597040000013</v>
      </c>
      <c r="EZ277" s="38">
        <f t="shared" si="504"/>
        <v>0</v>
      </c>
      <c r="FA277" s="38">
        <f t="shared" si="505"/>
        <v>0</v>
      </c>
      <c r="FB277" s="1">
        <f t="shared" si="506"/>
        <v>0</v>
      </c>
      <c r="FC277" s="1">
        <f t="shared" si="507"/>
        <v>0</v>
      </c>
      <c r="FD277" s="1">
        <f t="shared" si="508"/>
        <v>0</v>
      </c>
      <c r="FE277" s="1">
        <f t="shared" si="509"/>
        <v>0</v>
      </c>
      <c r="FF277" s="1">
        <f t="shared" si="510"/>
        <v>0</v>
      </c>
      <c r="FG277" s="1">
        <f t="shared" si="511"/>
        <v>0</v>
      </c>
      <c r="FH277" s="1">
        <f t="shared" si="512"/>
        <v>0</v>
      </c>
      <c r="FI277" s="1">
        <f t="shared" si="513"/>
        <v>0</v>
      </c>
      <c r="FJ277" s="1">
        <f t="shared" si="514"/>
        <v>0</v>
      </c>
      <c r="FK277" s="1">
        <f t="shared" si="515"/>
        <v>0</v>
      </c>
      <c r="FL277" s="1">
        <f t="shared" si="516"/>
        <v>0</v>
      </c>
      <c r="FM277" s="1">
        <f t="shared" si="517"/>
        <v>0</v>
      </c>
      <c r="FN277" s="1">
        <f t="shared" si="518"/>
        <v>0</v>
      </c>
      <c r="FO277" s="1">
        <f t="shared" si="519"/>
        <v>0</v>
      </c>
      <c r="FP277" s="1">
        <f t="shared" si="520"/>
        <v>0</v>
      </c>
      <c r="FQ277" s="1">
        <f t="shared" si="521"/>
        <v>0</v>
      </c>
      <c r="FS277" s="1">
        <f t="shared" si="522"/>
        <v>0</v>
      </c>
      <c r="FT277" s="1">
        <f t="shared" si="523"/>
        <v>0</v>
      </c>
      <c r="FU277" s="38">
        <f t="shared" si="524"/>
        <v>0</v>
      </c>
      <c r="FV277" s="38">
        <f t="shared" si="525"/>
        <v>0</v>
      </c>
      <c r="FW277" s="38">
        <f t="shared" si="526"/>
        <v>0</v>
      </c>
      <c r="FX277" s="38">
        <f t="shared" si="527"/>
        <v>0</v>
      </c>
      <c r="FY277" s="38">
        <f t="shared" si="528"/>
        <v>0</v>
      </c>
      <c r="FZ277" s="38">
        <f t="shared" si="529"/>
        <v>0</v>
      </c>
      <c r="GA277" s="38">
        <f t="shared" si="530"/>
        <v>0</v>
      </c>
      <c r="GB277" s="38">
        <f t="shared" si="531"/>
        <v>0</v>
      </c>
      <c r="GC277" s="38">
        <f t="shared" si="532"/>
        <v>0</v>
      </c>
      <c r="GD277" s="38">
        <f t="shared" si="533"/>
        <v>0</v>
      </c>
      <c r="GE277" s="38">
        <f t="shared" si="534"/>
        <v>0</v>
      </c>
      <c r="GF277" s="38">
        <f t="shared" si="535"/>
        <v>0</v>
      </c>
      <c r="GG277" s="38">
        <f t="shared" si="536"/>
        <v>0</v>
      </c>
      <c r="GH277" s="38">
        <f t="shared" si="537"/>
        <v>0</v>
      </c>
      <c r="GI277" s="38">
        <f t="shared" si="538"/>
        <v>0</v>
      </c>
      <c r="GJ277" s="38">
        <f t="shared" si="539"/>
        <v>0</v>
      </c>
      <c r="GL277" s="38">
        <f t="shared" si="540"/>
        <v>0</v>
      </c>
      <c r="GM277" s="38">
        <f t="shared" si="541"/>
        <v>0</v>
      </c>
      <c r="GN277" s="1" t="s">
        <v>2</v>
      </c>
      <c r="GO277" s="2">
        <f t="shared" si="549"/>
        <v>5.3524800000000008</v>
      </c>
      <c r="GP277" s="13">
        <f t="shared" si="550"/>
        <v>0.82389830508474582</v>
      </c>
      <c r="GQ277" s="41">
        <f t="shared" si="551"/>
        <v>44.09899200000001</v>
      </c>
      <c r="GR277" s="41">
        <f t="shared" si="552"/>
        <v>946.79229136665617</v>
      </c>
      <c r="GS277" s="14">
        <f t="shared" si="553"/>
        <v>176.88852482711866</v>
      </c>
      <c r="GT277" s="1">
        <f t="shared" si="542"/>
        <v>0</v>
      </c>
      <c r="GU277" s="1">
        <f t="shared" si="543"/>
        <v>0</v>
      </c>
      <c r="GV277" s="1">
        <f t="shared" si="544"/>
        <v>44.09899200000001</v>
      </c>
      <c r="GW277" s="37">
        <f t="shared" si="554"/>
        <v>0</v>
      </c>
      <c r="GX277" s="37"/>
      <c r="GY277" s="37"/>
      <c r="GZ277" s="37"/>
      <c r="HB277" s="1">
        <f t="shared" si="545"/>
        <v>0</v>
      </c>
      <c r="HC277" s="1">
        <f t="shared" si="546"/>
        <v>0</v>
      </c>
      <c r="HD277" s="37" t="s">
        <v>2</v>
      </c>
      <c r="HE277" s="1" t="s">
        <v>31</v>
      </c>
      <c r="HF277" s="1" t="s">
        <v>205</v>
      </c>
      <c r="HG277" s="1" t="s">
        <v>205</v>
      </c>
      <c r="HI277" s="1" t="s">
        <v>163</v>
      </c>
      <c r="HJ277" s="37" t="s">
        <v>2</v>
      </c>
      <c r="JH277" s="58" t="s">
        <v>2</v>
      </c>
    </row>
    <row r="278" spans="1:268" ht="16.25" customHeight="1" x14ac:dyDescent="0.2">
      <c r="A278" s="21" t="s">
        <v>887</v>
      </c>
      <c r="B278" s="1" t="s">
        <v>69</v>
      </c>
      <c r="F278" s="1" t="s">
        <v>131</v>
      </c>
      <c r="I278" s="1">
        <v>0</v>
      </c>
      <c r="AD278" s="1">
        <v>0</v>
      </c>
      <c r="AY278" s="14">
        <f>(5+5.6)*0.9072</f>
        <v>9.61632</v>
      </c>
      <c r="BG278" s="13">
        <f>(0.98*5+1.08*5.6)/(5+5.6)</f>
        <v>1.0328301886792453</v>
      </c>
      <c r="BH278" s="13">
        <f>(0.1*5+0.11*5.6)/(5+5.6)</f>
        <v>0.10528301886792454</v>
      </c>
      <c r="BN278" s="13">
        <f>(0.59*5+0.67*5.6)/(5+5.6)</f>
        <v>0.63226415094339627</v>
      </c>
      <c r="BO278" s="13">
        <f>(22.05*5+29.45*5.6)/(5+5.6)</f>
        <v>25.959433962264146</v>
      </c>
      <c r="BT278" s="1">
        <v>0</v>
      </c>
      <c r="CO278" s="1">
        <v>0</v>
      </c>
      <c r="DJ278" s="1" t="s">
        <v>163</v>
      </c>
      <c r="DK278" s="1" t="s">
        <v>163</v>
      </c>
      <c r="DL278" s="1">
        <f t="shared" si="547"/>
        <v>1.0328301886792453</v>
      </c>
      <c r="DM278" s="1">
        <f t="shared" si="548"/>
        <v>0.10528301886792454</v>
      </c>
      <c r="DN278" s="1" t="s">
        <v>886</v>
      </c>
      <c r="DO278" s="1" t="s">
        <v>2</v>
      </c>
      <c r="DP278" s="38">
        <f t="shared" si="470"/>
        <v>0</v>
      </c>
      <c r="DQ278" s="38">
        <f t="shared" si="471"/>
        <v>0</v>
      </c>
      <c r="DR278" s="38">
        <f t="shared" si="472"/>
        <v>0</v>
      </c>
      <c r="DS278" s="38">
        <f t="shared" si="473"/>
        <v>0</v>
      </c>
      <c r="DT278" s="38">
        <f t="shared" si="474"/>
        <v>0</v>
      </c>
      <c r="DU278" s="38">
        <f t="shared" si="475"/>
        <v>0</v>
      </c>
      <c r="DV278" s="38">
        <f t="shared" si="476"/>
        <v>0</v>
      </c>
      <c r="DW278" s="38">
        <f t="shared" si="477"/>
        <v>9.9320255999999996E-2</v>
      </c>
      <c r="DX278" s="38">
        <f t="shared" si="478"/>
        <v>1.0124352000000001E-2</v>
      </c>
      <c r="DY278" s="38">
        <f t="shared" si="479"/>
        <v>0</v>
      </c>
      <c r="DZ278" s="38">
        <f t="shared" si="480"/>
        <v>0</v>
      </c>
      <c r="EA278" s="38">
        <f t="shared" si="481"/>
        <v>0</v>
      </c>
      <c r="EB278" s="38">
        <f t="shared" si="482"/>
        <v>0</v>
      </c>
      <c r="EC278" s="38">
        <f t="shared" si="483"/>
        <v>0</v>
      </c>
      <c r="ED278" s="38">
        <f t="shared" si="484"/>
        <v>6.0800544000000005E-2</v>
      </c>
      <c r="EE278" s="38">
        <f t="shared" si="485"/>
        <v>2.4963422399999997</v>
      </c>
      <c r="EG278" s="38">
        <f t="shared" si="486"/>
        <v>0</v>
      </c>
      <c r="EH278" s="38">
        <f t="shared" si="487"/>
        <v>0</v>
      </c>
      <c r="EI278" s="38">
        <f t="shared" si="488"/>
        <v>0</v>
      </c>
      <c r="EJ278" s="38">
        <f t="shared" si="489"/>
        <v>0</v>
      </c>
      <c r="EK278" s="38">
        <f t="shared" si="490"/>
        <v>0</v>
      </c>
      <c r="EL278" s="38">
        <f t="shared" si="491"/>
        <v>0</v>
      </c>
      <c r="EM278" s="38">
        <f t="shared" si="492"/>
        <v>0</v>
      </c>
      <c r="EN278" s="38">
        <f t="shared" si="493"/>
        <v>0</v>
      </c>
      <c r="EO278" s="38">
        <f t="shared" si="494"/>
        <v>0</v>
      </c>
      <c r="EP278" s="38">
        <f t="shared" si="495"/>
        <v>1302.485837184</v>
      </c>
      <c r="EQ278" s="38">
        <f t="shared" si="496"/>
        <v>735.22562304844803</v>
      </c>
      <c r="ER278" s="38">
        <f t="shared" si="497"/>
        <v>0</v>
      </c>
      <c r="ES278" s="38">
        <f t="shared" si="498"/>
        <v>0</v>
      </c>
      <c r="ET278" s="38">
        <f t="shared" si="499"/>
        <v>0</v>
      </c>
      <c r="EU278" s="38">
        <f t="shared" si="500"/>
        <v>0</v>
      </c>
      <c r="EV278" s="38">
        <f t="shared" si="501"/>
        <v>0</v>
      </c>
      <c r="EW278" s="38">
        <f t="shared" si="502"/>
        <v>16.963351776</v>
      </c>
      <c r="EX278" s="38">
        <f t="shared" si="503"/>
        <v>232.15982831999997</v>
      </c>
      <c r="EZ278" s="38">
        <f t="shared" si="504"/>
        <v>0</v>
      </c>
      <c r="FA278" s="38">
        <f t="shared" si="505"/>
        <v>0</v>
      </c>
      <c r="FB278" s="1">
        <f t="shared" si="506"/>
        <v>0</v>
      </c>
      <c r="FC278" s="1">
        <f t="shared" si="507"/>
        <v>0</v>
      </c>
      <c r="FD278" s="1">
        <f t="shared" si="508"/>
        <v>0</v>
      </c>
      <c r="FE278" s="1">
        <f t="shared" si="509"/>
        <v>0</v>
      </c>
      <c r="FF278" s="1">
        <f t="shared" si="510"/>
        <v>0</v>
      </c>
      <c r="FG278" s="1">
        <f t="shared" si="511"/>
        <v>0</v>
      </c>
      <c r="FH278" s="1">
        <f t="shared" si="512"/>
        <v>0</v>
      </c>
      <c r="FI278" s="1">
        <f t="shared" si="513"/>
        <v>0</v>
      </c>
      <c r="FJ278" s="1">
        <f t="shared" si="514"/>
        <v>0</v>
      </c>
      <c r="FK278" s="1">
        <f t="shared" si="515"/>
        <v>0</v>
      </c>
      <c r="FL278" s="1">
        <f t="shared" si="516"/>
        <v>0</v>
      </c>
      <c r="FM278" s="1">
        <f t="shared" si="517"/>
        <v>0</v>
      </c>
      <c r="FN278" s="1">
        <f t="shared" si="518"/>
        <v>0</v>
      </c>
      <c r="FO278" s="1">
        <f t="shared" si="519"/>
        <v>0</v>
      </c>
      <c r="FP278" s="1">
        <f t="shared" si="520"/>
        <v>0</v>
      </c>
      <c r="FQ278" s="1">
        <f t="shared" si="521"/>
        <v>0</v>
      </c>
      <c r="FS278" s="1">
        <f t="shared" si="522"/>
        <v>0</v>
      </c>
      <c r="FT278" s="1">
        <f t="shared" si="523"/>
        <v>0</v>
      </c>
      <c r="FU278" s="38">
        <f t="shared" si="524"/>
        <v>0</v>
      </c>
      <c r="FV278" s="38">
        <f t="shared" si="525"/>
        <v>0</v>
      </c>
      <c r="FW278" s="38">
        <f t="shared" si="526"/>
        <v>0</v>
      </c>
      <c r="FX278" s="38">
        <f t="shared" si="527"/>
        <v>0</v>
      </c>
      <c r="FY278" s="38">
        <f t="shared" si="528"/>
        <v>0</v>
      </c>
      <c r="FZ278" s="38">
        <f t="shared" si="529"/>
        <v>0</v>
      </c>
      <c r="GA278" s="38">
        <f t="shared" si="530"/>
        <v>0</v>
      </c>
      <c r="GB278" s="38">
        <f t="shared" si="531"/>
        <v>0</v>
      </c>
      <c r="GC278" s="38">
        <f t="shared" si="532"/>
        <v>0</v>
      </c>
      <c r="GD278" s="38">
        <f t="shared" si="533"/>
        <v>0</v>
      </c>
      <c r="GE278" s="38">
        <f t="shared" si="534"/>
        <v>0</v>
      </c>
      <c r="GF278" s="38">
        <f t="shared" si="535"/>
        <v>0</v>
      </c>
      <c r="GG278" s="38">
        <f t="shared" si="536"/>
        <v>0</v>
      </c>
      <c r="GH278" s="38">
        <f t="shared" si="537"/>
        <v>0</v>
      </c>
      <c r="GI278" s="38">
        <f t="shared" si="538"/>
        <v>0</v>
      </c>
      <c r="GJ278" s="38">
        <f t="shared" si="539"/>
        <v>0</v>
      </c>
      <c r="GL278" s="38">
        <f t="shared" si="540"/>
        <v>0</v>
      </c>
      <c r="GM278" s="38">
        <f t="shared" si="541"/>
        <v>0</v>
      </c>
      <c r="GN278" s="1" t="s">
        <v>2</v>
      </c>
      <c r="GO278" s="2">
        <f t="shared" si="549"/>
        <v>9.61632</v>
      </c>
      <c r="GP278" s="13">
        <f t="shared" si="550"/>
        <v>1.0328301886792453</v>
      </c>
      <c r="GQ278" s="41">
        <f t="shared" si="551"/>
        <v>99.320255999999986</v>
      </c>
      <c r="GR278" s="41">
        <f t="shared" si="552"/>
        <v>2286.8346403284481</v>
      </c>
      <c r="GS278" s="14">
        <f t="shared" si="553"/>
        <v>237.80766866415095</v>
      </c>
      <c r="GT278" s="1">
        <f t="shared" si="542"/>
        <v>0</v>
      </c>
      <c r="GU278" s="1">
        <f t="shared" si="543"/>
        <v>0</v>
      </c>
      <c r="GV278" s="1">
        <f t="shared" si="544"/>
        <v>99.320255999999986</v>
      </c>
      <c r="GW278" s="37">
        <f t="shared" si="554"/>
        <v>0</v>
      </c>
      <c r="GX278" s="37"/>
      <c r="GY278" s="37"/>
      <c r="GZ278" s="37"/>
      <c r="HB278" s="1">
        <f t="shared" si="545"/>
        <v>0</v>
      </c>
      <c r="HC278" s="1">
        <f t="shared" si="546"/>
        <v>0</v>
      </c>
      <c r="HD278" s="37" t="s">
        <v>2</v>
      </c>
      <c r="HE278" s="1" t="s">
        <v>31</v>
      </c>
      <c r="HF278" s="1" t="s">
        <v>205</v>
      </c>
      <c r="HG278" s="1" t="s">
        <v>205</v>
      </c>
      <c r="HI278" s="1" t="s">
        <v>163</v>
      </c>
      <c r="HJ278" s="37" t="s">
        <v>2</v>
      </c>
      <c r="JH278" s="58" t="s">
        <v>2</v>
      </c>
    </row>
    <row r="279" spans="1:268" ht="16.25" customHeight="1" x14ac:dyDescent="0.2">
      <c r="A279" s="21" t="s">
        <v>897</v>
      </c>
      <c r="B279" s="1" t="s">
        <v>69</v>
      </c>
      <c r="F279" s="1" t="s">
        <v>131</v>
      </c>
      <c r="I279" s="1">
        <v>0</v>
      </c>
      <c r="AD279" s="1">
        <v>0</v>
      </c>
      <c r="AY279" s="1">
        <v>244.6</v>
      </c>
      <c r="BG279" s="1">
        <v>0.7</v>
      </c>
      <c r="BN279" s="1">
        <v>1.1599999999999999</v>
      </c>
      <c r="BO279" s="1">
        <v>21.47</v>
      </c>
      <c r="BT279" s="1">
        <v>0</v>
      </c>
      <c r="CO279" s="1">
        <v>0</v>
      </c>
      <c r="DJ279" s="1" t="s">
        <v>163</v>
      </c>
      <c r="DL279" s="1">
        <f t="shared" si="547"/>
        <v>0.70000000000000007</v>
      </c>
      <c r="DM279" s="1">
        <f t="shared" si="548"/>
        <v>0</v>
      </c>
      <c r="DN279" s="1" t="s">
        <v>471</v>
      </c>
      <c r="DO279" s="1" t="s">
        <v>2</v>
      </c>
      <c r="DP279" s="38">
        <f t="shared" si="470"/>
        <v>0</v>
      </c>
      <c r="DQ279" s="38">
        <f t="shared" si="471"/>
        <v>0</v>
      </c>
      <c r="DR279" s="38">
        <f t="shared" si="472"/>
        <v>0</v>
      </c>
      <c r="DS279" s="38">
        <f t="shared" si="473"/>
        <v>0</v>
      </c>
      <c r="DT279" s="38">
        <f t="shared" si="474"/>
        <v>0</v>
      </c>
      <c r="DU279" s="38">
        <f t="shared" si="475"/>
        <v>0</v>
      </c>
      <c r="DV279" s="38">
        <f t="shared" si="476"/>
        <v>0</v>
      </c>
      <c r="DW279" s="38">
        <f t="shared" si="477"/>
        <v>1.7121999999999999</v>
      </c>
      <c r="DX279" s="38">
        <f t="shared" si="478"/>
        <v>0</v>
      </c>
      <c r="DY279" s="38">
        <f t="shared" si="479"/>
        <v>0</v>
      </c>
      <c r="DZ279" s="38">
        <f t="shared" si="480"/>
        <v>0</v>
      </c>
      <c r="EA279" s="38">
        <f t="shared" si="481"/>
        <v>0</v>
      </c>
      <c r="EB279" s="38">
        <f t="shared" si="482"/>
        <v>0</v>
      </c>
      <c r="EC279" s="38">
        <f t="shared" si="483"/>
        <v>0</v>
      </c>
      <c r="ED279" s="38">
        <f t="shared" si="484"/>
        <v>2.8373599999999999</v>
      </c>
      <c r="EE279" s="38">
        <f t="shared" si="485"/>
        <v>52.515619999999998</v>
      </c>
      <c r="EG279" s="38">
        <f t="shared" si="486"/>
        <v>0</v>
      </c>
      <c r="EH279" s="38">
        <f t="shared" si="487"/>
        <v>0</v>
      </c>
      <c r="EI279" s="38">
        <f t="shared" si="488"/>
        <v>0</v>
      </c>
      <c r="EJ279" s="38">
        <f t="shared" si="489"/>
        <v>0</v>
      </c>
      <c r="EK279" s="38">
        <f t="shared" si="490"/>
        <v>0</v>
      </c>
      <c r="EL279" s="38">
        <f t="shared" si="491"/>
        <v>0</v>
      </c>
      <c r="EM279" s="38">
        <f t="shared" si="492"/>
        <v>0</v>
      </c>
      <c r="EN279" s="38">
        <f t="shared" si="493"/>
        <v>0</v>
      </c>
      <c r="EO279" s="38">
        <f t="shared" si="494"/>
        <v>0</v>
      </c>
      <c r="EP279" s="38">
        <f t="shared" si="495"/>
        <v>22453.790799999999</v>
      </c>
      <c r="EQ279" s="38">
        <f t="shared" si="496"/>
        <v>0</v>
      </c>
      <c r="ER279" s="38">
        <f t="shared" si="497"/>
        <v>0</v>
      </c>
      <c r="ES279" s="38">
        <f t="shared" si="498"/>
        <v>0</v>
      </c>
      <c r="ET279" s="38">
        <f t="shared" si="499"/>
        <v>0</v>
      </c>
      <c r="EU279" s="38">
        <f t="shared" si="500"/>
        <v>0</v>
      </c>
      <c r="EV279" s="38">
        <f t="shared" si="501"/>
        <v>0</v>
      </c>
      <c r="EW279" s="38">
        <f t="shared" si="502"/>
        <v>791.62343999999996</v>
      </c>
      <c r="EX279" s="38">
        <f t="shared" si="503"/>
        <v>4883.9526599999999</v>
      </c>
      <c r="EZ279" s="38">
        <f t="shared" si="504"/>
        <v>0</v>
      </c>
      <c r="FA279" s="38">
        <f t="shared" si="505"/>
        <v>0</v>
      </c>
      <c r="FB279" s="1">
        <f t="shared" si="506"/>
        <v>0</v>
      </c>
      <c r="FC279" s="1">
        <f t="shared" si="507"/>
        <v>0</v>
      </c>
      <c r="FD279" s="1">
        <f t="shared" si="508"/>
        <v>0</v>
      </c>
      <c r="FE279" s="1">
        <f t="shared" si="509"/>
        <v>0</v>
      </c>
      <c r="FF279" s="1">
        <f t="shared" si="510"/>
        <v>0</v>
      </c>
      <c r="FG279" s="1">
        <f t="shared" si="511"/>
        <v>0</v>
      </c>
      <c r="FH279" s="1">
        <f t="shared" si="512"/>
        <v>0</v>
      </c>
      <c r="FI279" s="1">
        <f t="shared" si="513"/>
        <v>0</v>
      </c>
      <c r="FJ279" s="1">
        <f t="shared" si="514"/>
        <v>0</v>
      </c>
      <c r="FK279" s="1">
        <f t="shared" si="515"/>
        <v>0</v>
      </c>
      <c r="FL279" s="1">
        <f t="shared" si="516"/>
        <v>0</v>
      </c>
      <c r="FM279" s="1">
        <f t="shared" si="517"/>
        <v>0</v>
      </c>
      <c r="FN279" s="1">
        <f t="shared" si="518"/>
        <v>0</v>
      </c>
      <c r="FO279" s="1">
        <f t="shared" si="519"/>
        <v>0</v>
      </c>
      <c r="FP279" s="1">
        <f t="shared" si="520"/>
        <v>0</v>
      </c>
      <c r="FQ279" s="1">
        <f t="shared" si="521"/>
        <v>0</v>
      </c>
      <c r="FS279" s="1">
        <f t="shared" si="522"/>
        <v>0</v>
      </c>
      <c r="FT279" s="1">
        <f t="shared" si="523"/>
        <v>0</v>
      </c>
      <c r="FU279" s="38">
        <f t="shared" si="524"/>
        <v>0</v>
      </c>
      <c r="FV279" s="38">
        <f t="shared" si="525"/>
        <v>0</v>
      </c>
      <c r="FW279" s="38">
        <f t="shared" si="526"/>
        <v>0</v>
      </c>
      <c r="FX279" s="38">
        <f t="shared" si="527"/>
        <v>0</v>
      </c>
      <c r="FY279" s="38">
        <f t="shared" si="528"/>
        <v>0</v>
      </c>
      <c r="FZ279" s="38">
        <f t="shared" si="529"/>
        <v>0</v>
      </c>
      <c r="GA279" s="38">
        <f t="shared" si="530"/>
        <v>0</v>
      </c>
      <c r="GB279" s="38">
        <f t="shared" si="531"/>
        <v>0</v>
      </c>
      <c r="GC279" s="38">
        <f t="shared" si="532"/>
        <v>0</v>
      </c>
      <c r="GD279" s="38">
        <f t="shared" si="533"/>
        <v>0</v>
      </c>
      <c r="GE279" s="38">
        <f t="shared" si="534"/>
        <v>0</v>
      </c>
      <c r="GF279" s="38">
        <f t="shared" si="535"/>
        <v>0</v>
      </c>
      <c r="GG279" s="38">
        <f t="shared" si="536"/>
        <v>0</v>
      </c>
      <c r="GH279" s="38">
        <f t="shared" si="537"/>
        <v>0</v>
      </c>
      <c r="GI279" s="38">
        <f t="shared" si="538"/>
        <v>0</v>
      </c>
      <c r="GJ279" s="38">
        <f t="shared" si="539"/>
        <v>0</v>
      </c>
      <c r="GL279" s="38">
        <f t="shared" si="540"/>
        <v>0</v>
      </c>
      <c r="GM279" s="38">
        <f t="shared" si="541"/>
        <v>0</v>
      </c>
      <c r="GN279" s="1" t="s">
        <v>2</v>
      </c>
      <c r="GO279" s="1">
        <f t="shared" si="549"/>
        <v>244.6</v>
      </c>
      <c r="GP279" s="1">
        <f t="shared" si="550"/>
        <v>0.70000000000000007</v>
      </c>
      <c r="GQ279" s="43">
        <f t="shared" si="551"/>
        <v>1712.2000000000003</v>
      </c>
      <c r="GR279" s="41">
        <f t="shared" si="552"/>
        <v>28129.366899999997</v>
      </c>
      <c r="GS279" s="14">
        <f t="shared" si="553"/>
        <v>115.00149999999999</v>
      </c>
      <c r="GT279" s="1">
        <f t="shared" si="542"/>
        <v>0</v>
      </c>
      <c r="GU279" s="1">
        <f t="shared" si="543"/>
        <v>0</v>
      </c>
      <c r="GV279" s="1">
        <f t="shared" si="544"/>
        <v>1712.2</v>
      </c>
      <c r="GW279" s="37">
        <f t="shared" si="554"/>
        <v>0</v>
      </c>
      <c r="GX279" s="37"/>
      <c r="GY279" s="37"/>
      <c r="GZ279" s="37"/>
      <c r="HB279" s="1">
        <f t="shared" si="545"/>
        <v>0</v>
      </c>
      <c r="HC279" s="1">
        <f t="shared" si="546"/>
        <v>0</v>
      </c>
      <c r="HD279" s="37" t="s">
        <v>2</v>
      </c>
      <c r="HE279" s="1" t="s">
        <v>31</v>
      </c>
      <c r="HF279" s="1" t="s">
        <v>205</v>
      </c>
      <c r="HG279" s="1" t="s">
        <v>205</v>
      </c>
      <c r="HI279" s="1" t="s">
        <v>163</v>
      </c>
      <c r="HJ279" s="37" t="s">
        <v>2</v>
      </c>
      <c r="JH279" s="58" t="s">
        <v>2</v>
      </c>
    </row>
    <row r="280" spans="1:268" ht="16.25" customHeight="1" x14ac:dyDescent="0.2">
      <c r="A280" s="21" t="s">
        <v>1101</v>
      </c>
      <c r="B280" s="1" t="s">
        <v>69</v>
      </c>
      <c r="F280" s="1" t="s">
        <v>131</v>
      </c>
      <c r="I280" s="1">
        <v>0</v>
      </c>
      <c r="AD280" s="1">
        <v>0</v>
      </c>
      <c r="AY280" s="1">
        <v>1.6950000000000001</v>
      </c>
      <c r="BG280" s="1">
        <v>0.6</v>
      </c>
      <c r="BH280" s="1">
        <v>0.06</v>
      </c>
      <c r="BT280" s="1">
        <v>0</v>
      </c>
      <c r="CO280" s="1">
        <v>0</v>
      </c>
      <c r="DJ280" s="1" t="s">
        <v>163</v>
      </c>
      <c r="DK280" s="1" t="s">
        <v>163</v>
      </c>
      <c r="DL280" s="1">
        <f t="shared" si="547"/>
        <v>0.59999999999999987</v>
      </c>
      <c r="DM280" s="1">
        <f t="shared" si="548"/>
        <v>0.06</v>
      </c>
      <c r="DN280" s="1" t="s">
        <v>1102</v>
      </c>
      <c r="DO280" s="1" t="s">
        <v>2</v>
      </c>
      <c r="DP280" s="38">
        <f t="shared" si="470"/>
        <v>0</v>
      </c>
      <c r="DQ280" s="38">
        <f t="shared" si="471"/>
        <v>0</v>
      </c>
      <c r="DR280" s="38">
        <f t="shared" si="472"/>
        <v>0</v>
      </c>
      <c r="DS280" s="38">
        <f t="shared" si="473"/>
        <v>0</v>
      </c>
      <c r="DT280" s="38">
        <f t="shared" si="474"/>
        <v>0</v>
      </c>
      <c r="DU280" s="38">
        <f t="shared" si="475"/>
        <v>0</v>
      </c>
      <c r="DV280" s="38">
        <f t="shared" si="476"/>
        <v>0</v>
      </c>
      <c r="DW280" s="38">
        <f t="shared" si="477"/>
        <v>1.0169999999999998E-2</v>
      </c>
      <c r="DX280" s="38">
        <f t="shared" si="478"/>
        <v>1.0169999999999999E-3</v>
      </c>
      <c r="DY280" s="38">
        <f t="shared" si="479"/>
        <v>0</v>
      </c>
      <c r="DZ280" s="38">
        <f t="shared" si="480"/>
        <v>0</v>
      </c>
      <c r="EA280" s="38">
        <f t="shared" si="481"/>
        <v>0</v>
      </c>
      <c r="EB280" s="38">
        <f t="shared" si="482"/>
        <v>0</v>
      </c>
      <c r="EC280" s="38">
        <f t="shared" si="483"/>
        <v>0</v>
      </c>
      <c r="ED280" s="38">
        <f t="shared" si="484"/>
        <v>0</v>
      </c>
      <c r="EE280" s="38">
        <f t="shared" si="485"/>
        <v>0</v>
      </c>
      <c r="EG280" s="38">
        <f t="shared" si="486"/>
        <v>0</v>
      </c>
      <c r="EH280" s="38">
        <f t="shared" si="487"/>
        <v>0</v>
      </c>
      <c r="EI280" s="38">
        <f t="shared" si="488"/>
        <v>0</v>
      </c>
      <c r="EJ280" s="38">
        <f t="shared" si="489"/>
        <v>0</v>
      </c>
      <c r="EK280" s="38">
        <f t="shared" si="490"/>
        <v>0</v>
      </c>
      <c r="EL280" s="38">
        <f t="shared" si="491"/>
        <v>0</v>
      </c>
      <c r="EM280" s="38">
        <f t="shared" si="492"/>
        <v>0</v>
      </c>
      <c r="EN280" s="38">
        <f t="shared" si="493"/>
        <v>0</v>
      </c>
      <c r="EO280" s="38">
        <f t="shared" si="494"/>
        <v>0</v>
      </c>
      <c r="EP280" s="38">
        <f t="shared" si="495"/>
        <v>133.36937999999998</v>
      </c>
      <c r="EQ280" s="38">
        <f t="shared" si="496"/>
        <v>73.854055907999978</v>
      </c>
      <c r="ER280" s="38">
        <f t="shared" si="497"/>
        <v>0</v>
      </c>
      <c r="ES280" s="38">
        <f t="shared" si="498"/>
        <v>0</v>
      </c>
      <c r="ET280" s="38">
        <f t="shared" si="499"/>
        <v>0</v>
      </c>
      <c r="EU280" s="38">
        <f t="shared" si="500"/>
        <v>0</v>
      </c>
      <c r="EV280" s="38">
        <f t="shared" si="501"/>
        <v>0</v>
      </c>
      <c r="EW280" s="38">
        <f t="shared" si="502"/>
        <v>0</v>
      </c>
      <c r="EX280" s="38">
        <f t="shared" si="503"/>
        <v>0</v>
      </c>
      <c r="EZ280" s="38">
        <f t="shared" si="504"/>
        <v>0</v>
      </c>
      <c r="FA280" s="38">
        <f t="shared" si="505"/>
        <v>0</v>
      </c>
      <c r="FB280" s="1">
        <f t="shared" si="506"/>
        <v>0</v>
      </c>
      <c r="FC280" s="1">
        <f t="shared" si="507"/>
        <v>0</v>
      </c>
      <c r="FD280" s="1">
        <f t="shared" si="508"/>
        <v>0</v>
      </c>
      <c r="FE280" s="1">
        <f t="shared" si="509"/>
        <v>0</v>
      </c>
      <c r="FF280" s="1">
        <f t="shared" si="510"/>
        <v>0</v>
      </c>
      <c r="FG280" s="1">
        <f t="shared" si="511"/>
        <v>0</v>
      </c>
      <c r="FH280" s="1">
        <f t="shared" si="512"/>
        <v>0</v>
      </c>
      <c r="FI280" s="1">
        <f t="shared" si="513"/>
        <v>0</v>
      </c>
      <c r="FJ280" s="1">
        <f t="shared" si="514"/>
        <v>0</v>
      </c>
      <c r="FK280" s="1">
        <f t="shared" si="515"/>
        <v>0</v>
      </c>
      <c r="FL280" s="1">
        <f t="shared" si="516"/>
        <v>0</v>
      </c>
      <c r="FM280" s="1">
        <f t="shared" si="517"/>
        <v>0</v>
      </c>
      <c r="FN280" s="1">
        <f t="shared" si="518"/>
        <v>0</v>
      </c>
      <c r="FO280" s="1">
        <f t="shared" si="519"/>
        <v>0</v>
      </c>
      <c r="FP280" s="1">
        <f t="shared" si="520"/>
        <v>0</v>
      </c>
      <c r="FQ280" s="1">
        <f t="shared" si="521"/>
        <v>0</v>
      </c>
      <c r="FS280" s="1">
        <f t="shared" si="522"/>
        <v>0</v>
      </c>
      <c r="FT280" s="1">
        <f t="shared" si="523"/>
        <v>0</v>
      </c>
      <c r="FU280" s="38">
        <f t="shared" si="524"/>
        <v>0</v>
      </c>
      <c r="FV280" s="38">
        <f t="shared" si="525"/>
        <v>0</v>
      </c>
      <c r="FW280" s="38">
        <f t="shared" si="526"/>
        <v>0</v>
      </c>
      <c r="FX280" s="38">
        <f t="shared" si="527"/>
        <v>0</v>
      </c>
      <c r="FY280" s="38">
        <f t="shared" si="528"/>
        <v>0</v>
      </c>
      <c r="FZ280" s="38">
        <f t="shared" si="529"/>
        <v>0</v>
      </c>
      <c r="GA280" s="38">
        <f t="shared" si="530"/>
        <v>0</v>
      </c>
      <c r="GB280" s="38">
        <f t="shared" si="531"/>
        <v>0</v>
      </c>
      <c r="GC280" s="38">
        <f t="shared" si="532"/>
        <v>0</v>
      </c>
      <c r="GD280" s="38">
        <f t="shared" si="533"/>
        <v>0</v>
      </c>
      <c r="GE280" s="38">
        <f t="shared" si="534"/>
        <v>0</v>
      </c>
      <c r="GF280" s="38">
        <f t="shared" si="535"/>
        <v>0</v>
      </c>
      <c r="GG280" s="38">
        <f t="shared" si="536"/>
        <v>0</v>
      </c>
      <c r="GH280" s="38">
        <f t="shared" si="537"/>
        <v>0</v>
      </c>
      <c r="GI280" s="38">
        <f t="shared" si="538"/>
        <v>0</v>
      </c>
      <c r="GJ280" s="38">
        <f t="shared" si="539"/>
        <v>0</v>
      </c>
      <c r="GL280" s="38">
        <f t="shared" si="540"/>
        <v>0</v>
      </c>
      <c r="GM280" s="38">
        <f t="shared" si="541"/>
        <v>0</v>
      </c>
      <c r="GN280" s="1" t="s">
        <v>2</v>
      </c>
      <c r="GO280" s="1">
        <f t="shared" si="549"/>
        <v>1.6950000000000001</v>
      </c>
      <c r="GP280" s="1">
        <f t="shared" si="550"/>
        <v>0.59999999999999987</v>
      </c>
      <c r="GQ280" s="41">
        <f t="shared" si="551"/>
        <v>10.169999999999998</v>
      </c>
      <c r="GR280" s="41">
        <f t="shared" si="552"/>
        <v>207.22343590799994</v>
      </c>
      <c r="GS280" s="14">
        <f t="shared" si="553"/>
        <v>122.25571439999996</v>
      </c>
      <c r="GT280" s="1">
        <f t="shared" si="542"/>
        <v>0</v>
      </c>
      <c r="GU280" s="1">
        <f t="shared" si="543"/>
        <v>0</v>
      </c>
      <c r="GV280" s="1">
        <f t="shared" si="544"/>
        <v>10.169999999999998</v>
      </c>
      <c r="GW280" s="37">
        <f t="shared" si="554"/>
        <v>0</v>
      </c>
      <c r="GX280" s="37"/>
      <c r="GY280" s="37"/>
      <c r="GZ280" s="37"/>
      <c r="HB280" s="1">
        <f t="shared" si="545"/>
        <v>0</v>
      </c>
      <c r="HC280" s="1">
        <f t="shared" si="546"/>
        <v>0</v>
      </c>
      <c r="HD280" s="37" t="s">
        <v>2</v>
      </c>
      <c r="HE280" s="1" t="s">
        <v>31</v>
      </c>
      <c r="HF280" s="1" t="s">
        <v>205</v>
      </c>
      <c r="HG280" s="1" t="s">
        <v>205</v>
      </c>
      <c r="HI280" s="1" t="s">
        <v>163</v>
      </c>
      <c r="HJ280" s="37" t="s">
        <v>2</v>
      </c>
      <c r="JH280" s="58" t="s">
        <v>2</v>
      </c>
    </row>
    <row r="281" spans="1:268" ht="16.25" customHeight="1" x14ac:dyDescent="0.2">
      <c r="A281" s="21" t="s">
        <v>472</v>
      </c>
      <c r="B281" s="1" t="s">
        <v>69</v>
      </c>
      <c r="E281" s="1" t="s">
        <v>72</v>
      </c>
      <c r="F281" s="1" t="s">
        <v>131</v>
      </c>
      <c r="H281" s="1" t="s">
        <v>216</v>
      </c>
      <c r="I281" s="1">
        <v>0</v>
      </c>
      <c r="AD281" s="1">
        <v>0</v>
      </c>
      <c r="AY281" s="1">
        <v>13</v>
      </c>
      <c r="BG281" s="1">
        <v>1.31</v>
      </c>
      <c r="BT281" s="1">
        <v>0</v>
      </c>
      <c r="CO281" s="1">
        <v>0</v>
      </c>
      <c r="DJ281" s="1" t="s">
        <v>163</v>
      </c>
      <c r="DL281" s="1">
        <f t="shared" si="547"/>
        <v>1.31</v>
      </c>
      <c r="DM281" s="1">
        <f t="shared" si="548"/>
        <v>0</v>
      </c>
      <c r="DN281" s="1" t="s">
        <v>471</v>
      </c>
      <c r="DO281" s="1" t="s">
        <v>2</v>
      </c>
      <c r="DP281" s="38">
        <f t="shared" si="470"/>
        <v>0</v>
      </c>
      <c r="DQ281" s="38">
        <f t="shared" si="471"/>
        <v>0</v>
      </c>
      <c r="DR281" s="38">
        <f t="shared" si="472"/>
        <v>0</v>
      </c>
      <c r="DS281" s="38">
        <f t="shared" si="473"/>
        <v>0</v>
      </c>
      <c r="DT281" s="38">
        <f t="shared" si="474"/>
        <v>0</v>
      </c>
      <c r="DU281" s="38">
        <f t="shared" si="475"/>
        <v>0</v>
      </c>
      <c r="DV281" s="38">
        <f t="shared" si="476"/>
        <v>0</v>
      </c>
      <c r="DW281" s="38">
        <f t="shared" si="477"/>
        <v>0.17030000000000001</v>
      </c>
      <c r="DX281" s="38">
        <f t="shared" si="478"/>
        <v>0</v>
      </c>
      <c r="DY281" s="38">
        <f t="shared" si="479"/>
        <v>0</v>
      </c>
      <c r="DZ281" s="38">
        <f t="shared" si="480"/>
        <v>0</v>
      </c>
      <c r="EA281" s="38">
        <f t="shared" si="481"/>
        <v>0</v>
      </c>
      <c r="EB281" s="38">
        <f t="shared" si="482"/>
        <v>0</v>
      </c>
      <c r="EC281" s="38">
        <f t="shared" si="483"/>
        <v>0</v>
      </c>
      <c r="ED281" s="38">
        <f t="shared" si="484"/>
        <v>0</v>
      </c>
      <c r="EE281" s="38">
        <f t="shared" si="485"/>
        <v>0</v>
      </c>
      <c r="EG281" s="38">
        <f t="shared" si="486"/>
        <v>0</v>
      </c>
      <c r="EH281" s="38">
        <f t="shared" si="487"/>
        <v>0</v>
      </c>
      <c r="EI281" s="38">
        <f t="shared" si="488"/>
        <v>0</v>
      </c>
      <c r="EJ281" s="38">
        <f t="shared" si="489"/>
        <v>0</v>
      </c>
      <c r="EK281" s="38">
        <f t="shared" si="490"/>
        <v>0</v>
      </c>
      <c r="EL281" s="38">
        <f t="shared" si="491"/>
        <v>0</v>
      </c>
      <c r="EM281" s="38">
        <f t="shared" si="492"/>
        <v>0</v>
      </c>
      <c r="EN281" s="38">
        <f t="shared" si="493"/>
        <v>0</v>
      </c>
      <c r="EO281" s="38">
        <f t="shared" si="494"/>
        <v>0</v>
      </c>
      <c r="EP281" s="38">
        <f t="shared" si="495"/>
        <v>2233.3142000000003</v>
      </c>
      <c r="EQ281" s="38">
        <f t="shared" si="496"/>
        <v>0</v>
      </c>
      <c r="ER281" s="38">
        <f t="shared" si="497"/>
        <v>0</v>
      </c>
      <c r="ES281" s="38">
        <f t="shared" si="498"/>
        <v>0</v>
      </c>
      <c r="ET281" s="38">
        <f t="shared" si="499"/>
        <v>0</v>
      </c>
      <c r="EU281" s="38">
        <f t="shared" si="500"/>
        <v>0</v>
      </c>
      <c r="EV281" s="38">
        <f t="shared" si="501"/>
        <v>0</v>
      </c>
      <c r="EW281" s="38">
        <f t="shared" si="502"/>
        <v>0</v>
      </c>
      <c r="EX281" s="38">
        <f t="shared" si="503"/>
        <v>0</v>
      </c>
      <c r="EZ281" s="38">
        <f t="shared" si="504"/>
        <v>0</v>
      </c>
      <c r="FA281" s="38">
        <f t="shared" si="505"/>
        <v>0</v>
      </c>
      <c r="FB281" s="1">
        <f t="shared" si="506"/>
        <v>0</v>
      </c>
      <c r="FC281" s="1">
        <f t="shared" si="507"/>
        <v>0</v>
      </c>
      <c r="FD281" s="1">
        <f t="shared" si="508"/>
        <v>0</v>
      </c>
      <c r="FE281" s="1">
        <f t="shared" si="509"/>
        <v>0</v>
      </c>
      <c r="FF281" s="1">
        <f t="shared" si="510"/>
        <v>0</v>
      </c>
      <c r="FG281" s="1">
        <f t="shared" si="511"/>
        <v>0</v>
      </c>
      <c r="FH281" s="1">
        <f t="shared" si="512"/>
        <v>0</v>
      </c>
      <c r="FI281" s="1">
        <f t="shared" si="513"/>
        <v>0</v>
      </c>
      <c r="FJ281" s="1">
        <f t="shared" si="514"/>
        <v>0</v>
      </c>
      <c r="FK281" s="1">
        <f t="shared" si="515"/>
        <v>0</v>
      </c>
      <c r="FL281" s="1">
        <f t="shared" si="516"/>
        <v>0</v>
      </c>
      <c r="FM281" s="1">
        <f t="shared" si="517"/>
        <v>0</v>
      </c>
      <c r="FN281" s="1">
        <f t="shared" si="518"/>
        <v>0</v>
      </c>
      <c r="FO281" s="1">
        <f t="shared" si="519"/>
        <v>0</v>
      </c>
      <c r="FP281" s="1">
        <f t="shared" si="520"/>
        <v>0</v>
      </c>
      <c r="FQ281" s="1">
        <f t="shared" si="521"/>
        <v>0</v>
      </c>
      <c r="FS281" s="1">
        <f t="shared" si="522"/>
        <v>0</v>
      </c>
      <c r="FT281" s="1">
        <f t="shared" si="523"/>
        <v>0</v>
      </c>
      <c r="FU281" s="38">
        <f t="shared" si="524"/>
        <v>0</v>
      </c>
      <c r="FV281" s="38">
        <f t="shared" si="525"/>
        <v>0</v>
      </c>
      <c r="FW281" s="38">
        <f t="shared" si="526"/>
        <v>0</v>
      </c>
      <c r="FX281" s="38">
        <f t="shared" si="527"/>
        <v>0</v>
      </c>
      <c r="FY281" s="38">
        <f t="shared" si="528"/>
        <v>0</v>
      </c>
      <c r="FZ281" s="38">
        <f t="shared" si="529"/>
        <v>0</v>
      </c>
      <c r="GA281" s="38">
        <f t="shared" si="530"/>
        <v>0</v>
      </c>
      <c r="GB281" s="38">
        <f t="shared" si="531"/>
        <v>0</v>
      </c>
      <c r="GC281" s="38">
        <f t="shared" si="532"/>
        <v>0</v>
      </c>
      <c r="GD281" s="38">
        <f t="shared" si="533"/>
        <v>0</v>
      </c>
      <c r="GE281" s="38">
        <f t="shared" si="534"/>
        <v>0</v>
      </c>
      <c r="GF281" s="38">
        <f t="shared" si="535"/>
        <v>0</v>
      </c>
      <c r="GG281" s="38">
        <f t="shared" si="536"/>
        <v>0</v>
      </c>
      <c r="GH281" s="38">
        <f t="shared" si="537"/>
        <v>0</v>
      </c>
      <c r="GI281" s="38">
        <f t="shared" si="538"/>
        <v>0</v>
      </c>
      <c r="GJ281" s="38">
        <f t="shared" si="539"/>
        <v>0</v>
      </c>
      <c r="GL281" s="38">
        <f t="shared" si="540"/>
        <v>0</v>
      </c>
      <c r="GM281" s="38">
        <f t="shared" si="541"/>
        <v>0</v>
      </c>
      <c r="GN281" s="1" t="s">
        <v>2</v>
      </c>
      <c r="GO281" s="1">
        <f t="shared" si="549"/>
        <v>13</v>
      </c>
      <c r="GP281" s="13">
        <f t="shared" si="550"/>
        <v>1.31</v>
      </c>
      <c r="GQ281" s="41">
        <f t="shared" si="551"/>
        <v>170.3</v>
      </c>
      <c r="GR281" s="41">
        <f t="shared" si="552"/>
        <v>2233.3142000000003</v>
      </c>
      <c r="GS281" s="14">
        <f t="shared" si="553"/>
        <v>171.79340000000002</v>
      </c>
      <c r="GT281" s="1">
        <f t="shared" si="542"/>
        <v>0</v>
      </c>
      <c r="GU281" s="1">
        <f t="shared" si="543"/>
        <v>0</v>
      </c>
      <c r="GV281" s="1">
        <f t="shared" si="544"/>
        <v>170.3</v>
      </c>
      <c r="GW281" s="37">
        <f t="shared" si="554"/>
        <v>0</v>
      </c>
      <c r="GX281" s="37"/>
      <c r="GY281" s="37"/>
      <c r="GZ281" s="37"/>
      <c r="HB281" s="1">
        <f t="shared" si="545"/>
        <v>0</v>
      </c>
      <c r="HC281" s="1">
        <f t="shared" si="546"/>
        <v>0</v>
      </c>
      <c r="HD281" s="37" t="s">
        <v>2</v>
      </c>
      <c r="HE281" s="1" t="s">
        <v>31</v>
      </c>
      <c r="HF281" s="1" t="s">
        <v>205</v>
      </c>
      <c r="HI281" s="1" t="s">
        <v>163</v>
      </c>
      <c r="HJ281" s="37" t="s">
        <v>2</v>
      </c>
      <c r="JH281" s="58" t="s">
        <v>2</v>
      </c>
    </row>
    <row r="282" spans="1:268" ht="16.25" customHeight="1" x14ac:dyDescent="0.2">
      <c r="A282" s="21" t="s">
        <v>476</v>
      </c>
      <c r="B282" s="1" t="s">
        <v>69</v>
      </c>
      <c r="E282" s="1" t="s">
        <v>72</v>
      </c>
      <c r="F282" s="1" t="s">
        <v>131</v>
      </c>
      <c r="H282" s="1" t="s">
        <v>216</v>
      </c>
      <c r="I282" s="1">
        <v>0</v>
      </c>
      <c r="AD282" s="1">
        <v>0</v>
      </c>
      <c r="AY282" s="1">
        <v>27</v>
      </c>
      <c r="BG282" s="1">
        <v>2.2000000000000002</v>
      </c>
      <c r="BT282" s="1">
        <v>0</v>
      </c>
      <c r="CO282" s="1">
        <v>0</v>
      </c>
      <c r="DJ282" s="1" t="s">
        <v>163</v>
      </c>
      <c r="DL282" s="1">
        <f t="shared" si="547"/>
        <v>2.2000000000000002</v>
      </c>
      <c r="DM282" s="1">
        <f t="shared" si="548"/>
        <v>0</v>
      </c>
      <c r="DN282" s="1" t="s">
        <v>471</v>
      </c>
      <c r="DO282" s="1" t="s">
        <v>2</v>
      </c>
      <c r="DP282" s="38">
        <f t="shared" si="470"/>
        <v>0</v>
      </c>
      <c r="DQ282" s="38">
        <f t="shared" si="471"/>
        <v>0</v>
      </c>
      <c r="DR282" s="38">
        <f t="shared" si="472"/>
        <v>0</v>
      </c>
      <c r="DS282" s="38">
        <f t="shared" si="473"/>
        <v>0</v>
      </c>
      <c r="DT282" s="38">
        <f t="shared" si="474"/>
        <v>0</v>
      </c>
      <c r="DU282" s="38">
        <f t="shared" si="475"/>
        <v>0</v>
      </c>
      <c r="DV282" s="38">
        <f t="shared" si="476"/>
        <v>0</v>
      </c>
      <c r="DW282" s="38">
        <f t="shared" si="477"/>
        <v>0.59400000000000008</v>
      </c>
      <c r="DX282" s="38">
        <f t="shared" si="478"/>
        <v>0</v>
      </c>
      <c r="DY282" s="38">
        <f t="shared" si="479"/>
        <v>0</v>
      </c>
      <c r="DZ282" s="38">
        <f t="shared" si="480"/>
        <v>0</v>
      </c>
      <c r="EA282" s="38">
        <f t="shared" si="481"/>
        <v>0</v>
      </c>
      <c r="EB282" s="38">
        <f t="shared" si="482"/>
        <v>0</v>
      </c>
      <c r="EC282" s="38">
        <f t="shared" si="483"/>
        <v>0</v>
      </c>
      <c r="ED282" s="38">
        <f t="shared" si="484"/>
        <v>0</v>
      </c>
      <c r="EE282" s="38">
        <f t="shared" si="485"/>
        <v>0</v>
      </c>
      <c r="EG282" s="38">
        <f t="shared" si="486"/>
        <v>0</v>
      </c>
      <c r="EH282" s="38">
        <f t="shared" si="487"/>
        <v>0</v>
      </c>
      <c r="EI282" s="38">
        <f t="shared" si="488"/>
        <v>0</v>
      </c>
      <c r="EJ282" s="38">
        <f t="shared" si="489"/>
        <v>0</v>
      </c>
      <c r="EK282" s="38">
        <f t="shared" si="490"/>
        <v>0</v>
      </c>
      <c r="EL282" s="38">
        <f t="shared" si="491"/>
        <v>0</v>
      </c>
      <c r="EM282" s="38">
        <f t="shared" si="492"/>
        <v>0</v>
      </c>
      <c r="EN282" s="38">
        <f t="shared" si="493"/>
        <v>0</v>
      </c>
      <c r="EO282" s="38">
        <f t="shared" si="494"/>
        <v>0</v>
      </c>
      <c r="EP282" s="38">
        <f t="shared" si="495"/>
        <v>7789.7160000000013</v>
      </c>
      <c r="EQ282" s="38">
        <f t="shared" si="496"/>
        <v>0</v>
      </c>
      <c r="ER282" s="38">
        <f t="shared" si="497"/>
        <v>0</v>
      </c>
      <c r="ES282" s="38">
        <f t="shared" si="498"/>
        <v>0</v>
      </c>
      <c r="ET282" s="38">
        <f t="shared" si="499"/>
        <v>0</v>
      </c>
      <c r="EU282" s="38">
        <f t="shared" si="500"/>
        <v>0</v>
      </c>
      <c r="EV282" s="38">
        <f t="shared" si="501"/>
        <v>0</v>
      </c>
      <c r="EW282" s="38">
        <f t="shared" si="502"/>
        <v>0</v>
      </c>
      <c r="EX282" s="38">
        <f t="shared" si="503"/>
        <v>0</v>
      </c>
      <c r="EZ282" s="38">
        <f t="shared" si="504"/>
        <v>0</v>
      </c>
      <c r="FA282" s="38">
        <f t="shared" si="505"/>
        <v>0</v>
      </c>
      <c r="FB282" s="1">
        <f t="shared" si="506"/>
        <v>0</v>
      </c>
      <c r="FC282" s="1">
        <f t="shared" si="507"/>
        <v>0</v>
      </c>
      <c r="FD282" s="1">
        <f t="shared" si="508"/>
        <v>0</v>
      </c>
      <c r="FE282" s="1">
        <f t="shared" si="509"/>
        <v>0</v>
      </c>
      <c r="FF282" s="1">
        <f t="shared" si="510"/>
        <v>0</v>
      </c>
      <c r="FG282" s="1">
        <f t="shared" si="511"/>
        <v>0</v>
      </c>
      <c r="FH282" s="1">
        <f t="shared" si="512"/>
        <v>0</v>
      </c>
      <c r="FI282" s="1">
        <f t="shared" si="513"/>
        <v>0</v>
      </c>
      <c r="FJ282" s="1">
        <f t="shared" si="514"/>
        <v>0</v>
      </c>
      <c r="FK282" s="1">
        <f t="shared" si="515"/>
        <v>0</v>
      </c>
      <c r="FL282" s="1">
        <f t="shared" si="516"/>
        <v>0</v>
      </c>
      <c r="FM282" s="1">
        <f t="shared" si="517"/>
        <v>0</v>
      </c>
      <c r="FN282" s="1">
        <f t="shared" si="518"/>
        <v>0</v>
      </c>
      <c r="FO282" s="1">
        <f t="shared" si="519"/>
        <v>0</v>
      </c>
      <c r="FP282" s="1">
        <f t="shared" si="520"/>
        <v>0</v>
      </c>
      <c r="FQ282" s="1">
        <f t="shared" si="521"/>
        <v>0</v>
      </c>
      <c r="FS282" s="1">
        <f t="shared" si="522"/>
        <v>0</v>
      </c>
      <c r="FT282" s="1">
        <f t="shared" si="523"/>
        <v>0</v>
      </c>
      <c r="FU282" s="38">
        <f t="shared" si="524"/>
        <v>0</v>
      </c>
      <c r="FV282" s="38">
        <f t="shared" si="525"/>
        <v>0</v>
      </c>
      <c r="FW282" s="38">
        <f t="shared" si="526"/>
        <v>0</v>
      </c>
      <c r="FX282" s="38">
        <f t="shared" si="527"/>
        <v>0</v>
      </c>
      <c r="FY282" s="38">
        <f t="shared" si="528"/>
        <v>0</v>
      </c>
      <c r="FZ282" s="38">
        <f t="shared" si="529"/>
        <v>0</v>
      </c>
      <c r="GA282" s="38">
        <f t="shared" si="530"/>
        <v>0</v>
      </c>
      <c r="GB282" s="38">
        <f t="shared" si="531"/>
        <v>0</v>
      </c>
      <c r="GC282" s="38">
        <f t="shared" si="532"/>
        <v>0</v>
      </c>
      <c r="GD282" s="38">
        <f t="shared" si="533"/>
        <v>0</v>
      </c>
      <c r="GE282" s="38">
        <f t="shared" si="534"/>
        <v>0</v>
      </c>
      <c r="GF282" s="38">
        <f t="shared" si="535"/>
        <v>0</v>
      </c>
      <c r="GG282" s="38">
        <f t="shared" si="536"/>
        <v>0</v>
      </c>
      <c r="GH282" s="38">
        <f t="shared" si="537"/>
        <v>0</v>
      </c>
      <c r="GI282" s="38">
        <f t="shared" si="538"/>
        <v>0</v>
      </c>
      <c r="GJ282" s="38">
        <f t="shared" si="539"/>
        <v>0</v>
      </c>
      <c r="GL282" s="38">
        <f t="shared" si="540"/>
        <v>0</v>
      </c>
      <c r="GM282" s="38">
        <f t="shared" si="541"/>
        <v>0</v>
      </c>
      <c r="GN282" s="1" t="s">
        <v>2</v>
      </c>
      <c r="GO282" s="1">
        <f t="shared" si="549"/>
        <v>27</v>
      </c>
      <c r="GP282" s="13">
        <f t="shared" si="550"/>
        <v>2.2000000000000002</v>
      </c>
      <c r="GQ282" s="41">
        <f t="shared" si="551"/>
        <v>594.00000000000011</v>
      </c>
      <c r="GR282" s="41">
        <f t="shared" si="552"/>
        <v>7789.7160000000013</v>
      </c>
      <c r="GS282" s="14">
        <f t="shared" si="553"/>
        <v>288.50800000000004</v>
      </c>
      <c r="GT282" s="1">
        <f t="shared" si="542"/>
        <v>0</v>
      </c>
      <c r="GU282" s="1">
        <f t="shared" si="543"/>
        <v>0</v>
      </c>
      <c r="GV282" s="1">
        <f t="shared" si="544"/>
        <v>594.00000000000011</v>
      </c>
      <c r="GW282" s="37">
        <f t="shared" si="554"/>
        <v>0</v>
      </c>
      <c r="GX282" s="37"/>
      <c r="GY282" s="37"/>
      <c r="GZ282" s="37"/>
      <c r="HB282" s="1">
        <f t="shared" si="545"/>
        <v>0</v>
      </c>
      <c r="HC282" s="1">
        <f t="shared" si="546"/>
        <v>0</v>
      </c>
      <c r="HD282" s="37" t="s">
        <v>2</v>
      </c>
      <c r="HE282" s="1" t="s">
        <v>31</v>
      </c>
      <c r="HF282" s="1" t="s">
        <v>205</v>
      </c>
      <c r="HI282" s="1" t="s">
        <v>163</v>
      </c>
      <c r="HJ282" s="37" t="s">
        <v>2</v>
      </c>
      <c r="JH282" s="58" t="s">
        <v>2</v>
      </c>
    </row>
    <row r="283" spans="1:268" ht="16.25" customHeight="1" x14ac:dyDescent="0.2">
      <c r="A283" s="21" t="s">
        <v>528</v>
      </c>
      <c r="B283" s="1" t="s">
        <v>69</v>
      </c>
      <c r="E283" s="1" t="s">
        <v>72</v>
      </c>
      <c r="F283" s="1" t="s">
        <v>131</v>
      </c>
      <c r="I283" s="1">
        <v>0</v>
      </c>
      <c r="AD283" s="1">
        <v>0</v>
      </c>
      <c r="AY283" s="1">
        <v>87</v>
      </c>
      <c r="BG283" s="1">
        <v>1.37</v>
      </c>
      <c r="BT283" s="1">
        <v>0</v>
      </c>
      <c r="CO283" s="1">
        <v>0</v>
      </c>
      <c r="DJ283" s="1" t="s">
        <v>163</v>
      </c>
      <c r="DL283" s="1">
        <f t="shared" si="547"/>
        <v>1.37</v>
      </c>
      <c r="DM283" s="1">
        <f t="shared" si="548"/>
        <v>0</v>
      </c>
      <c r="DN283" s="1" t="s">
        <v>471</v>
      </c>
      <c r="DO283" s="1" t="s">
        <v>2</v>
      </c>
      <c r="DP283" s="38">
        <f t="shared" si="470"/>
        <v>0</v>
      </c>
      <c r="DQ283" s="38">
        <f t="shared" si="471"/>
        <v>0</v>
      </c>
      <c r="DR283" s="38">
        <f t="shared" si="472"/>
        <v>0</v>
      </c>
      <c r="DS283" s="38">
        <f t="shared" si="473"/>
        <v>0</v>
      </c>
      <c r="DT283" s="38">
        <f t="shared" si="474"/>
        <v>0</v>
      </c>
      <c r="DU283" s="38">
        <f t="shared" si="475"/>
        <v>0</v>
      </c>
      <c r="DV283" s="38">
        <f t="shared" si="476"/>
        <v>0</v>
      </c>
      <c r="DW283" s="38">
        <f t="shared" si="477"/>
        <v>1.1919000000000002</v>
      </c>
      <c r="DX283" s="38">
        <f t="shared" si="478"/>
        <v>0</v>
      </c>
      <c r="DY283" s="38">
        <f t="shared" si="479"/>
        <v>0</v>
      </c>
      <c r="DZ283" s="38">
        <f t="shared" si="480"/>
        <v>0</v>
      </c>
      <c r="EA283" s="38">
        <f t="shared" si="481"/>
        <v>0</v>
      </c>
      <c r="EB283" s="38">
        <f t="shared" si="482"/>
        <v>0</v>
      </c>
      <c r="EC283" s="38">
        <f t="shared" si="483"/>
        <v>0</v>
      </c>
      <c r="ED283" s="38">
        <f t="shared" si="484"/>
        <v>0</v>
      </c>
      <c r="EE283" s="38">
        <f t="shared" si="485"/>
        <v>0</v>
      </c>
      <c r="EG283" s="38">
        <f t="shared" si="486"/>
        <v>0</v>
      </c>
      <c r="EH283" s="38">
        <f t="shared" si="487"/>
        <v>0</v>
      </c>
      <c r="EI283" s="38">
        <f t="shared" si="488"/>
        <v>0</v>
      </c>
      <c r="EJ283" s="38">
        <f t="shared" si="489"/>
        <v>0</v>
      </c>
      <c r="EK283" s="38">
        <f t="shared" si="490"/>
        <v>0</v>
      </c>
      <c r="EL283" s="38">
        <f t="shared" si="491"/>
        <v>0</v>
      </c>
      <c r="EM283" s="38">
        <f t="shared" si="492"/>
        <v>0</v>
      </c>
      <c r="EN283" s="38">
        <f t="shared" si="493"/>
        <v>0</v>
      </c>
      <c r="EO283" s="38">
        <f t="shared" si="494"/>
        <v>0</v>
      </c>
      <c r="EP283" s="38">
        <f t="shared" si="495"/>
        <v>15630.576600000002</v>
      </c>
      <c r="EQ283" s="38">
        <f t="shared" si="496"/>
        <v>0</v>
      </c>
      <c r="ER283" s="38">
        <f t="shared" si="497"/>
        <v>0</v>
      </c>
      <c r="ES283" s="38">
        <f t="shared" si="498"/>
        <v>0</v>
      </c>
      <c r="ET283" s="38">
        <f t="shared" si="499"/>
        <v>0</v>
      </c>
      <c r="EU283" s="38">
        <f t="shared" si="500"/>
        <v>0</v>
      </c>
      <c r="EV283" s="38">
        <f t="shared" si="501"/>
        <v>0</v>
      </c>
      <c r="EW283" s="38">
        <f t="shared" si="502"/>
        <v>0</v>
      </c>
      <c r="EX283" s="38">
        <f t="shared" si="503"/>
        <v>0</v>
      </c>
      <c r="EZ283" s="38">
        <f t="shared" si="504"/>
        <v>0</v>
      </c>
      <c r="FA283" s="38">
        <f t="shared" si="505"/>
        <v>0</v>
      </c>
      <c r="FB283" s="1">
        <f t="shared" si="506"/>
        <v>0</v>
      </c>
      <c r="FC283" s="1">
        <f t="shared" si="507"/>
        <v>0</v>
      </c>
      <c r="FD283" s="1">
        <f t="shared" si="508"/>
        <v>0</v>
      </c>
      <c r="FE283" s="1">
        <f t="shared" si="509"/>
        <v>0</v>
      </c>
      <c r="FF283" s="1">
        <f t="shared" si="510"/>
        <v>0</v>
      </c>
      <c r="FG283" s="1">
        <f t="shared" si="511"/>
        <v>0</v>
      </c>
      <c r="FH283" s="1">
        <f t="shared" si="512"/>
        <v>0</v>
      </c>
      <c r="FI283" s="1">
        <f t="shared" si="513"/>
        <v>0</v>
      </c>
      <c r="FJ283" s="1">
        <f t="shared" si="514"/>
        <v>0</v>
      </c>
      <c r="FK283" s="1">
        <f t="shared" si="515"/>
        <v>0</v>
      </c>
      <c r="FL283" s="1">
        <f t="shared" si="516"/>
        <v>0</v>
      </c>
      <c r="FM283" s="1">
        <f t="shared" si="517"/>
        <v>0</v>
      </c>
      <c r="FN283" s="1">
        <f t="shared" si="518"/>
        <v>0</v>
      </c>
      <c r="FO283" s="1">
        <f t="shared" si="519"/>
        <v>0</v>
      </c>
      <c r="FP283" s="1">
        <f t="shared" si="520"/>
        <v>0</v>
      </c>
      <c r="FQ283" s="1">
        <f t="shared" si="521"/>
        <v>0</v>
      </c>
      <c r="FS283" s="1">
        <f t="shared" si="522"/>
        <v>0</v>
      </c>
      <c r="FT283" s="1">
        <f t="shared" si="523"/>
        <v>0</v>
      </c>
      <c r="FU283" s="38">
        <f t="shared" si="524"/>
        <v>0</v>
      </c>
      <c r="FV283" s="38">
        <f t="shared" si="525"/>
        <v>0</v>
      </c>
      <c r="FW283" s="38">
        <f t="shared" si="526"/>
        <v>0</v>
      </c>
      <c r="FX283" s="38">
        <f t="shared" si="527"/>
        <v>0</v>
      </c>
      <c r="FY283" s="38">
        <f t="shared" si="528"/>
        <v>0</v>
      </c>
      <c r="FZ283" s="38">
        <f t="shared" si="529"/>
        <v>0</v>
      </c>
      <c r="GA283" s="38">
        <f t="shared" si="530"/>
        <v>0</v>
      </c>
      <c r="GB283" s="38">
        <f t="shared" si="531"/>
        <v>0</v>
      </c>
      <c r="GC283" s="38">
        <f t="shared" si="532"/>
        <v>0</v>
      </c>
      <c r="GD283" s="38">
        <f t="shared" si="533"/>
        <v>0</v>
      </c>
      <c r="GE283" s="38">
        <f t="shared" si="534"/>
        <v>0</v>
      </c>
      <c r="GF283" s="38">
        <f t="shared" si="535"/>
        <v>0</v>
      </c>
      <c r="GG283" s="38">
        <f t="shared" si="536"/>
        <v>0</v>
      </c>
      <c r="GH283" s="38">
        <f t="shared" si="537"/>
        <v>0</v>
      </c>
      <c r="GI283" s="38">
        <f t="shared" si="538"/>
        <v>0</v>
      </c>
      <c r="GJ283" s="38">
        <f t="shared" si="539"/>
        <v>0</v>
      </c>
      <c r="GL283" s="38">
        <f t="shared" si="540"/>
        <v>0</v>
      </c>
      <c r="GM283" s="38">
        <f t="shared" si="541"/>
        <v>0</v>
      </c>
      <c r="GN283" s="1" t="s">
        <v>2</v>
      </c>
      <c r="GO283" s="1">
        <f t="shared" si="549"/>
        <v>87</v>
      </c>
      <c r="GP283" s="13">
        <f t="shared" si="550"/>
        <v>1.37</v>
      </c>
      <c r="GQ283" s="43">
        <f t="shared" si="551"/>
        <v>1191.9000000000001</v>
      </c>
      <c r="GR283" s="41">
        <f t="shared" si="552"/>
        <v>15630.576600000002</v>
      </c>
      <c r="GS283" s="14">
        <f t="shared" si="553"/>
        <v>179.66180000000003</v>
      </c>
      <c r="GT283" s="1">
        <f t="shared" si="542"/>
        <v>0</v>
      </c>
      <c r="GU283" s="1">
        <f t="shared" si="543"/>
        <v>0</v>
      </c>
      <c r="GV283" s="1">
        <f t="shared" si="544"/>
        <v>1191.9000000000001</v>
      </c>
      <c r="GW283" s="37">
        <f t="shared" si="554"/>
        <v>0</v>
      </c>
      <c r="GX283" s="37"/>
      <c r="GY283" s="37"/>
      <c r="GZ283" s="37"/>
      <c r="HB283" s="1">
        <f t="shared" si="545"/>
        <v>0</v>
      </c>
      <c r="HC283" s="1">
        <f t="shared" si="546"/>
        <v>0</v>
      </c>
      <c r="HD283" s="37" t="s">
        <v>2</v>
      </c>
      <c r="HE283" s="1" t="s">
        <v>31</v>
      </c>
      <c r="HF283" s="1" t="s">
        <v>506</v>
      </c>
      <c r="HI283" s="1" t="s">
        <v>163</v>
      </c>
      <c r="HJ283" s="37" t="s">
        <v>2</v>
      </c>
      <c r="JH283" s="58" t="s">
        <v>2</v>
      </c>
    </row>
    <row r="284" spans="1:268" ht="16.25" customHeight="1" x14ac:dyDescent="0.2">
      <c r="A284" s="21" t="s">
        <v>538</v>
      </c>
      <c r="B284" s="1" t="s">
        <v>69</v>
      </c>
      <c r="E284" s="1" t="s">
        <v>72</v>
      </c>
      <c r="F284" s="1" t="s">
        <v>131</v>
      </c>
      <c r="H284" s="1" t="s">
        <v>216</v>
      </c>
      <c r="I284" s="1">
        <v>0</v>
      </c>
      <c r="AD284" s="1">
        <v>0</v>
      </c>
      <c r="AY284" s="1">
        <v>24</v>
      </c>
      <c r="BG284" s="1">
        <v>1.68</v>
      </c>
      <c r="BT284" s="1">
        <v>0</v>
      </c>
      <c r="CO284" s="1">
        <v>0</v>
      </c>
      <c r="DJ284" s="1" t="s">
        <v>163</v>
      </c>
      <c r="DL284" s="1">
        <f t="shared" si="547"/>
        <v>1.68</v>
      </c>
      <c r="DM284" s="1">
        <f t="shared" si="548"/>
        <v>0</v>
      </c>
      <c r="DN284" s="1" t="s">
        <v>471</v>
      </c>
      <c r="DO284" s="1" t="s">
        <v>2</v>
      </c>
      <c r="DP284" s="38">
        <f t="shared" si="470"/>
        <v>0</v>
      </c>
      <c r="DQ284" s="38">
        <f t="shared" si="471"/>
        <v>0</v>
      </c>
      <c r="DR284" s="38">
        <f t="shared" si="472"/>
        <v>0</v>
      </c>
      <c r="DS284" s="38">
        <f t="shared" si="473"/>
        <v>0</v>
      </c>
      <c r="DT284" s="38">
        <f t="shared" si="474"/>
        <v>0</v>
      </c>
      <c r="DU284" s="38">
        <f t="shared" si="475"/>
        <v>0</v>
      </c>
      <c r="DV284" s="38">
        <f t="shared" si="476"/>
        <v>0</v>
      </c>
      <c r="DW284" s="38">
        <f t="shared" si="477"/>
        <v>0.4032</v>
      </c>
      <c r="DX284" s="38">
        <f t="shared" si="478"/>
        <v>0</v>
      </c>
      <c r="DY284" s="38">
        <f t="shared" si="479"/>
        <v>0</v>
      </c>
      <c r="DZ284" s="38">
        <f t="shared" si="480"/>
        <v>0</v>
      </c>
      <c r="EA284" s="38">
        <f t="shared" si="481"/>
        <v>0</v>
      </c>
      <c r="EB284" s="38">
        <f t="shared" si="482"/>
        <v>0</v>
      </c>
      <c r="EC284" s="38">
        <f t="shared" si="483"/>
        <v>0</v>
      </c>
      <c r="ED284" s="38">
        <f t="shared" si="484"/>
        <v>0</v>
      </c>
      <c r="EE284" s="38">
        <f t="shared" si="485"/>
        <v>0</v>
      </c>
      <c r="EG284" s="38">
        <f t="shared" si="486"/>
        <v>0</v>
      </c>
      <c r="EH284" s="38">
        <f t="shared" si="487"/>
        <v>0</v>
      </c>
      <c r="EI284" s="38">
        <f t="shared" si="488"/>
        <v>0</v>
      </c>
      <c r="EJ284" s="38">
        <f t="shared" si="489"/>
        <v>0</v>
      </c>
      <c r="EK284" s="38">
        <f t="shared" si="490"/>
        <v>0</v>
      </c>
      <c r="EL284" s="38">
        <f t="shared" si="491"/>
        <v>0</v>
      </c>
      <c r="EM284" s="38">
        <f t="shared" si="492"/>
        <v>0</v>
      </c>
      <c r="EN284" s="38">
        <f t="shared" si="493"/>
        <v>0</v>
      </c>
      <c r="EO284" s="38">
        <f t="shared" si="494"/>
        <v>0</v>
      </c>
      <c r="EP284" s="38">
        <f t="shared" si="495"/>
        <v>5287.5648000000001</v>
      </c>
      <c r="EQ284" s="38">
        <f t="shared" si="496"/>
        <v>0</v>
      </c>
      <c r="ER284" s="38">
        <f t="shared" si="497"/>
        <v>0</v>
      </c>
      <c r="ES284" s="38">
        <f t="shared" si="498"/>
        <v>0</v>
      </c>
      <c r="ET284" s="38">
        <f t="shared" si="499"/>
        <v>0</v>
      </c>
      <c r="EU284" s="38">
        <f t="shared" si="500"/>
        <v>0</v>
      </c>
      <c r="EV284" s="38">
        <f t="shared" si="501"/>
        <v>0</v>
      </c>
      <c r="EW284" s="38">
        <f t="shared" si="502"/>
        <v>0</v>
      </c>
      <c r="EX284" s="38">
        <f t="shared" si="503"/>
        <v>0</v>
      </c>
      <c r="EZ284" s="38">
        <f t="shared" si="504"/>
        <v>0</v>
      </c>
      <c r="FA284" s="38">
        <f t="shared" si="505"/>
        <v>0</v>
      </c>
      <c r="FB284" s="1">
        <f t="shared" si="506"/>
        <v>0</v>
      </c>
      <c r="FC284" s="1">
        <f t="shared" si="507"/>
        <v>0</v>
      </c>
      <c r="FD284" s="1">
        <f t="shared" si="508"/>
        <v>0</v>
      </c>
      <c r="FE284" s="1">
        <f t="shared" si="509"/>
        <v>0</v>
      </c>
      <c r="FF284" s="1">
        <f t="shared" si="510"/>
        <v>0</v>
      </c>
      <c r="FG284" s="1">
        <f t="shared" si="511"/>
        <v>0</v>
      </c>
      <c r="FH284" s="1">
        <f t="shared" si="512"/>
        <v>0</v>
      </c>
      <c r="FI284" s="1">
        <f t="shared" si="513"/>
        <v>0</v>
      </c>
      <c r="FJ284" s="1">
        <f t="shared" si="514"/>
        <v>0</v>
      </c>
      <c r="FK284" s="1">
        <f t="shared" si="515"/>
        <v>0</v>
      </c>
      <c r="FL284" s="1">
        <f t="shared" si="516"/>
        <v>0</v>
      </c>
      <c r="FM284" s="1">
        <f t="shared" si="517"/>
        <v>0</v>
      </c>
      <c r="FN284" s="1">
        <f t="shared" si="518"/>
        <v>0</v>
      </c>
      <c r="FO284" s="1">
        <f t="shared" si="519"/>
        <v>0</v>
      </c>
      <c r="FP284" s="1">
        <f t="shared" si="520"/>
        <v>0</v>
      </c>
      <c r="FQ284" s="1">
        <f t="shared" si="521"/>
        <v>0</v>
      </c>
      <c r="FS284" s="1">
        <f t="shared" si="522"/>
        <v>0</v>
      </c>
      <c r="FT284" s="1">
        <f t="shared" si="523"/>
        <v>0</v>
      </c>
      <c r="FU284" s="38">
        <f t="shared" si="524"/>
        <v>0</v>
      </c>
      <c r="FV284" s="38">
        <f t="shared" si="525"/>
        <v>0</v>
      </c>
      <c r="FW284" s="38">
        <f t="shared" si="526"/>
        <v>0</v>
      </c>
      <c r="FX284" s="38">
        <f t="shared" si="527"/>
        <v>0</v>
      </c>
      <c r="FY284" s="38">
        <f t="shared" si="528"/>
        <v>0</v>
      </c>
      <c r="FZ284" s="38">
        <f t="shared" si="529"/>
        <v>0</v>
      </c>
      <c r="GA284" s="38">
        <f t="shared" si="530"/>
        <v>0</v>
      </c>
      <c r="GB284" s="38">
        <f t="shared" si="531"/>
        <v>0</v>
      </c>
      <c r="GC284" s="38">
        <f t="shared" si="532"/>
        <v>0</v>
      </c>
      <c r="GD284" s="38">
        <f t="shared" si="533"/>
        <v>0</v>
      </c>
      <c r="GE284" s="38">
        <f t="shared" si="534"/>
        <v>0</v>
      </c>
      <c r="GF284" s="38">
        <f t="shared" si="535"/>
        <v>0</v>
      </c>
      <c r="GG284" s="38">
        <f t="shared" si="536"/>
        <v>0</v>
      </c>
      <c r="GH284" s="38">
        <f t="shared" si="537"/>
        <v>0</v>
      </c>
      <c r="GI284" s="38">
        <f t="shared" si="538"/>
        <v>0</v>
      </c>
      <c r="GJ284" s="38">
        <f t="shared" si="539"/>
        <v>0</v>
      </c>
      <c r="GL284" s="38">
        <f t="shared" si="540"/>
        <v>0</v>
      </c>
      <c r="GM284" s="38">
        <f t="shared" si="541"/>
        <v>0</v>
      </c>
      <c r="GN284" s="1" t="s">
        <v>2</v>
      </c>
      <c r="GO284" s="1">
        <f t="shared" si="549"/>
        <v>24</v>
      </c>
      <c r="GP284" s="13">
        <f t="shared" si="550"/>
        <v>1.68</v>
      </c>
      <c r="GQ284" s="41">
        <f t="shared" si="551"/>
        <v>403.2</v>
      </c>
      <c r="GR284" s="41">
        <f t="shared" si="552"/>
        <v>5287.5648000000001</v>
      </c>
      <c r="GS284" s="14">
        <f t="shared" si="553"/>
        <v>220.3152</v>
      </c>
      <c r="GT284" s="1">
        <f t="shared" si="542"/>
        <v>0</v>
      </c>
      <c r="GU284" s="1">
        <f t="shared" si="543"/>
        <v>0</v>
      </c>
      <c r="GV284" s="1">
        <f t="shared" si="544"/>
        <v>403.2</v>
      </c>
      <c r="GW284" s="37">
        <f t="shared" si="554"/>
        <v>0</v>
      </c>
      <c r="GX284" s="37"/>
      <c r="GY284" s="37"/>
      <c r="GZ284" s="37"/>
      <c r="HB284" s="1">
        <f t="shared" si="545"/>
        <v>0</v>
      </c>
      <c r="HC284" s="1">
        <f t="shared" si="546"/>
        <v>0</v>
      </c>
      <c r="HD284" s="37" t="s">
        <v>2</v>
      </c>
      <c r="HE284" s="1" t="s">
        <v>31</v>
      </c>
      <c r="HF284" s="1" t="s">
        <v>506</v>
      </c>
      <c r="HI284" s="1" t="s">
        <v>163</v>
      </c>
      <c r="HJ284" s="37" t="s">
        <v>2</v>
      </c>
      <c r="JH284" s="58" t="s">
        <v>2</v>
      </c>
    </row>
    <row r="285" spans="1:268" ht="16.25" customHeight="1" x14ac:dyDescent="0.2">
      <c r="A285" s="21" t="s">
        <v>557</v>
      </c>
      <c r="B285" s="1" t="s">
        <v>69</v>
      </c>
      <c r="E285" s="1" t="s">
        <v>72</v>
      </c>
      <c r="F285" s="1" t="s">
        <v>558</v>
      </c>
      <c r="H285" s="1" t="s">
        <v>187</v>
      </c>
      <c r="I285" s="1">
        <v>0</v>
      </c>
      <c r="AD285" s="1">
        <v>0</v>
      </c>
      <c r="AY285" s="14">
        <v>21</v>
      </c>
      <c r="BG285" s="13">
        <v>1.1000000000000001</v>
      </c>
      <c r="BT285" s="1">
        <v>0</v>
      </c>
      <c r="CO285" s="1">
        <v>0</v>
      </c>
      <c r="DJ285" s="1" t="s">
        <v>163</v>
      </c>
      <c r="DL285" s="1">
        <f t="shared" si="547"/>
        <v>1.1000000000000001</v>
      </c>
      <c r="DM285" s="1">
        <f t="shared" si="548"/>
        <v>0</v>
      </c>
      <c r="DN285" s="1" t="s">
        <v>502</v>
      </c>
      <c r="DO285" s="1" t="s">
        <v>2</v>
      </c>
      <c r="DP285" s="38">
        <f t="shared" si="470"/>
        <v>0</v>
      </c>
      <c r="DQ285" s="38">
        <f t="shared" si="471"/>
        <v>0</v>
      </c>
      <c r="DR285" s="38">
        <f t="shared" si="472"/>
        <v>0</v>
      </c>
      <c r="DS285" s="38">
        <f t="shared" si="473"/>
        <v>0</v>
      </c>
      <c r="DT285" s="38">
        <f t="shared" si="474"/>
        <v>0</v>
      </c>
      <c r="DU285" s="38">
        <f t="shared" si="475"/>
        <v>0</v>
      </c>
      <c r="DV285" s="38">
        <f t="shared" si="476"/>
        <v>0</v>
      </c>
      <c r="DW285" s="38">
        <f t="shared" si="477"/>
        <v>0.23100000000000001</v>
      </c>
      <c r="DX285" s="38">
        <f t="shared" si="478"/>
        <v>0</v>
      </c>
      <c r="DY285" s="38">
        <f t="shared" si="479"/>
        <v>0</v>
      </c>
      <c r="DZ285" s="38">
        <f t="shared" si="480"/>
        <v>0</v>
      </c>
      <c r="EA285" s="38">
        <f t="shared" si="481"/>
        <v>0</v>
      </c>
      <c r="EB285" s="38">
        <f t="shared" si="482"/>
        <v>0</v>
      </c>
      <c r="EC285" s="38">
        <f t="shared" si="483"/>
        <v>0</v>
      </c>
      <c r="ED285" s="38">
        <f t="shared" si="484"/>
        <v>0</v>
      </c>
      <c r="EE285" s="38">
        <f t="shared" si="485"/>
        <v>0</v>
      </c>
      <c r="EG285" s="38">
        <f t="shared" si="486"/>
        <v>0</v>
      </c>
      <c r="EH285" s="38">
        <f t="shared" si="487"/>
        <v>0</v>
      </c>
      <c r="EI285" s="38">
        <f t="shared" si="488"/>
        <v>0</v>
      </c>
      <c r="EJ285" s="38">
        <f t="shared" si="489"/>
        <v>0</v>
      </c>
      <c r="EK285" s="38">
        <f t="shared" si="490"/>
        <v>0</v>
      </c>
      <c r="EL285" s="38">
        <f t="shared" si="491"/>
        <v>0</v>
      </c>
      <c r="EM285" s="38">
        <f t="shared" si="492"/>
        <v>0</v>
      </c>
      <c r="EN285" s="38">
        <f t="shared" si="493"/>
        <v>0</v>
      </c>
      <c r="EO285" s="38">
        <f t="shared" si="494"/>
        <v>0</v>
      </c>
      <c r="EP285" s="38">
        <f t="shared" si="495"/>
        <v>3029.3340000000003</v>
      </c>
      <c r="EQ285" s="38">
        <f t="shared" si="496"/>
        <v>0</v>
      </c>
      <c r="ER285" s="38">
        <f t="shared" si="497"/>
        <v>0</v>
      </c>
      <c r="ES285" s="38">
        <f t="shared" si="498"/>
        <v>0</v>
      </c>
      <c r="ET285" s="38">
        <f t="shared" si="499"/>
        <v>0</v>
      </c>
      <c r="EU285" s="38">
        <f t="shared" si="500"/>
        <v>0</v>
      </c>
      <c r="EV285" s="38">
        <f t="shared" si="501"/>
        <v>0</v>
      </c>
      <c r="EW285" s="38">
        <f t="shared" si="502"/>
        <v>0</v>
      </c>
      <c r="EX285" s="38">
        <f t="shared" si="503"/>
        <v>0</v>
      </c>
      <c r="EZ285" s="38">
        <f t="shared" si="504"/>
        <v>0</v>
      </c>
      <c r="FA285" s="38">
        <f t="shared" si="505"/>
        <v>0</v>
      </c>
      <c r="FB285" s="1">
        <f t="shared" si="506"/>
        <v>0</v>
      </c>
      <c r="FC285" s="1">
        <f t="shared" si="507"/>
        <v>0</v>
      </c>
      <c r="FD285" s="1">
        <f t="shared" si="508"/>
        <v>0</v>
      </c>
      <c r="FE285" s="1">
        <f t="shared" si="509"/>
        <v>0</v>
      </c>
      <c r="FF285" s="1">
        <f t="shared" si="510"/>
        <v>0</v>
      </c>
      <c r="FG285" s="1">
        <f t="shared" si="511"/>
        <v>0</v>
      </c>
      <c r="FH285" s="1">
        <f t="shared" si="512"/>
        <v>0</v>
      </c>
      <c r="FI285" s="1">
        <f t="shared" si="513"/>
        <v>0</v>
      </c>
      <c r="FJ285" s="1">
        <f t="shared" si="514"/>
        <v>0</v>
      </c>
      <c r="FK285" s="1">
        <f t="shared" si="515"/>
        <v>0</v>
      </c>
      <c r="FL285" s="1">
        <f t="shared" si="516"/>
        <v>0</v>
      </c>
      <c r="FM285" s="1">
        <f t="shared" si="517"/>
        <v>0</v>
      </c>
      <c r="FN285" s="1">
        <f t="shared" si="518"/>
        <v>0</v>
      </c>
      <c r="FO285" s="1">
        <f t="shared" si="519"/>
        <v>0</v>
      </c>
      <c r="FP285" s="1">
        <f t="shared" si="520"/>
        <v>0</v>
      </c>
      <c r="FQ285" s="1">
        <f t="shared" si="521"/>
        <v>0</v>
      </c>
      <c r="FS285" s="1">
        <f t="shared" si="522"/>
        <v>0</v>
      </c>
      <c r="FT285" s="1">
        <f t="shared" si="523"/>
        <v>0</v>
      </c>
      <c r="FU285" s="38">
        <f t="shared" si="524"/>
        <v>0</v>
      </c>
      <c r="FV285" s="38">
        <f t="shared" si="525"/>
        <v>0</v>
      </c>
      <c r="FW285" s="38">
        <f t="shared" si="526"/>
        <v>0</v>
      </c>
      <c r="FX285" s="38">
        <f t="shared" si="527"/>
        <v>0</v>
      </c>
      <c r="FY285" s="38">
        <f t="shared" si="528"/>
        <v>0</v>
      </c>
      <c r="FZ285" s="38">
        <f t="shared" si="529"/>
        <v>0</v>
      </c>
      <c r="GA285" s="38">
        <f t="shared" si="530"/>
        <v>0</v>
      </c>
      <c r="GB285" s="38">
        <f t="shared" si="531"/>
        <v>0</v>
      </c>
      <c r="GC285" s="38">
        <f t="shared" si="532"/>
        <v>0</v>
      </c>
      <c r="GD285" s="38">
        <f t="shared" si="533"/>
        <v>0</v>
      </c>
      <c r="GE285" s="38">
        <f t="shared" si="534"/>
        <v>0</v>
      </c>
      <c r="GF285" s="38">
        <f t="shared" si="535"/>
        <v>0</v>
      </c>
      <c r="GG285" s="38">
        <f t="shared" si="536"/>
        <v>0</v>
      </c>
      <c r="GH285" s="38">
        <f t="shared" si="537"/>
        <v>0</v>
      </c>
      <c r="GI285" s="38">
        <f t="shared" si="538"/>
        <v>0</v>
      </c>
      <c r="GJ285" s="38">
        <f t="shared" si="539"/>
        <v>0</v>
      </c>
      <c r="GL285" s="38">
        <f t="shared" si="540"/>
        <v>0</v>
      </c>
      <c r="GM285" s="38">
        <f t="shared" si="541"/>
        <v>0</v>
      </c>
      <c r="GN285" s="1" t="s">
        <v>2</v>
      </c>
      <c r="GO285" s="1">
        <f t="shared" si="549"/>
        <v>21</v>
      </c>
      <c r="GP285" s="13">
        <f t="shared" si="550"/>
        <v>1.1000000000000001</v>
      </c>
      <c r="GQ285" s="41">
        <f t="shared" si="551"/>
        <v>231.00000000000003</v>
      </c>
      <c r="GR285" s="41">
        <f t="shared" si="552"/>
        <v>3029.3340000000003</v>
      </c>
      <c r="GS285" s="14">
        <f t="shared" si="553"/>
        <v>144.25400000000002</v>
      </c>
      <c r="GT285" s="1">
        <f t="shared" si="542"/>
        <v>0</v>
      </c>
      <c r="GU285" s="1">
        <f t="shared" si="543"/>
        <v>0</v>
      </c>
      <c r="GV285" s="1">
        <f t="shared" si="544"/>
        <v>231</v>
      </c>
      <c r="GW285" s="37">
        <f t="shared" si="554"/>
        <v>0</v>
      </c>
      <c r="GX285" s="37"/>
      <c r="GY285" s="37"/>
      <c r="GZ285" s="37"/>
      <c r="HB285" s="1">
        <f t="shared" si="545"/>
        <v>0</v>
      </c>
      <c r="HC285" s="1">
        <f t="shared" si="546"/>
        <v>0</v>
      </c>
      <c r="HD285" s="37" t="s">
        <v>2</v>
      </c>
      <c r="HE285" s="1" t="s">
        <v>31</v>
      </c>
      <c r="HF285" s="1" t="s">
        <v>506</v>
      </c>
      <c r="HI285" s="1" t="s">
        <v>163</v>
      </c>
      <c r="HJ285" s="37" t="s">
        <v>2</v>
      </c>
      <c r="JH285" s="58" t="s">
        <v>2</v>
      </c>
    </row>
    <row r="286" spans="1:268" ht="16.25" customHeight="1" x14ac:dyDescent="0.2">
      <c r="A286" s="15" t="s">
        <v>221</v>
      </c>
      <c r="B286" s="1" t="s">
        <v>64</v>
      </c>
      <c r="E286" s="1" t="s">
        <v>222</v>
      </c>
      <c r="F286" s="1" t="s">
        <v>66</v>
      </c>
      <c r="H286" s="1" t="s">
        <v>70</v>
      </c>
      <c r="I286" s="14">
        <f>3.3+3.4+15+1.3</f>
        <v>23</v>
      </c>
      <c r="Q286" s="13">
        <f>(1.8*3.3+0/0.72*3.4+2*15+0.84*1.3)/I286</f>
        <v>1.6100869565217391</v>
      </c>
      <c r="AD286" s="14">
        <f>2.8+76+7.8+1.4</f>
        <v>88</v>
      </c>
      <c r="AL286" s="13">
        <f>(1.2*2.8+0.52*76+1.9*7.8+1*1.4)/AD286</f>
        <v>0.67159090909090913</v>
      </c>
      <c r="AY286" s="1">
        <f>3.2+89+6.3+1.9</f>
        <v>100.4</v>
      </c>
      <c r="BG286" s="13">
        <f>(1*3.2+0.5*89+2.3*6.3+1.7*1.9)/AY286</f>
        <v>0.65159362549800792</v>
      </c>
      <c r="BT286" s="1">
        <f>1.3+1.3</f>
        <v>2.6</v>
      </c>
      <c r="CB286" s="13">
        <f>(0.96*1.3+0.84*1.3)/BT286</f>
        <v>0.89999999999999991</v>
      </c>
      <c r="CO286" s="1">
        <f>3.3+5.3</f>
        <v>8.6</v>
      </c>
      <c r="CW286" s="13">
        <f>(0.84*3.3+1.6*5.3)/CO286</f>
        <v>1.3083720930232559</v>
      </c>
      <c r="DJ286" s="1" t="s">
        <v>96</v>
      </c>
      <c r="DL286" s="1">
        <f t="shared" si="547"/>
        <v>0.76420056764427635</v>
      </c>
      <c r="DM286" s="1">
        <f t="shared" si="548"/>
        <v>0</v>
      </c>
      <c r="DN286" s="1" t="s">
        <v>67</v>
      </c>
      <c r="DO286" s="1" t="s">
        <v>2</v>
      </c>
      <c r="DP286" s="38">
        <f t="shared" si="470"/>
        <v>0</v>
      </c>
      <c r="DQ286" s="38">
        <f t="shared" si="471"/>
        <v>0</v>
      </c>
      <c r="DR286" s="38">
        <f t="shared" si="472"/>
        <v>0</v>
      </c>
      <c r="DS286" s="38">
        <f t="shared" si="473"/>
        <v>0</v>
      </c>
      <c r="DT286" s="38">
        <f t="shared" si="474"/>
        <v>0</v>
      </c>
      <c r="DU286" s="38">
        <f t="shared" si="475"/>
        <v>0</v>
      </c>
      <c r="DV286" s="38">
        <f t="shared" si="476"/>
        <v>0</v>
      </c>
      <c r="DW286" s="38">
        <f t="shared" si="477"/>
        <v>1.6155200000000003</v>
      </c>
      <c r="DX286" s="38">
        <f t="shared" si="478"/>
        <v>0</v>
      </c>
      <c r="DY286" s="38">
        <f t="shared" si="479"/>
        <v>0</v>
      </c>
      <c r="DZ286" s="38">
        <f t="shared" si="480"/>
        <v>0</v>
      </c>
      <c r="EA286" s="38">
        <f t="shared" si="481"/>
        <v>0</v>
      </c>
      <c r="EB286" s="38">
        <f t="shared" si="482"/>
        <v>0</v>
      </c>
      <c r="EC286" s="38">
        <f t="shared" si="483"/>
        <v>0</v>
      </c>
      <c r="ED286" s="38">
        <f t="shared" si="484"/>
        <v>0</v>
      </c>
      <c r="EE286" s="38">
        <f t="shared" si="485"/>
        <v>0</v>
      </c>
      <c r="EG286" s="38">
        <f t="shared" si="486"/>
        <v>0</v>
      </c>
      <c r="EH286" s="38">
        <f t="shared" si="487"/>
        <v>0</v>
      </c>
      <c r="EI286" s="38">
        <f t="shared" si="488"/>
        <v>0</v>
      </c>
      <c r="EJ286" s="38">
        <f t="shared" si="489"/>
        <v>0</v>
      </c>
      <c r="EK286" s="38">
        <f t="shared" si="490"/>
        <v>0</v>
      </c>
      <c r="EL286" s="38">
        <f t="shared" si="491"/>
        <v>0</v>
      </c>
      <c r="EM286" s="38">
        <f t="shared" si="492"/>
        <v>0</v>
      </c>
      <c r="EN286" s="38">
        <f t="shared" si="493"/>
        <v>0</v>
      </c>
      <c r="EO286" s="38">
        <f t="shared" si="494"/>
        <v>0</v>
      </c>
      <c r="EP286" s="38">
        <f t="shared" si="495"/>
        <v>21185.929280000004</v>
      </c>
      <c r="EQ286" s="38">
        <f t="shared" si="496"/>
        <v>0</v>
      </c>
      <c r="ER286" s="38">
        <f t="shared" si="497"/>
        <v>0</v>
      </c>
      <c r="ES286" s="38">
        <f t="shared" si="498"/>
        <v>0</v>
      </c>
      <c r="ET286" s="38">
        <f t="shared" si="499"/>
        <v>0</v>
      </c>
      <c r="EU286" s="38">
        <f t="shared" si="500"/>
        <v>0</v>
      </c>
      <c r="EV286" s="38">
        <f t="shared" si="501"/>
        <v>0</v>
      </c>
      <c r="EW286" s="38">
        <f t="shared" si="502"/>
        <v>0</v>
      </c>
      <c r="EX286" s="38">
        <f t="shared" si="503"/>
        <v>0</v>
      </c>
      <c r="EZ286" s="38">
        <f t="shared" si="504"/>
        <v>0</v>
      </c>
      <c r="FA286" s="38">
        <f t="shared" si="505"/>
        <v>0</v>
      </c>
      <c r="FB286" s="1">
        <f t="shared" si="506"/>
        <v>0</v>
      </c>
      <c r="FC286" s="1">
        <f t="shared" si="507"/>
        <v>0</v>
      </c>
      <c r="FD286" s="1">
        <f t="shared" si="508"/>
        <v>0</v>
      </c>
      <c r="FE286" s="1">
        <f t="shared" si="509"/>
        <v>0</v>
      </c>
      <c r="FF286" s="1">
        <f t="shared" si="510"/>
        <v>0</v>
      </c>
      <c r="FG286" s="1">
        <f t="shared" si="511"/>
        <v>0</v>
      </c>
      <c r="FH286" s="1">
        <f t="shared" si="512"/>
        <v>0</v>
      </c>
      <c r="FI286" s="1">
        <f t="shared" si="513"/>
        <v>0.13592000000000001</v>
      </c>
      <c r="FJ286" s="1">
        <f t="shared" si="514"/>
        <v>0</v>
      </c>
      <c r="FK286" s="1">
        <f t="shared" si="515"/>
        <v>0</v>
      </c>
      <c r="FL286" s="1">
        <f t="shared" si="516"/>
        <v>0</v>
      </c>
      <c r="FM286" s="1">
        <f t="shared" si="517"/>
        <v>0</v>
      </c>
      <c r="FN286" s="1">
        <f t="shared" si="518"/>
        <v>0</v>
      </c>
      <c r="FO286" s="1">
        <f t="shared" si="519"/>
        <v>0</v>
      </c>
      <c r="FP286" s="1">
        <f t="shared" si="520"/>
        <v>0</v>
      </c>
      <c r="FQ286" s="1">
        <f t="shared" si="521"/>
        <v>0</v>
      </c>
      <c r="FS286" s="1">
        <f t="shared" si="522"/>
        <v>0</v>
      </c>
      <c r="FT286" s="1">
        <f t="shared" si="523"/>
        <v>0</v>
      </c>
      <c r="FU286" s="38">
        <f t="shared" si="524"/>
        <v>0</v>
      </c>
      <c r="FV286" s="38">
        <f t="shared" si="525"/>
        <v>0</v>
      </c>
      <c r="FW286" s="38">
        <f t="shared" si="526"/>
        <v>0</v>
      </c>
      <c r="FX286" s="38">
        <f t="shared" si="527"/>
        <v>0</v>
      </c>
      <c r="FY286" s="38">
        <f t="shared" si="528"/>
        <v>0</v>
      </c>
      <c r="FZ286" s="38">
        <f t="shared" si="529"/>
        <v>0</v>
      </c>
      <c r="GA286" s="38">
        <f t="shared" si="530"/>
        <v>0</v>
      </c>
      <c r="GB286" s="38">
        <f t="shared" si="531"/>
        <v>1782.4548800000002</v>
      </c>
      <c r="GC286" s="38">
        <f t="shared" si="532"/>
        <v>0</v>
      </c>
      <c r="GD286" s="38">
        <f t="shared" si="533"/>
        <v>0</v>
      </c>
      <c r="GE286" s="38">
        <f t="shared" si="534"/>
        <v>0</v>
      </c>
      <c r="GF286" s="38">
        <f t="shared" si="535"/>
        <v>0</v>
      </c>
      <c r="GG286" s="38">
        <f t="shared" si="536"/>
        <v>0</v>
      </c>
      <c r="GH286" s="38">
        <f t="shared" si="537"/>
        <v>0</v>
      </c>
      <c r="GI286" s="38">
        <f t="shared" si="538"/>
        <v>0</v>
      </c>
      <c r="GJ286" s="38">
        <f t="shared" si="539"/>
        <v>0</v>
      </c>
      <c r="GL286" s="38">
        <f t="shared" si="540"/>
        <v>0</v>
      </c>
      <c r="GM286" s="38">
        <f t="shared" si="541"/>
        <v>0</v>
      </c>
      <c r="GN286" s="1" t="s">
        <v>2</v>
      </c>
      <c r="GO286" s="1">
        <f t="shared" si="549"/>
        <v>211.4</v>
      </c>
      <c r="GP286" s="13">
        <f t="shared" si="550"/>
        <v>0.76420056764427635</v>
      </c>
      <c r="GQ286" s="43">
        <f t="shared" si="551"/>
        <v>1615.5200000000002</v>
      </c>
      <c r="GR286" s="41">
        <f t="shared" si="552"/>
        <v>21185.929280000004</v>
      </c>
      <c r="GS286" s="14">
        <f t="shared" si="553"/>
        <v>100.2172624408704</v>
      </c>
      <c r="GT286" s="1">
        <f t="shared" si="542"/>
        <v>370.32</v>
      </c>
      <c r="GU286" s="1">
        <f t="shared" si="543"/>
        <v>591</v>
      </c>
      <c r="GV286" s="1">
        <f t="shared" si="544"/>
        <v>654.20000000000005</v>
      </c>
      <c r="GW286" s="37">
        <f t="shared" si="554"/>
        <v>11.2</v>
      </c>
      <c r="GX286" s="44">
        <f>(BT286*CB286+CO286*CW286)/GW286</f>
        <v>1.2135714285714287</v>
      </c>
      <c r="GY286" s="41">
        <f>1000*GW286*GX286/100</f>
        <v>135.92000000000002</v>
      </c>
      <c r="GZ286" s="41">
        <f>SUM(FU286:GM286)</f>
        <v>1782.4548800000002</v>
      </c>
      <c r="HA286" s="14">
        <f>GZ286/GW286</f>
        <v>159.14775714285716</v>
      </c>
      <c r="HB286" s="1">
        <f t="shared" si="545"/>
        <v>23.4</v>
      </c>
      <c r="HC286" s="1">
        <f t="shared" si="546"/>
        <v>112.52</v>
      </c>
      <c r="HD286" s="37" t="s">
        <v>2</v>
      </c>
      <c r="HE286" s="1" t="s">
        <v>113</v>
      </c>
      <c r="HF286" s="1" t="s">
        <v>223</v>
      </c>
      <c r="HI286" s="1" t="s">
        <v>96</v>
      </c>
      <c r="HJ286" s="37" t="s">
        <v>2</v>
      </c>
      <c r="JH286" s="58" t="s">
        <v>2</v>
      </c>
    </row>
    <row r="287" spans="1:268" ht="16.25" customHeight="1" x14ac:dyDescent="0.2">
      <c r="A287" s="15" t="s">
        <v>224</v>
      </c>
      <c r="B287" s="1" t="s">
        <v>64</v>
      </c>
      <c r="E287" s="1" t="s">
        <v>72</v>
      </c>
      <c r="F287" s="1" t="s">
        <v>66</v>
      </c>
      <c r="H287" s="1" t="s">
        <v>70</v>
      </c>
      <c r="I287" s="1">
        <f>140+11</f>
        <v>151</v>
      </c>
      <c r="Q287" s="13">
        <f>(0.55*140+0.48*11)/I287</f>
        <v>0.54490066225165568</v>
      </c>
      <c r="AD287" s="1">
        <v>67</v>
      </c>
      <c r="AL287" s="1">
        <v>0.52</v>
      </c>
      <c r="AY287" s="1">
        <v>24</v>
      </c>
      <c r="BG287" s="1">
        <v>0.52</v>
      </c>
      <c r="BT287" s="1">
        <f>11+7.3</f>
        <v>18.3</v>
      </c>
      <c r="CB287" s="13">
        <f>(0.61*11+0.49*7.3)/BT287</f>
        <v>0.56213114754098348</v>
      </c>
      <c r="CO287" s="1">
        <f>0.13+3.9</f>
        <v>4.03</v>
      </c>
      <c r="CW287" s="13">
        <f>(0.5*0.13+0.45*3.9)/CO287</f>
        <v>0.45161290322580638</v>
      </c>
      <c r="DJ287" s="1" t="s">
        <v>96</v>
      </c>
      <c r="DL287" s="1">
        <f t="shared" si="547"/>
        <v>0.53553719008264455</v>
      </c>
      <c r="DM287" s="1">
        <f t="shared" si="548"/>
        <v>0</v>
      </c>
      <c r="DN287" s="1" t="s">
        <v>67</v>
      </c>
      <c r="DO287" s="1" t="s">
        <v>2</v>
      </c>
      <c r="DP287" s="38">
        <f t="shared" ref="DP287:DP350" si="555">(J287*$I287+AE287*$AD287+AZ287*$AY287)/100</f>
        <v>0</v>
      </c>
      <c r="DQ287" s="38">
        <f t="shared" ref="DQ287:DQ350" si="556">K287*$I287+AF287*$AD287+BA287*$AY287</f>
        <v>0</v>
      </c>
      <c r="DR287" s="38">
        <f t="shared" ref="DR287:DR350" si="557">L287*$I287+AG287*$AD287+BB287*$AY287</f>
        <v>0</v>
      </c>
      <c r="DS287" s="38">
        <f t="shared" ref="DS287:DS350" si="558">(M287*$I287+AH287*$AD287+BC287*$AY287)/100</f>
        <v>0</v>
      </c>
      <c r="DT287" s="38">
        <f t="shared" ref="DT287:DT350" si="559">(N287*$I287+AI287*$AD287+BD287*$AY287)/100</f>
        <v>0</v>
      </c>
      <c r="DU287" s="38">
        <f t="shared" ref="DU287:DU350" si="560">(O287*$I287+AJ287*$AD287+BE287*$AY287)/100</f>
        <v>0</v>
      </c>
      <c r="DV287" s="38">
        <f t="shared" ref="DV287:DV350" si="561">(P287*$I287+AK287*$AD287+BF287*$AY287)/100</f>
        <v>0</v>
      </c>
      <c r="DW287" s="38">
        <f t="shared" ref="DW287:DW350" si="562">(Q287*$I287+AL287*$AD287+BG287*$AY287)/100</f>
        <v>1.296</v>
      </c>
      <c r="DX287" s="38">
        <f t="shared" ref="DX287:DX350" si="563">(R287*$I287+AM287*$AD287+BH287*$AY287)/100</f>
        <v>0</v>
      </c>
      <c r="DY287" s="38">
        <f t="shared" ref="DY287:DY350" si="564">S287*$I287+AN287*$AD287+BI287*$AY287</f>
        <v>0</v>
      </c>
      <c r="DZ287" s="38">
        <f t="shared" ref="DZ287:DZ350" si="565">T287*$I287+AO287*$AD287+BJ287*$AY287</f>
        <v>0</v>
      </c>
      <c r="EA287" s="38">
        <f t="shared" ref="EA287:EA350" si="566">U287*$I287+AP287*$AD287+BK287*$AY287</f>
        <v>0</v>
      </c>
      <c r="EB287" s="38">
        <f t="shared" ref="EB287:EB350" si="567">V287*$I287+AQ287*$AD287+BL287*$AY287</f>
        <v>0</v>
      </c>
      <c r="EC287" s="38">
        <f t="shared" ref="EC287:EC350" si="568">W287*$I287+AR287*$AD287+BM287*$AY287</f>
        <v>0</v>
      </c>
      <c r="ED287" s="38">
        <f t="shared" ref="ED287:ED350" si="569">(X287*$I287+AS287*$AD287+BN287*$AY287)/100</f>
        <v>0</v>
      </c>
      <c r="EE287" s="38">
        <f t="shared" ref="EE287:EE350" si="570">(Y287*$I287+AT287*$AD287+BO287*$AY287)/100</f>
        <v>0</v>
      </c>
      <c r="EG287" s="38">
        <f t="shared" ref="EG287:EG350" si="571">AA287*$I287+AV287*$AD287+BQ287*$AY287</f>
        <v>0</v>
      </c>
      <c r="EH287" s="38">
        <f t="shared" ref="EH287:EH350" si="572">(AB287*$I287+AW287*$AD287+BR287*$AY287)/100</f>
        <v>0</v>
      </c>
      <c r="EI287" s="38">
        <f t="shared" ref="EI287:EI350" si="573">EI$1*DP287</f>
        <v>0</v>
      </c>
      <c r="EJ287" s="38">
        <f t="shared" ref="EJ287:EJ350" si="574">EJ$1*DQ287/1000000</f>
        <v>0</v>
      </c>
      <c r="EK287" s="38">
        <f t="shared" ref="EK287:EK350" si="575">EK$1*DR287/1000000</f>
        <v>0</v>
      </c>
      <c r="EL287" s="38">
        <f t="shared" ref="EL287:EL350" si="576">EL$1*DS287</f>
        <v>0</v>
      </c>
      <c r="EM287" s="38">
        <f t="shared" ref="EM287:EM350" si="577">EM$1*DT287</f>
        <v>0</v>
      </c>
      <c r="EN287" s="38">
        <f t="shared" ref="EN287:EN350" si="578">EN$1*DU287</f>
        <v>0</v>
      </c>
      <c r="EO287" s="38">
        <f t="shared" ref="EO287:EO350" si="579">EO$1*DV287</f>
        <v>0</v>
      </c>
      <c r="EP287" s="38">
        <f t="shared" ref="EP287:EP350" si="580">EP$1*DW287</f>
        <v>16995.743999999999</v>
      </c>
      <c r="EQ287" s="38">
        <f t="shared" ref="EQ287:EQ350" si="581">EQ$1*DX287</f>
        <v>0</v>
      </c>
      <c r="ER287" s="38">
        <f t="shared" ref="ER287:ER350" si="582">ER$1*DY287/1000000</f>
        <v>0</v>
      </c>
      <c r="ES287" s="38">
        <f t="shared" ref="ES287:ES350" si="583">ES$1*DZ287/1000000</f>
        <v>0</v>
      </c>
      <c r="ET287" s="38">
        <f t="shared" ref="ET287:ET350" si="584">ET$1*EA287/1000000</f>
        <v>0</v>
      </c>
      <c r="EU287" s="38">
        <f t="shared" ref="EU287:EU350" si="585">EU$1*EB287/1000000</f>
        <v>0</v>
      </c>
      <c r="EV287" s="38">
        <f t="shared" ref="EV287:EV350" si="586">EV$1*EC287/1000000</f>
        <v>0</v>
      </c>
      <c r="EW287" s="38">
        <f t="shared" ref="EW287:EW350" si="587">EW$1*ED287</f>
        <v>0</v>
      </c>
      <c r="EX287" s="38">
        <f t="shared" ref="EX287:EX350" si="588">EX$1*EE287</f>
        <v>0</v>
      </c>
      <c r="EZ287" s="38">
        <f t="shared" ref="EZ287:EZ350" si="589">EZ$1*EG287/1000000</f>
        <v>0</v>
      </c>
      <c r="FA287" s="38">
        <f t="shared" ref="FA287:FA350" si="590">FA$1*EH287</f>
        <v>0</v>
      </c>
      <c r="FB287" s="1">
        <f t="shared" ref="FB287:FB350" si="591">(BU287*$BT287+CP287*$CO287)/100</f>
        <v>0</v>
      </c>
      <c r="FC287" s="1">
        <f t="shared" ref="FC287:FC350" si="592">BV287*$BT287+CQ287*$CO287</f>
        <v>0</v>
      </c>
      <c r="FD287" s="1">
        <f t="shared" ref="FD287:FD350" si="593">BW287*$BT287+CR287*$CO287</f>
        <v>0</v>
      </c>
      <c r="FE287" s="1">
        <f t="shared" ref="FE287:FE350" si="594">(BX287*$BT287+CS287*$CO287)/100</f>
        <v>0</v>
      </c>
      <c r="FF287" s="1">
        <f t="shared" ref="FF287:FF350" si="595">(BY287*$BT287+CT287*$CO287)/100</f>
        <v>0</v>
      </c>
      <c r="FG287" s="1">
        <f t="shared" ref="FG287:FG350" si="596">(BZ287*$BT287+CU287*$CO287)/100</f>
        <v>0</v>
      </c>
      <c r="FH287" s="1">
        <f t="shared" ref="FH287:FH350" si="597">(CA287*$BT287+CV287*$CO287)/100</f>
        <v>0</v>
      </c>
      <c r="FI287" s="1">
        <f t="shared" ref="FI287:FI350" si="598">(CB287*$BT287+CW287*$CO287)/100</f>
        <v>0.12106999999999997</v>
      </c>
      <c r="FJ287" s="1">
        <f t="shared" ref="FJ287:FJ350" si="599">(CC287*$BT287+CX287*$CO287)/100</f>
        <v>0</v>
      </c>
      <c r="FK287" s="1">
        <f t="shared" ref="FK287:FK350" si="600">CD287*$BT287+CY287*$CO287</f>
        <v>0</v>
      </c>
      <c r="FL287" s="1">
        <f t="shared" ref="FL287:FL350" si="601">CE287*$BT287+CZ287*$CO287</f>
        <v>0</v>
      </c>
      <c r="FM287" s="1">
        <f t="shared" ref="FM287:FM350" si="602">CF287*$BT287+DA287*$CO287</f>
        <v>0</v>
      </c>
      <c r="FN287" s="1">
        <f t="shared" ref="FN287:FN350" si="603">CG287*$BT287+DB287*$CO287</f>
        <v>0</v>
      </c>
      <c r="FO287" s="1">
        <f t="shared" ref="FO287:FO350" si="604">CH287*$BT287+DC287*$CO287</f>
        <v>0</v>
      </c>
      <c r="FP287" s="1">
        <f t="shared" ref="FP287:FP350" si="605">(CI287*$BT287+DD287*$CO287)/100</f>
        <v>0</v>
      </c>
      <c r="FQ287" s="1">
        <f t="shared" ref="FQ287:FQ350" si="606">(CJ287*$BT287+DE287*$CO287)/100</f>
        <v>0</v>
      </c>
      <c r="FS287" s="1">
        <f t="shared" ref="FS287:FS350" si="607">CL287*$BT287+DG287*$CO287</f>
        <v>0</v>
      </c>
      <c r="FT287" s="1">
        <f t="shared" ref="FT287:FT350" si="608">(CM287*$BT287+DH287*$CO287)/100</f>
        <v>0</v>
      </c>
      <c r="FU287" s="38">
        <f t="shared" ref="FU287:FU350" si="609">FU$1*FB287</f>
        <v>0</v>
      </c>
      <c r="FV287" s="38">
        <f t="shared" ref="FV287:FV350" si="610">FV$1*FC287/1000000</f>
        <v>0</v>
      </c>
      <c r="FW287" s="38">
        <f t="shared" ref="FW287:FW350" si="611">FW$1*FD287/1000000</f>
        <v>0</v>
      </c>
      <c r="FX287" s="38">
        <f t="shared" ref="FX287:FX350" si="612">FX$1*FE287</f>
        <v>0</v>
      </c>
      <c r="FY287" s="38">
        <f t="shared" ref="FY287:FY350" si="613">FY$1*FF287</f>
        <v>0</v>
      </c>
      <c r="FZ287" s="38">
        <f t="shared" ref="FZ287:FZ350" si="614">FZ$1*FG287</f>
        <v>0</v>
      </c>
      <c r="GA287" s="38">
        <f t="shared" ref="GA287:GA350" si="615">GA$1*FH287</f>
        <v>0</v>
      </c>
      <c r="GB287" s="38">
        <f t="shared" ref="GB287:GB350" si="616">GB$1*FI287</f>
        <v>1587.7119799999996</v>
      </c>
      <c r="GC287" s="38">
        <f t="shared" ref="GC287:GC350" si="617">GC$1*FJ287</f>
        <v>0</v>
      </c>
      <c r="GD287" s="38">
        <f t="shared" ref="GD287:GD350" si="618">GD$1*FK287/1000000</f>
        <v>0</v>
      </c>
      <c r="GE287" s="38">
        <f t="shared" ref="GE287:GE350" si="619">GE$1*FL287/1000000</f>
        <v>0</v>
      </c>
      <c r="GF287" s="38">
        <f t="shared" ref="GF287:GF350" si="620">GF$1*FM287/1000000</f>
        <v>0</v>
      </c>
      <c r="GG287" s="38">
        <f t="shared" ref="GG287:GG350" si="621">GG$1*FN287/1000000</f>
        <v>0</v>
      </c>
      <c r="GH287" s="38">
        <f t="shared" ref="GH287:GH350" si="622">GH$1*FO287/1000000</f>
        <v>0</v>
      </c>
      <c r="GI287" s="38">
        <f t="shared" ref="GI287:GI350" si="623">GI$1*FP287</f>
        <v>0</v>
      </c>
      <c r="GJ287" s="38">
        <f t="shared" ref="GJ287:GJ350" si="624">GJ$1*FQ287</f>
        <v>0</v>
      </c>
      <c r="GL287" s="38">
        <f t="shared" ref="GL287:GL350" si="625">GL$1*FS287/1000000</f>
        <v>0</v>
      </c>
      <c r="GM287" s="38">
        <f t="shared" ref="GM287:GM350" si="626">GM$1*FT287</f>
        <v>0</v>
      </c>
      <c r="GN287" s="1" t="s">
        <v>2</v>
      </c>
      <c r="GO287" s="1">
        <f t="shared" si="549"/>
        <v>242</v>
      </c>
      <c r="GP287" s="13">
        <f t="shared" si="550"/>
        <v>0.53553719008264455</v>
      </c>
      <c r="GQ287" s="43">
        <f t="shared" si="551"/>
        <v>1295.9999999999998</v>
      </c>
      <c r="GR287" s="41">
        <f t="shared" si="552"/>
        <v>16995.743999999999</v>
      </c>
      <c r="GS287" s="14">
        <f t="shared" si="553"/>
        <v>70.230347107438007</v>
      </c>
      <c r="GT287" s="1">
        <f t="shared" ref="GT287:GT350" si="627">1000*(Q287*$I287)/100</f>
        <v>822.8</v>
      </c>
      <c r="GU287" s="1">
        <f t="shared" ref="GU287:GU350" si="628">1000*(AL287*$AD287)/100</f>
        <v>348.4</v>
      </c>
      <c r="GV287" s="1">
        <f t="shared" ref="GV287:GV350" si="629">1000*(BG287*$AY287)/100</f>
        <v>124.8</v>
      </c>
      <c r="GW287" s="37">
        <f t="shared" si="554"/>
        <v>22.330000000000002</v>
      </c>
      <c r="GX287" s="44">
        <f>(BT287*CB287+CO287*CW287)/GW287</f>
        <v>0.54218540080609035</v>
      </c>
      <c r="GY287" s="41">
        <f>1000*GW287*GX287/100</f>
        <v>121.07</v>
      </c>
      <c r="GZ287" s="41">
        <f>SUM(FU287:GM287)</f>
        <v>1587.7119799999996</v>
      </c>
      <c r="HA287" s="14">
        <f>GZ287/GW287</f>
        <v>71.102193461710684</v>
      </c>
      <c r="HB287" s="1">
        <f t="shared" ref="HB287:HB350" si="630">1000*(CB287*$BT287)/100</f>
        <v>102.86999999999996</v>
      </c>
      <c r="HC287" s="1">
        <f t="shared" ref="HC287:HC350" si="631">1000*(CW287*$CO287)/100</f>
        <v>18.2</v>
      </c>
      <c r="HD287" s="37" t="s">
        <v>2</v>
      </c>
      <c r="HE287" s="1" t="s">
        <v>113</v>
      </c>
      <c r="HF287" s="1" t="s">
        <v>223</v>
      </c>
      <c r="HI287" s="1" t="s">
        <v>96</v>
      </c>
      <c r="HJ287" s="37" t="s">
        <v>2</v>
      </c>
      <c r="JH287" s="58" t="s">
        <v>2</v>
      </c>
    </row>
    <row r="288" spans="1:268" ht="16.25" customHeight="1" x14ac:dyDescent="0.2">
      <c r="A288" s="15" t="s">
        <v>225</v>
      </c>
      <c r="B288" s="1" t="s">
        <v>71</v>
      </c>
      <c r="E288" s="1" t="s">
        <v>65</v>
      </c>
      <c r="F288" s="1" t="s">
        <v>66</v>
      </c>
      <c r="H288" s="1" t="s">
        <v>70</v>
      </c>
      <c r="I288" s="1">
        <v>0.87</v>
      </c>
      <c r="Q288" s="1">
        <v>3.4</v>
      </c>
      <c r="AD288" s="1">
        <f>3.9+1.2</f>
        <v>5.0999999999999996</v>
      </c>
      <c r="AL288" s="14">
        <f>(0.96*3.9+3.6*1.2)/AD288</f>
        <v>1.5811764705882354</v>
      </c>
      <c r="AY288" s="1">
        <f>3+0.52</f>
        <v>3.52</v>
      </c>
      <c r="BG288" s="14">
        <f>(0.99*3+3.5*0.52)/AY288</f>
        <v>1.3607954545454546</v>
      </c>
      <c r="BT288" s="1">
        <v>0</v>
      </c>
      <c r="CO288" s="1">
        <v>0.55000000000000004</v>
      </c>
      <c r="CW288" s="14">
        <v>2</v>
      </c>
      <c r="DJ288" s="1" t="s">
        <v>96</v>
      </c>
      <c r="DL288" s="1">
        <f t="shared" si="547"/>
        <v>1.6661749209694416</v>
      </c>
      <c r="DM288" s="1">
        <f t="shared" si="548"/>
        <v>0</v>
      </c>
      <c r="DN288" s="1" t="s">
        <v>67</v>
      </c>
      <c r="DO288" s="1" t="s">
        <v>2</v>
      </c>
      <c r="DP288" s="38">
        <f t="shared" si="555"/>
        <v>0</v>
      </c>
      <c r="DQ288" s="38">
        <f t="shared" si="556"/>
        <v>0</v>
      </c>
      <c r="DR288" s="38">
        <f t="shared" si="557"/>
        <v>0</v>
      </c>
      <c r="DS288" s="38">
        <f t="shared" si="558"/>
        <v>0</v>
      </c>
      <c r="DT288" s="38">
        <f t="shared" si="559"/>
        <v>0</v>
      </c>
      <c r="DU288" s="38">
        <f t="shared" si="560"/>
        <v>0</v>
      </c>
      <c r="DV288" s="38">
        <f t="shared" si="561"/>
        <v>0</v>
      </c>
      <c r="DW288" s="38">
        <f t="shared" si="562"/>
        <v>0.15812000000000001</v>
      </c>
      <c r="DX288" s="38">
        <f t="shared" si="563"/>
        <v>0</v>
      </c>
      <c r="DY288" s="38">
        <f t="shared" si="564"/>
        <v>0</v>
      </c>
      <c r="DZ288" s="38">
        <f t="shared" si="565"/>
        <v>0</v>
      </c>
      <c r="EA288" s="38">
        <f t="shared" si="566"/>
        <v>0</v>
      </c>
      <c r="EB288" s="38">
        <f t="shared" si="567"/>
        <v>0</v>
      </c>
      <c r="EC288" s="38">
        <f t="shared" si="568"/>
        <v>0</v>
      </c>
      <c r="ED288" s="38">
        <f t="shared" si="569"/>
        <v>0</v>
      </c>
      <c r="EE288" s="38">
        <f t="shared" si="570"/>
        <v>0</v>
      </c>
      <c r="EG288" s="38">
        <f t="shared" si="571"/>
        <v>0</v>
      </c>
      <c r="EH288" s="38">
        <f t="shared" si="572"/>
        <v>0</v>
      </c>
      <c r="EI288" s="38">
        <f t="shared" si="573"/>
        <v>0</v>
      </c>
      <c r="EJ288" s="38">
        <f t="shared" si="574"/>
        <v>0</v>
      </c>
      <c r="EK288" s="38">
        <f t="shared" si="575"/>
        <v>0</v>
      </c>
      <c r="EL288" s="38">
        <f t="shared" si="576"/>
        <v>0</v>
      </c>
      <c r="EM288" s="38">
        <f t="shared" si="577"/>
        <v>0</v>
      </c>
      <c r="EN288" s="38">
        <f t="shared" si="578"/>
        <v>0</v>
      </c>
      <c r="EO288" s="38">
        <f t="shared" si="579"/>
        <v>0</v>
      </c>
      <c r="EP288" s="38">
        <f t="shared" si="580"/>
        <v>2073.5856800000001</v>
      </c>
      <c r="EQ288" s="38">
        <f t="shared" si="581"/>
        <v>0</v>
      </c>
      <c r="ER288" s="38">
        <f t="shared" si="582"/>
        <v>0</v>
      </c>
      <c r="ES288" s="38">
        <f t="shared" si="583"/>
        <v>0</v>
      </c>
      <c r="ET288" s="38">
        <f t="shared" si="584"/>
        <v>0</v>
      </c>
      <c r="EU288" s="38">
        <f t="shared" si="585"/>
        <v>0</v>
      </c>
      <c r="EV288" s="38">
        <f t="shared" si="586"/>
        <v>0</v>
      </c>
      <c r="EW288" s="38">
        <f t="shared" si="587"/>
        <v>0</v>
      </c>
      <c r="EX288" s="38">
        <f t="shared" si="588"/>
        <v>0</v>
      </c>
      <c r="EZ288" s="38">
        <f t="shared" si="589"/>
        <v>0</v>
      </c>
      <c r="FA288" s="38">
        <f t="shared" si="590"/>
        <v>0</v>
      </c>
      <c r="FB288" s="1">
        <f t="shared" si="591"/>
        <v>0</v>
      </c>
      <c r="FC288" s="1">
        <f t="shared" si="592"/>
        <v>0</v>
      </c>
      <c r="FD288" s="1">
        <f t="shared" si="593"/>
        <v>0</v>
      </c>
      <c r="FE288" s="1">
        <f t="shared" si="594"/>
        <v>0</v>
      </c>
      <c r="FF288" s="1">
        <f t="shared" si="595"/>
        <v>0</v>
      </c>
      <c r="FG288" s="1">
        <f t="shared" si="596"/>
        <v>0</v>
      </c>
      <c r="FH288" s="1">
        <f t="shared" si="597"/>
        <v>0</v>
      </c>
      <c r="FI288" s="1">
        <f t="shared" si="598"/>
        <v>1.1000000000000001E-2</v>
      </c>
      <c r="FJ288" s="1">
        <f t="shared" si="599"/>
        <v>0</v>
      </c>
      <c r="FK288" s="1">
        <f t="shared" si="600"/>
        <v>0</v>
      </c>
      <c r="FL288" s="1">
        <f t="shared" si="601"/>
        <v>0</v>
      </c>
      <c r="FM288" s="1">
        <f t="shared" si="602"/>
        <v>0</v>
      </c>
      <c r="FN288" s="1">
        <f t="shared" si="603"/>
        <v>0</v>
      </c>
      <c r="FO288" s="1">
        <f t="shared" si="604"/>
        <v>0</v>
      </c>
      <c r="FP288" s="1">
        <f t="shared" si="605"/>
        <v>0</v>
      </c>
      <c r="FQ288" s="1">
        <f t="shared" si="606"/>
        <v>0</v>
      </c>
      <c r="FS288" s="1">
        <f t="shared" si="607"/>
        <v>0</v>
      </c>
      <c r="FT288" s="1">
        <f t="shared" si="608"/>
        <v>0</v>
      </c>
      <c r="FU288" s="38">
        <f t="shared" si="609"/>
        <v>0</v>
      </c>
      <c r="FV288" s="38">
        <f t="shared" si="610"/>
        <v>0</v>
      </c>
      <c r="FW288" s="38">
        <f t="shared" si="611"/>
        <v>0</v>
      </c>
      <c r="FX288" s="38">
        <f t="shared" si="612"/>
        <v>0</v>
      </c>
      <c r="FY288" s="38">
        <f t="shared" si="613"/>
        <v>0</v>
      </c>
      <c r="FZ288" s="38">
        <f t="shared" si="614"/>
        <v>0</v>
      </c>
      <c r="GA288" s="38">
        <f t="shared" si="615"/>
        <v>0</v>
      </c>
      <c r="GB288" s="38">
        <f t="shared" si="616"/>
        <v>144.25400000000002</v>
      </c>
      <c r="GC288" s="38">
        <f t="shared" si="617"/>
        <v>0</v>
      </c>
      <c r="GD288" s="38">
        <f t="shared" si="618"/>
        <v>0</v>
      </c>
      <c r="GE288" s="38">
        <f t="shared" si="619"/>
        <v>0</v>
      </c>
      <c r="GF288" s="38">
        <f t="shared" si="620"/>
        <v>0</v>
      </c>
      <c r="GG288" s="38">
        <f t="shared" si="621"/>
        <v>0</v>
      </c>
      <c r="GH288" s="38">
        <f t="shared" si="622"/>
        <v>0</v>
      </c>
      <c r="GI288" s="38">
        <f t="shared" si="623"/>
        <v>0</v>
      </c>
      <c r="GJ288" s="38">
        <f t="shared" si="624"/>
        <v>0</v>
      </c>
      <c r="GL288" s="38">
        <f t="shared" si="625"/>
        <v>0</v>
      </c>
      <c r="GM288" s="38">
        <f t="shared" si="626"/>
        <v>0</v>
      </c>
      <c r="GN288" s="1" t="s">
        <v>2</v>
      </c>
      <c r="GO288" s="1">
        <f t="shared" si="549"/>
        <v>9.49</v>
      </c>
      <c r="GP288" s="13">
        <f t="shared" si="550"/>
        <v>1.6661749209694416</v>
      </c>
      <c r="GQ288" s="41">
        <f t="shared" si="551"/>
        <v>158.12</v>
      </c>
      <c r="GR288" s="41">
        <f t="shared" si="552"/>
        <v>2073.5856800000001</v>
      </c>
      <c r="GS288" s="14">
        <f t="shared" si="553"/>
        <v>218.50217913593258</v>
      </c>
      <c r="GT288" s="1">
        <f t="shared" si="627"/>
        <v>29.579999999999995</v>
      </c>
      <c r="GU288" s="1">
        <f t="shared" si="628"/>
        <v>80.64</v>
      </c>
      <c r="GV288" s="1">
        <f t="shared" si="629"/>
        <v>47.9</v>
      </c>
      <c r="GW288" s="37">
        <f t="shared" si="554"/>
        <v>0.55000000000000004</v>
      </c>
      <c r="GX288" s="44">
        <f>(BT288*CB288+CO288*CW288)/GW288</f>
        <v>2</v>
      </c>
      <c r="GY288" s="41">
        <f>1000*GW288*GX288/100</f>
        <v>11</v>
      </c>
      <c r="GZ288" s="41">
        <f>SUM(FU288:GM288)</f>
        <v>144.25400000000002</v>
      </c>
      <c r="HA288" s="14">
        <f>GZ288/GW288</f>
        <v>262.28000000000003</v>
      </c>
      <c r="HB288" s="1">
        <f t="shared" si="630"/>
        <v>0</v>
      </c>
      <c r="HC288" s="1">
        <f t="shared" si="631"/>
        <v>11</v>
      </c>
      <c r="HD288" s="37" t="s">
        <v>2</v>
      </c>
      <c r="HE288" s="1" t="s">
        <v>113</v>
      </c>
      <c r="HF288" s="1" t="s">
        <v>223</v>
      </c>
      <c r="HI288" s="1" t="s">
        <v>96</v>
      </c>
      <c r="HJ288" s="37" t="s">
        <v>2</v>
      </c>
      <c r="JH288" s="58" t="s">
        <v>2</v>
      </c>
    </row>
    <row r="289" spans="1:268" ht="16.25" customHeight="1" x14ac:dyDescent="0.2">
      <c r="A289" s="15" t="s">
        <v>226</v>
      </c>
      <c r="B289" s="1" t="s">
        <v>69</v>
      </c>
      <c r="E289" s="1" t="s">
        <v>72</v>
      </c>
      <c r="F289" s="1" t="s">
        <v>66</v>
      </c>
      <c r="H289" s="1" t="s">
        <v>70</v>
      </c>
      <c r="I289" s="1">
        <v>156</v>
      </c>
      <c r="Q289" s="1">
        <v>0.59</v>
      </c>
      <c r="AD289" s="1">
        <v>113</v>
      </c>
      <c r="AL289" s="1">
        <v>0.62</v>
      </c>
      <c r="AY289" s="1">
        <v>171</v>
      </c>
      <c r="BG289" s="1">
        <v>0.61</v>
      </c>
      <c r="BT289" s="1">
        <v>57</v>
      </c>
      <c r="CB289" s="13">
        <v>0.6</v>
      </c>
      <c r="CO289" s="1">
        <v>96</v>
      </c>
      <c r="CW289" s="1">
        <v>0.61</v>
      </c>
      <c r="DJ289" s="1" t="s">
        <v>96</v>
      </c>
      <c r="DL289" s="1">
        <f t="shared" si="547"/>
        <v>0.6054772727272727</v>
      </c>
      <c r="DM289" s="1">
        <f t="shared" si="548"/>
        <v>0</v>
      </c>
      <c r="DN289" s="1" t="s">
        <v>67</v>
      </c>
      <c r="DO289" s="1" t="s">
        <v>2</v>
      </c>
      <c r="DP289" s="38">
        <f t="shared" si="555"/>
        <v>0</v>
      </c>
      <c r="DQ289" s="38">
        <f t="shared" si="556"/>
        <v>0</v>
      </c>
      <c r="DR289" s="38">
        <f t="shared" si="557"/>
        <v>0</v>
      </c>
      <c r="DS289" s="38">
        <f t="shared" si="558"/>
        <v>0</v>
      </c>
      <c r="DT289" s="38">
        <f t="shared" si="559"/>
        <v>0</v>
      </c>
      <c r="DU289" s="38">
        <f t="shared" si="560"/>
        <v>0</v>
      </c>
      <c r="DV289" s="38">
        <f t="shared" si="561"/>
        <v>0</v>
      </c>
      <c r="DW289" s="38">
        <f t="shared" si="562"/>
        <v>2.6640999999999995</v>
      </c>
      <c r="DX289" s="38">
        <f t="shared" si="563"/>
        <v>0</v>
      </c>
      <c r="DY289" s="38">
        <f t="shared" si="564"/>
        <v>0</v>
      </c>
      <c r="DZ289" s="38">
        <f t="shared" si="565"/>
        <v>0</v>
      </c>
      <c r="EA289" s="38">
        <f t="shared" si="566"/>
        <v>0</v>
      </c>
      <c r="EB289" s="38">
        <f t="shared" si="567"/>
        <v>0</v>
      </c>
      <c r="EC289" s="38">
        <f t="shared" si="568"/>
        <v>0</v>
      </c>
      <c r="ED289" s="38">
        <f t="shared" si="569"/>
        <v>0</v>
      </c>
      <c r="EE289" s="38">
        <f t="shared" si="570"/>
        <v>0</v>
      </c>
      <c r="EG289" s="38">
        <f t="shared" si="571"/>
        <v>0</v>
      </c>
      <c r="EH289" s="38">
        <f t="shared" si="572"/>
        <v>0</v>
      </c>
      <c r="EI289" s="38">
        <f t="shared" si="573"/>
        <v>0</v>
      </c>
      <c r="EJ289" s="38">
        <f t="shared" si="574"/>
        <v>0</v>
      </c>
      <c r="EK289" s="38">
        <f t="shared" si="575"/>
        <v>0</v>
      </c>
      <c r="EL289" s="38">
        <f t="shared" si="576"/>
        <v>0</v>
      </c>
      <c r="EM289" s="38">
        <f t="shared" si="577"/>
        <v>0</v>
      </c>
      <c r="EN289" s="38">
        <f t="shared" si="578"/>
        <v>0</v>
      </c>
      <c r="EO289" s="38">
        <f t="shared" si="579"/>
        <v>0</v>
      </c>
      <c r="EP289" s="38">
        <f t="shared" si="580"/>
        <v>34937.007399999995</v>
      </c>
      <c r="EQ289" s="38">
        <f t="shared" si="581"/>
        <v>0</v>
      </c>
      <c r="ER289" s="38">
        <f t="shared" si="582"/>
        <v>0</v>
      </c>
      <c r="ES289" s="38">
        <f t="shared" si="583"/>
        <v>0</v>
      </c>
      <c r="ET289" s="38">
        <f t="shared" si="584"/>
        <v>0</v>
      </c>
      <c r="EU289" s="38">
        <f t="shared" si="585"/>
        <v>0</v>
      </c>
      <c r="EV289" s="38">
        <f t="shared" si="586"/>
        <v>0</v>
      </c>
      <c r="EW289" s="38">
        <f t="shared" si="587"/>
        <v>0</v>
      </c>
      <c r="EX289" s="38">
        <f t="shared" si="588"/>
        <v>0</v>
      </c>
      <c r="EZ289" s="38">
        <f t="shared" si="589"/>
        <v>0</v>
      </c>
      <c r="FA289" s="38">
        <f t="shared" si="590"/>
        <v>0</v>
      </c>
      <c r="FB289" s="1">
        <f t="shared" si="591"/>
        <v>0</v>
      </c>
      <c r="FC289" s="1">
        <f t="shared" si="592"/>
        <v>0</v>
      </c>
      <c r="FD289" s="1">
        <f t="shared" si="593"/>
        <v>0</v>
      </c>
      <c r="FE289" s="1">
        <f t="shared" si="594"/>
        <v>0</v>
      </c>
      <c r="FF289" s="1">
        <f t="shared" si="595"/>
        <v>0</v>
      </c>
      <c r="FG289" s="1">
        <f t="shared" si="596"/>
        <v>0</v>
      </c>
      <c r="FH289" s="1">
        <f t="shared" si="597"/>
        <v>0</v>
      </c>
      <c r="FI289" s="1">
        <f t="shared" si="598"/>
        <v>0.92759999999999987</v>
      </c>
      <c r="FJ289" s="1">
        <f t="shared" si="599"/>
        <v>0</v>
      </c>
      <c r="FK289" s="1">
        <f t="shared" si="600"/>
        <v>0</v>
      </c>
      <c r="FL289" s="1">
        <f t="shared" si="601"/>
        <v>0</v>
      </c>
      <c r="FM289" s="1">
        <f t="shared" si="602"/>
        <v>0</v>
      </c>
      <c r="FN289" s="1">
        <f t="shared" si="603"/>
        <v>0</v>
      </c>
      <c r="FO289" s="1">
        <f t="shared" si="604"/>
        <v>0</v>
      </c>
      <c r="FP289" s="1">
        <f t="shared" si="605"/>
        <v>0</v>
      </c>
      <c r="FQ289" s="1">
        <f t="shared" si="606"/>
        <v>0</v>
      </c>
      <c r="FS289" s="1">
        <f t="shared" si="607"/>
        <v>0</v>
      </c>
      <c r="FT289" s="1">
        <f t="shared" si="608"/>
        <v>0</v>
      </c>
      <c r="FU289" s="38">
        <f t="shared" si="609"/>
        <v>0</v>
      </c>
      <c r="FV289" s="38">
        <f t="shared" si="610"/>
        <v>0</v>
      </c>
      <c r="FW289" s="38">
        <f t="shared" si="611"/>
        <v>0</v>
      </c>
      <c r="FX289" s="38">
        <f t="shared" si="612"/>
        <v>0</v>
      </c>
      <c r="FY289" s="38">
        <f t="shared" si="613"/>
        <v>0</v>
      </c>
      <c r="FZ289" s="38">
        <f t="shared" si="614"/>
        <v>0</v>
      </c>
      <c r="GA289" s="38">
        <f t="shared" si="615"/>
        <v>0</v>
      </c>
      <c r="GB289" s="38">
        <f t="shared" si="616"/>
        <v>12164.546399999997</v>
      </c>
      <c r="GC289" s="38">
        <f t="shared" si="617"/>
        <v>0</v>
      </c>
      <c r="GD289" s="38">
        <f t="shared" si="618"/>
        <v>0</v>
      </c>
      <c r="GE289" s="38">
        <f t="shared" si="619"/>
        <v>0</v>
      </c>
      <c r="GF289" s="38">
        <f t="shared" si="620"/>
        <v>0</v>
      </c>
      <c r="GG289" s="38">
        <f t="shared" si="621"/>
        <v>0</v>
      </c>
      <c r="GH289" s="38">
        <f t="shared" si="622"/>
        <v>0</v>
      </c>
      <c r="GI289" s="38">
        <f t="shared" si="623"/>
        <v>0</v>
      </c>
      <c r="GJ289" s="38">
        <f t="shared" si="624"/>
        <v>0</v>
      </c>
      <c r="GL289" s="38">
        <f t="shared" si="625"/>
        <v>0</v>
      </c>
      <c r="GM289" s="38">
        <f t="shared" si="626"/>
        <v>0</v>
      </c>
      <c r="GN289" s="1" t="s">
        <v>2</v>
      </c>
      <c r="GO289" s="1">
        <f t="shared" si="549"/>
        <v>440</v>
      </c>
      <c r="GP289" s="13">
        <f t="shared" si="550"/>
        <v>0.6054772727272727</v>
      </c>
      <c r="GQ289" s="43">
        <f t="shared" si="551"/>
        <v>2664.1</v>
      </c>
      <c r="GR289" s="41">
        <f t="shared" si="552"/>
        <v>34937.007399999995</v>
      </c>
      <c r="GS289" s="14">
        <f t="shared" si="553"/>
        <v>79.402289545454536</v>
      </c>
      <c r="GT289" s="1">
        <f t="shared" si="627"/>
        <v>920.39999999999986</v>
      </c>
      <c r="GU289" s="1">
        <f t="shared" si="628"/>
        <v>700.6</v>
      </c>
      <c r="GV289" s="1">
        <f t="shared" si="629"/>
        <v>1043.0999999999999</v>
      </c>
      <c r="GW289" s="37">
        <f t="shared" si="554"/>
        <v>153</v>
      </c>
      <c r="GX289" s="44">
        <f>(BT289*CB289+CO289*CW289)/GW289</f>
        <v>0.6062745098039215</v>
      </c>
      <c r="GY289" s="41">
        <f>1000*GW289*GX289/100</f>
        <v>927.59999999999991</v>
      </c>
      <c r="GZ289" s="41">
        <f>SUM(FU289:GM289)</f>
        <v>12164.546399999997</v>
      </c>
      <c r="HA289" s="14">
        <f>GZ289/GW289</f>
        <v>79.506839215686256</v>
      </c>
      <c r="HB289" s="1">
        <f t="shared" si="630"/>
        <v>341.99999999999994</v>
      </c>
      <c r="HC289" s="1">
        <f t="shared" si="631"/>
        <v>585.6</v>
      </c>
      <c r="HD289" s="37" t="s">
        <v>2</v>
      </c>
      <c r="HE289" s="1" t="s">
        <v>113</v>
      </c>
      <c r="HF289" s="1" t="s">
        <v>223</v>
      </c>
      <c r="HI289" s="1" t="s">
        <v>96</v>
      </c>
      <c r="HJ289" s="37" t="s">
        <v>2</v>
      </c>
      <c r="JH289" s="58" t="s">
        <v>2</v>
      </c>
    </row>
    <row r="290" spans="1:268" ht="16.25" customHeight="1" x14ac:dyDescent="0.2">
      <c r="A290" s="15" t="s">
        <v>227</v>
      </c>
      <c r="B290" s="1" t="s">
        <v>69</v>
      </c>
      <c r="E290" s="1" t="s">
        <v>65</v>
      </c>
      <c r="F290" s="1" t="s">
        <v>66</v>
      </c>
      <c r="H290" s="1" t="s">
        <v>70</v>
      </c>
      <c r="I290" s="1">
        <v>0</v>
      </c>
      <c r="AD290" s="1">
        <v>0.47</v>
      </c>
      <c r="AL290" s="1">
        <v>2.4</v>
      </c>
      <c r="AY290" s="1">
        <f>5.4+1.5</f>
        <v>6.9</v>
      </c>
      <c r="BG290" s="14">
        <f>(1.7*5.4+5.8*1.5)/AY290</f>
        <v>2.5913043478260867</v>
      </c>
      <c r="BT290" s="1">
        <v>0</v>
      </c>
      <c r="CO290" s="1">
        <v>0</v>
      </c>
      <c r="DJ290" s="1" t="s">
        <v>96</v>
      </c>
      <c r="DL290" s="1">
        <f t="shared" si="547"/>
        <v>2.5791044776119403</v>
      </c>
      <c r="DM290" s="1">
        <f t="shared" si="548"/>
        <v>0</v>
      </c>
      <c r="DN290" s="1" t="s">
        <v>67</v>
      </c>
      <c r="DO290" s="1" t="s">
        <v>2</v>
      </c>
      <c r="DP290" s="38">
        <f t="shared" si="555"/>
        <v>0</v>
      </c>
      <c r="DQ290" s="38">
        <f t="shared" si="556"/>
        <v>0</v>
      </c>
      <c r="DR290" s="38">
        <f t="shared" si="557"/>
        <v>0</v>
      </c>
      <c r="DS290" s="38">
        <f t="shared" si="558"/>
        <v>0</v>
      </c>
      <c r="DT290" s="38">
        <f t="shared" si="559"/>
        <v>0</v>
      </c>
      <c r="DU290" s="38">
        <f t="shared" si="560"/>
        <v>0</v>
      </c>
      <c r="DV290" s="38">
        <f t="shared" si="561"/>
        <v>0</v>
      </c>
      <c r="DW290" s="38">
        <f t="shared" si="562"/>
        <v>0.19008</v>
      </c>
      <c r="DX290" s="38">
        <f t="shared" si="563"/>
        <v>0</v>
      </c>
      <c r="DY290" s="38">
        <f t="shared" si="564"/>
        <v>0</v>
      </c>
      <c r="DZ290" s="38">
        <f t="shared" si="565"/>
        <v>0</v>
      </c>
      <c r="EA290" s="38">
        <f t="shared" si="566"/>
        <v>0</v>
      </c>
      <c r="EB290" s="38">
        <f t="shared" si="567"/>
        <v>0</v>
      </c>
      <c r="EC290" s="38">
        <f t="shared" si="568"/>
        <v>0</v>
      </c>
      <c r="ED290" s="38">
        <f t="shared" si="569"/>
        <v>0</v>
      </c>
      <c r="EE290" s="38">
        <f t="shared" si="570"/>
        <v>0</v>
      </c>
      <c r="EG290" s="38">
        <f t="shared" si="571"/>
        <v>0</v>
      </c>
      <c r="EH290" s="38">
        <f t="shared" si="572"/>
        <v>0</v>
      </c>
      <c r="EI290" s="38">
        <f t="shared" si="573"/>
        <v>0</v>
      </c>
      <c r="EJ290" s="38">
        <f t="shared" si="574"/>
        <v>0</v>
      </c>
      <c r="EK290" s="38">
        <f t="shared" si="575"/>
        <v>0</v>
      </c>
      <c r="EL290" s="38">
        <f t="shared" si="576"/>
        <v>0</v>
      </c>
      <c r="EM290" s="38">
        <f t="shared" si="577"/>
        <v>0</v>
      </c>
      <c r="EN290" s="38">
        <f t="shared" si="578"/>
        <v>0</v>
      </c>
      <c r="EO290" s="38">
        <f t="shared" si="579"/>
        <v>0</v>
      </c>
      <c r="EP290" s="38">
        <f t="shared" si="580"/>
        <v>2492.70912</v>
      </c>
      <c r="EQ290" s="38">
        <f t="shared" si="581"/>
        <v>0</v>
      </c>
      <c r="ER290" s="38">
        <f t="shared" si="582"/>
        <v>0</v>
      </c>
      <c r="ES290" s="38">
        <f t="shared" si="583"/>
        <v>0</v>
      </c>
      <c r="ET290" s="38">
        <f t="shared" si="584"/>
        <v>0</v>
      </c>
      <c r="EU290" s="38">
        <f t="shared" si="585"/>
        <v>0</v>
      </c>
      <c r="EV290" s="38">
        <f t="shared" si="586"/>
        <v>0</v>
      </c>
      <c r="EW290" s="38">
        <f t="shared" si="587"/>
        <v>0</v>
      </c>
      <c r="EX290" s="38">
        <f t="shared" si="588"/>
        <v>0</v>
      </c>
      <c r="EZ290" s="38">
        <f t="shared" si="589"/>
        <v>0</v>
      </c>
      <c r="FA290" s="38">
        <f t="shared" si="590"/>
        <v>0</v>
      </c>
      <c r="FB290" s="1">
        <f t="shared" si="591"/>
        <v>0</v>
      </c>
      <c r="FC290" s="1">
        <f t="shared" si="592"/>
        <v>0</v>
      </c>
      <c r="FD290" s="1">
        <f t="shared" si="593"/>
        <v>0</v>
      </c>
      <c r="FE290" s="1">
        <f t="shared" si="594"/>
        <v>0</v>
      </c>
      <c r="FF290" s="1">
        <f t="shared" si="595"/>
        <v>0</v>
      </c>
      <c r="FG290" s="1">
        <f t="shared" si="596"/>
        <v>0</v>
      </c>
      <c r="FH290" s="1">
        <f t="shared" si="597"/>
        <v>0</v>
      </c>
      <c r="FI290" s="1">
        <f t="shared" si="598"/>
        <v>0</v>
      </c>
      <c r="FJ290" s="1">
        <f t="shared" si="599"/>
        <v>0</v>
      </c>
      <c r="FK290" s="1">
        <f t="shared" si="600"/>
        <v>0</v>
      </c>
      <c r="FL290" s="1">
        <f t="shared" si="601"/>
        <v>0</v>
      </c>
      <c r="FM290" s="1">
        <f t="shared" si="602"/>
        <v>0</v>
      </c>
      <c r="FN290" s="1">
        <f t="shared" si="603"/>
        <v>0</v>
      </c>
      <c r="FO290" s="1">
        <f t="shared" si="604"/>
        <v>0</v>
      </c>
      <c r="FP290" s="1">
        <f t="shared" si="605"/>
        <v>0</v>
      </c>
      <c r="FQ290" s="1">
        <f t="shared" si="606"/>
        <v>0</v>
      </c>
      <c r="FS290" s="1">
        <f t="shared" si="607"/>
        <v>0</v>
      </c>
      <c r="FT290" s="1">
        <f t="shared" si="608"/>
        <v>0</v>
      </c>
      <c r="FU290" s="38">
        <f t="shared" si="609"/>
        <v>0</v>
      </c>
      <c r="FV290" s="38">
        <f t="shared" si="610"/>
        <v>0</v>
      </c>
      <c r="FW290" s="38">
        <f t="shared" si="611"/>
        <v>0</v>
      </c>
      <c r="FX290" s="38">
        <f t="shared" si="612"/>
        <v>0</v>
      </c>
      <c r="FY290" s="38">
        <f t="shared" si="613"/>
        <v>0</v>
      </c>
      <c r="FZ290" s="38">
        <f t="shared" si="614"/>
        <v>0</v>
      </c>
      <c r="GA290" s="38">
        <f t="shared" si="615"/>
        <v>0</v>
      </c>
      <c r="GB290" s="38">
        <f t="shared" si="616"/>
        <v>0</v>
      </c>
      <c r="GC290" s="38">
        <f t="shared" si="617"/>
        <v>0</v>
      </c>
      <c r="GD290" s="38">
        <f t="shared" si="618"/>
        <v>0</v>
      </c>
      <c r="GE290" s="38">
        <f t="shared" si="619"/>
        <v>0</v>
      </c>
      <c r="GF290" s="38">
        <f t="shared" si="620"/>
        <v>0</v>
      </c>
      <c r="GG290" s="38">
        <f t="shared" si="621"/>
        <v>0</v>
      </c>
      <c r="GH290" s="38">
        <f t="shared" si="622"/>
        <v>0</v>
      </c>
      <c r="GI290" s="38">
        <f t="shared" si="623"/>
        <v>0</v>
      </c>
      <c r="GJ290" s="38">
        <f t="shared" si="624"/>
        <v>0</v>
      </c>
      <c r="GL290" s="38">
        <f t="shared" si="625"/>
        <v>0</v>
      </c>
      <c r="GM290" s="38">
        <f t="shared" si="626"/>
        <v>0</v>
      </c>
      <c r="GN290" s="1" t="s">
        <v>2</v>
      </c>
      <c r="GO290" s="1">
        <f t="shared" si="549"/>
        <v>7.37</v>
      </c>
      <c r="GP290" s="13">
        <f t="shared" si="550"/>
        <v>2.5791044776119403</v>
      </c>
      <c r="GQ290" s="41">
        <f t="shared" si="551"/>
        <v>190.08</v>
      </c>
      <c r="GR290" s="41">
        <f t="shared" si="552"/>
        <v>2492.70912</v>
      </c>
      <c r="GS290" s="14">
        <f t="shared" si="553"/>
        <v>338.22376119402986</v>
      </c>
      <c r="GT290" s="1">
        <f t="shared" si="627"/>
        <v>0</v>
      </c>
      <c r="GU290" s="1">
        <f t="shared" si="628"/>
        <v>11.28</v>
      </c>
      <c r="GV290" s="1">
        <f t="shared" si="629"/>
        <v>178.8</v>
      </c>
      <c r="GW290" s="37">
        <f t="shared" si="554"/>
        <v>0</v>
      </c>
      <c r="GX290" s="37"/>
      <c r="GY290" s="37"/>
      <c r="GZ290" s="37"/>
      <c r="HB290" s="1">
        <f t="shared" si="630"/>
        <v>0</v>
      </c>
      <c r="HC290" s="1">
        <f t="shared" si="631"/>
        <v>0</v>
      </c>
      <c r="HD290" s="37" t="s">
        <v>2</v>
      </c>
      <c r="HE290" s="1" t="s">
        <v>113</v>
      </c>
      <c r="HF290" s="1" t="s">
        <v>223</v>
      </c>
      <c r="HI290" s="1" t="s">
        <v>96</v>
      </c>
      <c r="HJ290" s="37" t="s">
        <v>2</v>
      </c>
      <c r="JH290" s="58" t="s">
        <v>2</v>
      </c>
    </row>
    <row r="291" spans="1:268" ht="16.25" customHeight="1" x14ac:dyDescent="0.2">
      <c r="A291" s="15" t="s">
        <v>228</v>
      </c>
      <c r="B291" s="1" t="s">
        <v>69</v>
      </c>
      <c r="E291" s="1" t="s">
        <v>65</v>
      </c>
      <c r="F291" s="1" t="s">
        <v>66</v>
      </c>
      <c r="H291" s="1" t="s">
        <v>70</v>
      </c>
      <c r="I291" s="1">
        <v>0</v>
      </c>
      <c r="AD291" s="1">
        <v>0</v>
      </c>
      <c r="AY291" s="1">
        <v>31</v>
      </c>
      <c r="BG291" s="1">
        <v>0.59</v>
      </c>
      <c r="BT291" s="1">
        <v>0</v>
      </c>
      <c r="CO291" s="1">
        <v>0</v>
      </c>
      <c r="DJ291" s="1" t="s">
        <v>96</v>
      </c>
      <c r="DL291" s="1">
        <f t="shared" si="547"/>
        <v>0.59</v>
      </c>
      <c r="DM291" s="1">
        <f t="shared" si="548"/>
        <v>0</v>
      </c>
      <c r="DN291" s="1" t="s">
        <v>67</v>
      </c>
      <c r="DO291" s="1" t="s">
        <v>2</v>
      </c>
      <c r="DP291" s="38">
        <f t="shared" si="555"/>
        <v>0</v>
      </c>
      <c r="DQ291" s="38">
        <f t="shared" si="556"/>
        <v>0</v>
      </c>
      <c r="DR291" s="38">
        <f t="shared" si="557"/>
        <v>0</v>
      </c>
      <c r="DS291" s="38">
        <f t="shared" si="558"/>
        <v>0</v>
      </c>
      <c r="DT291" s="38">
        <f t="shared" si="559"/>
        <v>0</v>
      </c>
      <c r="DU291" s="38">
        <f t="shared" si="560"/>
        <v>0</v>
      </c>
      <c r="DV291" s="38">
        <f t="shared" si="561"/>
        <v>0</v>
      </c>
      <c r="DW291" s="38">
        <f t="shared" si="562"/>
        <v>0.18289999999999998</v>
      </c>
      <c r="DX291" s="38">
        <f t="shared" si="563"/>
        <v>0</v>
      </c>
      <c r="DY291" s="38">
        <f t="shared" si="564"/>
        <v>0</v>
      </c>
      <c r="DZ291" s="38">
        <f t="shared" si="565"/>
        <v>0</v>
      </c>
      <c r="EA291" s="38">
        <f t="shared" si="566"/>
        <v>0</v>
      </c>
      <c r="EB291" s="38">
        <f t="shared" si="567"/>
        <v>0</v>
      </c>
      <c r="EC291" s="38">
        <f t="shared" si="568"/>
        <v>0</v>
      </c>
      <c r="ED291" s="38">
        <f t="shared" si="569"/>
        <v>0</v>
      </c>
      <c r="EE291" s="38">
        <f t="shared" si="570"/>
        <v>0</v>
      </c>
      <c r="EG291" s="38">
        <f t="shared" si="571"/>
        <v>0</v>
      </c>
      <c r="EH291" s="38">
        <f t="shared" si="572"/>
        <v>0</v>
      </c>
      <c r="EI291" s="38">
        <f t="shared" si="573"/>
        <v>0</v>
      </c>
      <c r="EJ291" s="38">
        <f t="shared" si="574"/>
        <v>0</v>
      </c>
      <c r="EK291" s="38">
        <f t="shared" si="575"/>
        <v>0</v>
      </c>
      <c r="EL291" s="38">
        <f t="shared" si="576"/>
        <v>0</v>
      </c>
      <c r="EM291" s="38">
        <f t="shared" si="577"/>
        <v>0</v>
      </c>
      <c r="EN291" s="38">
        <f t="shared" si="578"/>
        <v>0</v>
      </c>
      <c r="EO291" s="38">
        <f t="shared" si="579"/>
        <v>0</v>
      </c>
      <c r="EP291" s="38">
        <f t="shared" si="580"/>
        <v>2398.5505999999996</v>
      </c>
      <c r="EQ291" s="38">
        <f t="shared" si="581"/>
        <v>0</v>
      </c>
      <c r="ER291" s="38">
        <f t="shared" si="582"/>
        <v>0</v>
      </c>
      <c r="ES291" s="38">
        <f t="shared" si="583"/>
        <v>0</v>
      </c>
      <c r="ET291" s="38">
        <f t="shared" si="584"/>
        <v>0</v>
      </c>
      <c r="EU291" s="38">
        <f t="shared" si="585"/>
        <v>0</v>
      </c>
      <c r="EV291" s="38">
        <f t="shared" si="586"/>
        <v>0</v>
      </c>
      <c r="EW291" s="38">
        <f t="shared" si="587"/>
        <v>0</v>
      </c>
      <c r="EX291" s="38">
        <f t="shared" si="588"/>
        <v>0</v>
      </c>
      <c r="EZ291" s="38">
        <f t="shared" si="589"/>
        <v>0</v>
      </c>
      <c r="FA291" s="38">
        <f t="shared" si="590"/>
        <v>0</v>
      </c>
      <c r="FB291" s="1">
        <f t="shared" si="591"/>
        <v>0</v>
      </c>
      <c r="FC291" s="1">
        <f t="shared" si="592"/>
        <v>0</v>
      </c>
      <c r="FD291" s="1">
        <f t="shared" si="593"/>
        <v>0</v>
      </c>
      <c r="FE291" s="1">
        <f t="shared" si="594"/>
        <v>0</v>
      </c>
      <c r="FF291" s="1">
        <f t="shared" si="595"/>
        <v>0</v>
      </c>
      <c r="FG291" s="1">
        <f t="shared" si="596"/>
        <v>0</v>
      </c>
      <c r="FH291" s="1">
        <f t="shared" si="597"/>
        <v>0</v>
      </c>
      <c r="FI291" s="1">
        <f t="shared" si="598"/>
        <v>0</v>
      </c>
      <c r="FJ291" s="1">
        <f t="shared" si="599"/>
        <v>0</v>
      </c>
      <c r="FK291" s="1">
        <f t="shared" si="600"/>
        <v>0</v>
      </c>
      <c r="FL291" s="1">
        <f t="shared" si="601"/>
        <v>0</v>
      </c>
      <c r="FM291" s="1">
        <f t="shared" si="602"/>
        <v>0</v>
      </c>
      <c r="FN291" s="1">
        <f t="shared" si="603"/>
        <v>0</v>
      </c>
      <c r="FO291" s="1">
        <f t="shared" si="604"/>
        <v>0</v>
      </c>
      <c r="FP291" s="1">
        <f t="shared" si="605"/>
        <v>0</v>
      </c>
      <c r="FQ291" s="1">
        <f t="shared" si="606"/>
        <v>0</v>
      </c>
      <c r="FS291" s="1">
        <f t="shared" si="607"/>
        <v>0</v>
      </c>
      <c r="FT291" s="1">
        <f t="shared" si="608"/>
        <v>0</v>
      </c>
      <c r="FU291" s="38">
        <f t="shared" si="609"/>
        <v>0</v>
      </c>
      <c r="FV291" s="38">
        <f t="shared" si="610"/>
        <v>0</v>
      </c>
      <c r="FW291" s="38">
        <f t="shared" si="611"/>
        <v>0</v>
      </c>
      <c r="FX291" s="38">
        <f t="shared" si="612"/>
        <v>0</v>
      </c>
      <c r="FY291" s="38">
        <f t="shared" si="613"/>
        <v>0</v>
      </c>
      <c r="FZ291" s="38">
        <f t="shared" si="614"/>
        <v>0</v>
      </c>
      <c r="GA291" s="38">
        <f t="shared" si="615"/>
        <v>0</v>
      </c>
      <c r="GB291" s="38">
        <f t="shared" si="616"/>
        <v>0</v>
      </c>
      <c r="GC291" s="38">
        <f t="shared" si="617"/>
        <v>0</v>
      </c>
      <c r="GD291" s="38">
        <f t="shared" si="618"/>
        <v>0</v>
      </c>
      <c r="GE291" s="38">
        <f t="shared" si="619"/>
        <v>0</v>
      </c>
      <c r="GF291" s="38">
        <f t="shared" si="620"/>
        <v>0</v>
      </c>
      <c r="GG291" s="38">
        <f t="shared" si="621"/>
        <v>0</v>
      </c>
      <c r="GH291" s="38">
        <f t="shared" si="622"/>
        <v>0</v>
      </c>
      <c r="GI291" s="38">
        <f t="shared" si="623"/>
        <v>0</v>
      </c>
      <c r="GJ291" s="38">
        <f t="shared" si="624"/>
        <v>0</v>
      </c>
      <c r="GL291" s="38">
        <f t="shared" si="625"/>
        <v>0</v>
      </c>
      <c r="GM291" s="38">
        <f t="shared" si="626"/>
        <v>0</v>
      </c>
      <c r="GN291" s="1" t="s">
        <v>2</v>
      </c>
      <c r="GO291" s="1">
        <f t="shared" si="549"/>
        <v>31</v>
      </c>
      <c r="GP291" s="1">
        <f t="shared" si="550"/>
        <v>0.59</v>
      </c>
      <c r="GQ291" s="41">
        <f t="shared" si="551"/>
        <v>182.9</v>
      </c>
      <c r="GR291" s="41">
        <f t="shared" si="552"/>
        <v>2398.5505999999996</v>
      </c>
      <c r="GS291" s="14">
        <f t="shared" si="553"/>
        <v>77.372599999999991</v>
      </c>
      <c r="GT291" s="1">
        <f t="shared" si="627"/>
        <v>0</v>
      </c>
      <c r="GU291" s="1">
        <f t="shared" si="628"/>
        <v>0</v>
      </c>
      <c r="GV291" s="1">
        <f t="shared" si="629"/>
        <v>182.9</v>
      </c>
      <c r="GW291" s="37">
        <f t="shared" si="554"/>
        <v>0</v>
      </c>
      <c r="GX291" s="37"/>
      <c r="GY291" s="37"/>
      <c r="GZ291" s="37"/>
      <c r="HB291" s="1">
        <f t="shared" si="630"/>
        <v>0</v>
      </c>
      <c r="HC291" s="1">
        <f t="shared" si="631"/>
        <v>0</v>
      </c>
      <c r="HD291" s="37" t="s">
        <v>2</v>
      </c>
      <c r="HE291" s="1" t="s">
        <v>113</v>
      </c>
      <c r="HF291" s="1" t="s">
        <v>223</v>
      </c>
      <c r="HI291" s="1" t="s">
        <v>96</v>
      </c>
      <c r="HJ291" s="37" t="s">
        <v>2</v>
      </c>
      <c r="JH291" s="58" t="s">
        <v>2</v>
      </c>
    </row>
    <row r="292" spans="1:268" ht="16.25" customHeight="1" x14ac:dyDescent="0.2">
      <c r="A292" s="15" t="s">
        <v>248</v>
      </c>
      <c r="B292" s="1" t="s">
        <v>69</v>
      </c>
      <c r="E292" s="1" t="s">
        <v>72</v>
      </c>
      <c r="F292" s="1" t="s">
        <v>249</v>
      </c>
      <c r="H292" s="1" t="s">
        <v>70</v>
      </c>
      <c r="I292" s="1">
        <v>0</v>
      </c>
      <c r="AD292" s="1">
        <v>173.3</v>
      </c>
      <c r="AL292" s="1">
        <v>0.68</v>
      </c>
      <c r="AY292" s="1">
        <v>11.9</v>
      </c>
      <c r="BG292" s="1">
        <v>0.68</v>
      </c>
      <c r="BT292" s="1">
        <v>0</v>
      </c>
      <c r="CO292" s="1">
        <v>0</v>
      </c>
      <c r="DJ292" s="1" t="s">
        <v>96</v>
      </c>
      <c r="DL292" s="1">
        <f t="shared" si="547"/>
        <v>0.68</v>
      </c>
      <c r="DM292" s="1">
        <f t="shared" si="548"/>
        <v>0</v>
      </c>
      <c r="DN292" s="1" t="s">
        <v>67</v>
      </c>
      <c r="DO292" s="1" t="s">
        <v>2</v>
      </c>
      <c r="DP292" s="38">
        <f t="shared" si="555"/>
        <v>0</v>
      </c>
      <c r="DQ292" s="38">
        <f t="shared" si="556"/>
        <v>0</v>
      </c>
      <c r="DR292" s="38">
        <f t="shared" si="557"/>
        <v>0</v>
      </c>
      <c r="DS292" s="38">
        <f t="shared" si="558"/>
        <v>0</v>
      </c>
      <c r="DT292" s="38">
        <f t="shared" si="559"/>
        <v>0</v>
      </c>
      <c r="DU292" s="38">
        <f t="shared" si="560"/>
        <v>0</v>
      </c>
      <c r="DV292" s="38">
        <f t="shared" si="561"/>
        <v>0</v>
      </c>
      <c r="DW292" s="38">
        <f t="shared" si="562"/>
        <v>1.2593600000000003</v>
      </c>
      <c r="DX292" s="38">
        <f t="shared" si="563"/>
        <v>0</v>
      </c>
      <c r="DY292" s="38">
        <f t="shared" si="564"/>
        <v>0</v>
      </c>
      <c r="DZ292" s="38">
        <f t="shared" si="565"/>
        <v>0</v>
      </c>
      <c r="EA292" s="38">
        <f t="shared" si="566"/>
        <v>0</v>
      </c>
      <c r="EB292" s="38">
        <f t="shared" si="567"/>
        <v>0</v>
      </c>
      <c r="EC292" s="38">
        <f t="shared" si="568"/>
        <v>0</v>
      </c>
      <c r="ED292" s="38">
        <f t="shared" si="569"/>
        <v>0</v>
      </c>
      <c r="EE292" s="38">
        <f t="shared" si="570"/>
        <v>0</v>
      </c>
      <c r="EG292" s="38">
        <f t="shared" si="571"/>
        <v>0</v>
      </c>
      <c r="EH292" s="38">
        <f t="shared" si="572"/>
        <v>0</v>
      </c>
      <c r="EI292" s="38">
        <f t="shared" si="573"/>
        <v>0</v>
      </c>
      <c r="EJ292" s="38">
        <f t="shared" si="574"/>
        <v>0</v>
      </c>
      <c r="EK292" s="38">
        <f t="shared" si="575"/>
        <v>0</v>
      </c>
      <c r="EL292" s="38">
        <f t="shared" si="576"/>
        <v>0</v>
      </c>
      <c r="EM292" s="38">
        <f t="shared" si="577"/>
        <v>0</v>
      </c>
      <c r="EN292" s="38">
        <f t="shared" si="578"/>
        <v>0</v>
      </c>
      <c r="EO292" s="38">
        <f t="shared" si="579"/>
        <v>0</v>
      </c>
      <c r="EP292" s="38">
        <f t="shared" si="580"/>
        <v>16515.247040000002</v>
      </c>
      <c r="EQ292" s="38">
        <f t="shared" si="581"/>
        <v>0</v>
      </c>
      <c r="ER292" s="38">
        <f t="shared" si="582"/>
        <v>0</v>
      </c>
      <c r="ES292" s="38">
        <f t="shared" si="583"/>
        <v>0</v>
      </c>
      <c r="ET292" s="38">
        <f t="shared" si="584"/>
        <v>0</v>
      </c>
      <c r="EU292" s="38">
        <f t="shared" si="585"/>
        <v>0</v>
      </c>
      <c r="EV292" s="38">
        <f t="shared" si="586"/>
        <v>0</v>
      </c>
      <c r="EW292" s="38">
        <f t="shared" si="587"/>
        <v>0</v>
      </c>
      <c r="EX292" s="38">
        <f t="shared" si="588"/>
        <v>0</v>
      </c>
      <c r="EZ292" s="38">
        <f t="shared" si="589"/>
        <v>0</v>
      </c>
      <c r="FA292" s="38">
        <f t="shared" si="590"/>
        <v>0</v>
      </c>
      <c r="FB292" s="1">
        <f t="shared" si="591"/>
        <v>0</v>
      </c>
      <c r="FC292" s="1">
        <f t="shared" si="592"/>
        <v>0</v>
      </c>
      <c r="FD292" s="1">
        <f t="shared" si="593"/>
        <v>0</v>
      </c>
      <c r="FE292" s="1">
        <f t="shared" si="594"/>
        <v>0</v>
      </c>
      <c r="FF292" s="1">
        <f t="shared" si="595"/>
        <v>0</v>
      </c>
      <c r="FG292" s="1">
        <f t="shared" si="596"/>
        <v>0</v>
      </c>
      <c r="FH292" s="1">
        <f t="shared" si="597"/>
        <v>0</v>
      </c>
      <c r="FI292" s="1">
        <f t="shared" si="598"/>
        <v>0</v>
      </c>
      <c r="FJ292" s="1">
        <f t="shared" si="599"/>
        <v>0</v>
      </c>
      <c r="FK292" s="1">
        <f t="shared" si="600"/>
        <v>0</v>
      </c>
      <c r="FL292" s="1">
        <f t="shared" si="601"/>
        <v>0</v>
      </c>
      <c r="FM292" s="1">
        <f t="shared" si="602"/>
        <v>0</v>
      </c>
      <c r="FN292" s="1">
        <f t="shared" si="603"/>
        <v>0</v>
      </c>
      <c r="FO292" s="1">
        <f t="shared" si="604"/>
        <v>0</v>
      </c>
      <c r="FP292" s="1">
        <f t="shared" si="605"/>
        <v>0</v>
      </c>
      <c r="FQ292" s="1">
        <f t="shared" si="606"/>
        <v>0</v>
      </c>
      <c r="FS292" s="1">
        <f t="shared" si="607"/>
        <v>0</v>
      </c>
      <c r="FT292" s="1">
        <f t="shared" si="608"/>
        <v>0</v>
      </c>
      <c r="FU292" s="38">
        <f t="shared" si="609"/>
        <v>0</v>
      </c>
      <c r="FV292" s="38">
        <f t="shared" si="610"/>
        <v>0</v>
      </c>
      <c r="FW292" s="38">
        <f t="shared" si="611"/>
        <v>0</v>
      </c>
      <c r="FX292" s="38">
        <f t="shared" si="612"/>
        <v>0</v>
      </c>
      <c r="FY292" s="38">
        <f t="shared" si="613"/>
        <v>0</v>
      </c>
      <c r="FZ292" s="38">
        <f t="shared" si="614"/>
        <v>0</v>
      </c>
      <c r="GA292" s="38">
        <f t="shared" si="615"/>
        <v>0</v>
      </c>
      <c r="GB292" s="38">
        <f t="shared" si="616"/>
        <v>0</v>
      </c>
      <c r="GC292" s="38">
        <f t="shared" si="617"/>
        <v>0</v>
      </c>
      <c r="GD292" s="38">
        <f t="shared" si="618"/>
        <v>0</v>
      </c>
      <c r="GE292" s="38">
        <f t="shared" si="619"/>
        <v>0</v>
      </c>
      <c r="GF292" s="38">
        <f t="shared" si="620"/>
        <v>0</v>
      </c>
      <c r="GG292" s="38">
        <f t="shared" si="621"/>
        <v>0</v>
      </c>
      <c r="GH292" s="38">
        <f t="shared" si="622"/>
        <v>0</v>
      </c>
      <c r="GI292" s="38">
        <f t="shared" si="623"/>
        <v>0</v>
      </c>
      <c r="GJ292" s="38">
        <f t="shared" si="624"/>
        <v>0</v>
      </c>
      <c r="GL292" s="38">
        <f t="shared" si="625"/>
        <v>0</v>
      </c>
      <c r="GM292" s="38">
        <f t="shared" si="626"/>
        <v>0</v>
      </c>
      <c r="GN292" s="1" t="s">
        <v>2</v>
      </c>
      <c r="GO292" s="1">
        <f t="shared" si="549"/>
        <v>185.20000000000002</v>
      </c>
      <c r="GP292" s="1">
        <f t="shared" si="550"/>
        <v>0.68</v>
      </c>
      <c r="GQ292" s="43">
        <f t="shared" si="551"/>
        <v>1259.3600000000004</v>
      </c>
      <c r="GR292" s="41">
        <f t="shared" si="552"/>
        <v>16515.247040000002</v>
      </c>
      <c r="GS292" s="14">
        <f t="shared" si="553"/>
        <v>89.175200000000004</v>
      </c>
      <c r="GT292" s="1">
        <f t="shared" si="627"/>
        <v>0</v>
      </c>
      <c r="GU292" s="1">
        <f t="shared" si="628"/>
        <v>1178.4400000000003</v>
      </c>
      <c r="GV292" s="1">
        <f t="shared" si="629"/>
        <v>80.920000000000016</v>
      </c>
      <c r="GW292" s="37">
        <f t="shared" si="554"/>
        <v>0</v>
      </c>
      <c r="GX292" s="37"/>
      <c r="GY292" s="37"/>
      <c r="GZ292" s="37"/>
      <c r="HB292" s="1">
        <f t="shared" si="630"/>
        <v>0</v>
      </c>
      <c r="HC292" s="1">
        <f t="shared" si="631"/>
        <v>0</v>
      </c>
      <c r="HD292" s="37" t="s">
        <v>2</v>
      </c>
      <c r="HE292" s="1" t="s">
        <v>113</v>
      </c>
      <c r="HF292" s="1" t="s">
        <v>223</v>
      </c>
      <c r="HI292" s="1" t="s">
        <v>96</v>
      </c>
      <c r="HJ292" s="37" t="s">
        <v>2</v>
      </c>
      <c r="JH292" s="58" t="s">
        <v>2</v>
      </c>
    </row>
    <row r="293" spans="1:268" ht="16.25" customHeight="1" x14ac:dyDescent="0.2">
      <c r="A293" s="15" t="s">
        <v>352</v>
      </c>
      <c r="B293" s="1" t="s">
        <v>69</v>
      </c>
      <c r="E293" s="1" t="s">
        <v>72</v>
      </c>
      <c r="F293" s="1" t="s">
        <v>353</v>
      </c>
      <c r="H293" s="1" t="s">
        <v>70</v>
      </c>
      <c r="I293" s="1">
        <v>0</v>
      </c>
      <c r="AD293" s="1">
        <v>0</v>
      </c>
      <c r="AM293" s="2"/>
      <c r="AO293" s="13"/>
      <c r="AY293" s="1">
        <v>0.68</v>
      </c>
      <c r="BG293" s="1">
        <v>2.1</v>
      </c>
      <c r="BH293" s="2"/>
      <c r="BJ293" s="13"/>
      <c r="BT293" s="1">
        <v>0</v>
      </c>
      <c r="CO293" s="1">
        <v>0</v>
      </c>
      <c r="DJ293" s="1" t="s">
        <v>96</v>
      </c>
      <c r="DL293" s="1">
        <f t="shared" si="547"/>
        <v>2.1</v>
      </c>
      <c r="DM293" s="1">
        <f t="shared" si="548"/>
        <v>0</v>
      </c>
      <c r="DN293" s="1" t="s">
        <v>67</v>
      </c>
      <c r="DO293" s="1" t="s">
        <v>2</v>
      </c>
      <c r="DP293" s="38">
        <f t="shared" si="555"/>
        <v>0</v>
      </c>
      <c r="DQ293" s="38">
        <f t="shared" si="556"/>
        <v>0</v>
      </c>
      <c r="DR293" s="38">
        <f t="shared" si="557"/>
        <v>0</v>
      </c>
      <c r="DS293" s="38">
        <f t="shared" si="558"/>
        <v>0</v>
      </c>
      <c r="DT293" s="38">
        <f t="shared" si="559"/>
        <v>0</v>
      </c>
      <c r="DU293" s="38">
        <f t="shared" si="560"/>
        <v>0</v>
      </c>
      <c r="DV293" s="38">
        <f t="shared" si="561"/>
        <v>0</v>
      </c>
      <c r="DW293" s="38">
        <f t="shared" si="562"/>
        <v>1.4280000000000001E-2</v>
      </c>
      <c r="DX293" s="38">
        <f t="shared" si="563"/>
        <v>0</v>
      </c>
      <c r="DY293" s="38">
        <f t="shared" si="564"/>
        <v>0</v>
      </c>
      <c r="DZ293" s="38">
        <f t="shared" si="565"/>
        <v>0</v>
      </c>
      <c r="EA293" s="38">
        <f t="shared" si="566"/>
        <v>0</v>
      </c>
      <c r="EB293" s="38">
        <f t="shared" si="567"/>
        <v>0</v>
      </c>
      <c r="EC293" s="38">
        <f t="shared" si="568"/>
        <v>0</v>
      </c>
      <c r="ED293" s="38">
        <f t="shared" si="569"/>
        <v>0</v>
      </c>
      <c r="EE293" s="38">
        <f t="shared" si="570"/>
        <v>0</v>
      </c>
      <c r="EG293" s="38">
        <f t="shared" si="571"/>
        <v>0</v>
      </c>
      <c r="EH293" s="38">
        <f t="shared" si="572"/>
        <v>0</v>
      </c>
      <c r="EI293" s="38">
        <f t="shared" si="573"/>
        <v>0</v>
      </c>
      <c r="EJ293" s="38">
        <f t="shared" si="574"/>
        <v>0</v>
      </c>
      <c r="EK293" s="38">
        <f t="shared" si="575"/>
        <v>0</v>
      </c>
      <c r="EL293" s="38">
        <f t="shared" si="576"/>
        <v>0</v>
      </c>
      <c r="EM293" s="38">
        <f t="shared" si="577"/>
        <v>0</v>
      </c>
      <c r="EN293" s="38">
        <f t="shared" si="578"/>
        <v>0</v>
      </c>
      <c r="EO293" s="38">
        <f t="shared" si="579"/>
        <v>0</v>
      </c>
      <c r="EP293" s="38">
        <f t="shared" si="580"/>
        <v>187.26792</v>
      </c>
      <c r="EQ293" s="38">
        <f t="shared" si="581"/>
        <v>0</v>
      </c>
      <c r="ER293" s="38">
        <f t="shared" si="582"/>
        <v>0</v>
      </c>
      <c r="ES293" s="38">
        <f t="shared" si="583"/>
        <v>0</v>
      </c>
      <c r="ET293" s="38">
        <f t="shared" si="584"/>
        <v>0</v>
      </c>
      <c r="EU293" s="38">
        <f t="shared" si="585"/>
        <v>0</v>
      </c>
      <c r="EV293" s="38">
        <f t="shared" si="586"/>
        <v>0</v>
      </c>
      <c r="EW293" s="38">
        <f t="shared" si="587"/>
        <v>0</v>
      </c>
      <c r="EX293" s="38">
        <f t="shared" si="588"/>
        <v>0</v>
      </c>
      <c r="EZ293" s="38">
        <f t="shared" si="589"/>
        <v>0</v>
      </c>
      <c r="FA293" s="38">
        <f t="shared" si="590"/>
        <v>0</v>
      </c>
      <c r="FB293" s="1">
        <f t="shared" si="591"/>
        <v>0</v>
      </c>
      <c r="FC293" s="1">
        <f t="shared" si="592"/>
        <v>0</v>
      </c>
      <c r="FD293" s="1">
        <f t="shared" si="593"/>
        <v>0</v>
      </c>
      <c r="FE293" s="1">
        <f t="shared" si="594"/>
        <v>0</v>
      </c>
      <c r="FF293" s="1">
        <f t="shared" si="595"/>
        <v>0</v>
      </c>
      <c r="FG293" s="1">
        <f t="shared" si="596"/>
        <v>0</v>
      </c>
      <c r="FH293" s="1">
        <f t="shared" si="597"/>
        <v>0</v>
      </c>
      <c r="FI293" s="1">
        <f t="shared" si="598"/>
        <v>0</v>
      </c>
      <c r="FJ293" s="1">
        <f t="shared" si="599"/>
        <v>0</v>
      </c>
      <c r="FK293" s="1">
        <f t="shared" si="600"/>
        <v>0</v>
      </c>
      <c r="FL293" s="1">
        <f t="shared" si="601"/>
        <v>0</v>
      </c>
      <c r="FM293" s="1">
        <f t="shared" si="602"/>
        <v>0</v>
      </c>
      <c r="FN293" s="1">
        <f t="shared" si="603"/>
        <v>0</v>
      </c>
      <c r="FO293" s="1">
        <f t="shared" si="604"/>
        <v>0</v>
      </c>
      <c r="FP293" s="1">
        <f t="shared" si="605"/>
        <v>0</v>
      </c>
      <c r="FQ293" s="1">
        <f t="shared" si="606"/>
        <v>0</v>
      </c>
      <c r="FS293" s="1">
        <f t="shared" si="607"/>
        <v>0</v>
      </c>
      <c r="FT293" s="1">
        <f t="shared" si="608"/>
        <v>0</v>
      </c>
      <c r="FU293" s="38">
        <f t="shared" si="609"/>
        <v>0</v>
      </c>
      <c r="FV293" s="38">
        <f t="shared" si="610"/>
        <v>0</v>
      </c>
      <c r="FW293" s="38">
        <f t="shared" si="611"/>
        <v>0</v>
      </c>
      <c r="FX293" s="38">
        <f t="shared" si="612"/>
        <v>0</v>
      </c>
      <c r="FY293" s="38">
        <f t="shared" si="613"/>
        <v>0</v>
      </c>
      <c r="FZ293" s="38">
        <f t="shared" si="614"/>
        <v>0</v>
      </c>
      <c r="GA293" s="38">
        <f t="shared" si="615"/>
        <v>0</v>
      </c>
      <c r="GB293" s="38">
        <f t="shared" si="616"/>
        <v>0</v>
      </c>
      <c r="GC293" s="38">
        <f t="shared" si="617"/>
        <v>0</v>
      </c>
      <c r="GD293" s="38">
        <f t="shared" si="618"/>
        <v>0</v>
      </c>
      <c r="GE293" s="38">
        <f t="shared" si="619"/>
        <v>0</v>
      </c>
      <c r="GF293" s="38">
        <f t="shared" si="620"/>
        <v>0</v>
      </c>
      <c r="GG293" s="38">
        <f t="shared" si="621"/>
        <v>0</v>
      </c>
      <c r="GH293" s="38">
        <f t="shared" si="622"/>
        <v>0</v>
      </c>
      <c r="GI293" s="38">
        <f t="shared" si="623"/>
        <v>0</v>
      </c>
      <c r="GJ293" s="38">
        <f t="shared" si="624"/>
        <v>0</v>
      </c>
      <c r="GL293" s="38">
        <f t="shared" si="625"/>
        <v>0</v>
      </c>
      <c r="GM293" s="38">
        <f t="shared" si="626"/>
        <v>0</v>
      </c>
      <c r="GN293" s="1" t="s">
        <v>2</v>
      </c>
      <c r="GO293" s="1">
        <f t="shared" si="549"/>
        <v>0.68</v>
      </c>
      <c r="GP293" s="1">
        <f t="shared" si="550"/>
        <v>2.1</v>
      </c>
      <c r="GQ293" s="41">
        <f t="shared" si="551"/>
        <v>14.28</v>
      </c>
      <c r="GR293" s="41">
        <f t="shared" si="552"/>
        <v>187.26792</v>
      </c>
      <c r="GS293" s="14">
        <f t="shared" si="553"/>
        <v>275.39400000000001</v>
      </c>
      <c r="GT293" s="1">
        <f t="shared" si="627"/>
        <v>0</v>
      </c>
      <c r="GU293" s="1">
        <f t="shared" si="628"/>
        <v>0</v>
      </c>
      <c r="GV293" s="1">
        <f t="shared" si="629"/>
        <v>14.280000000000003</v>
      </c>
      <c r="GW293" s="37">
        <f t="shared" si="554"/>
        <v>0</v>
      </c>
      <c r="GX293" s="37"/>
      <c r="GY293" s="37"/>
      <c r="GZ293" s="37"/>
      <c r="HB293" s="1">
        <f t="shared" si="630"/>
        <v>0</v>
      </c>
      <c r="HC293" s="1">
        <f t="shared" si="631"/>
        <v>0</v>
      </c>
      <c r="HD293" s="37" t="s">
        <v>2</v>
      </c>
      <c r="HE293" s="1" t="s">
        <v>113</v>
      </c>
      <c r="HF293" s="1" t="s">
        <v>223</v>
      </c>
      <c r="HI293" s="1" t="s">
        <v>96</v>
      </c>
      <c r="HJ293" s="37" t="s">
        <v>2</v>
      </c>
      <c r="JH293" s="58" t="s">
        <v>2</v>
      </c>
    </row>
    <row r="294" spans="1:268" ht="16.25" customHeight="1" x14ac:dyDescent="0.2">
      <c r="A294" s="15" t="s">
        <v>354</v>
      </c>
      <c r="B294" s="1" t="s">
        <v>71</v>
      </c>
      <c r="E294" s="1" t="s">
        <v>65</v>
      </c>
      <c r="F294" s="1" t="s">
        <v>334</v>
      </c>
      <c r="H294" s="1" t="s">
        <v>70</v>
      </c>
      <c r="I294" s="1">
        <v>0</v>
      </c>
      <c r="AD294" s="2">
        <v>7.5560000000000002E-2</v>
      </c>
      <c r="AE294" s="11">
        <v>0.2</v>
      </c>
      <c r="AL294" s="1">
        <v>4.37</v>
      </c>
      <c r="AM294" s="11">
        <v>0.03</v>
      </c>
      <c r="AO294" s="13"/>
      <c r="AY294" s="13">
        <v>0.14715</v>
      </c>
      <c r="AZ294" s="11">
        <v>0.2</v>
      </c>
      <c r="BG294" s="1">
        <v>2.1800000000000002</v>
      </c>
      <c r="BH294" s="11">
        <v>0.03</v>
      </c>
      <c r="BJ294" s="13"/>
      <c r="BT294" s="1">
        <v>0</v>
      </c>
      <c r="CO294" s="1">
        <v>0</v>
      </c>
      <c r="DJ294" s="1" t="s">
        <v>96</v>
      </c>
      <c r="DK294" s="1" t="s">
        <v>96</v>
      </c>
      <c r="DL294" s="1">
        <f t="shared" si="547"/>
        <v>2.9230128867136638</v>
      </c>
      <c r="DM294" s="1">
        <f t="shared" si="548"/>
        <v>2.9999999999999995E-2</v>
      </c>
      <c r="DN294" s="1" t="s">
        <v>67</v>
      </c>
      <c r="DO294" s="1" t="s">
        <v>2</v>
      </c>
      <c r="DP294" s="38">
        <f t="shared" si="555"/>
        <v>4.4541999999999997E-4</v>
      </c>
      <c r="DQ294" s="38">
        <f t="shared" si="556"/>
        <v>0</v>
      </c>
      <c r="DR294" s="38">
        <f t="shared" si="557"/>
        <v>0</v>
      </c>
      <c r="DS294" s="38">
        <f t="shared" si="558"/>
        <v>0</v>
      </c>
      <c r="DT294" s="38">
        <f t="shared" si="559"/>
        <v>0</v>
      </c>
      <c r="DU294" s="38">
        <f t="shared" si="560"/>
        <v>0</v>
      </c>
      <c r="DV294" s="38">
        <f t="shared" si="561"/>
        <v>0</v>
      </c>
      <c r="DW294" s="38">
        <f t="shared" si="562"/>
        <v>6.5098420000000009E-3</v>
      </c>
      <c r="DX294" s="38">
        <f t="shared" si="563"/>
        <v>6.6812999999999999E-5</v>
      </c>
      <c r="DY294" s="38">
        <f t="shared" si="564"/>
        <v>0</v>
      </c>
      <c r="DZ294" s="38">
        <f t="shared" si="565"/>
        <v>0</v>
      </c>
      <c r="EA294" s="38">
        <f t="shared" si="566"/>
        <v>0</v>
      </c>
      <c r="EB294" s="38">
        <f t="shared" si="567"/>
        <v>0</v>
      </c>
      <c r="EC294" s="38">
        <f t="shared" si="568"/>
        <v>0</v>
      </c>
      <c r="ED294" s="38">
        <f t="shared" si="569"/>
        <v>0</v>
      </c>
      <c r="EE294" s="38">
        <f t="shared" si="570"/>
        <v>0</v>
      </c>
      <c r="EG294" s="38">
        <f t="shared" si="571"/>
        <v>0</v>
      </c>
      <c r="EH294" s="38">
        <f t="shared" si="572"/>
        <v>0</v>
      </c>
      <c r="EI294" s="38">
        <f t="shared" si="573"/>
        <v>2.9066398787199996</v>
      </c>
      <c r="EJ294" s="38">
        <f t="shared" si="574"/>
        <v>0</v>
      </c>
      <c r="EK294" s="38">
        <f t="shared" si="575"/>
        <v>0</v>
      </c>
      <c r="EL294" s="38">
        <f t="shared" si="576"/>
        <v>0</v>
      </c>
      <c r="EM294" s="38">
        <f t="shared" si="577"/>
        <v>0</v>
      </c>
      <c r="EN294" s="38">
        <f t="shared" si="578"/>
        <v>0</v>
      </c>
      <c r="EO294" s="38">
        <f t="shared" si="579"/>
        <v>0</v>
      </c>
      <c r="EP294" s="38">
        <f t="shared" si="580"/>
        <v>85.370067988000017</v>
      </c>
      <c r="EQ294" s="38">
        <f t="shared" si="581"/>
        <v>4.8519282570119993</v>
      </c>
      <c r="ER294" s="38">
        <f t="shared" si="582"/>
        <v>0</v>
      </c>
      <c r="ES294" s="38">
        <f t="shared" si="583"/>
        <v>0</v>
      </c>
      <c r="ET294" s="38">
        <f t="shared" si="584"/>
        <v>0</v>
      </c>
      <c r="EU294" s="38">
        <f t="shared" si="585"/>
        <v>0</v>
      </c>
      <c r="EV294" s="38">
        <f t="shared" si="586"/>
        <v>0</v>
      </c>
      <c r="EW294" s="38">
        <f t="shared" si="587"/>
        <v>0</v>
      </c>
      <c r="EX294" s="38">
        <f t="shared" si="588"/>
        <v>0</v>
      </c>
      <c r="EZ294" s="38">
        <f t="shared" si="589"/>
        <v>0</v>
      </c>
      <c r="FA294" s="38">
        <f t="shared" si="590"/>
        <v>0</v>
      </c>
      <c r="FB294" s="1">
        <f t="shared" si="591"/>
        <v>0</v>
      </c>
      <c r="FC294" s="1">
        <f t="shared" si="592"/>
        <v>0</v>
      </c>
      <c r="FD294" s="1">
        <f t="shared" si="593"/>
        <v>0</v>
      </c>
      <c r="FE294" s="1">
        <f t="shared" si="594"/>
        <v>0</v>
      </c>
      <c r="FF294" s="1">
        <f t="shared" si="595"/>
        <v>0</v>
      </c>
      <c r="FG294" s="1">
        <f t="shared" si="596"/>
        <v>0</v>
      </c>
      <c r="FH294" s="1">
        <f t="shared" si="597"/>
        <v>0</v>
      </c>
      <c r="FI294" s="1">
        <f t="shared" si="598"/>
        <v>0</v>
      </c>
      <c r="FJ294" s="1">
        <f t="shared" si="599"/>
        <v>0</v>
      </c>
      <c r="FK294" s="1">
        <f t="shared" si="600"/>
        <v>0</v>
      </c>
      <c r="FL294" s="1">
        <f t="shared" si="601"/>
        <v>0</v>
      </c>
      <c r="FM294" s="1">
        <f t="shared" si="602"/>
        <v>0</v>
      </c>
      <c r="FN294" s="1">
        <f t="shared" si="603"/>
        <v>0</v>
      </c>
      <c r="FO294" s="1">
        <f t="shared" si="604"/>
        <v>0</v>
      </c>
      <c r="FP294" s="1">
        <f t="shared" si="605"/>
        <v>0</v>
      </c>
      <c r="FQ294" s="1">
        <f t="shared" si="606"/>
        <v>0</v>
      </c>
      <c r="FS294" s="1">
        <f t="shared" si="607"/>
        <v>0</v>
      </c>
      <c r="FT294" s="1">
        <f t="shared" si="608"/>
        <v>0</v>
      </c>
      <c r="FU294" s="38">
        <f t="shared" si="609"/>
        <v>0</v>
      </c>
      <c r="FV294" s="38">
        <f t="shared" si="610"/>
        <v>0</v>
      </c>
      <c r="FW294" s="38">
        <f t="shared" si="611"/>
        <v>0</v>
      </c>
      <c r="FX294" s="38">
        <f t="shared" si="612"/>
        <v>0</v>
      </c>
      <c r="FY294" s="38">
        <f t="shared" si="613"/>
        <v>0</v>
      </c>
      <c r="FZ294" s="38">
        <f t="shared" si="614"/>
        <v>0</v>
      </c>
      <c r="GA294" s="38">
        <f t="shared" si="615"/>
        <v>0</v>
      </c>
      <c r="GB294" s="38">
        <f t="shared" si="616"/>
        <v>0</v>
      </c>
      <c r="GC294" s="38">
        <f t="shared" si="617"/>
        <v>0</v>
      </c>
      <c r="GD294" s="38">
        <f t="shared" si="618"/>
        <v>0</v>
      </c>
      <c r="GE294" s="38">
        <f t="shared" si="619"/>
        <v>0</v>
      </c>
      <c r="GF294" s="38">
        <f t="shared" si="620"/>
        <v>0</v>
      </c>
      <c r="GG294" s="38">
        <f t="shared" si="621"/>
        <v>0</v>
      </c>
      <c r="GH294" s="38">
        <f t="shared" si="622"/>
        <v>0</v>
      </c>
      <c r="GI294" s="38">
        <f t="shared" si="623"/>
        <v>0</v>
      </c>
      <c r="GJ294" s="38">
        <f t="shared" si="624"/>
        <v>0</v>
      </c>
      <c r="GL294" s="38">
        <f t="shared" si="625"/>
        <v>0</v>
      </c>
      <c r="GM294" s="38">
        <f t="shared" si="626"/>
        <v>0</v>
      </c>
      <c r="GN294" s="1" t="s">
        <v>2</v>
      </c>
      <c r="GO294" s="2">
        <f t="shared" si="549"/>
        <v>0.22271000000000002</v>
      </c>
      <c r="GP294" s="13">
        <f t="shared" si="550"/>
        <v>2.9230128867136638</v>
      </c>
      <c r="GQ294" s="41">
        <f t="shared" si="551"/>
        <v>6.5098420000000008</v>
      </c>
      <c r="GR294" s="41">
        <f t="shared" si="552"/>
        <v>93.128636123732022</v>
      </c>
      <c r="GS294" s="14">
        <f t="shared" si="553"/>
        <v>418.16099916362992</v>
      </c>
      <c r="GT294" s="1">
        <f t="shared" si="627"/>
        <v>0</v>
      </c>
      <c r="GU294" s="1">
        <f t="shared" si="628"/>
        <v>3.3019720000000001</v>
      </c>
      <c r="GV294" s="1">
        <f t="shared" si="629"/>
        <v>3.2078700000000002</v>
      </c>
      <c r="GW294" s="37">
        <f t="shared" si="554"/>
        <v>0</v>
      </c>
      <c r="GX294" s="37"/>
      <c r="GY294" s="37"/>
      <c r="GZ294" s="37"/>
      <c r="HB294" s="1">
        <f t="shared" si="630"/>
        <v>0</v>
      </c>
      <c r="HC294" s="1">
        <f t="shared" si="631"/>
        <v>0</v>
      </c>
      <c r="HD294" s="37" t="s">
        <v>2</v>
      </c>
      <c r="HE294" s="1" t="s">
        <v>113</v>
      </c>
      <c r="HF294" s="1" t="s">
        <v>223</v>
      </c>
      <c r="HI294" s="1" t="s">
        <v>96</v>
      </c>
      <c r="HJ294" s="37" t="s">
        <v>2</v>
      </c>
      <c r="JH294" s="58" t="s">
        <v>2</v>
      </c>
    </row>
    <row r="295" spans="1:268" ht="16.25" customHeight="1" x14ac:dyDescent="0.2">
      <c r="A295" s="15" t="s">
        <v>355</v>
      </c>
      <c r="B295" s="1" t="s">
        <v>71</v>
      </c>
      <c r="E295" s="1" t="s">
        <v>65</v>
      </c>
      <c r="F295" s="1" t="s">
        <v>356</v>
      </c>
      <c r="H295" s="1" t="s">
        <v>70</v>
      </c>
      <c r="I295" s="1">
        <v>0</v>
      </c>
      <c r="AD295" s="2">
        <f>0.479914+1.704548+4.016949+3.128943+0.14583</f>
        <v>9.4761839999999999</v>
      </c>
      <c r="AL295" s="14">
        <f>(2.6*0.479914+2.7*1.704548+2.1*4.016949+2.6*3.128943+6.1*0.14583)/AD295</f>
        <v>2.4598998605345783</v>
      </c>
      <c r="AY295" s="2">
        <f>0.026922+0.329443+0.219641+0.225248+0.1249</f>
        <v>0.92615400000000003</v>
      </c>
      <c r="BG295" s="14">
        <f>(1.9*0.026922+2.5*0.329443+2*0.219641+2.7*0.225248+11.2*0.1249)/AY295</f>
        <v>3.5858948943696185</v>
      </c>
      <c r="BT295" s="1">
        <v>0</v>
      </c>
      <c r="CO295" s="1">
        <v>0</v>
      </c>
      <c r="DJ295" s="1" t="s">
        <v>96</v>
      </c>
      <c r="DL295" s="1">
        <f t="shared" si="547"/>
        <v>2.5601508622388542</v>
      </c>
      <c r="DM295" s="1">
        <f t="shared" si="548"/>
        <v>0</v>
      </c>
      <c r="DN295" s="1" t="s">
        <v>67</v>
      </c>
      <c r="DO295" s="1" t="s">
        <v>2</v>
      </c>
      <c r="DP295" s="38">
        <f t="shared" si="555"/>
        <v>0</v>
      </c>
      <c r="DQ295" s="38">
        <f t="shared" si="556"/>
        <v>0</v>
      </c>
      <c r="DR295" s="38">
        <f t="shared" si="557"/>
        <v>0</v>
      </c>
      <c r="DS295" s="38">
        <f t="shared" si="558"/>
        <v>0</v>
      </c>
      <c r="DT295" s="38">
        <f t="shared" si="559"/>
        <v>0</v>
      </c>
      <c r="DU295" s="38">
        <f t="shared" si="560"/>
        <v>0</v>
      </c>
      <c r="DV295" s="38">
        <f t="shared" si="561"/>
        <v>0</v>
      </c>
      <c r="DW295" s="38">
        <f t="shared" si="562"/>
        <v>0.26631554600000001</v>
      </c>
      <c r="DX295" s="38">
        <f t="shared" si="563"/>
        <v>0</v>
      </c>
      <c r="DY295" s="38">
        <f t="shared" si="564"/>
        <v>0</v>
      </c>
      <c r="DZ295" s="38">
        <f t="shared" si="565"/>
        <v>0</v>
      </c>
      <c r="EA295" s="38">
        <f t="shared" si="566"/>
        <v>0</v>
      </c>
      <c r="EB295" s="38">
        <f t="shared" si="567"/>
        <v>0</v>
      </c>
      <c r="EC295" s="38">
        <f t="shared" si="568"/>
        <v>0</v>
      </c>
      <c r="ED295" s="38">
        <f t="shared" si="569"/>
        <v>0</v>
      </c>
      <c r="EE295" s="38">
        <f t="shared" si="570"/>
        <v>0</v>
      </c>
      <c r="EG295" s="38">
        <f t="shared" si="571"/>
        <v>0</v>
      </c>
      <c r="EH295" s="38">
        <f t="shared" si="572"/>
        <v>0</v>
      </c>
      <c r="EI295" s="38">
        <f t="shared" si="573"/>
        <v>0</v>
      </c>
      <c r="EJ295" s="38">
        <f t="shared" si="574"/>
        <v>0</v>
      </c>
      <c r="EK295" s="38">
        <f t="shared" si="575"/>
        <v>0</v>
      </c>
      <c r="EL295" s="38">
        <f t="shared" si="576"/>
        <v>0</v>
      </c>
      <c r="EM295" s="38">
        <f t="shared" si="577"/>
        <v>0</v>
      </c>
      <c r="EN295" s="38">
        <f t="shared" si="578"/>
        <v>0</v>
      </c>
      <c r="EO295" s="38">
        <f t="shared" si="579"/>
        <v>0</v>
      </c>
      <c r="EP295" s="38">
        <f t="shared" si="580"/>
        <v>3492.4620702440002</v>
      </c>
      <c r="EQ295" s="38">
        <f t="shared" si="581"/>
        <v>0</v>
      </c>
      <c r="ER295" s="38">
        <f t="shared" si="582"/>
        <v>0</v>
      </c>
      <c r="ES295" s="38">
        <f t="shared" si="583"/>
        <v>0</v>
      </c>
      <c r="ET295" s="38">
        <f t="shared" si="584"/>
        <v>0</v>
      </c>
      <c r="EU295" s="38">
        <f t="shared" si="585"/>
        <v>0</v>
      </c>
      <c r="EV295" s="38">
        <f t="shared" si="586"/>
        <v>0</v>
      </c>
      <c r="EW295" s="38">
        <f t="shared" si="587"/>
        <v>0</v>
      </c>
      <c r="EX295" s="38">
        <f t="shared" si="588"/>
        <v>0</v>
      </c>
      <c r="EZ295" s="38">
        <f t="shared" si="589"/>
        <v>0</v>
      </c>
      <c r="FA295" s="38">
        <f t="shared" si="590"/>
        <v>0</v>
      </c>
      <c r="FB295" s="1">
        <f t="shared" si="591"/>
        <v>0</v>
      </c>
      <c r="FC295" s="1">
        <f t="shared" si="592"/>
        <v>0</v>
      </c>
      <c r="FD295" s="1">
        <f t="shared" si="593"/>
        <v>0</v>
      </c>
      <c r="FE295" s="1">
        <f t="shared" si="594"/>
        <v>0</v>
      </c>
      <c r="FF295" s="1">
        <f t="shared" si="595"/>
        <v>0</v>
      </c>
      <c r="FG295" s="1">
        <f t="shared" si="596"/>
        <v>0</v>
      </c>
      <c r="FH295" s="1">
        <f t="shared" si="597"/>
        <v>0</v>
      </c>
      <c r="FI295" s="1">
        <f t="shared" si="598"/>
        <v>0</v>
      </c>
      <c r="FJ295" s="1">
        <f t="shared" si="599"/>
        <v>0</v>
      </c>
      <c r="FK295" s="1">
        <f t="shared" si="600"/>
        <v>0</v>
      </c>
      <c r="FL295" s="1">
        <f t="shared" si="601"/>
        <v>0</v>
      </c>
      <c r="FM295" s="1">
        <f t="shared" si="602"/>
        <v>0</v>
      </c>
      <c r="FN295" s="1">
        <f t="shared" si="603"/>
        <v>0</v>
      </c>
      <c r="FO295" s="1">
        <f t="shared" si="604"/>
        <v>0</v>
      </c>
      <c r="FP295" s="1">
        <f t="shared" si="605"/>
        <v>0</v>
      </c>
      <c r="FQ295" s="1">
        <f t="shared" si="606"/>
        <v>0</v>
      </c>
      <c r="FS295" s="1">
        <f t="shared" si="607"/>
        <v>0</v>
      </c>
      <c r="FT295" s="1">
        <f t="shared" si="608"/>
        <v>0</v>
      </c>
      <c r="FU295" s="38">
        <f t="shared" si="609"/>
        <v>0</v>
      </c>
      <c r="FV295" s="38">
        <f t="shared" si="610"/>
        <v>0</v>
      </c>
      <c r="FW295" s="38">
        <f t="shared" si="611"/>
        <v>0</v>
      </c>
      <c r="FX295" s="38">
        <f t="shared" si="612"/>
        <v>0</v>
      </c>
      <c r="FY295" s="38">
        <f t="shared" si="613"/>
        <v>0</v>
      </c>
      <c r="FZ295" s="38">
        <f t="shared" si="614"/>
        <v>0</v>
      </c>
      <c r="GA295" s="38">
        <f t="shared" si="615"/>
        <v>0</v>
      </c>
      <c r="GB295" s="38">
        <f t="shared" si="616"/>
        <v>0</v>
      </c>
      <c r="GC295" s="38">
        <f t="shared" si="617"/>
        <v>0</v>
      </c>
      <c r="GD295" s="38">
        <f t="shared" si="618"/>
        <v>0</v>
      </c>
      <c r="GE295" s="38">
        <f t="shared" si="619"/>
        <v>0</v>
      </c>
      <c r="GF295" s="38">
        <f t="shared" si="620"/>
        <v>0</v>
      </c>
      <c r="GG295" s="38">
        <f t="shared" si="621"/>
        <v>0</v>
      </c>
      <c r="GH295" s="38">
        <f t="shared" si="622"/>
        <v>0</v>
      </c>
      <c r="GI295" s="38">
        <f t="shared" si="623"/>
        <v>0</v>
      </c>
      <c r="GJ295" s="38">
        <f t="shared" si="624"/>
        <v>0</v>
      </c>
      <c r="GL295" s="38">
        <f t="shared" si="625"/>
        <v>0</v>
      </c>
      <c r="GM295" s="38">
        <f t="shared" si="626"/>
        <v>0</v>
      </c>
      <c r="GN295" s="1" t="s">
        <v>2</v>
      </c>
      <c r="GO295" s="13">
        <f t="shared" si="549"/>
        <v>10.402338</v>
      </c>
      <c r="GP295" s="13">
        <f t="shared" si="550"/>
        <v>2.5601508622388542</v>
      </c>
      <c r="GQ295" s="41">
        <f t="shared" si="551"/>
        <v>266.31554599999998</v>
      </c>
      <c r="GR295" s="41">
        <f t="shared" si="552"/>
        <v>3492.4620702440002</v>
      </c>
      <c r="GS295" s="14">
        <f t="shared" si="553"/>
        <v>335.73818407400336</v>
      </c>
      <c r="GT295" s="1">
        <f t="shared" si="627"/>
        <v>0</v>
      </c>
      <c r="GU295" s="1">
        <f t="shared" si="628"/>
        <v>233.10463700000003</v>
      </c>
      <c r="GV295" s="1">
        <f t="shared" si="629"/>
        <v>33.210908999999994</v>
      </c>
      <c r="GW295" s="37">
        <f t="shared" si="554"/>
        <v>0</v>
      </c>
      <c r="GX295" s="37"/>
      <c r="GY295" s="37"/>
      <c r="GZ295" s="37"/>
      <c r="HB295" s="1">
        <f t="shared" si="630"/>
        <v>0</v>
      </c>
      <c r="HC295" s="1">
        <f t="shared" si="631"/>
        <v>0</v>
      </c>
      <c r="HD295" s="37" t="s">
        <v>2</v>
      </c>
      <c r="HE295" s="1" t="s">
        <v>113</v>
      </c>
      <c r="HF295" s="1" t="s">
        <v>223</v>
      </c>
      <c r="HI295" s="1" t="s">
        <v>96</v>
      </c>
      <c r="HJ295" s="37" t="s">
        <v>2</v>
      </c>
      <c r="JH295" s="58" t="s">
        <v>2</v>
      </c>
    </row>
    <row r="296" spans="1:268" ht="16.25" customHeight="1" x14ac:dyDescent="0.2">
      <c r="A296" s="15" t="s">
        <v>357</v>
      </c>
      <c r="B296" s="1" t="s">
        <v>69</v>
      </c>
      <c r="E296" s="1" t="s">
        <v>72</v>
      </c>
      <c r="F296" s="1" t="s">
        <v>356</v>
      </c>
      <c r="H296" s="1" t="s">
        <v>70</v>
      </c>
      <c r="I296" s="1">
        <v>13.563000000000001</v>
      </c>
      <c r="Q296" s="1">
        <v>0.8</v>
      </c>
      <c r="AD296" s="2">
        <v>27.363</v>
      </c>
      <c r="AL296" s="14">
        <v>0.6</v>
      </c>
      <c r="AY296" s="2">
        <v>12.009</v>
      </c>
      <c r="BG296" s="14">
        <v>0.5</v>
      </c>
      <c r="BT296" s="1">
        <v>0</v>
      </c>
      <c r="CO296" s="1">
        <v>0</v>
      </c>
      <c r="DJ296" s="1" t="s">
        <v>96</v>
      </c>
      <c r="DL296" s="1">
        <f t="shared" si="547"/>
        <v>0.62855766506092381</v>
      </c>
      <c r="DM296" s="1">
        <f t="shared" si="548"/>
        <v>0</v>
      </c>
      <c r="DN296" s="1" t="s">
        <v>67</v>
      </c>
      <c r="DO296" s="1" t="s">
        <v>2</v>
      </c>
      <c r="DP296" s="38">
        <f t="shared" si="555"/>
        <v>0</v>
      </c>
      <c r="DQ296" s="38">
        <f t="shared" si="556"/>
        <v>0</v>
      </c>
      <c r="DR296" s="38">
        <f t="shared" si="557"/>
        <v>0</v>
      </c>
      <c r="DS296" s="38">
        <f t="shared" si="558"/>
        <v>0</v>
      </c>
      <c r="DT296" s="38">
        <f t="shared" si="559"/>
        <v>0</v>
      </c>
      <c r="DU296" s="38">
        <f t="shared" si="560"/>
        <v>0</v>
      </c>
      <c r="DV296" s="38">
        <f t="shared" si="561"/>
        <v>0</v>
      </c>
      <c r="DW296" s="38">
        <f t="shared" si="562"/>
        <v>0.33272699999999999</v>
      </c>
      <c r="DX296" s="38">
        <f t="shared" si="563"/>
        <v>0</v>
      </c>
      <c r="DY296" s="38">
        <f t="shared" si="564"/>
        <v>0</v>
      </c>
      <c r="DZ296" s="38">
        <f t="shared" si="565"/>
        <v>0</v>
      </c>
      <c r="EA296" s="38">
        <f t="shared" si="566"/>
        <v>0</v>
      </c>
      <c r="EB296" s="38">
        <f t="shared" si="567"/>
        <v>0</v>
      </c>
      <c r="EC296" s="38">
        <f t="shared" si="568"/>
        <v>0</v>
      </c>
      <c r="ED296" s="38">
        <f t="shared" si="569"/>
        <v>0</v>
      </c>
      <c r="EE296" s="38">
        <f t="shared" si="570"/>
        <v>0</v>
      </c>
      <c r="EG296" s="38">
        <f t="shared" si="571"/>
        <v>0</v>
      </c>
      <c r="EH296" s="38">
        <f t="shared" si="572"/>
        <v>0</v>
      </c>
      <c r="EI296" s="38">
        <f t="shared" si="573"/>
        <v>0</v>
      </c>
      <c r="EJ296" s="38">
        <f t="shared" si="574"/>
        <v>0</v>
      </c>
      <c r="EK296" s="38">
        <f t="shared" si="575"/>
        <v>0</v>
      </c>
      <c r="EL296" s="38">
        <f t="shared" si="576"/>
        <v>0</v>
      </c>
      <c r="EM296" s="38">
        <f t="shared" si="577"/>
        <v>0</v>
      </c>
      <c r="EN296" s="38">
        <f t="shared" si="578"/>
        <v>0</v>
      </c>
      <c r="EO296" s="38">
        <f t="shared" si="579"/>
        <v>0</v>
      </c>
      <c r="EP296" s="38">
        <f t="shared" si="580"/>
        <v>4363.3818780000001</v>
      </c>
      <c r="EQ296" s="38">
        <f t="shared" si="581"/>
        <v>0</v>
      </c>
      <c r="ER296" s="38">
        <f t="shared" si="582"/>
        <v>0</v>
      </c>
      <c r="ES296" s="38">
        <f t="shared" si="583"/>
        <v>0</v>
      </c>
      <c r="ET296" s="38">
        <f t="shared" si="584"/>
        <v>0</v>
      </c>
      <c r="EU296" s="38">
        <f t="shared" si="585"/>
        <v>0</v>
      </c>
      <c r="EV296" s="38">
        <f t="shared" si="586"/>
        <v>0</v>
      </c>
      <c r="EW296" s="38">
        <f t="shared" si="587"/>
        <v>0</v>
      </c>
      <c r="EX296" s="38">
        <f t="shared" si="588"/>
        <v>0</v>
      </c>
      <c r="EZ296" s="38">
        <f t="shared" si="589"/>
        <v>0</v>
      </c>
      <c r="FA296" s="38">
        <f t="shared" si="590"/>
        <v>0</v>
      </c>
      <c r="FB296" s="1">
        <f t="shared" si="591"/>
        <v>0</v>
      </c>
      <c r="FC296" s="1">
        <f t="shared" si="592"/>
        <v>0</v>
      </c>
      <c r="FD296" s="1">
        <f t="shared" si="593"/>
        <v>0</v>
      </c>
      <c r="FE296" s="1">
        <f t="shared" si="594"/>
        <v>0</v>
      </c>
      <c r="FF296" s="1">
        <f t="shared" si="595"/>
        <v>0</v>
      </c>
      <c r="FG296" s="1">
        <f t="shared" si="596"/>
        <v>0</v>
      </c>
      <c r="FH296" s="1">
        <f t="shared" si="597"/>
        <v>0</v>
      </c>
      <c r="FI296" s="1">
        <f t="shared" si="598"/>
        <v>0</v>
      </c>
      <c r="FJ296" s="1">
        <f t="shared" si="599"/>
        <v>0</v>
      </c>
      <c r="FK296" s="1">
        <f t="shared" si="600"/>
        <v>0</v>
      </c>
      <c r="FL296" s="1">
        <f t="shared" si="601"/>
        <v>0</v>
      </c>
      <c r="FM296" s="1">
        <f t="shared" si="602"/>
        <v>0</v>
      </c>
      <c r="FN296" s="1">
        <f t="shared" si="603"/>
        <v>0</v>
      </c>
      <c r="FO296" s="1">
        <f t="shared" si="604"/>
        <v>0</v>
      </c>
      <c r="FP296" s="1">
        <f t="shared" si="605"/>
        <v>0</v>
      </c>
      <c r="FQ296" s="1">
        <f t="shared" si="606"/>
        <v>0</v>
      </c>
      <c r="FS296" s="1">
        <f t="shared" si="607"/>
        <v>0</v>
      </c>
      <c r="FT296" s="1">
        <f t="shared" si="608"/>
        <v>0</v>
      </c>
      <c r="FU296" s="38">
        <f t="shared" si="609"/>
        <v>0</v>
      </c>
      <c r="FV296" s="38">
        <f t="shared" si="610"/>
        <v>0</v>
      </c>
      <c r="FW296" s="38">
        <f t="shared" si="611"/>
        <v>0</v>
      </c>
      <c r="FX296" s="38">
        <f t="shared" si="612"/>
        <v>0</v>
      </c>
      <c r="FY296" s="38">
        <f t="shared" si="613"/>
        <v>0</v>
      </c>
      <c r="FZ296" s="38">
        <f t="shared" si="614"/>
        <v>0</v>
      </c>
      <c r="GA296" s="38">
        <f t="shared" si="615"/>
        <v>0</v>
      </c>
      <c r="GB296" s="38">
        <f t="shared" si="616"/>
        <v>0</v>
      </c>
      <c r="GC296" s="38">
        <f t="shared" si="617"/>
        <v>0</v>
      </c>
      <c r="GD296" s="38">
        <f t="shared" si="618"/>
        <v>0</v>
      </c>
      <c r="GE296" s="38">
        <f t="shared" si="619"/>
        <v>0</v>
      </c>
      <c r="GF296" s="38">
        <f t="shared" si="620"/>
        <v>0</v>
      </c>
      <c r="GG296" s="38">
        <f t="shared" si="621"/>
        <v>0</v>
      </c>
      <c r="GH296" s="38">
        <f t="shared" si="622"/>
        <v>0</v>
      </c>
      <c r="GI296" s="38">
        <f t="shared" si="623"/>
        <v>0</v>
      </c>
      <c r="GJ296" s="38">
        <f t="shared" si="624"/>
        <v>0</v>
      </c>
      <c r="GL296" s="38">
        <f t="shared" si="625"/>
        <v>0</v>
      </c>
      <c r="GM296" s="38">
        <f t="shared" si="626"/>
        <v>0</v>
      </c>
      <c r="GN296" s="1" t="s">
        <v>2</v>
      </c>
      <c r="GO296" s="13">
        <f t="shared" si="549"/>
        <v>52.935000000000002</v>
      </c>
      <c r="GP296" s="13">
        <f t="shared" si="550"/>
        <v>0.62855766506092381</v>
      </c>
      <c r="GQ296" s="41">
        <f t="shared" si="551"/>
        <v>332.72700000000003</v>
      </c>
      <c r="GR296" s="41">
        <f t="shared" si="552"/>
        <v>4363.3818780000001</v>
      </c>
      <c r="GS296" s="14">
        <f t="shared" si="553"/>
        <v>82.429052196089543</v>
      </c>
      <c r="GT296" s="1">
        <f t="shared" si="627"/>
        <v>108.50399999999999</v>
      </c>
      <c r="GU296" s="1">
        <f t="shared" si="628"/>
        <v>164.178</v>
      </c>
      <c r="GV296" s="1">
        <f t="shared" si="629"/>
        <v>60.045000000000002</v>
      </c>
      <c r="GW296" s="37">
        <f t="shared" si="554"/>
        <v>0</v>
      </c>
      <c r="GX296" s="37"/>
      <c r="GY296" s="37"/>
      <c r="GZ296" s="37"/>
      <c r="HB296" s="1">
        <f t="shared" si="630"/>
        <v>0</v>
      </c>
      <c r="HC296" s="1">
        <f t="shared" si="631"/>
        <v>0</v>
      </c>
      <c r="HD296" s="37" t="s">
        <v>2</v>
      </c>
      <c r="HE296" s="1" t="s">
        <v>113</v>
      </c>
      <c r="HF296" s="1" t="s">
        <v>223</v>
      </c>
      <c r="HI296" s="1" t="s">
        <v>96</v>
      </c>
      <c r="HJ296" s="37" t="s">
        <v>2</v>
      </c>
      <c r="JH296" s="58" t="s">
        <v>2</v>
      </c>
    </row>
    <row r="297" spans="1:268" ht="16.25" customHeight="1" x14ac:dyDescent="0.2">
      <c r="A297" s="15" t="s">
        <v>361</v>
      </c>
      <c r="B297" s="1" t="s">
        <v>71</v>
      </c>
      <c r="E297" s="1" t="s">
        <v>65</v>
      </c>
      <c r="F297" s="1" t="s">
        <v>171</v>
      </c>
      <c r="H297" s="1" t="s">
        <v>70</v>
      </c>
      <c r="I297" s="2">
        <f>0.039+0.156+(0.033/0.7)+0.002+0.025</f>
        <v>0.26914285714285718</v>
      </c>
      <c r="J297" s="11">
        <v>0.2</v>
      </c>
      <c r="Q297" s="14">
        <f>(4.9*0.039+3.5*0.156+3.6*(0.033/0.7)+6.9*0.002+2.7*0.025)/I297</f>
        <v>3.6713375796178345</v>
      </c>
      <c r="R297" s="11">
        <v>0.03</v>
      </c>
      <c r="AD297" s="2">
        <f>0.499+0.138+0.241+0.408+0.11+(0.04/0.7)+0.051+0.103+0.417+0.029+0.05+0.096+0.554</f>
        <v>2.7531428571428567</v>
      </c>
      <c r="AE297" s="11">
        <v>0.2</v>
      </c>
      <c r="AL297" s="14">
        <f>(3.5*0.499+2.9*0.138+4*0.241+2.8*0.408+2.6*0.11+2.2*(0.04/0.7)+4.1*0.051+3.1*0.103+5.3*0.417+3.4*0.029+5.3*0.05+3.3*0.096+3*0.554)/AD297</f>
        <v>3.5398505603985062</v>
      </c>
      <c r="AM297" s="11">
        <v>0.03</v>
      </c>
      <c r="AY297" s="2">
        <f>0.051+0.067+0.027+0.016+0.105+0.01+0.014+0.4355</f>
        <v>0.72550000000000003</v>
      </c>
      <c r="AZ297" s="11">
        <v>0.2</v>
      </c>
      <c r="BG297" s="14">
        <f>(2.6*0.051+2.9*0.067+4.1*0.027+6.6*0.016+4.6*0.105+3.8*0.01+5*0.014+3.7*0.4355)/AY297</f>
        <v>3.7843556168159891</v>
      </c>
      <c r="BH297" s="11">
        <v>0.03</v>
      </c>
      <c r="BT297" s="1">
        <v>2.8000000000000001E-2</v>
      </c>
      <c r="BU297" s="11">
        <v>0.2</v>
      </c>
      <c r="CB297" s="1">
        <v>2.6</v>
      </c>
      <c r="CC297" s="11">
        <v>0.03</v>
      </c>
      <c r="CO297" s="1">
        <v>1.1080000000000001</v>
      </c>
      <c r="CP297" s="11">
        <v>0.2</v>
      </c>
      <c r="CW297" s="1">
        <v>2.5</v>
      </c>
      <c r="CX297" s="11">
        <v>0.03</v>
      </c>
      <c r="DJ297" s="1" t="s">
        <v>96</v>
      </c>
      <c r="DK297" s="1" t="s">
        <v>96</v>
      </c>
      <c r="DL297" s="1">
        <f t="shared" si="547"/>
        <v>3.5966246736168026</v>
      </c>
      <c r="DM297" s="1">
        <f t="shared" si="548"/>
        <v>0.03</v>
      </c>
      <c r="DN297" s="1" t="s">
        <v>67</v>
      </c>
      <c r="DO297" s="1" t="s">
        <v>2</v>
      </c>
      <c r="DP297" s="38">
        <f t="shared" si="555"/>
        <v>7.4955714285714278E-3</v>
      </c>
      <c r="DQ297" s="38">
        <f t="shared" si="556"/>
        <v>0</v>
      </c>
      <c r="DR297" s="38">
        <f t="shared" si="557"/>
        <v>0</v>
      </c>
      <c r="DS297" s="38">
        <f t="shared" si="558"/>
        <v>0</v>
      </c>
      <c r="DT297" s="38">
        <f t="shared" si="559"/>
        <v>0</v>
      </c>
      <c r="DU297" s="38">
        <f t="shared" si="560"/>
        <v>0</v>
      </c>
      <c r="DV297" s="38">
        <f t="shared" si="561"/>
        <v>0</v>
      </c>
      <c r="DW297" s="38">
        <f t="shared" si="562"/>
        <v>0.13479378571428571</v>
      </c>
      <c r="DX297" s="38">
        <f t="shared" si="563"/>
        <v>1.1243357142857141E-3</v>
      </c>
      <c r="DY297" s="38">
        <f t="shared" si="564"/>
        <v>0</v>
      </c>
      <c r="DZ297" s="38">
        <f t="shared" si="565"/>
        <v>0</v>
      </c>
      <c r="EA297" s="38">
        <f t="shared" si="566"/>
        <v>0</v>
      </c>
      <c r="EB297" s="38">
        <f t="shared" si="567"/>
        <v>0</v>
      </c>
      <c r="EC297" s="38">
        <f t="shared" si="568"/>
        <v>0</v>
      </c>
      <c r="ED297" s="38">
        <f t="shared" si="569"/>
        <v>0</v>
      </c>
      <c r="EE297" s="38">
        <f t="shared" si="570"/>
        <v>0</v>
      </c>
      <c r="EG297" s="38">
        <f t="shared" si="571"/>
        <v>0</v>
      </c>
      <c r="EH297" s="38">
        <f t="shared" si="572"/>
        <v>0</v>
      </c>
      <c r="EI297" s="38">
        <f t="shared" si="573"/>
        <v>48.913220843428569</v>
      </c>
      <c r="EJ297" s="38">
        <f t="shared" si="574"/>
        <v>0</v>
      </c>
      <c r="EK297" s="38">
        <f t="shared" si="575"/>
        <v>0</v>
      </c>
      <c r="EL297" s="38">
        <f t="shared" si="576"/>
        <v>0</v>
      </c>
      <c r="EM297" s="38">
        <f t="shared" si="577"/>
        <v>0</v>
      </c>
      <c r="EN297" s="38">
        <f t="shared" si="578"/>
        <v>0</v>
      </c>
      <c r="EO297" s="38">
        <f t="shared" si="579"/>
        <v>0</v>
      </c>
      <c r="EP297" s="38">
        <f t="shared" si="580"/>
        <v>1767.6857058571429</v>
      </c>
      <c r="EQ297" s="38">
        <f t="shared" si="581"/>
        <v>81.648724387628548</v>
      </c>
      <c r="ER297" s="38">
        <f t="shared" si="582"/>
        <v>0</v>
      </c>
      <c r="ES297" s="38">
        <f t="shared" si="583"/>
        <v>0</v>
      </c>
      <c r="ET297" s="38">
        <f t="shared" si="584"/>
        <v>0</v>
      </c>
      <c r="EU297" s="38">
        <f t="shared" si="585"/>
        <v>0</v>
      </c>
      <c r="EV297" s="38">
        <f t="shared" si="586"/>
        <v>0</v>
      </c>
      <c r="EW297" s="38">
        <f t="shared" si="587"/>
        <v>0</v>
      </c>
      <c r="EX297" s="38">
        <f t="shared" si="588"/>
        <v>0</v>
      </c>
      <c r="EZ297" s="38">
        <f t="shared" si="589"/>
        <v>0</v>
      </c>
      <c r="FA297" s="38">
        <f t="shared" si="590"/>
        <v>0</v>
      </c>
      <c r="FB297" s="1">
        <f t="shared" si="591"/>
        <v>2.2720000000000001E-3</v>
      </c>
      <c r="FC297" s="1">
        <f t="shared" si="592"/>
        <v>0</v>
      </c>
      <c r="FD297" s="1">
        <f t="shared" si="593"/>
        <v>0</v>
      </c>
      <c r="FE297" s="1">
        <f t="shared" si="594"/>
        <v>0</v>
      </c>
      <c r="FF297" s="1">
        <f t="shared" si="595"/>
        <v>0</v>
      </c>
      <c r="FG297" s="1">
        <f t="shared" si="596"/>
        <v>0</v>
      </c>
      <c r="FH297" s="1">
        <f t="shared" si="597"/>
        <v>0</v>
      </c>
      <c r="FI297" s="1">
        <f t="shared" si="598"/>
        <v>2.8428000000000005E-2</v>
      </c>
      <c r="FJ297" s="1">
        <f t="shared" si="599"/>
        <v>3.4079999999999999E-4</v>
      </c>
      <c r="FK297" s="1">
        <f t="shared" si="600"/>
        <v>0</v>
      </c>
      <c r="FL297" s="1">
        <f t="shared" si="601"/>
        <v>0</v>
      </c>
      <c r="FM297" s="1">
        <f t="shared" si="602"/>
        <v>0</v>
      </c>
      <c r="FN297" s="1">
        <f t="shared" si="603"/>
        <v>0</v>
      </c>
      <c r="FO297" s="1">
        <f t="shared" si="604"/>
        <v>0</v>
      </c>
      <c r="FP297" s="1">
        <f t="shared" si="605"/>
        <v>0</v>
      </c>
      <c r="FQ297" s="1">
        <f t="shared" si="606"/>
        <v>0</v>
      </c>
      <c r="FS297" s="1">
        <f t="shared" si="607"/>
        <v>0</v>
      </c>
      <c r="FT297" s="1">
        <f t="shared" si="608"/>
        <v>0</v>
      </c>
      <c r="FU297" s="38">
        <f t="shared" si="609"/>
        <v>14.826199552</v>
      </c>
      <c r="FV297" s="38">
        <f t="shared" si="610"/>
        <v>0</v>
      </c>
      <c r="FW297" s="38">
        <f t="shared" si="611"/>
        <v>0</v>
      </c>
      <c r="FX297" s="38">
        <f t="shared" si="612"/>
        <v>0</v>
      </c>
      <c r="FY297" s="38">
        <f t="shared" si="613"/>
        <v>0</v>
      </c>
      <c r="FZ297" s="38">
        <f t="shared" si="614"/>
        <v>0</v>
      </c>
      <c r="GA297" s="38">
        <f t="shared" si="615"/>
        <v>0</v>
      </c>
      <c r="GB297" s="38">
        <f t="shared" si="616"/>
        <v>372.80479200000008</v>
      </c>
      <c r="GC297" s="38">
        <f t="shared" si="617"/>
        <v>24.748733779199995</v>
      </c>
      <c r="GD297" s="38">
        <f t="shared" si="618"/>
        <v>0</v>
      </c>
      <c r="GE297" s="38">
        <f t="shared" si="619"/>
        <v>0</v>
      </c>
      <c r="GF297" s="38">
        <f t="shared" si="620"/>
        <v>0</v>
      </c>
      <c r="GG297" s="38">
        <f t="shared" si="621"/>
        <v>0</v>
      </c>
      <c r="GH297" s="38">
        <f t="shared" si="622"/>
        <v>0</v>
      </c>
      <c r="GI297" s="38">
        <f t="shared" si="623"/>
        <v>0</v>
      </c>
      <c r="GJ297" s="38">
        <f t="shared" si="624"/>
        <v>0</v>
      </c>
      <c r="GL297" s="38">
        <f t="shared" si="625"/>
        <v>0</v>
      </c>
      <c r="GM297" s="38">
        <f t="shared" si="626"/>
        <v>0</v>
      </c>
      <c r="GN297" s="1" t="s">
        <v>2</v>
      </c>
      <c r="GO297" s="2">
        <f t="shared" si="549"/>
        <v>3.7477857142857136</v>
      </c>
      <c r="GP297" s="13">
        <f t="shared" si="550"/>
        <v>3.5966246736168026</v>
      </c>
      <c r="GQ297" s="41">
        <f t="shared" si="551"/>
        <v>134.79378571428572</v>
      </c>
      <c r="GR297" s="41">
        <f t="shared" si="552"/>
        <v>1898.2476510882</v>
      </c>
      <c r="GS297" s="14">
        <f t="shared" si="553"/>
        <v>506.49844889810754</v>
      </c>
      <c r="GT297" s="1">
        <f t="shared" si="627"/>
        <v>9.8811428571428586</v>
      </c>
      <c r="GU297" s="1">
        <f t="shared" si="628"/>
        <v>97.457142857142856</v>
      </c>
      <c r="GV297" s="1">
        <f t="shared" si="629"/>
        <v>27.455500000000001</v>
      </c>
      <c r="GW297" s="37">
        <f t="shared" si="554"/>
        <v>1.1360000000000001</v>
      </c>
      <c r="GX297" s="44">
        <f>(BT297*CB297+CO297*CW297)/GW297</f>
        <v>2.5024647887323943</v>
      </c>
      <c r="GY297" s="41">
        <f>1000*GW297*GX297/100</f>
        <v>28.428000000000008</v>
      </c>
      <c r="GZ297" s="41">
        <f>SUM(FU297:GM297)</f>
        <v>412.37972533120006</v>
      </c>
      <c r="HA297" s="14">
        <f>GZ297/GW297</f>
        <v>363.01032159436619</v>
      </c>
      <c r="HB297" s="1">
        <f t="shared" si="630"/>
        <v>0.72799999999999998</v>
      </c>
      <c r="HC297" s="1">
        <f t="shared" si="631"/>
        <v>27.700000000000003</v>
      </c>
      <c r="HD297" s="37" t="s">
        <v>2</v>
      </c>
      <c r="HE297" s="1" t="s">
        <v>113</v>
      </c>
      <c r="HF297" s="1" t="s">
        <v>223</v>
      </c>
      <c r="HI297" s="1" t="s">
        <v>96</v>
      </c>
      <c r="HJ297" s="37" t="s">
        <v>2</v>
      </c>
      <c r="JH297" s="58" t="s">
        <v>2</v>
      </c>
    </row>
    <row r="298" spans="1:268" ht="16.25" customHeight="1" x14ac:dyDescent="0.2">
      <c r="A298" s="15" t="s">
        <v>364</v>
      </c>
      <c r="B298" s="1" t="s">
        <v>71</v>
      </c>
      <c r="E298" s="1" t="s">
        <v>65</v>
      </c>
      <c r="F298" s="1" t="s">
        <v>365</v>
      </c>
      <c r="H298" s="1" t="s">
        <v>70</v>
      </c>
      <c r="I298" s="1">
        <f>0.089+0.021+0.04+0.03</f>
        <v>0.18</v>
      </c>
      <c r="J298" s="11">
        <v>0.2</v>
      </c>
      <c r="Q298" s="13">
        <f>(2.99*0.089+4.54*0.021+4.12*0.04+4.92*0.03)/I298</f>
        <v>3.7436111111111114</v>
      </c>
      <c r="R298" s="11">
        <v>0.03</v>
      </c>
      <c r="AD298" s="1">
        <f>2.018+0.029+0.055+0.047+0.28+0.023+0.051+0.014</f>
        <v>2.5170000000000003</v>
      </c>
      <c r="AE298" s="11">
        <v>0.2</v>
      </c>
      <c r="AL298" s="13">
        <f>(1.42*2.018+2.87*0.029+4.4*0.055+3.58*0.047+1.99*0.28+3.93*0.023+5.6*0.051+4.4*0.014)/AD298</f>
        <v>1.7297735399284857</v>
      </c>
      <c r="AM298" s="11">
        <v>0.03</v>
      </c>
      <c r="AY298" s="1">
        <f>0.611+0.134+0.652+0.291+0.063+0.007+0.992+0.111+0.016+0.079</f>
        <v>2.9560000000000004</v>
      </c>
      <c r="AZ298" s="11">
        <v>0.2</v>
      </c>
      <c r="BG298" s="13">
        <f>(0.79*0.611+1.7*0.134+1.63*0.652+1.42*0.291+3.49*0.063+4.16*0.007+1.49*0.992+1.35*0.111+2.95*0.016+4.8*0.079)/AY298</f>
        <v>1.5188734776725303</v>
      </c>
      <c r="BH298" s="11">
        <v>0.03</v>
      </c>
      <c r="BT298" s="1">
        <v>0</v>
      </c>
      <c r="CO298" s="1">
        <f>0.042+0.113+0.011+0.015+0.027</f>
        <v>0.20799999999999999</v>
      </c>
      <c r="CP298" s="11">
        <v>0.2</v>
      </c>
      <c r="CW298" s="13">
        <f>(2.67*0.042+1.57*0.113+2.56*0.011+2.96*0.015+2.19*0.027)/CO298</f>
        <v>2.0251923076923082</v>
      </c>
      <c r="CX298" s="11">
        <v>0.03</v>
      </c>
      <c r="DJ298" s="1" t="s">
        <v>96</v>
      </c>
      <c r="DK298" s="1" t="s">
        <v>96</v>
      </c>
      <c r="DL298" s="1">
        <f t="shared" si="547"/>
        <v>1.6836157792322657</v>
      </c>
      <c r="DM298" s="1">
        <f t="shared" si="548"/>
        <v>3.0000000000000002E-2</v>
      </c>
      <c r="DN298" s="1" t="s">
        <v>67</v>
      </c>
      <c r="DO298" s="1" t="s">
        <v>2</v>
      </c>
      <c r="DP298" s="38">
        <f t="shared" si="555"/>
        <v>1.1306000000000004E-2</v>
      </c>
      <c r="DQ298" s="38">
        <f t="shared" si="556"/>
        <v>0</v>
      </c>
      <c r="DR298" s="38">
        <f t="shared" si="557"/>
        <v>0</v>
      </c>
      <c r="DS298" s="38">
        <f t="shared" si="558"/>
        <v>0</v>
      </c>
      <c r="DT298" s="38">
        <f t="shared" si="559"/>
        <v>0</v>
      </c>
      <c r="DU298" s="38">
        <f t="shared" si="560"/>
        <v>0</v>
      </c>
      <c r="DV298" s="38">
        <f t="shared" si="561"/>
        <v>0</v>
      </c>
      <c r="DW298" s="38">
        <f t="shared" si="562"/>
        <v>9.517479999999999E-2</v>
      </c>
      <c r="DX298" s="38">
        <f t="shared" si="563"/>
        <v>1.6959000000000002E-3</v>
      </c>
      <c r="DY298" s="38">
        <f t="shared" si="564"/>
        <v>0</v>
      </c>
      <c r="DZ298" s="38">
        <f t="shared" si="565"/>
        <v>0</v>
      </c>
      <c r="EA298" s="38">
        <f t="shared" si="566"/>
        <v>0</v>
      </c>
      <c r="EB298" s="38">
        <f t="shared" si="567"/>
        <v>0</v>
      </c>
      <c r="EC298" s="38">
        <f t="shared" si="568"/>
        <v>0</v>
      </c>
      <c r="ED298" s="38">
        <f t="shared" si="569"/>
        <v>0</v>
      </c>
      <c r="EE298" s="38">
        <f t="shared" si="570"/>
        <v>0</v>
      </c>
      <c r="EG298" s="38">
        <f t="shared" si="571"/>
        <v>0</v>
      </c>
      <c r="EH298" s="38">
        <f t="shared" si="572"/>
        <v>0</v>
      </c>
      <c r="EI298" s="38">
        <f t="shared" si="573"/>
        <v>73.778614496000017</v>
      </c>
      <c r="EJ298" s="38">
        <f t="shared" si="574"/>
        <v>0</v>
      </c>
      <c r="EK298" s="38">
        <f t="shared" si="575"/>
        <v>0</v>
      </c>
      <c r="EL298" s="38">
        <f t="shared" si="576"/>
        <v>0</v>
      </c>
      <c r="EM298" s="38">
        <f t="shared" si="577"/>
        <v>0</v>
      </c>
      <c r="EN298" s="38">
        <f t="shared" si="578"/>
        <v>0</v>
      </c>
      <c r="EO298" s="38">
        <f t="shared" si="579"/>
        <v>0</v>
      </c>
      <c r="EP298" s="38">
        <f t="shared" si="580"/>
        <v>1248.1223272</v>
      </c>
      <c r="EQ298" s="38">
        <f t="shared" si="581"/>
        <v>123.1554507516</v>
      </c>
      <c r="ER298" s="38">
        <f t="shared" si="582"/>
        <v>0</v>
      </c>
      <c r="ES298" s="38">
        <f t="shared" si="583"/>
        <v>0</v>
      </c>
      <c r="ET298" s="38">
        <f t="shared" si="584"/>
        <v>0</v>
      </c>
      <c r="EU298" s="38">
        <f t="shared" si="585"/>
        <v>0</v>
      </c>
      <c r="EV298" s="38">
        <f t="shared" si="586"/>
        <v>0</v>
      </c>
      <c r="EW298" s="38">
        <f t="shared" si="587"/>
        <v>0</v>
      </c>
      <c r="EX298" s="38">
        <f t="shared" si="588"/>
        <v>0</v>
      </c>
      <c r="EZ298" s="38">
        <f t="shared" si="589"/>
        <v>0</v>
      </c>
      <c r="FA298" s="38">
        <f t="shared" si="590"/>
        <v>0</v>
      </c>
      <c r="FB298" s="1">
        <f t="shared" si="591"/>
        <v>4.1599999999999997E-4</v>
      </c>
      <c r="FC298" s="1">
        <f t="shared" si="592"/>
        <v>0</v>
      </c>
      <c r="FD298" s="1">
        <f t="shared" si="593"/>
        <v>0</v>
      </c>
      <c r="FE298" s="1">
        <f t="shared" si="594"/>
        <v>0</v>
      </c>
      <c r="FF298" s="1">
        <f t="shared" si="595"/>
        <v>0</v>
      </c>
      <c r="FG298" s="1">
        <f t="shared" si="596"/>
        <v>0</v>
      </c>
      <c r="FH298" s="1">
        <f t="shared" si="597"/>
        <v>0</v>
      </c>
      <c r="FI298" s="1">
        <f t="shared" si="598"/>
        <v>4.2124000000000007E-3</v>
      </c>
      <c r="FJ298" s="1">
        <f t="shared" si="599"/>
        <v>6.2399999999999999E-5</v>
      </c>
      <c r="FK298" s="1">
        <f t="shared" si="600"/>
        <v>0</v>
      </c>
      <c r="FL298" s="1">
        <f t="shared" si="601"/>
        <v>0</v>
      </c>
      <c r="FM298" s="1">
        <f t="shared" si="602"/>
        <v>0</v>
      </c>
      <c r="FN298" s="1">
        <f t="shared" si="603"/>
        <v>0</v>
      </c>
      <c r="FO298" s="1">
        <f t="shared" si="604"/>
        <v>0</v>
      </c>
      <c r="FP298" s="1">
        <f t="shared" si="605"/>
        <v>0</v>
      </c>
      <c r="FQ298" s="1">
        <f t="shared" si="606"/>
        <v>0</v>
      </c>
      <c r="FS298" s="1">
        <f t="shared" si="607"/>
        <v>0</v>
      </c>
      <c r="FT298" s="1">
        <f t="shared" si="608"/>
        <v>0</v>
      </c>
      <c r="FU298" s="38">
        <f t="shared" si="609"/>
        <v>2.714656256</v>
      </c>
      <c r="FV298" s="38">
        <f t="shared" si="610"/>
        <v>0</v>
      </c>
      <c r="FW298" s="38">
        <f t="shared" si="611"/>
        <v>0</v>
      </c>
      <c r="FX298" s="38">
        <f t="shared" si="612"/>
        <v>0</v>
      </c>
      <c r="FY298" s="38">
        <f t="shared" si="613"/>
        <v>0</v>
      </c>
      <c r="FZ298" s="38">
        <f t="shared" si="614"/>
        <v>0</v>
      </c>
      <c r="GA298" s="38">
        <f t="shared" si="615"/>
        <v>0</v>
      </c>
      <c r="GB298" s="38">
        <f t="shared" si="616"/>
        <v>55.241413600000008</v>
      </c>
      <c r="GC298" s="38">
        <f t="shared" si="617"/>
        <v>4.5314582975999995</v>
      </c>
      <c r="GD298" s="38">
        <f t="shared" si="618"/>
        <v>0</v>
      </c>
      <c r="GE298" s="38">
        <f t="shared" si="619"/>
        <v>0</v>
      </c>
      <c r="GF298" s="38">
        <f t="shared" si="620"/>
        <v>0</v>
      </c>
      <c r="GG298" s="38">
        <f t="shared" si="621"/>
        <v>0</v>
      </c>
      <c r="GH298" s="38">
        <f t="shared" si="622"/>
        <v>0</v>
      </c>
      <c r="GI298" s="38">
        <f t="shared" si="623"/>
        <v>0</v>
      </c>
      <c r="GJ298" s="38">
        <f t="shared" si="624"/>
        <v>0</v>
      </c>
      <c r="GL298" s="38">
        <f t="shared" si="625"/>
        <v>0</v>
      </c>
      <c r="GM298" s="38">
        <f t="shared" si="626"/>
        <v>0</v>
      </c>
      <c r="GN298" s="1" t="s">
        <v>2</v>
      </c>
      <c r="GO298" s="1">
        <f t="shared" si="549"/>
        <v>5.6530000000000005</v>
      </c>
      <c r="GP298" s="13">
        <f t="shared" si="550"/>
        <v>1.6836157792322657</v>
      </c>
      <c r="GQ298" s="41">
        <f t="shared" si="551"/>
        <v>95.174799999999991</v>
      </c>
      <c r="GR298" s="41">
        <f t="shared" si="552"/>
        <v>1445.0563924476</v>
      </c>
      <c r="GS298" s="14">
        <f t="shared" si="553"/>
        <v>255.62646248851937</v>
      </c>
      <c r="GT298" s="1">
        <f t="shared" si="627"/>
        <v>6.7385000000000002</v>
      </c>
      <c r="GU298" s="1">
        <f t="shared" si="628"/>
        <v>43.538399999999996</v>
      </c>
      <c r="GV298" s="1">
        <f t="shared" si="629"/>
        <v>44.8979</v>
      </c>
      <c r="GW298" s="37">
        <f t="shared" si="554"/>
        <v>0.20799999999999999</v>
      </c>
      <c r="GX298" s="44">
        <f>(BT298*CB298+CO298*CW298)/GW298</f>
        <v>2.0251923076923082</v>
      </c>
      <c r="GY298" s="41">
        <f>1000*GW298*GX298/100</f>
        <v>4.2124000000000015</v>
      </c>
      <c r="GZ298" s="41">
        <f>SUM(FU298:GM298)</f>
        <v>62.487528153600003</v>
      </c>
      <c r="HA298" s="14">
        <f>GZ298/GW298</f>
        <v>300.42080843076928</v>
      </c>
      <c r="HB298" s="1">
        <f t="shared" si="630"/>
        <v>0</v>
      </c>
      <c r="HC298" s="1">
        <f t="shared" si="631"/>
        <v>4.2124000000000006</v>
      </c>
      <c r="HD298" s="37" t="s">
        <v>2</v>
      </c>
      <c r="HE298" s="1" t="s">
        <v>113</v>
      </c>
      <c r="HF298" s="1" t="s">
        <v>223</v>
      </c>
      <c r="HI298" s="1" t="s">
        <v>96</v>
      </c>
      <c r="HJ298" s="37" t="s">
        <v>2</v>
      </c>
      <c r="JH298" s="58" t="s">
        <v>2</v>
      </c>
    </row>
    <row r="299" spans="1:268" ht="16.25" customHeight="1" x14ac:dyDescent="0.2">
      <c r="A299" s="15" t="s">
        <v>366</v>
      </c>
      <c r="B299" s="1" t="s">
        <v>71</v>
      </c>
      <c r="E299" s="1" t="s">
        <v>65</v>
      </c>
      <c r="F299" s="1" t="s">
        <v>367</v>
      </c>
      <c r="H299" s="1" t="s">
        <v>70</v>
      </c>
      <c r="I299" s="1">
        <v>9.6000000000000002E-2</v>
      </c>
      <c r="J299" s="11">
        <v>0.2</v>
      </c>
      <c r="Q299" s="1">
        <v>4.5999999999999996</v>
      </c>
      <c r="R299" s="11">
        <v>0.03</v>
      </c>
      <c r="AD299" s="1">
        <v>0.28299999999999997</v>
      </c>
      <c r="AE299" s="11">
        <v>0.2</v>
      </c>
      <c r="AL299" s="14">
        <v>4</v>
      </c>
      <c r="AM299" s="11">
        <v>0.03</v>
      </c>
      <c r="AY299" s="1">
        <v>0.216</v>
      </c>
      <c r="AZ299" s="11">
        <v>0.2</v>
      </c>
      <c r="BG299" s="1">
        <v>3.4</v>
      </c>
      <c r="BH299" s="11">
        <v>0.03</v>
      </c>
      <c r="BT299" s="1">
        <v>0</v>
      </c>
      <c r="CO299" s="1">
        <v>0</v>
      </c>
      <c r="DJ299" s="1" t="s">
        <v>96</v>
      </c>
      <c r="DK299" s="1" t="s">
        <v>96</v>
      </c>
      <c r="DL299" s="1">
        <f t="shared" si="547"/>
        <v>3.8789915966386554</v>
      </c>
      <c r="DM299" s="1">
        <f t="shared" si="548"/>
        <v>0.03</v>
      </c>
      <c r="DN299" s="1" t="s">
        <v>185</v>
      </c>
      <c r="DO299" s="1" t="s">
        <v>2</v>
      </c>
      <c r="DP299" s="38">
        <f t="shared" si="555"/>
        <v>1.1900000000000001E-3</v>
      </c>
      <c r="DQ299" s="38">
        <f t="shared" si="556"/>
        <v>0</v>
      </c>
      <c r="DR299" s="38">
        <f t="shared" si="557"/>
        <v>0</v>
      </c>
      <c r="DS299" s="38">
        <f t="shared" si="558"/>
        <v>0</v>
      </c>
      <c r="DT299" s="38">
        <f t="shared" si="559"/>
        <v>0</v>
      </c>
      <c r="DU299" s="38">
        <f t="shared" si="560"/>
        <v>0</v>
      </c>
      <c r="DV299" s="38">
        <f t="shared" si="561"/>
        <v>0</v>
      </c>
      <c r="DW299" s="38">
        <f t="shared" si="562"/>
        <v>2.308E-2</v>
      </c>
      <c r="DX299" s="38">
        <f t="shared" si="563"/>
        <v>1.7849999999999997E-4</v>
      </c>
      <c r="DY299" s="38">
        <f t="shared" si="564"/>
        <v>0</v>
      </c>
      <c r="DZ299" s="38">
        <f t="shared" si="565"/>
        <v>0</v>
      </c>
      <c r="EA299" s="38">
        <f t="shared" si="566"/>
        <v>0</v>
      </c>
      <c r="EB299" s="38">
        <f t="shared" si="567"/>
        <v>0</v>
      </c>
      <c r="EC299" s="38">
        <f t="shared" si="568"/>
        <v>0</v>
      </c>
      <c r="ED299" s="38">
        <f t="shared" si="569"/>
        <v>0</v>
      </c>
      <c r="EE299" s="38">
        <f t="shared" si="570"/>
        <v>0</v>
      </c>
      <c r="EG299" s="38">
        <f t="shared" si="571"/>
        <v>0</v>
      </c>
      <c r="EH299" s="38">
        <f t="shared" si="572"/>
        <v>0</v>
      </c>
      <c r="EI299" s="38">
        <f t="shared" si="573"/>
        <v>7.7654830400000003</v>
      </c>
      <c r="EJ299" s="38">
        <f t="shared" si="574"/>
        <v>0</v>
      </c>
      <c r="EK299" s="38">
        <f t="shared" si="575"/>
        <v>0</v>
      </c>
      <c r="EL299" s="38">
        <f t="shared" si="576"/>
        <v>0</v>
      </c>
      <c r="EM299" s="38">
        <f t="shared" si="577"/>
        <v>0</v>
      </c>
      <c r="EN299" s="38">
        <f t="shared" si="578"/>
        <v>0</v>
      </c>
      <c r="EO299" s="38">
        <f t="shared" si="579"/>
        <v>0</v>
      </c>
      <c r="EP299" s="38">
        <f t="shared" si="580"/>
        <v>302.67111999999997</v>
      </c>
      <c r="EQ299" s="38">
        <f t="shared" si="581"/>
        <v>12.962585033999996</v>
      </c>
      <c r="ER299" s="38">
        <f t="shared" si="582"/>
        <v>0</v>
      </c>
      <c r="ES299" s="38">
        <f t="shared" si="583"/>
        <v>0</v>
      </c>
      <c r="ET299" s="38">
        <f t="shared" si="584"/>
        <v>0</v>
      </c>
      <c r="EU299" s="38">
        <f t="shared" si="585"/>
        <v>0</v>
      </c>
      <c r="EV299" s="38">
        <f t="shared" si="586"/>
        <v>0</v>
      </c>
      <c r="EW299" s="38">
        <f t="shared" si="587"/>
        <v>0</v>
      </c>
      <c r="EX299" s="38">
        <f t="shared" si="588"/>
        <v>0</v>
      </c>
      <c r="EZ299" s="38">
        <f t="shared" si="589"/>
        <v>0</v>
      </c>
      <c r="FA299" s="38">
        <f t="shared" si="590"/>
        <v>0</v>
      </c>
      <c r="FB299" s="1">
        <f t="shared" si="591"/>
        <v>0</v>
      </c>
      <c r="FC299" s="1">
        <f t="shared" si="592"/>
        <v>0</v>
      </c>
      <c r="FD299" s="1">
        <f t="shared" si="593"/>
        <v>0</v>
      </c>
      <c r="FE299" s="1">
        <f t="shared" si="594"/>
        <v>0</v>
      </c>
      <c r="FF299" s="1">
        <f t="shared" si="595"/>
        <v>0</v>
      </c>
      <c r="FG299" s="1">
        <f t="shared" si="596"/>
        <v>0</v>
      </c>
      <c r="FH299" s="1">
        <f t="shared" si="597"/>
        <v>0</v>
      </c>
      <c r="FI299" s="1">
        <f t="shared" si="598"/>
        <v>0</v>
      </c>
      <c r="FJ299" s="1">
        <f t="shared" si="599"/>
        <v>0</v>
      </c>
      <c r="FK299" s="1">
        <f t="shared" si="600"/>
        <v>0</v>
      </c>
      <c r="FL299" s="1">
        <f t="shared" si="601"/>
        <v>0</v>
      </c>
      <c r="FM299" s="1">
        <f t="shared" si="602"/>
        <v>0</v>
      </c>
      <c r="FN299" s="1">
        <f t="shared" si="603"/>
        <v>0</v>
      </c>
      <c r="FO299" s="1">
        <f t="shared" si="604"/>
        <v>0</v>
      </c>
      <c r="FP299" s="1">
        <f t="shared" si="605"/>
        <v>0</v>
      </c>
      <c r="FQ299" s="1">
        <f t="shared" si="606"/>
        <v>0</v>
      </c>
      <c r="FS299" s="1">
        <f t="shared" si="607"/>
        <v>0</v>
      </c>
      <c r="FT299" s="1">
        <f t="shared" si="608"/>
        <v>0</v>
      </c>
      <c r="FU299" s="38">
        <f t="shared" si="609"/>
        <v>0</v>
      </c>
      <c r="FV299" s="38">
        <f t="shared" si="610"/>
        <v>0</v>
      </c>
      <c r="FW299" s="38">
        <f t="shared" si="611"/>
        <v>0</v>
      </c>
      <c r="FX299" s="38">
        <f t="shared" si="612"/>
        <v>0</v>
      </c>
      <c r="FY299" s="38">
        <f t="shared" si="613"/>
        <v>0</v>
      </c>
      <c r="FZ299" s="38">
        <f t="shared" si="614"/>
        <v>0</v>
      </c>
      <c r="GA299" s="38">
        <f t="shared" si="615"/>
        <v>0</v>
      </c>
      <c r="GB299" s="38">
        <f t="shared" si="616"/>
        <v>0</v>
      </c>
      <c r="GC299" s="38">
        <f t="shared" si="617"/>
        <v>0</v>
      </c>
      <c r="GD299" s="38">
        <f t="shared" si="618"/>
        <v>0</v>
      </c>
      <c r="GE299" s="38">
        <f t="shared" si="619"/>
        <v>0</v>
      </c>
      <c r="GF299" s="38">
        <f t="shared" si="620"/>
        <v>0</v>
      </c>
      <c r="GG299" s="38">
        <f t="shared" si="621"/>
        <v>0</v>
      </c>
      <c r="GH299" s="38">
        <f t="shared" si="622"/>
        <v>0</v>
      </c>
      <c r="GI299" s="38">
        <f t="shared" si="623"/>
        <v>0</v>
      </c>
      <c r="GJ299" s="38">
        <f t="shared" si="624"/>
        <v>0</v>
      </c>
      <c r="GL299" s="38">
        <f t="shared" si="625"/>
        <v>0</v>
      </c>
      <c r="GM299" s="38">
        <f t="shared" si="626"/>
        <v>0</v>
      </c>
      <c r="GN299" s="1" t="s">
        <v>2</v>
      </c>
      <c r="GO299" s="1">
        <f t="shared" si="549"/>
        <v>0.59499999999999997</v>
      </c>
      <c r="GP299" s="13">
        <f t="shared" si="550"/>
        <v>3.8789915966386554</v>
      </c>
      <c r="GQ299" s="41">
        <f t="shared" si="551"/>
        <v>23.08</v>
      </c>
      <c r="GR299" s="41">
        <f t="shared" si="552"/>
        <v>323.39918807399994</v>
      </c>
      <c r="GS299" s="14">
        <f t="shared" si="553"/>
        <v>543.52804718319317</v>
      </c>
      <c r="GT299" s="1">
        <f t="shared" si="627"/>
        <v>4.4159999999999995</v>
      </c>
      <c r="GU299" s="1">
        <f t="shared" si="628"/>
        <v>11.32</v>
      </c>
      <c r="GV299" s="1">
        <f t="shared" si="629"/>
        <v>7.3439999999999994</v>
      </c>
      <c r="GW299" s="37">
        <f t="shared" si="554"/>
        <v>0</v>
      </c>
      <c r="GX299" s="37"/>
      <c r="GY299" s="37"/>
      <c r="GZ299" s="37"/>
      <c r="HB299" s="1">
        <f t="shared" si="630"/>
        <v>0</v>
      </c>
      <c r="HC299" s="1">
        <f t="shared" si="631"/>
        <v>0</v>
      </c>
      <c r="HD299" s="37" t="s">
        <v>2</v>
      </c>
      <c r="HE299" s="1" t="s">
        <v>113</v>
      </c>
      <c r="HF299" s="1" t="s">
        <v>223</v>
      </c>
      <c r="HI299" s="1" t="s">
        <v>96</v>
      </c>
      <c r="HJ299" s="37" t="s">
        <v>2</v>
      </c>
      <c r="JH299" s="58" t="s">
        <v>2</v>
      </c>
    </row>
    <row r="300" spans="1:268" ht="16.25" customHeight="1" x14ac:dyDescent="0.2">
      <c r="A300" s="15" t="s">
        <v>368</v>
      </c>
      <c r="B300" s="1" t="s">
        <v>64</v>
      </c>
      <c r="E300" s="1" t="s">
        <v>65</v>
      </c>
      <c r="F300" s="1" t="s">
        <v>356</v>
      </c>
      <c r="H300" s="1" t="s">
        <v>70</v>
      </c>
      <c r="I300" s="2">
        <v>0.36787999999999998</v>
      </c>
      <c r="Q300" s="1">
        <v>5.9</v>
      </c>
      <c r="AD300" s="2">
        <f>1.322173+0.48</f>
        <v>1.802173</v>
      </c>
      <c r="AL300" s="14">
        <f>(5.9*1.322173+1.4*0.48)/AD300</f>
        <v>4.7014469199127946</v>
      </c>
      <c r="AY300" s="2">
        <v>0.18101300000000001</v>
      </c>
      <c r="BG300" s="1">
        <v>5.6</v>
      </c>
      <c r="BT300" s="2">
        <v>8.9599999999999999E-2</v>
      </c>
      <c r="CB300" s="1">
        <v>3.8</v>
      </c>
      <c r="CO300" s="2">
        <v>1.7084999999999999</v>
      </c>
      <c r="CW300" s="14">
        <v>4</v>
      </c>
      <c r="DJ300" s="1" t="s">
        <v>96</v>
      </c>
      <c r="DL300" s="1">
        <f t="shared" si="547"/>
        <v>4.9581702512817589</v>
      </c>
      <c r="DM300" s="1">
        <f t="shared" si="548"/>
        <v>0</v>
      </c>
      <c r="DN300" s="1" t="s">
        <v>67</v>
      </c>
      <c r="DO300" s="1" t="s">
        <v>2</v>
      </c>
      <c r="DP300" s="38">
        <f t="shared" si="555"/>
        <v>0</v>
      </c>
      <c r="DQ300" s="38">
        <f t="shared" si="556"/>
        <v>0</v>
      </c>
      <c r="DR300" s="38">
        <f t="shared" si="557"/>
        <v>0</v>
      </c>
      <c r="DS300" s="38">
        <f t="shared" si="558"/>
        <v>0</v>
      </c>
      <c r="DT300" s="38">
        <f t="shared" si="559"/>
        <v>0</v>
      </c>
      <c r="DU300" s="38">
        <f t="shared" si="560"/>
        <v>0</v>
      </c>
      <c r="DV300" s="38">
        <f t="shared" si="561"/>
        <v>0</v>
      </c>
      <c r="DW300" s="38">
        <f t="shared" si="562"/>
        <v>0.11656985500000001</v>
      </c>
      <c r="DX300" s="38">
        <f t="shared" si="563"/>
        <v>0</v>
      </c>
      <c r="DY300" s="38">
        <f t="shared" si="564"/>
        <v>0</v>
      </c>
      <c r="DZ300" s="38">
        <f t="shared" si="565"/>
        <v>0</v>
      </c>
      <c r="EA300" s="38">
        <f t="shared" si="566"/>
        <v>0</v>
      </c>
      <c r="EB300" s="38">
        <f t="shared" si="567"/>
        <v>0</v>
      </c>
      <c r="EC300" s="38">
        <f t="shared" si="568"/>
        <v>0</v>
      </c>
      <c r="ED300" s="38">
        <f t="shared" si="569"/>
        <v>0</v>
      </c>
      <c r="EE300" s="38">
        <f t="shared" si="570"/>
        <v>0</v>
      </c>
      <c r="EG300" s="38">
        <f t="shared" si="571"/>
        <v>0</v>
      </c>
      <c r="EH300" s="38">
        <f t="shared" si="572"/>
        <v>0</v>
      </c>
      <c r="EI300" s="38">
        <f t="shared" si="573"/>
        <v>0</v>
      </c>
      <c r="EJ300" s="38">
        <f t="shared" si="574"/>
        <v>0</v>
      </c>
      <c r="EK300" s="38">
        <f t="shared" si="575"/>
        <v>0</v>
      </c>
      <c r="EL300" s="38">
        <f t="shared" si="576"/>
        <v>0</v>
      </c>
      <c r="EM300" s="38">
        <f t="shared" si="577"/>
        <v>0</v>
      </c>
      <c r="EN300" s="38">
        <f t="shared" si="578"/>
        <v>0</v>
      </c>
      <c r="EO300" s="38">
        <f t="shared" si="579"/>
        <v>0</v>
      </c>
      <c r="EP300" s="38">
        <f t="shared" si="580"/>
        <v>1528.6970784700002</v>
      </c>
      <c r="EQ300" s="38">
        <f t="shared" si="581"/>
        <v>0</v>
      </c>
      <c r="ER300" s="38">
        <f t="shared" si="582"/>
        <v>0</v>
      </c>
      <c r="ES300" s="38">
        <f t="shared" si="583"/>
        <v>0</v>
      </c>
      <c r="ET300" s="38">
        <f t="shared" si="584"/>
        <v>0</v>
      </c>
      <c r="EU300" s="38">
        <f t="shared" si="585"/>
        <v>0</v>
      </c>
      <c r="EV300" s="38">
        <f t="shared" si="586"/>
        <v>0</v>
      </c>
      <c r="EW300" s="38">
        <f t="shared" si="587"/>
        <v>0</v>
      </c>
      <c r="EX300" s="38">
        <f t="shared" si="588"/>
        <v>0</v>
      </c>
      <c r="EZ300" s="38">
        <f t="shared" si="589"/>
        <v>0</v>
      </c>
      <c r="FA300" s="38">
        <f t="shared" si="590"/>
        <v>0</v>
      </c>
      <c r="FB300" s="1">
        <f t="shared" si="591"/>
        <v>0</v>
      </c>
      <c r="FC300" s="1">
        <f t="shared" si="592"/>
        <v>0</v>
      </c>
      <c r="FD300" s="1">
        <f t="shared" si="593"/>
        <v>0</v>
      </c>
      <c r="FE300" s="1">
        <f t="shared" si="594"/>
        <v>0</v>
      </c>
      <c r="FF300" s="1">
        <f t="shared" si="595"/>
        <v>0</v>
      </c>
      <c r="FG300" s="1">
        <f t="shared" si="596"/>
        <v>0</v>
      </c>
      <c r="FH300" s="1">
        <f t="shared" si="597"/>
        <v>0</v>
      </c>
      <c r="FI300" s="1">
        <f t="shared" si="598"/>
        <v>7.1744799999999997E-2</v>
      </c>
      <c r="FJ300" s="1">
        <f t="shared" si="599"/>
        <v>0</v>
      </c>
      <c r="FK300" s="1">
        <f t="shared" si="600"/>
        <v>0</v>
      </c>
      <c r="FL300" s="1">
        <f t="shared" si="601"/>
        <v>0</v>
      </c>
      <c r="FM300" s="1">
        <f t="shared" si="602"/>
        <v>0</v>
      </c>
      <c r="FN300" s="1">
        <f t="shared" si="603"/>
        <v>0</v>
      </c>
      <c r="FO300" s="1">
        <f t="shared" si="604"/>
        <v>0</v>
      </c>
      <c r="FP300" s="1">
        <f t="shared" si="605"/>
        <v>0</v>
      </c>
      <c r="FQ300" s="1">
        <f t="shared" si="606"/>
        <v>0</v>
      </c>
      <c r="FS300" s="1">
        <f t="shared" si="607"/>
        <v>0</v>
      </c>
      <c r="FT300" s="1">
        <f t="shared" si="608"/>
        <v>0</v>
      </c>
      <c r="FU300" s="38">
        <f t="shared" si="609"/>
        <v>0</v>
      </c>
      <c r="FV300" s="38">
        <f t="shared" si="610"/>
        <v>0</v>
      </c>
      <c r="FW300" s="38">
        <f t="shared" si="611"/>
        <v>0</v>
      </c>
      <c r="FX300" s="38">
        <f t="shared" si="612"/>
        <v>0</v>
      </c>
      <c r="FY300" s="38">
        <f t="shared" si="613"/>
        <v>0</v>
      </c>
      <c r="FZ300" s="38">
        <f t="shared" si="614"/>
        <v>0</v>
      </c>
      <c r="GA300" s="38">
        <f t="shared" si="615"/>
        <v>0</v>
      </c>
      <c r="GB300" s="38">
        <f t="shared" si="616"/>
        <v>940.86130719999994</v>
      </c>
      <c r="GC300" s="38">
        <f t="shared" si="617"/>
        <v>0</v>
      </c>
      <c r="GD300" s="38">
        <f t="shared" si="618"/>
        <v>0</v>
      </c>
      <c r="GE300" s="38">
        <f t="shared" si="619"/>
        <v>0</v>
      </c>
      <c r="GF300" s="38">
        <f t="shared" si="620"/>
        <v>0</v>
      </c>
      <c r="GG300" s="38">
        <f t="shared" si="621"/>
        <v>0</v>
      </c>
      <c r="GH300" s="38">
        <f t="shared" si="622"/>
        <v>0</v>
      </c>
      <c r="GI300" s="38">
        <f t="shared" si="623"/>
        <v>0</v>
      </c>
      <c r="GJ300" s="38">
        <f t="shared" si="624"/>
        <v>0</v>
      </c>
      <c r="GL300" s="38">
        <f t="shared" si="625"/>
        <v>0</v>
      </c>
      <c r="GM300" s="38">
        <f t="shared" si="626"/>
        <v>0</v>
      </c>
      <c r="GN300" s="1" t="s">
        <v>2</v>
      </c>
      <c r="GO300" s="2">
        <f t="shared" si="549"/>
        <v>2.3510660000000003</v>
      </c>
      <c r="GP300" s="13">
        <f t="shared" si="550"/>
        <v>4.9581702512817589</v>
      </c>
      <c r="GQ300" s="41">
        <f t="shared" si="551"/>
        <v>116.569855</v>
      </c>
      <c r="GR300" s="41">
        <f t="shared" si="552"/>
        <v>1528.6970784700002</v>
      </c>
      <c r="GS300" s="14">
        <f t="shared" si="553"/>
        <v>650.21444675308987</v>
      </c>
      <c r="GT300" s="1">
        <f t="shared" si="627"/>
        <v>21.704919999999998</v>
      </c>
      <c r="GU300" s="1">
        <f t="shared" si="628"/>
        <v>84.728207000000026</v>
      </c>
      <c r="GV300" s="1">
        <f t="shared" si="629"/>
        <v>10.136728</v>
      </c>
      <c r="GW300" s="37">
        <f t="shared" si="554"/>
        <v>1.7980999999999998</v>
      </c>
      <c r="GX300" s="44">
        <f>(BT300*CB300+CO300*CW300)/GW300</f>
        <v>3.990033924698293</v>
      </c>
      <c r="GY300" s="41">
        <f>1000*GW300*GX300/100</f>
        <v>71.744799999999998</v>
      </c>
      <c r="GZ300" s="41">
        <f>SUM(FU300:GM300)</f>
        <v>940.86130719999994</v>
      </c>
      <c r="HA300" s="14">
        <f>GZ300/GW300</f>
        <v>523.25304888493417</v>
      </c>
      <c r="HB300" s="1">
        <f t="shared" si="630"/>
        <v>3.4048000000000003</v>
      </c>
      <c r="HC300" s="1">
        <f t="shared" si="631"/>
        <v>68.34</v>
      </c>
      <c r="HD300" s="37" t="s">
        <v>2</v>
      </c>
      <c r="HE300" s="1" t="s">
        <v>113</v>
      </c>
      <c r="HF300" s="1" t="s">
        <v>223</v>
      </c>
      <c r="HI300" s="1" t="s">
        <v>96</v>
      </c>
      <c r="HJ300" s="37" t="s">
        <v>2</v>
      </c>
      <c r="JH300" s="58" t="s">
        <v>2</v>
      </c>
    </row>
    <row r="301" spans="1:268" ht="16.25" customHeight="1" x14ac:dyDescent="0.2">
      <c r="A301" s="15" t="s">
        <v>371</v>
      </c>
      <c r="B301" s="1" t="s">
        <v>64</v>
      </c>
      <c r="E301" s="1" t="s">
        <v>65</v>
      </c>
      <c r="F301" s="1" t="s">
        <v>356</v>
      </c>
      <c r="H301" s="1" t="s">
        <v>70</v>
      </c>
      <c r="I301" s="1">
        <v>0</v>
      </c>
      <c r="AD301" s="2">
        <f>3+4.8+0.0549+0.56</f>
        <v>8.4148999999999994</v>
      </c>
      <c r="AL301" s="14">
        <f>(1.5*3+0.7*4.8+3.7*0.0549+0.9*0.56)/AD301</f>
        <v>1.0180905298934033</v>
      </c>
      <c r="AY301" s="2">
        <f>0.1723+1.441</f>
        <v>1.6133000000000002</v>
      </c>
      <c r="BG301" s="14">
        <f>(1.1*0.1723+0.7*1.441)/AY301</f>
        <v>0.74271989090683677</v>
      </c>
      <c r="BT301" s="1">
        <v>0</v>
      </c>
      <c r="CO301" s="1">
        <f>2.016+0.093</f>
        <v>2.109</v>
      </c>
      <c r="CW301" s="14">
        <f>(1.4*2.016+2*0.093)/CO301</f>
        <v>1.4264580369843527</v>
      </c>
      <c r="DJ301" s="1" t="s">
        <v>96</v>
      </c>
      <c r="DL301" s="1">
        <f t="shared" si="547"/>
        <v>0.97378991244689972</v>
      </c>
      <c r="DM301" s="1">
        <f t="shared" si="548"/>
        <v>0</v>
      </c>
      <c r="DN301" s="1" t="s">
        <v>67</v>
      </c>
      <c r="DO301" s="1" t="s">
        <v>2</v>
      </c>
      <c r="DP301" s="38">
        <f t="shared" si="555"/>
        <v>0</v>
      </c>
      <c r="DQ301" s="38">
        <f t="shared" si="556"/>
        <v>0</v>
      </c>
      <c r="DR301" s="38">
        <f t="shared" si="557"/>
        <v>0</v>
      </c>
      <c r="DS301" s="38">
        <f t="shared" si="558"/>
        <v>0</v>
      </c>
      <c r="DT301" s="38">
        <f t="shared" si="559"/>
        <v>0</v>
      </c>
      <c r="DU301" s="38">
        <f t="shared" si="560"/>
        <v>0</v>
      </c>
      <c r="DV301" s="38">
        <f t="shared" si="561"/>
        <v>0</v>
      </c>
      <c r="DW301" s="38">
        <f t="shared" si="562"/>
        <v>9.7653599999999993E-2</v>
      </c>
      <c r="DX301" s="38">
        <f t="shared" si="563"/>
        <v>0</v>
      </c>
      <c r="DY301" s="38">
        <f t="shared" si="564"/>
        <v>0</v>
      </c>
      <c r="DZ301" s="38">
        <f t="shared" si="565"/>
        <v>0</v>
      </c>
      <c r="EA301" s="38">
        <f t="shared" si="566"/>
        <v>0</v>
      </c>
      <c r="EB301" s="38">
        <f t="shared" si="567"/>
        <v>0</v>
      </c>
      <c r="EC301" s="38">
        <f t="shared" si="568"/>
        <v>0</v>
      </c>
      <c r="ED301" s="38">
        <f t="shared" si="569"/>
        <v>0</v>
      </c>
      <c r="EE301" s="38">
        <f t="shared" si="570"/>
        <v>0</v>
      </c>
      <c r="EG301" s="38">
        <f t="shared" si="571"/>
        <v>0</v>
      </c>
      <c r="EH301" s="38">
        <f t="shared" si="572"/>
        <v>0</v>
      </c>
      <c r="EI301" s="38">
        <f t="shared" si="573"/>
        <v>0</v>
      </c>
      <c r="EJ301" s="38">
        <f t="shared" si="574"/>
        <v>0</v>
      </c>
      <c r="EK301" s="38">
        <f t="shared" si="575"/>
        <v>0</v>
      </c>
      <c r="EL301" s="38">
        <f t="shared" si="576"/>
        <v>0</v>
      </c>
      <c r="EM301" s="38">
        <f t="shared" si="577"/>
        <v>0</v>
      </c>
      <c r="EN301" s="38">
        <f t="shared" si="578"/>
        <v>0</v>
      </c>
      <c r="EO301" s="38">
        <f t="shared" si="579"/>
        <v>0</v>
      </c>
      <c r="EP301" s="38">
        <f t="shared" si="580"/>
        <v>1280.6293103999999</v>
      </c>
      <c r="EQ301" s="38">
        <f t="shared" si="581"/>
        <v>0</v>
      </c>
      <c r="ER301" s="38">
        <f t="shared" si="582"/>
        <v>0</v>
      </c>
      <c r="ES301" s="38">
        <f t="shared" si="583"/>
        <v>0</v>
      </c>
      <c r="ET301" s="38">
        <f t="shared" si="584"/>
        <v>0</v>
      </c>
      <c r="EU301" s="38">
        <f t="shared" si="585"/>
        <v>0</v>
      </c>
      <c r="EV301" s="38">
        <f t="shared" si="586"/>
        <v>0</v>
      </c>
      <c r="EW301" s="38">
        <f t="shared" si="587"/>
        <v>0</v>
      </c>
      <c r="EX301" s="38">
        <f t="shared" si="588"/>
        <v>0</v>
      </c>
      <c r="EZ301" s="38">
        <f t="shared" si="589"/>
        <v>0</v>
      </c>
      <c r="FA301" s="38">
        <f t="shared" si="590"/>
        <v>0</v>
      </c>
      <c r="FB301" s="1">
        <f t="shared" si="591"/>
        <v>0</v>
      </c>
      <c r="FC301" s="1">
        <f t="shared" si="592"/>
        <v>0</v>
      </c>
      <c r="FD301" s="1">
        <f t="shared" si="593"/>
        <v>0</v>
      </c>
      <c r="FE301" s="1">
        <f t="shared" si="594"/>
        <v>0</v>
      </c>
      <c r="FF301" s="1">
        <f t="shared" si="595"/>
        <v>0</v>
      </c>
      <c r="FG301" s="1">
        <f t="shared" si="596"/>
        <v>0</v>
      </c>
      <c r="FH301" s="1">
        <f t="shared" si="597"/>
        <v>0</v>
      </c>
      <c r="FI301" s="1">
        <f t="shared" si="598"/>
        <v>3.0084E-2</v>
      </c>
      <c r="FJ301" s="1">
        <f t="shared" si="599"/>
        <v>0</v>
      </c>
      <c r="FK301" s="1">
        <f t="shared" si="600"/>
        <v>0</v>
      </c>
      <c r="FL301" s="1">
        <f t="shared" si="601"/>
        <v>0</v>
      </c>
      <c r="FM301" s="1">
        <f t="shared" si="602"/>
        <v>0</v>
      </c>
      <c r="FN301" s="1">
        <f t="shared" si="603"/>
        <v>0</v>
      </c>
      <c r="FO301" s="1">
        <f t="shared" si="604"/>
        <v>0</v>
      </c>
      <c r="FP301" s="1">
        <f t="shared" si="605"/>
        <v>0</v>
      </c>
      <c r="FQ301" s="1">
        <f t="shared" si="606"/>
        <v>0</v>
      </c>
      <c r="FS301" s="1">
        <f t="shared" si="607"/>
        <v>0</v>
      </c>
      <c r="FT301" s="1">
        <f t="shared" si="608"/>
        <v>0</v>
      </c>
      <c r="FU301" s="38">
        <f t="shared" si="609"/>
        <v>0</v>
      </c>
      <c r="FV301" s="38">
        <f t="shared" si="610"/>
        <v>0</v>
      </c>
      <c r="FW301" s="38">
        <f t="shared" si="611"/>
        <v>0</v>
      </c>
      <c r="FX301" s="38">
        <f t="shared" si="612"/>
        <v>0</v>
      </c>
      <c r="FY301" s="38">
        <f t="shared" si="613"/>
        <v>0</v>
      </c>
      <c r="FZ301" s="38">
        <f t="shared" si="614"/>
        <v>0</v>
      </c>
      <c r="GA301" s="38">
        <f t="shared" si="615"/>
        <v>0</v>
      </c>
      <c r="GB301" s="38">
        <f t="shared" si="616"/>
        <v>394.52157599999998</v>
      </c>
      <c r="GC301" s="38">
        <f t="shared" si="617"/>
        <v>0</v>
      </c>
      <c r="GD301" s="38">
        <f t="shared" si="618"/>
        <v>0</v>
      </c>
      <c r="GE301" s="38">
        <f t="shared" si="619"/>
        <v>0</v>
      </c>
      <c r="GF301" s="38">
        <f t="shared" si="620"/>
        <v>0</v>
      </c>
      <c r="GG301" s="38">
        <f t="shared" si="621"/>
        <v>0</v>
      </c>
      <c r="GH301" s="38">
        <f t="shared" si="622"/>
        <v>0</v>
      </c>
      <c r="GI301" s="38">
        <f t="shared" si="623"/>
        <v>0</v>
      </c>
      <c r="GJ301" s="38">
        <f t="shared" si="624"/>
        <v>0</v>
      </c>
      <c r="GL301" s="38">
        <f t="shared" si="625"/>
        <v>0</v>
      </c>
      <c r="GM301" s="38">
        <f t="shared" si="626"/>
        <v>0</v>
      </c>
      <c r="GN301" s="1" t="s">
        <v>2</v>
      </c>
      <c r="GO301" s="13">
        <f t="shared" si="549"/>
        <v>10.0282</v>
      </c>
      <c r="GP301" s="13">
        <f t="shared" si="550"/>
        <v>0.97378991244689972</v>
      </c>
      <c r="GQ301" s="41">
        <f t="shared" si="551"/>
        <v>97.653600000000012</v>
      </c>
      <c r="GR301" s="41">
        <f t="shared" si="552"/>
        <v>1280.6293103999999</v>
      </c>
      <c r="GS301" s="14">
        <f t="shared" si="553"/>
        <v>127.70280911828642</v>
      </c>
      <c r="GT301" s="1">
        <f t="shared" si="627"/>
        <v>0</v>
      </c>
      <c r="GU301" s="1">
        <f t="shared" si="628"/>
        <v>85.671299999999988</v>
      </c>
      <c r="GV301" s="1">
        <f t="shared" si="629"/>
        <v>11.9823</v>
      </c>
      <c r="GW301" s="37">
        <f t="shared" si="554"/>
        <v>2.109</v>
      </c>
      <c r="GX301" s="44">
        <f>(BT301*CB301+CO301*CW301)/GW301</f>
        <v>1.4264580369843527</v>
      </c>
      <c r="GY301" s="41">
        <f>1000*GW301*GX301/100</f>
        <v>30.083999999999996</v>
      </c>
      <c r="GZ301" s="41">
        <f>SUM(FU301:GM301)</f>
        <v>394.52157599999998</v>
      </c>
      <c r="HA301" s="14">
        <f>GZ301/GW301</f>
        <v>187.06570697012802</v>
      </c>
      <c r="HB301" s="1">
        <f t="shared" si="630"/>
        <v>0</v>
      </c>
      <c r="HC301" s="1">
        <f t="shared" si="631"/>
        <v>30.084</v>
      </c>
      <c r="HD301" s="37" t="s">
        <v>2</v>
      </c>
      <c r="HE301" s="1" t="s">
        <v>113</v>
      </c>
      <c r="HF301" s="1" t="s">
        <v>223</v>
      </c>
      <c r="HI301" s="1" t="s">
        <v>96</v>
      </c>
      <c r="HJ301" s="37" t="s">
        <v>2</v>
      </c>
      <c r="JH301" s="58" t="s">
        <v>2</v>
      </c>
    </row>
    <row r="302" spans="1:268" ht="16.25" customHeight="1" x14ac:dyDescent="0.2">
      <c r="A302" s="15" t="s">
        <v>372</v>
      </c>
      <c r="B302" s="1" t="s">
        <v>71</v>
      </c>
      <c r="E302" s="1" t="s">
        <v>65</v>
      </c>
      <c r="F302" s="1" t="s">
        <v>373</v>
      </c>
      <c r="H302" s="1" t="s">
        <v>70</v>
      </c>
      <c r="I302" s="1">
        <v>0</v>
      </c>
      <c r="AD302" s="1">
        <v>0.4</v>
      </c>
      <c r="AE302" s="11">
        <v>0.2</v>
      </c>
      <c r="AL302" s="1">
        <v>4.01</v>
      </c>
      <c r="AM302" s="11">
        <v>0.03</v>
      </c>
      <c r="AY302" s="1">
        <v>0.35</v>
      </c>
      <c r="AZ302" s="11">
        <v>0.2</v>
      </c>
      <c r="BG302" s="1">
        <v>4.4000000000000004</v>
      </c>
      <c r="BH302" s="11">
        <v>0.03</v>
      </c>
      <c r="BT302" s="1">
        <v>0</v>
      </c>
      <c r="CO302" s="1">
        <v>0</v>
      </c>
      <c r="DJ302" s="1" t="s">
        <v>96</v>
      </c>
      <c r="DK302" s="1" t="s">
        <v>96</v>
      </c>
      <c r="DL302" s="1">
        <f t="shared" si="547"/>
        <v>4.1920000000000002</v>
      </c>
      <c r="DM302" s="1">
        <f t="shared" si="548"/>
        <v>0.03</v>
      </c>
      <c r="DN302" s="1" t="s">
        <v>67</v>
      </c>
      <c r="DO302" s="1" t="s">
        <v>2</v>
      </c>
      <c r="DP302" s="38">
        <f t="shared" si="555"/>
        <v>1.5000000000000002E-3</v>
      </c>
      <c r="DQ302" s="38">
        <f t="shared" si="556"/>
        <v>0</v>
      </c>
      <c r="DR302" s="38">
        <f t="shared" si="557"/>
        <v>0</v>
      </c>
      <c r="DS302" s="38">
        <f t="shared" si="558"/>
        <v>0</v>
      </c>
      <c r="DT302" s="38">
        <f t="shared" si="559"/>
        <v>0</v>
      </c>
      <c r="DU302" s="38">
        <f t="shared" si="560"/>
        <v>0</v>
      </c>
      <c r="DV302" s="38">
        <f t="shared" si="561"/>
        <v>0</v>
      </c>
      <c r="DW302" s="38">
        <f t="shared" si="562"/>
        <v>3.1440000000000003E-2</v>
      </c>
      <c r="DX302" s="38">
        <f t="shared" si="563"/>
        <v>2.2499999999999999E-4</v>
      </c>
      <c r="DY302" s="38">
        <f t="shared" si="564"/>
        <v>0</v>
      </c>
      <c r="DZ302" s="38">
        <f t="shared" si="565"/>
        <v>0</v>
      </c>
      <c r="EA302" s="38">
        <f t="shared" si="566"/>
        <v>0</v>
      </c>
      <c r="EB302" s="38">
        <f t="shared" si="567"/>
        <v>0</v>
      </c>
      <c r="EC302" s="38">
        <f t="shared" si="568"/>
        <v>0</v>
      </c>
      <c r="ED302" s="38">
        <f t="shared" si="569"/>
        <v>0</v>
      </c>
      <c r="EE302" s="38">
        <f t="shared" si="570"/>
        <v>0</v>
      </c>
      <c r="EG302" s="38">
        <f t="shared" si="571"/>
        <v>0</v>
      </c>
      <c r="EH302" s="38">
        <f t="shared" si="572"/>
        <v>0</v>
      </c>
      <c r="EI302" s="38">
        <f t="shared" si="573"/>
        <v>9.7884240000000009</v>
      </c>
      <c r="EJ302" s="38">
        <f t="shared" si="574"/>
        <v>0</v>
      </c>
      <c r="EK302" s="38">
        <f t="shared" si="575"/>
        <v>0</v>
      </c>
      <c r="EL302" s="38">
        <f t="shared" si="576"/>
        <v>0</v>
      </c>
      <c r="EM302" s="38">
        <f t="shared" si="577"/>
        <v>0</v>
      </c>
      <c r="EN302" s="38">
        <f t="shared" si="578"/>
        <v>0</v>
      </c>
      <c r="EO302" s="38">
        <f t="shared" si="579"/>
        <v>0</v>
      </c>
      <c r="EP302" s="38">
        <f t="shared" si="580"/>
        <v>412.30416000000002</v>
      </c>
      <c r="EQ302" s="38">
        <f t="shared" si="581"/>
        <v>16.339392899999996</v>
      </c>
      <c r="ER302" s="38">
        <f t="shared" si="582"/>
        <v>0</v>
      </c>
      <c r="ES302" s="38">
        <f t="shared" si="583"/>
        <v>0</v>
      </c>
      <c r="ET302" s="38">
        <f t="shared" si="584"/>
        <v>0</v>
      </c>
      <c r="EU302" s="38">
        <f t="shared" si="585"/>
        <v>0</v>
      </c>
      <c r="EV302" s="38">
        <f t="shared" si="586"/>
        <v>0</v>
      </c>
      <c r="EW302" s="38">
        <f t="shared" si="587"/>
        <v>0</v>
      </c>
      <c r="EX302" s="38">
        <f t="shared" si="588"/>
        <v>0</v>
      </c>
      <c r="EZ302" s="38">
        <f t="shared" si="589"/>
        <v>0</v>
      </c>
      <c r="FA302" s="38">
        <f t="shared" si="590"/>
        <v>0</v>
      </c>
      <c r="FB302" s="1">
        <f t="shared" si="591"/>
        <v>0</v>
      </c>
      <c r="FC302" s="1">
        <f t="shared" si="592"/>
        <v>0</v>
      </c>
      <c r="FD302" s="1">
        <f t="shared" si="593"/>
        <v>0</v>
      </c>
      <c r="FE302" s="1">
        <f t="shared" si="594"/>
        <v>0</v>
      </c>
      <c r="FF302" s="1">
        <f t="shared" si="595"/>
        <v>0</v>
      </c>
      <c r="FG302" s="1">
        <f t="shared" si="596"/>
        <v>0</v>
      </c>
      <c r="FH302" s="1">
        <f t="shared" si="597"/>
        <v>0</v>
      </c>
      <c r="FI302" s="1">
        <f t="shared" si="598"/>
        <v>0</v>
      </c>
      <c r="FJ302" s="1">
        <f t="shared" si="599"/>
        <v>0</v>
      </c>
      <c r="FK302" s="1">
        <f t="shared" si="600"/>
        <v>0</v>
      </c>
      <c r="FL302" s="1">
        <f t="shared" si="601"/>
        <v>0</v>
      </c>
      <c r="FM302" s="1">
        <f t="shared" si="602"/>
        <v>0</v>
      </c>
      <c r="FN302" s="1">
        <f t="shared" si="603"/>
        <v>0</v>
      </c>
      <c r="FO302" s="1">
        <f t="shared" si="604"/>
        <v>0</v>
      </c>
      <c r="FP302" s="1">
        <f t="shared" si="605"/>
        <v>0</v>
      </c>
      <c r="FQ302" s="1">
        <f t="shared" si="606"/>
        <v>0</v>
      </c>
      <c r="FS302" s="1">
        <f t="shared" si="607"/>
        <v>0</v>
      </c>
      <c r="FT302" s="1">
        <f t="shared" si="608"/>
        <v>0</v>
      </c>
      <c r="FU302" s="38">
        <f t="shared" si="609"/>
        <v>0</v>
      </c>
      <c r="FV302" s="38">
        <f t="shared" si="610"/>
        <v>0</v>
      </c>
      <c r="FW302" s="38">
        <f t="shared" si="611"/>
        <v>0</v>
      </c>
      <c r="FX302" s="38">
        <f t="shared" si="612"/>
        <v>0</v>
      </c>
      <c r="FY302" s="38">
        <f t="shared" si="613"/>
        <v>0</v>
      </c>
      <c r="FZ302" s="38">
        <f t="shared" si="614"/>
        <v>0</v>
      </c>
      <c r="GA302" s="38">
        <f t="shared" si="615"/>
        <v>0</v>
      </c>
      <c r="GB302" s="38">
        <f t="shared" si="616"/>
        <v>0</v>
      </c>
      <c r="GC302" s="38">
        <f t="shared" si="617"/>
        <v>0</v>
      </c>
      <c r="GD302" s="38">
        <f t="shared" si="618"/>
        <v>0</v>
      </c>
      <c r="GE302" s="38">
        <f t="shared" si="619"/>
        <v>0</v>
      </c>
      <c r="GF302" s="38">
        <f t="shared" si="620"/>
        <v>0</v>
      </c>
      <c r="GG302" s="38">
        <f t="shared" si="621"/>
        <v>0</v>
      </c>
      <c r="GH302" s="38">
        <f t="shared" si="622"/>
        <v>0</v>
      </c>
      <c r="GI302" s="38">
        <f t="shared" si="623"/>
        <v>0</v>
      </c>
      <c r="GJ302" s="38">
        <f t="shared" si="624"/>
        <v>0</v>
      </c>
      <c r="GL302" s="38">
        <f t="shared" si="625"/>
        <v>0</v>
      </c>
      <c r="GM302" s="38">
        <f t="shared" si="626"/>
        <v>0</v>
      </c>
      <c r="GN302" s="1" t="s">
        <v>2</v>
      </c>
      <c r="GO302" s="1">
        <f t="shared" si="549"/>
        <v>0.75</v>
      </c>
      <c r="GP302" s="13">
        <f t="shared" si="550"/>
        <v>4.1920000000000002</v>
      </c>
      <c r="GQ302" s="41">
        <f t="shared" si="551"/>
        <v>31.44</v>
      </c>
      <c r="GR302" s="41">
        <f t="shared" si="552"/>
        <v>438.43197690000005</v>
      </c>
      <c r="GS302" s="14">
        <f t="shared" si="553"/>
        <v>584.57596920000003</v>
      </c>
      <c r="GT302" s="1">
        <f t="shared" si="627"/>
        <v>0</v>
      </c>
      <c r="GU302" s="1">
        <f t="shared" si="628"/>
        <v>16.04</v>
      </c>
      <c r="GV302" s="1">
        <f t="shared" si="629"/>
        <v>15.4</v>
      </c>
      <c r="GW302" s="37">
        <f t="shared" si="554"/>
        <v>0</v>
      </c>
      <c r="GX302" s="37"/>
      <c r="GY302" s="37"/>
      <c r="GZ302" s="37"/>
      <c r="HB302" s="1">
        <f t="shared" si="630"/>
        <v>0</v>
      </c>
      <c r="HC302" s="1">
        <f t="shared" si="631"/>
        <v>0</v>
      </c>
      <c r="HD302" s="37" t="s">
        <v>2</v>
      </c>
      <c r="HE302" s="1" t="s">
        <v>113</v>
      </c>
      <c r="HF302" s="1" t="s">
        <v>223</v>
      </c>
      <c r="HI302" s="1" t="s">
        <v>96</v>
      </c>
      <c r="HJ302" s="37" t="s">
        <v>2</v>
      </c>
      <c r="JH302" s="58" t="s">
        <v>2</v>
      </c>
    </row>
    <row r="303" spans="1:268" ht="16.25" customHeight="1" x14ac:dyDescent="0.2">
      <c r="A303" s="15" t="s">
        <v>376</v>
      </c>
      <c r="B303" s="1" t="s">
        <v>64</v>
      </c>
      <c r="E303" s="1" t="s">
        <v>65</v>
      </c>
      <c r="F303" s="1" t="s">
        <v>356</v>
      </c>
      <c r="H303" s="1" t="s">
        <v>70</v>
      </c>
      <c r="I303" s="1">
        <v>0</v>
      </c>
      <c r="AD303" s="2">
        <f>0.132279+0.055779+0.162338+0.191535+0.901865+0.075707+0.1972+4.428</f>
        <v>6.1447029999999998</v>
      </c>
      <c r="AL303" s="14">
        <f>(4.6*0.132279+5.9*0.055779+4*0.162338+5.5*0.191535+5.6*0.901865+5.2*0.075707+0.8*0.1972+0.8*4.428)/AD303</f>
        <v>1.9178558182551706</v>
      </c>
      <c r="AM303" s="2">
        <f>(0*0.132279+0*0.055779+0*0.162338+0*0.191535+0*0.901865+0*0.075707+0.028*0.1972+0.028*4.428)/(0.132279+0.055779+0.162338+0.191535+0.901865+0.075707+0.1972+4.428)</f>
        <v>2.1075973891659206E-2</v>
      </c>
      <c r="AY303" s="2">
        <f>0.055219+0.02056+0.256977+0.3578</f>
        <v>0.69055599999999995</v>
      </c>
      <c r="BG303" s="14">
        <f>(3.9*0.055219+4.1*0.02056+2.1*0.256977+1*0.3578)/AY303</f>
        <v>1.7335332688442358</v>
      </c>
      <c r="BH303" s="2">
        <f>(0*0.132279+0*0.055779+0*0.162338+0*0.191535+0*0.901865+0*0.075707+0.028*0.1972+0.028*4.428)/(0.132279+0.055779+0.162338+0.191535+0.901865+0.075707+0.1972+4.428)</f>
        <v>2.1075973891659206E-2</v>
      </c>
      <c r="BT303" s="1">
        <v>0</v>
      </c>
      <c r="CO303" s="2">
        <v>0.74960000000000004</v>
      </c>
      <c r="CW303" s="1">
        <v>3.9</v>
      </c>
      <c r="CX303" s="2">
        <f>(0*0.132279+0*0.055779+0*0.162338+0*0.191535+0*0.901865+0*0.075707+0.028*0.1972+0.028*4.428)/(0.132279+0.055779+0.162338+0.191535+0.901865+0.075707+0.1972+4.428)</f>
        <v>2.1075973891659206E-2</v>
      </c>
      <c r="DJ303" s="1" t="s">
        <v>96</v>
      </c>
      <c r="DK303" s="1" t="s">
        <v>96</v>
      </c>
      <c r="DL303" s="1">
        <f t="shared" si="547"/>
        <v>1.899233986598021</v>
      </c>
      <c r="DM303" s="1">
        <f t="shared" si="548"/>
        <v>2.1075973891659206E-2</v>
      </c>
      <c r="DN303" s="1" t="s">
        <v>67</v>
      </c>
      <c r="DO303" s="1" t="s">
        <v>2</v>
      </c>
      <c r="DP303" s="38">
        <f t="shared" si="555"/>
        <v>0</v>
      </c>
      <c r="DQ303" s="38">
        <f t="shared" si="556"/>
        <v>0</v>
      </c>
      <c r="DR303" s="38">
        <f t="shared" si="557"/>
        <v>0</v>
      </c>
      <c r="DS303" s="38">
        <f t="shared" si="558"/>
        <v>0</v>
      </c>
      <c r="DT303" s="38">
        <f t="shared" si="559"/>
        <v>0</v>
      </c>
      <c r="DU303" s="38">
        <f t="shared" si="560"/>
        <v>0</v>
      </c>
      <c r="DV303" s="38">
        <f t="shared" si="561"/>
        <v>0</v>
      </c>
      <c r="DW303" s="38">
        <f t="shared" si="562"/>
        <v>0.12981756200000003</v>
      </c>
      <c r="DX303" s="38">
        <f t="shared" si="563"/>
        <v>1.4405974022672859E-3</v>
      </c>
      <c r="DY303" s="38">
        <f t="shared" si="564"/>
        <v>0</v>
      </c>
      <c r="DZ303" s="38">
        <f t="shared" si="565"/>
        <v>0</v>
      </c>
      <c r="EA303" s="38">
        <f t="shared" si="566"/>
        <v>0</v>
      </c>
      <c r="EB303" s="38">
        <f t="shared" si="567"/>
        <v>0</v>
      </c>
      <c r="EC303" s="38">
        <f t="shared" si="568"/>
        <v>0</v>
      </c>
      <c r="ED303" s="38">
        <f t="shared" si="569"/>
        <v>0</v>
      </c>
      <c r="EE303" s="38">
        <f t="shared" si="570"/>
        <v>0</v>
      </c>
      <c r="EG303" s="38">
        <f t="shared" si="571"/>
        <v>0</v>
      </c>
      <c r="EH303" s="38">
        <f t="shared" si="572"/>
        <v>0</v>
      </c>
      <c r="EI303" s="38">
        <f t="shared" si="573"/>
        <v>0</v>
      </c>
      <c r="EJ303" s="38">
        <f t="shared" si="574"/>
        <v>0</v>
      </c>
      <c r="EK303" s="38">
        <f t="shared" si="575"/>
        <v>0</v>
      </c>
      <c r="EL303" s="38">
        <f t="shared" si="576"/>
        <v>0</v>
      </c>
      <c r="EM303" s="38">
        <f t="shared" si="577"/>
        <v>0</v>
      </c>
      <c r="EN303" s="38">
        <f t="shared" si="578"/>
        <v>0</v>
      </c>
      <c r="EO303" s="38">
        <f t="shared" si="579"/>
        <v>0</v>
      </c>
      <c r="EP303" s="38">
        <f t="shared" si="580"/>
        <v>1702.4275080680004</v>
      </c>
      <c r="EQ303" s="38">
        <f t="shared" si="581"/>
        <v>104.61549762828682</v>
      </c>
      <c r="ER303" s="38">
        <f t="shared" si="582"/>
        <v>0</v>
      </c>
      <c r="ES303" s="38">
        <f t="shared" si="583"/>
        <v>0</v>
      </c>
      <c r="ET303" s="38">
        <f t="shared" si="584"/>
        <v>0</v>
      </c>
      <c r="EU303" s="38">
        <f t="shared" si="585"/>
        <v>0</v>
      </c>
      <c r="EV303" s="38">
        <f t="shared" si="586"/>
        <v>0</v>
      </c>
      <c r="EW303" s="38">
        <f t="shared" si="587"/>
        <v>0</v>
      </c>
      <c r="EX303" s="38">
        <f t="shared" si="588"/>
        <v>0</v>
      </c>
      <c r="EZ303" s="38">
        <f t="shared" si="589"/>
        <v>0</v>
      </c>
      <c r="FA303" s="38">
        <f t="shared" si="590"/>
        <v>0</v>
      </c>
      <c r="FB303" s="1">
        <f t="shared" si="591"/>
        <v>0</v>
      </c>
      <c r="FC303" s="1">
        <f t="shared" si="592"/>
        <v>0</v>
      </c>
      <c r="FD303" s="1">
        <f t="shared" si="593"/>
        <v>0</v>
      </c>
      <c r="FE303" s="1">
        <f t="shared" si="594"/>
        <v>0</v>
      </c>
      <c r="FF303" s="1">
        <f t="shared" si="595"/>
        <v>0</v>
      </c>
      <c r="FG303" s="1">
        <f t="shared" si="596"/>
        <v>0</v>
      </c>
      <c r="FH303" s="1">
        <f t="shared" si="597"/>
        <v>0</v>
      </c>
      <c r="FI303" s="1">
        <f t="shared" si="598"/>
        <v>2.9234400000000004E-2</v>
      </c>
      <c r="FJ303" s="1">
        <f t="shared" si="599"/>
        <v>1.579855002918774E-4</v>
      </c>
      <c r="FK303" s="1">
        <f t="shared" si="600"/>
        <v>0</v>
      </c>
      <c r="FL303" s="1">
        <f t="shared" si="601"/>
        <v>0</v>
      </c>
      <c r="FM303" s="1">
        <f t="shared" si="602"/>
        <v>0</v>
      </c>
      <c r="FN303" s="1">
        <f t="shared" si="603"/>
        <v>0</v>
      </c>
      <c r="FO303" s="1">
        <f t="shared" si="604"/>
        <v>0</v>
      </c>
      <c r="FP303" s="1">
        <f t="shared" si="605"/>
        <v>0</v>
      </c>
      <c r="FQ303" s="1">
        <f t="shared" si="606"/>
        <v>0</v>
      </c>
      <c r="FS303" s="1">
        <f t="shared" si="607"/>
        <v>0</v>
      </c>
      <c r="FT303" s="1">
        <f t="shared" si="608"/>
        <v>0</v>
      </c>
      <c r="FU303" s="38">
        <f t="shared" si="609"/>
        <v>0</v>
      </c>
      <c r="FV303" s="38">
        <f t="shared" si="610"/>
        <v>0</v>
      </c>
      <c r="FW303" s="38">
        <f t="shared" si="611"/>
        <v>0</v>
      </c>
      <c r="FX303" s="38">
        <f t="shared" si="612"/>
        <v>0</v>
      </c>
      <c r="FY303" s="38">
        <f t="shared" si="613"/>
        <v>0</v>
      </c>
      <c r="FZ303" s="38">
        <f t="shared" si="614"/>
        <v>0</v>
      </c>
      <c r="GA303" s="38">
        <f t="shared" si="615"/>
        <v>0</v>
      </c>
      <c r="GB303" s="38">
        <f t="shared" si="616"/>
        <v>383.37992160000005</v>
      </c>
      <c r="GC303" s="38">
        <f t="shared" si="617"/>
        <v>11.472831830097997</v>
      </c>
      <c r="GD303" s="38">
        <f t="shared" si="618"/>
        <v>0</v>
      </c>
      <c r="GE303" s="38">
        <f t="shared" si="619"/>
        <v>0</v>
      </c>
      <c r="GF303" s="38">
        <f t="shared" si="620"/>
        <v>0</v>
      </c>
      <c r="GG303" s="38">
        <f t="shared" si="621"/>
        <v>0</v>
      </c>
      <c r="GH303" s="38">
        <f t="shared" si="622"/>
        <v>0</v>
      </c>
      <c r="GI303" s="38">
        <f t="shared" si="623"/>
        <v>0</v>
      </c>
      <c r="GJ303" s="38">
        <f t="shared" si="624"/>
        <v>0</v>
      </c>
      <c r="GL303" s="38">
        <f t="shared" si="625"/>
        <v>0</v>
      </c>
      <c r="GM303" s="38">
        <f t="shared" si="626"/>
        <v>0</v>
      </c>
      <c r="GN303" s="1" t="s">
        <v>2</v>
      </c>
      <c r="GO303" s="2">
        <f t="shared" si="549"/>
        <v>6.8352589999999998</v>
      </c>
      <c r="GP303" s="13">
        <f t="shared" si="550"/>
        <v>1.899233986598021</v>
      </c>
      <c r="GQ303" s="41">
        <f t="shared" si="551"/>
        <v>129.81756200000001</v>
      </c>
      <c r="GR303" s="41">
        <f t="shared" si="552"/>
        <v>1807.0430056962873</v>
      </c>
      <c r="GS303" s="14">
        <f t="shared" si="553"/>
        <v>264.37081692095171</v>
      </c>
      <c r="GT303" s="1">
        <f t="shared" si="627"/>
        <v>0</v>
      </c>
      <c r="GU303" s="1">
        <f t="shared" si="628"/>
        <v>117.84654400000001</v>
      </c>
      <c r="GV303" s="1">
        <f t="shared" si="629"/>
        <v>11.971017999999999</v>
      </c>
      <c r="GW303" s="37">
        <f t="shared" si="554"/>
        <v>0.74960000000000004</v>
      </c>
      <c r="GX303" s="44">
        <f>(BT303*CB303+CO303*CW303)/GW303</f>
        <v>3.9</v>
      </c>
      <c r="GY303" s="41">
        <f>1000*GW303*GX303/100</f>
        <v>29.234400000000001</v>
      </c>
      <c r="GZ303" s="41">
        <f>SUM(FU303:GM303)</f>
        <v>394.85275343009806</v>
      </c>
      <c r="HA303" s="14">
        <f>GZ303/GW303</f>
        <v>526.75127191848719</v>
      </c>
      <c r="HB303" s="1">
        <f t="shared" si="630"/>
        <v>0</v>
      </c>
      <c r="HC303" s="1">
        <f t="shared" si="631"/>
        <v>29.234400000000001</v>
      </c>
      <c r="HD303" s="37" t="s">
        <v>2</v>
      </c>
      <c r="HE303" s="1" t="s">
        <v>113</v>
      </c>
      <c r="HF303" s="1" t="s">
        <v>223</v>
      </c>
      <c r="HI303" s="1" t="s">
        <v>96</v>
      </c>
      <c r="HJ303" s="37" t="s">
        <v>2</v>
      </c>
      <c r="JH303" s="58" t="s">
        <v>2</v>
      </c>
    </row>
    <row r="304" spans="1:268" ht="16.25" customHeight="1" x14ac:dyDescent="0.2">
      <c r="A304" s="15" t="s">
        <v>378</v>
      </c>
      <c r="B304" s="1" t="s">
        <v>71</v>
      </c>
      <c r="E304" s="1" t="s">
        <v>65</v>
      </c>
      <c r="F304" s="1" t="s">
        <v>379</v>
      </c>
      <c r="H304" s="1" t="s">
        <v>70</v>
      </c>
      <c r="I304" s="1">
        <v>0</v>
      </c>
      <c r="AD304" s="1">
        <f>0.922+0.772+2.773</f>
        <v>4.4670000000000005</v>
      </c>
      <c r="AE304" s="13">
        <f>(0.13*4.358+0*0.772+0.08*4.551)/(4.358+0.772+4.551)</f>
        <v>9.612849912199152E-2</v>
      </c>
      <c r="AL304" s="13">
        <f>(1.56*0.922+0.98*0.772+1.25*2.773)/AD304</f>
        <v>1.267322587866577</v>
      </c>
      <c r="AM304" s="2">
        <f>(0.03*4.358+0*0.772+0*4.551)/(4.358+0.772+4.551)</f>
        <v>1.350480322280756E-2</v>
      </c>
      <c r="AY304" s="1">
        <f>3.436+1.778</f>
        <v>5.2140000000000004</v>
      </c>
      <c r="AZ304" s="13">
        <f>(0.13*4.358+0*0.772+0.08*4.551)/(4.358+0.772+4.551)</f>
        <v>9.612849912199152E-2</v>
      </c>
      <c r="BG304" s="13">
        <f>(1.66*3.436+1.91*1.778)/AY304</f>
        <v>1.7452512466436516</v>
      </c>
      <c r="BH304" s="2">
        <f>(0.03*4.358+0*0.772+0*4.551)/(4.358+0.772+4.551)</f>
        <v>1.350480322280756E-2</v>
      </c>
      <c r="BT304" s="1">
        <v>0</v>
      </c>
      <c r="CO304" s="1">
        <v>0</v>
      </c>
      <c r="DJ304" s="1" t="s">
        <v>96</v>
      </c>
      <c r="DK304" s="1" t="s">
        <v>96</v>
      </c>
      <c r="DL304" s="1">
        <f t="shared" si="547"/>
        <v>1.5247257514719552</v>
      </c>
      <c r="DM304" s="1">
        <f t="shared" si="548"/>
        <v>1.350480322280756E-2</v>
      </c>
      <c r="DN304" s="1" t="s">
        <v>380</v>
      </c>
      <c r="DO304" s="1" t="s">
        <v>2</v>
      </c>
      <c r="DP304" s="38">
        <f t="shared" si="555"/>
        <v>9.3062000000000006E-3</v>
      </c>
      <c r="DQ304" s="38">
        <f t="shared" si="556"/>
        <v>0</v>
      </c>
      <c r="DR304" s="38">
        <f t="shared" si="557"/>
        <v>0</v>
      </c>
      <c r="DS304" s="38">
        <f t="shared" si="558"/>
        <v>0</v>
      </c>
      <c r="DT304" s="38">
        <f t="shared" si="559"/>
        <v>0</v>
      </c>
      <c r="DU304" s="38">
        <f t="shared" si="560"/>
        <v>0</v>
      </c>
      <c r="DV304" s="38">
        <f t="shared" si="561"/>
        <v>0</v>
      </c>
      <c r="DW304" s="38">
        <f t="shared" si="562"/>
        <v>0.14760870000000001</v>
      </c>
      <c r="DX304" s="38">
        <f t="shared" si="563"/>
        <v>1.3074E-3</v>
      </c>
      <c r="DY304" s="38">
        <f t="shared" si="564"/>
        <v>0</v>
      </c>
      <c r="DZ304" s="38">
        <f t="shared" si="565"/>
        <v>0</v>
      </c>
      <c r="EA304" s="38">
        <f t="shared" si="566"/>
        <v>0</v>
      </c>
      <c r="EB304" s="38">
        <f t="shared" si="567"/>
        <v>0</v>
      </c>
      <c r="EC304" s="38">
        <f t="shared" si="568"/>
        <v>0</v>
      </c>
      <c r="ED304" s="38">
        <f t="shared" si="569"/>
        <v>0</v>
      </c>
      <c r="EE304" s="38">
        <f t="shared" si="570"/>
        <v>0</v>
      </c>
      <c r="EG304" s="38">
        <f t="shared" si="571"/>
        <v>0</v>
      </c>
      <c r="EH304" s="38">
        <f t="shared" si="572"/>
        <v>0</v>
      </c>
      <c r="EI304" s="38">
        <f t="shared" si="573"/>
        <v>60.728687619200002</v>
      </c>
      <c r="EJ304" s="38">
        <f t="shared" si="574"/>
        <v>0</v>
      </c>
      <c r="EK304" s="38">
        <f t="shared" si="575"/>
        <v>0</v>
      </c>
      <c r="EL304" s="38">
        <f t="shared" si="576"/>
        <v>0</v>
      </c>
      <c r="EM304" s="38">
        <f t="shared" si="577"/>
        <v>0</v>
      </c>
      <c r="EN304" s="38">
        <f t="shared" si="578"/>
        <v>0</v>
      </c>
      <c r="EO304" s="38">
        <f t="shared" si="579"/>
        <v>0</v>
      </c>
      <c r="EP304" s="38">
        <f t="shared" si="580"/>
        <v>1935.7404918000002</v>
      </c>
      <c r="EQ304" s="38">
        <f t="shared" si="581"/>
        <v>94.942765677599994</v>
      </c>
      <c r="ER304" s="38">
        <f t="shared" si="582"/>
        <v>0</v>
      </c>
      <c r="ES304" s="38">
        <f t="shared" si="583"/>
        <v>0</v>
      </c>
      <c r="ET304" s="38">
        <f t="shared" si="584"/>
        <v>0</v>
      </c>
      <c r="EU304" s="38">
        <f t="shared" si="585"/>
        <v>0</v>
      </c>
      <c r="EV304" s="38">
        <f t="shared" si="586"/>
        <v>0</v>
      </c>
      <c r="EW304" s="38">
        <f t="shared" si="587"/>
        <v>0</v>
      </c>
      <c r="EX304" s="38">
        <f t="shared" si="588"/>
        <v>0</v>
      </c>
      <c r="EZ304" s="38">
        <f t="shared" si="589"/>
        <v>0</v>
      </c>
      <c r="FA304" s="38">
        <f t="shared" si="590"/>
        <v>0</v>
      </c>
      <c r="FB304" s="1">
        <f t="shared" si="591"/>
        <v>0</v>
      </c>
      <c r="FC304" s="1">
        <f t="shared" si="592"/>
        <v>0</v>
      </c>
      <c r="FD304" s="1">
        <f t="shared" si="593"/>
        <v>0</v>
      </c>
      <c r="FE304" s="1">
        <f t="shared" si="594"/>
        <v>0</v>
      </c>
      <c r="FF304" s="1">
        <f t="shared" si="595"/>
        <v>0</v>
      </c>
      <c r="FG304" s="1">
        <f t="shared" si="596"/>
        <v>0</v>
      </c>
      <c r="FH304" s="1">
        <f t="shared" si="597"/>
        <v>0</v>
      </c>
      <c r="FI304" s="1">
        <f t="shared" si="598"/>
        <v>0</v>
      </c>
      <c r="FJ304" s="1">
        <f t="shared" si="599"/>
        <v>0</v>
      </c>
      <c r="FK304" s="1">
        <f t="shared" si="600"/>
        <v>0</v>
      </c>
      <c r="FL304" s="1">
        <f t="shared" si="601"/>
        <v>0</v>
      </c>
      <c r="FM304" s="1">
        <f t="shared" si="602"/>
        <v>0</v>
      </c>
      <c r="FN304" s="1">
        <f t="shared" si="603"/>
        <v>0</v>
      </c>
      <c r="FO304" s="1">
        <f t="shared" si="604"/>
        <v>0</v>
      </c>
      <c r="FP304" s="1">
        <f t="shared" si="605"/>
        <v>0</v>
      </c>
      <c r="FQ304" s="1">
        <f t="shared" si="606"/>
        <v>0</v>
      </c>
      <c r="FS304" s="1">
        <f t="shared" si="607"/>
        <v>0</v>
      </c>
      <c r="FT304" s="1">
        <f t="shared" si="608"/>
        <v>0</v>
      </c>
      <c r="FU304" s="38">
        <f t="shared" si="609"/>
        <v>0</v>
      </c>
      <c r="FV304" s="38">
        <f t="shared" si="610"/>
        <v>0</v>
      </c>
      <c r="FW304" s="38">
        <f t="shared" si="611"/>
        <v>0</v>
      </c>
      <c r="FX304" s="38">
        <f t="shared" si="612"/>
        <v>0</v>
      </c>
      <c r="FY304" s="38">
        <f t="shared" si="613"/>
        <v>0</v>
      </c>
      <c r="FZ304" s="38">
        <f t="shared" si="614"/>
        <v>0</v>
      </c>
      <c r="GA304" s="38">
        <f t="shared" si="615"/>
        <v>0</v>
      </c>
      <c r="GB304" s="38">
        <f t="shared" si="616"/>
        <v>0</v>
      </c>
      <c r="GC304" s="38">
        <f t="shared" si="617"/>
        <v>0</v>
      </c>
      <c r="GD304" s="38">
        <f t="shared" si="618"/>
        <v>0</v>
      </c>
      <c r="GE304" s="38">
        <f t="shared" si="619"/>
        <v>0</v>
      </c>
      <c r="GF304" s="38">
        <f t="shared" si="620"/>
        <v>0</v>
      </c>
      <c r="GG304" s="38">
        <f t="shared" si="621"/>
        <v>0</v>
      </c>
      <c r="GH304" s="38">
        <f t="shared" si="622"/>
        <v>0</v>
      </c>
      <c r="GI304" s="38">
        <f t="shared" si="623"/>
        <v>0</v>
      </c>
      <c r="GJ304" s="38">
        <f t="shared" si="624"/>
        <v>0</v>
      </c>
      <c r="GL304" s="38">
        <f t="shared" si="625"/>
        <v>0</v>
      </c>
      <c r="GM304" s="38">
        <f t="shared" si="626"/>
        <v>0</v>
      </c>
      <c r="GN304" s="1" t="s">
        <v>2</v>
      </c>
      <c r="GO304" s="1">
        <f t="shared" si="549"/>
        <v>9.6810000000000009</v>
      </c>
      <c r="GP304" s="13">
        <f t="shared" si="550"/>
        <v>1.5247257514719552</v>
      </c>
      <c r="GQ304" s="41">
        <f t="shared" si="551"/>
        <v>147.6087</v>
      </c>
      <c r="GR304" s="41">
        <f t="shared" si="552"/>
        <v>2091.4119450968001</v>
      </c>
      <c r="GS304" s="14">
        <f t="shared" si="553"/>
        <v>216.03263558483627</v>
      </c>
      <c r="GT304" s="1">
        <f t="shared" si="627"/>
        <v>0</v>
      </c>
      <c r="GU304" s="1">
        <f t="shared" si="628"/>
        <v>56.6113</v>
      </c>
      <c r="GV304" s="1">
        <f t="shared" si="629"/>
        <v>90.997399999999999</v>
      </c>
      <c r="GW304" s="37">
        <f t="shared" si="554"/>
        <v>0</v>
      </c>
      <c r="GX304" s="37"/>
      <c r="GY304" s="37"/>
      <c r="GZ304" s="37"/>
      <c r="HB304" s="1">
        <f t="shared" si="630"/>
        <v>0</v>
      </c>
      <c r="HC304" s="1">
        <f t="shared" si="631"/>
        <v>0</v>
      </c>
      <c r="HD304" s="37" t="s">
        <v>2</v>
      </c>
      <c r="HE304" s="1" t="s">
        <v>113</v>
      </c>
      <c r="HF304" s="1" t="s">
        <v>223</v>
      </c>
      <c r="HI304" s="1" t="s">
        <v>96</v>
      </c>
      <c r="HJ304" s="37" t="s">
        <v>2</v>
      </c>
      <c r="JH304" s="58" t="s">
        <v>2</v>
      </c>
    </row>
    <row r="305" spans="1:268" ht="16.25" customHeight="1" x14ac:dyDescent="0.2">
      <c r="A305" s="15" t="s">
        <v>381</v>
      </c>
      <c r="B305" s="1" t="s">
        <v>71</v>
      </c>
      <c r="E305" s="1" t="s">
        <v>72</v>
      </c>
      <c r="F305" s="1" t="s">
        <v>104</v>
      </c>
      <c r="H305" s="1" t="s">
        <v>92</v>
      </c>
      <c r="I305" s="1">
        <v>0</v>
      </c>
      <c r="AD305" s="1">
        <v>1.98</v>
      </c>
      <c r="AE305" s="1">
        <v>1.04</v>
      </c>
      <c r="AL305" s="1">
        <v>0.61</v>
      </c>
      <c r="AM305" s="1">
        <v>0.04</v>
      </c>
      <c r="AO305" s="1">
        <v>0.5</v>
      </c>
      <c r="AY305" s="1">
        <v>2.04</v>
      </c>
      <c r="AZ305" s="1">
        <v>0.73</v>
      </c>
      <c r="BG305" s="1">
        <v>0.42</v>
      </c>
      <c r="BH305" s="1">
        <v>0.04</v>
      </c>
      <c r="BJ305" s="1">
        <v>0.5</v>
      </c>
      <c r="BT305" s="1">
        <v>0</v>
      </c>
      <c r="CO305" s="1">
        <v>0</v>
      </c>
      <c r="DJ305" s="1" t="s">
        <v>96</v>
      </c>
      <c r="DK305" s="1" t="s">
        <v>96</v>
      </c>
      <c r="DL305" s="1">
        <f t="shared" si="547"/>
        <v>0.51358208955223883</v>
      </c>
      <c r="DM305" s="1">
        <f t="shared" si="548"/>
        <v>0.04</v>
      </c>
      <c r="DN305" s="1" t="s">
        <v>67</v>
      </c>
      <c r="DO305" s="1" t="s">
        <v>2</v>
      </c>
      <c r="DP305" s="38">
        <f t="shared" si="555"/>
        <v>3.5484000000000002E-2</v>
      </c>
      <c r="DQ305" s="38">
        <f t="shared" si="556"/>
        <v>0</v>
      </c>
      <c r="DR305" s="38">
        <f t="shared" si="557"/>
        <v>0</v>
      </c>
      <c r="DS305" s="38">
        <f t="shared" si="558"/>
        <v>0</v>
      </c>
      <c r="DT305" s="38">
        <f t="shared" si="559"/>
        <v>0</v>
      </c>
      <c r="DU305" s="38">
        <f t="shared" si="560"/>
        <v>0</v>
      </c>
      <c r="DV305" s="38">
        <f t="shared" si="561"/>
        <v>0</v>
      </c>
      <c r="DW305" s="38">
        <f t="shared" si="562"/>
        <v>2.0646000000000001E-2</v>
      </c>
      <c r="DX305" s="38">
        <f t="shared" si="563"/>
        <v>1.6080000000000001E-3</v>
      </c>
      <c r="DY305" s="38">
        <f t="shared" si="564"/>
        <v>0</v>
      </c>
      <c r="DZ305" s="38">
        <f t="shared" si="565"/>
        <v>2.0099999999999998</v>
      </c>
      <c r="EA305" s="38">
        <f t="shared" si="566"/>
        <v>0</v>
      </c>
      <c r="EB305" s="38">
        <f t="shared" si="567"/>
        <v>0</v>
      </c>
      <c r="EC305" s="38">
        <f t="shared" si="568"/>
        <v>0</v>
      </c>
      <c r="ED305" s="38">
        <f t="shared" si="569"/>
        <v>0</v>
      </c>
      <c r="EE305" s="38">
        <f t="shared" si="570"/>
        <v>0</v>
      </c>
      <c r="EG305" s="38">
        <f t="shared" si="571"/>
        <v>0</v>
      </c>
      <c r="EH305" s="38">
        <f t="shared" si="572"/>
        <v>0</v>
      </c>
      <c r="EI305" s="38">
        <f t="shared" si="573"/>
        <v>231.55495814400001</v>
      </c>
      <c r="EJ305" s="38">
        <f t="shared" si="574"/>
        <v>0</v>
      </c>
      <c r="EK305" s="38">
        <f t="shared" si="575"/>
        <v>0</v>
      </c>
      <c r="EL305" s="38">
        <f t="shared" si="576"/>
        <v>0</v>
      </c>
      <c r="EM305" s="38">
        <f t="shared" si="577"/>
        <v>0</v>
      </c>
      <c r="EN305" s="38">
        <f t="shared" si="578"/>
        <v>0</v>
      </c>
      <c r="EO305" s="38">
        <f t="shared" si="579"/>
        <v>0</v>
      </c>
      <c r="EP305" s="38">
        <f t="shared" si="580"/>
        <v>270.751644</v>
      </c>
      <c r="EQ305" s="38">
        <f t="shared" si="581"/>
        <v>116.77219459199999</v>
      </c>
      <c r="ER305" s="38">
        <f t="shared" si="582"/>
        <v>0</v>
      </c>
      <c r="ES305" s="38">
        <f t="shared" si="583"/>
        <v>66.984704180064313</v>
      </c>
      <c r="ET305" s="38">
        <f t="shared" si="584"/>
        <v>0</v>
      </c>
      <c r="EU305" s="38">
        <f t="shared" si="585"/>
        <v>0</v>
      </c>
      <c r="EV305" s="38">
        <f t="shared" si="586"/>
        <v>0</v>
      </c>
      <c r="EW305" s="38">
        <f t="shared" si="587"/>
        <v>0</v>
      </c>
      <c r="EX305" s="38">
        <f t="shared" si="588"/>
        <v>0</v>
      </c>
      <c r="EZ305" s="38">
        <f t="shared" si="589"/>
        <v>0</v>
      </c>
      <c r="FA305" s="38">
        <f t="shared" si="590"/>
        <v>0</v>
      </c>
      <c r="FB305" s="1">
        <f t="shared" si="591"/>
        <v>0</v>
      </c>
      <c r="FC305" s="1">
        <f t="shared" si="592"/>
        <v>0</v>
      </c>
      <c r="FD305" s="1">
        <f t="shared" si="593"/>
        <v>0</v>
      </c>
      <c r="FE305" s="1">
        <f t="shared" si="594"/>
        <v>0</v>
      </c>
      <c r="FF305" s="1">
        <f t="shared" si="595"/>
        <v>0</v>
      </c>
      <c r="FG305" s="1">
        <f t="shared" si="596"/>
        <v>0</v>
      </c>
      <c r="FH305" s="1">
        <f t="shared" si="597"/>
        <v>0</v>
      </c>
      <c r="FI305" s="1">
        <f t="shared" si="598"/>
        <v>0</v>
      </c>
      <c r="FJ305" s="1">
        <f t="shared" si="599"/>
        <v>0</v>
      </c>
      <c r="FK305" s="1">
        <f t="shared" si="600"/>
        <v>0</v>
      </c>
      <c r="FL305" s="1">
        <f t="shared" si="601"/>
        <v>0</v>
      </c>
      <c r="FM305" s="1">
        <f t="shared" si="602"/>
        <v>0</v>
      </c>
      <c r="FN305" s="1">
        <f t="shared" si="603"/>
        <v>0</v>
      </c>
      <c r="FO305" s="1">
        <f t="shared" si="604"/>
        <v>0</v>
      </c>
      <c r="FP305" s="1">
        <f t="shared" si="605"/>
        <v>0</v>
      </c>
      <c r="FQ305" s="1">
        <f t="shared" si="606"/>
        <v>0</v>
      </c>
      <c r="FS305" s="1">
        <f t="shared" si="607"/>
        <v>0</v>
      </c>
      <c r="FT305" s="1">
        <f t="shared" si="608"/>
        <v>0</v>
      </c>
      <c r="FU305" s="38">
        <f t="shared" si="609"/>
        <v>0</v>
      </c>
      <c r="FV305" s="38">
        <f t="shared" si="610"/>
        <v>0</v>
      </c>
      <c r="FW305" s="38">
        <f t="shared" si="611"/>
        <v>0</v>
      </c>
      <c r="FX305" s="38">
        <f t="shared" si="612"/>
        <v>0</v>
      </c>
      <c r="FY305" s="38">
        <f t="shared" si="613"/>
        <v>0</v>
      </c>
      <c r="FZ305" s="38">
        <f t="shared" si="614"/>
        <v>0</v>
      </c>
      <c r="GA305" s="38">
        <f t="shared" si="615"/>
        <v>0</v>
      </c>
      <c r="GB305" s="38">
        <f t="shared" si="616"/>
        <v>0</v>
      </c>
      <c r="GC305" s="38">
        <f t="shared" si="617"/>
        <v>0</v>
      </c>
      <c r="GD305" s="38">
        <f t="shared" si="618"/>
        <v>0</v>
      </c>
      <c r="GE305" s="38">
        <f t="shared" si="619"/>
        <v>0</v>
      </c>
      <c r="GF305" s="38">
        <f t="shared" si="620"/>
        <v>0</v>
      </c>
      <c r="GG305" s="38">
        <f t="shared" si="621"/>
        <v>0</v>
      </c>
      <c r="GH305" s="38">
        <f t="shared" si="622"/>
        <v>0</v>
      </c>
      <c r="GI305" s="38">
        <f t="shared" si="623"/>
        <v>0</v>
      </c>
      <c r="GJ305" s="38">
        <f t="shared" si="624"/>
        <v>0</v>
      </c>
      <c r="GL305" s="38">
        <f t="shared" si="625"/>
        <v>0</v>
      </c>
      <c r="GM305" s="38">
        <f t="shared" si="626"/>
        <v>0</v>
      </c>
      <c r="GN305" s="1" t="s">
        <v>2</v>
      </c>
      <c r="GO305" s="1">
        <f t="shared" si="549"/>
        <v>4.0199999999999996</v>
      </c>
      <c r="GP305" s="13">
        <f t="shared" si="550"/>
        <v>0.51358208955223883</v>
      </c>
      <c r="GQ305" s="41">
        <f t="shared" si="551"/>
        <v>20.646000000000001</v>
      </c>
      <c r="GR305" s="41">
        <f t="shared" si="552"/>
        <v>686.0635009160643</v>
      </c>
      <c r="GS305" s="14">
        <f t="shared" si="553"/>
        <v>170.66256241693142</v>
      </c>
      <c r="GT305" s="1">
        <f t="shared" si="627"/>
        <v>0</v>
      </c>
      <c r="GU305" s="1">
        <f t="shared" si="628"/>
        <v>12.077999999999999</v>
      </c>
      <c r="GV305" s="1">
        <f t="shared" si="629"/>
        <v>8.5679999999999996</v>
      </c>
      <c r="GW305" s="37">
        <f t="shared" si="554"/>
        <v>0</v>
      </c>
      <c r="GX305" s="37"/>
      <c r="GY305" s="37"/>
      <c r="GZ305" s="37"/>
      <c r="HB305" s="1">
        <f t="shared" si="630"/>
        <v>0</v>
      </c>
      <c r="HC305" s="1">
        <f t="shared" si="631"/>
        <v>0</v>
      </c>
      <c r="HD305" s="37" t="s">
        <v>2</v>
      </c>
      <c r="HE305" s="1" t="s">
        <v>113</v>
      </c>
      <c r="HF305" s="1" t="s">
        <v>223</v>
      </c>
      <c r="HI305" s="1" t="s">
        <v>96</v>
      </c>
      <c r="HJ305" s="37" t="s">
        <v>2</v>
      </c>
      <c r="JH305" s="58" t="s">
        <v>2</v>
      </c>
    </row>
    <row r="306" spans="1:268" ht="16.25" customHeight="1" x14ac:dyDescent="0.2">
      <c r="A306" s="15" t="s">
        <v>382</v>
      </c>
      <c r="B306" s="1" t="s">
        <v>71</v>
      </c>
      <c r="E306" s="1" t="s">
        <v>65</v>
      </c>
      <c r="F306" s="1" t="s">
        <v>379</v>
      </c>
      <c r="H306" s="1" t="s">
        <v>70</v>
      </c>
      <c r="I306" s="1">
        <v>0</v>
      </c>
      <c r="AD306" s="1">
        <f>9.6+0.052</f>
        <v>9.6519999999999992</v>
      </c>
      <c r="AE306" s="2">
        <f>(0*30.7+0.45*0.136)/(30.7+0.136)</f>
        <v>1.9846932157218835E-3</v>
      </c>
      <c r="AL306" s="13">
        <f>(0.68*9.6+9.19*0.052)/AD306</f>
        <v>0.72584749274761717</v>
      </c>
      <c r="AM306" s="2">
        <f>(0.01*30.7+0.17*0.136)/(30.7+0.136)</f>
        <v>1.0705668698923336E-2</v>
      </c>
      <c r="AY306" s="1">
        <f>21.1+0.084</f>
        <v>21.184000000000001</v>
      </c>
      <c r="AZ306" s="2">
        <f>(0*30.7+0.45*0.136)/(30.7+0.136)</f>
        <v>1.9846932157218835E-3</v>
      </c>
      <c r="BG306" s="13">
        <f>(0.54*21.1+9.01*0.084)/AY306</f>
        <v>0.57358572507552874</v>
      </c>
      <c r="BH306" s="2">
        <f>(0.01*30.7+0.17*0.136)/(30.7+0.136)</f>
        <v>1.0705668698923336E-2</v>
      </c>
      <c r="BT306" s="1">
        <v>0</v>
      </c>
      <c r="CO306" s="1">
        <v>3.427</v>
      </c>
      <c r="CP306" s="1">
        <v>0.26</v>
      </c>
      <c r="CW306" s="1">
        <v>0.72</v>
      </c>
      <c r="CX306" s="1">
        <v>0.11</v>
      </c>
      <c r="DJ306" s="1" t="s">
        <v>96</v>
      </c>
      <c r="DK306" s="1" t="s">
        <v>96</v>
      </c>
      <c r="DL306" s="1">
        <f t="shared" si="547"/>
        <v>0.62124529770398251</v>
      </c>
      <c r="DM306" s="1">
        <f t="shared" si="548"/>
        <v>1.0705668698923336E-2</v>
      </c>
      <c r="DN306" s="1" t="s">
        <v>380</v>
      </c>
      <c r="DO306" s="1" t="s">
        <v>2</v>
      </c>
      <c r="DP306" s="38">
        <f t="shared" si="555"/>
        <v>6.1200000000000002E-4</v>
      </c>
      <c r="DQ306" s="38">
        <f t="shared" si="556"/>
        <v>0</v>
      </c>
      <c r="DR306" s="38">
        <f t="shared" si="557"/>
        <v>0</v>
      </c>
      <c r="DS306" s="38">
        <f t="shared" si="558"/>
        <v>0</v>
      </c>
      <c r="DT306" s="38">
        <f t="shared" si="559"/>
        <v>0</v>
      </c>
      <c r="DU306" s="38">
        <f t="shared" si="560"/>
        <v>0</v>
      </c>
      <c r="DV306" s="38">
        <f t="shared" si="561"/>
        <v>0</v>
      </c>
      <c r="DW306" s="38">
        <f t="shared" si="562"/>
        <v>0.19156720000000005</v>
      </c>
      <c r="DX306" s="38">
        <f t="shared" si="563"/>
        <v>3.3011999999999998E-3</v>
      </c>
      <c r="DY306" s="38">
        <f t="shared" si="564"/>
        <v>0</v>
      </c>
      <c r="DZ306" s="38">
        <f t="shared" si="565"/>
        <v>0</v>
      </c>
      <c r="EA306" s="38">
        <f t="shared" si="566"/>
        <v>0</v>
      </c>
      <c r="EB306" s="38">
        <f t="shared" si="567"/>
        <v>0</v>
      </c>
      <c r="EC306" s="38">
        <f t="shared" si="568"/>
        <v>0</v>
      </c>
      <c r="ED306" s="38">
        <f t="shared" si="569"/>
        <v>0</v>
      </c>
      <c r="EE306" s="38">
        <f t="shared" si="570"/>
        <v>0</v>
      </c>
      <c r="EG306" s="38">
        <f t="shared" si="571"/>
        <v>0</v>
      </c>
      <c r="EH306" s="38">
        <f t="shared" si="572"/>
        <v>0</v>
      </c>
      <c r="EI306" s="38">
        <f t="shared" si="573"/>
        <v>3.9936769920000001</v>
      </c>
      <c r="EJ306" s="38">
        <f t="shared" si="574"/>
        <v>0</v>
      </c>
      <c r="EK306" s="38">
        <f t="shared" si="575"/>
        <v>0</v>
      </c>
      <c r="EL306" s="38">
        <f t="shared" si="576"/>
        <v>0</v>
      </c>
      <c r="EM306" s="38">
        <f t="shared" si="577"/>
        <v>0</v>
      </c>
      <c r="EN306" s="38">
        <f t="shared" si="578"/>
        <v>0</v>
      </c>
      <c r="EO306" s="38">
        <f t="shared" si="579"/>
        <v>0</v>
      </c>
      <c r="EP306" s="38">
        <f t="shared" si="580"/>
        <v>2512.2122608000004</v>
      </c>
      <c r="EQ306" s="38">
        <f t="shared" si="581"/>
        <v>239.73157262879997</v>
      </c>
      <c r="ER306" s="38">
        <f t="shared" si="582"/>
        <v>0</v>
      </c>
      <c r="ES306" s="38">
        <f t="shared" si="583"/>
        <v>0</v>
      </c>
      <c r="ET306" s="38">
        <f t="shared" si="584"/>
        <v>0</v>
      </c>
      <c r="EU306" s="38">
        <f t="shared" si="585"/>
        <v>0</v>
      </c>
      <c r="EV306" s="38">
        <f t="shared" si="586"/>
        <v>0</v>
      </c>
      <c r="EW306" s="38">
        <f t="shared" si="587"/>
        <v>0</v>
      </c>
      <c r="EX306" s="38">
        <f t="shared" si="588"/>
        <v>0</v>
      </c>
      <c r="EZ306" s="38">
        <f t="shared" si="589"/>
        <v>0</v>
      </c>
      <c r="FA306" s="38">
        <f t="shared" si="590"/>
        <v>0</v>
      </c>
      <c r="FB306" s="1">
        <f t="shared" si="591"/>
        <v>8.9102000000000001E-3</v>
      </c>
      <c r="FC306" s="1">
        <f t="shared" si="592"/>
        <v>0</v>
      </c>
      <c r="FD306" s="1">
        <f t="shared" si="593"/>
        <v>0</v>
      </c>
      <c r="FE306" s="1">
        <f t="shared" si="594"/>
        <v>0</v>
      </c>
      <c r="FF306" s="1">
        <f t="shared" si="595"/>
        <v>0</v>
      </c>
      <c r="FG306" s="1">
        <f t="shared" si="596"/>
        <v>0</v>
      </c>
      <c r="FH306" s="1">
        <f t="shared" si="597"/>
        <v>0</v>
      </c>
      <c r="FI306" s="1">
        <f t="shared" si="598"/>
        <v>2.4674399999999999E-2</v>
      </c>
      <c r="FJ306" s="1">
        <f t="shared" si="599"/>
        <v>3.7697000000000004E-3</v>
      </c>
      <c r="FK306" s="1">
        <f t="shared" si="600"/>
        <v>0</v>
      </c>
      <c r="FL306" s="1">
        <f t="shared" si="601"/>
        <v>0</v>
      </c>
      <c r="FM306" s="1">
        <f t="shared" si="602"/>
        <v>0</v>
      </c>
      <c r="FN306" s="1">
        <f t="shared" si="603"/>
        <v>0</v>
      </c>
      <c r="FO306" s="1">
        <f t="shared" si="604"/>
        <v>0</v>
      </c>
      <c r="FP306" s="1">
        <f t="shared" si="605"/>
        <v>0</v>
      </c>
      <c r="FQ306" s="1">
        <f t="shared" si="606"/>
        <v>0</v>
      </c>
      <c r="FS306" s="1">
        <f t="shared" si="607"/>
        <v>0</v>
      </c>
      <c r="FT306" s="1">
        <f t="shared" si="608"/>
        <v>0</v>
      </c>
      <c r="FU306" s="38">
        <f t="shared" si="609"/>
        <v>58.144543683199998</v>
      </c>
      <c r="FV306" s="38">
        <f t="shared" si="610"/>
        <v>0</v>
      </c>
      <c r="FW306" s="38">
        <f t="shared" si="611"/>
        <v>0</v>
      </c>
      <c r="FX306" s="38">
        <f t="shared" si="612"/>
        <v>0</v>
      </c>
      <c r="FY306" s="38">
        <f t="shared" si="613"/>
        <v>0</v>
      </c>
      <c r="FZ306" s="38">
        <f t="shared" si="614"/>
        <v>0</v>
      </c>
      <c r="GA306" s="38">
        <f t="shared" si="615"/>
        <v>0</v>
      </c>
      <c r="GB306" s="38">
        <f t="shared" si="616"/>
        <v>323.58008159999997</v>
      </c>
      <c r="GC306" s="38">
        <f t="shared" si="617"/>
        <v>273.75381962279999</v>
      </c>
      <c r="GD306" s="38">
        <f t="shared" si="618"/>
        <v>0</v>
      </c>
      <c r="GE306" s="38">
        <f t="shared" si="619"/>
        <v>0</v>
      </c>
      <c r="GF306" s="38">
        <f t="shared" si="620"/>
        <v>0</v>
      </c>
      <c r="GG306" s="38">
        <f t="shared" si="621"/>
        <v>0</v>
      </c>
      <c r="GH306" s="38">
        <f t="shared" si="622"/>
        <v>0</v>
      </c>
      <c r="GI306" s="38">
        <f t="shared" si="623"/>
        <v>0</v>
      </c>
      <c r="GJ306" s="38">
        <f t="shared" si="624"/>
        <v>0</v>
      </c>
      <c r="GL306" s="38">
        <f t="shared" si="625"/>
        <v>0</v>
      </c>
      <c r="GM306" s="38">
        <f t="shared" si="626"/>
        <v>0</v>
      </c>
      <c r="GN306" s="1" t="s">
        <v>2</v>
      </c>
      <c r="GO306" s="13">
        <f t="shared" si="549"/>
        <v>30.835999999999999</v>
      </c>
      <c r="GP306" s="13">
        <f t="shared" si="550"/>
        <v>0.62124529770398251</v>
      </c>
      <c r="GQ306" s="41">
        <f t="shared" si="551"/>
        <v>191.56720000000004</v>
      </c>
      <c r="GR306" s="41">
        <f t="shared" si="552"/>
        <v>2755.9375104208002</v>
      </c>
      <c r="GS306" s="14">
        <f t="shared" si="553"/>
        <v>89.374027449111438</v>
      </c>
      <c r="GT306" s="1">
        <f t="shared" si="627"/>
        <v>0</v>
      </c>
      <c r="GU306" s="1">
        <f t="shared" si="628"/>
        <v>70.058800000000005</v>
      </c>
      <c r="GV306" s="1">
        <f t="shared" si="629"/>
        <v>121.50840000000002</v>
      </c>
      <c r="GW306" s="37">
        <f t="shared" si="554"/>
        <v>3.427</v>
      </c>
      <c r="GX306" s="44">
        <f>(BT306*CB306+CO306*CW306)/GW306</f>
        <v>0.72</v>
      </c>
      <c r="GY306" s="41">
        <f>1000*GW306*GX306/100</f>
        <v>24.674400000000002</v>
      </c>
      <c r="GZ306" s="41">
        <f>SUM(FU306:GM306)</f>
        <v>655.47844490600005</v>
      </c>
      <c r="HA306" s="14">
        <f>GZ306/GW306</f>
        <v>191.268878</v>
      </c>
      <c r="HB306" s="1">
        <f t="shared" si="630"/>
        <v>0</v>
      </c>
      <c r="HC306" s="1">
        <f t="shared" si="631"/>
        <v>24.674400000000002</v>
      </c>
      <c r="HD306" s="37" t="s">
        <v>2</v>
      </c>
      <c r="HE306" s="1" t="s">
        <v>113</v>
      </c>
      <c r="HF306" s="1" t="s">
        <v>223</v>
      </c>
      <c r="HI306" s="1" t="s">
        <v>96</v>
      </c>
      <c r="HJ306" s="37" t="s">
        <v>2</v>
      </c>
      <c r="JH306" s="58" t="s">
        <v>2</v>
      </c>
    </row>
    <row r="307" spans="1:268" ht="16.25" customHeight="1" x14ac:dyDescent="0.2">
      <c r="A307" s="15" t="s">
        <v>383</v>
      </c>
      <c r="B307" s="1" t="s">
        <v>71</v>
      </c>
      <c r="E307" s="1" t="s">
        <v>65</v>
      </c>
      <c r="F307" s="1" t="s">
        <v>379</v>
      </c>
      <c r="H307" s="1" t="s">
        <v>70</v>
      </c>
      <c r="I307" s="1">
        <v>0</v>
      </c>
      <c r="AD307" s="1">
        <v>2.6</v>
      </c>
      <c r="AE307" s="13">
        <v>0.1</v>
      </c>
      <c r="AL307" s="13">
        <v>1.6</v>
      </c>
      <c r="AM307" s="1">
        <v>0.05</v>
      </c>
      <c r="AY307" s="1">
        <v>0.9</v>
      </c>
      <c r="AZ307" s="13">
        <v>0.1</v>
      </c>
      <c r="BG307" s="13">
        <v>1.17</v>
      </c>
      <c r="BH307" s="1">
        <v>0.05</v>
      </c>
      <c r="BT307" s="1">
        <v>0</v>
      </c>
      <c r="CO307" s="1">
        <v>0</v>
      </c>
      <c r="DJ307" s="1" t="s">
        <v>96</v>
      </c>
      <c r="DK307" s="1" t="s">
        <v>96</v>
      </c>
      <c r="DL307" s="1">
        <f t="shared" si="547"/>
        <v>1.4894285714285715</v>
      </c>
      <c r="DM307" s="1">
        <f t="shared" si="548"/>
        <v>0.05</v>
      </c>
      <c r="DN307" s="1" t="s">
        <v>380</v>
      </c>
      <c r="DO307" s="1" t="s">
        <v>2</v>
      </c>
      <c r="DP307" s="38">
        <f t="shared" si="555"/>
        <v>3.5000000000000005E-3</v>
      </c>
      <c r="DQ307" s="38">
        <f t="shared" si="556"/>
        <v>0</v>
      </c>
      <c r="DR307" s="38">
        <f t="shared" si="557"/>
        <v>0</v>
      </c>
      <c r="DS307" s="38">
        <f t="shared" si="558"/>
        <v>0</v>
      </c>
      <c r="DT307" s="38">
        <f t="shared" si="559"/>
        <v>0</v>
      </c>
      <c r="DU307" s="38">
        <f t="shared" si="560"/>
        <v>0</v>
      </c>
      <c r="DV307" s="38">
        <f t="shared" si="561"/>
        <v>0</v>
      </c>
      <c r="DW307" s="38">
        <f t="shared" si="562"/>
        <v>5.2130000000000003E-2</v>
      </c>
      <c r="DX307" s="38">
        <f t="shared" si="563"/>
        <v>1.7500000000000003E-3</v>
      </c>
      <c r="DY307" s="38">
        <f t="shared" si="564"/>
        <v>0</v>
      </c>
      <c r="DZ307" s="38">
        <f t="shared" si="565"/>
        <v>0</v>
      </c>
      <c r="EA307" s="38">
        <f t="shared" si="566"/>
        <v>0</v>
      </c>
      <c r="EB307" s="38">
        <f t="shared" si="567"/>
        <v>0</v>
      </c>
      <c r="EC307" s="38">
        <f t="shared" si="568"/>
        <v>0</v>
      </c>
      <c r="ED307" s="38">
        <f t="shared" si="569"/>
        <v>0</v>
      </c>
      <c r="EE307" s="38">
        <f t="shared" si="570"/>
        <v>0</v>
      </c>
      <c r="EG307" s="38">
        <f t="shared" si="571"/>
        <v>0</v>
      </c>
      <c r="EH307" s="38">
        <f t="shared" si="572"/>
        <v>0</v>
      </c>
      <c r="EI307" s="38">
        <f t="shared" si="573"/>
        <v>22.839656000000002</v>
      </c>
      <c r="EJ307" s="38">
        <f t="shared" si="574"/>
        <v>0</v>
      </c>
      <c r="EK307" s="38">
        <f t="shared" si="575"/>
        <v>0</v>
      </c>
      <c r="EL307" s="38">
        <f t="shared" si="576"/>
        <v>0</v>
      </c>
      <c r="EM307" s="38">
        <f t="shared" si="577"/>
        <v>0</v>
      </c>
      <c r="EN307" s="38">
        <f t="shared" si="578"/>
        <v>0</v>
      </c>
      <c r="EO307" s="38">
        <f t="shared" si="579"/>
        <v>0</v>
      </c>
      <c r="EP307" s="38">
        <f t="shared" si="580"/>
        <v>683.63282000000004</v>
      </c>
      <c r="EQ307" s="38">
        <f t="shared" si="581"/>
        <v>127.08416700000001</v>
      </c>
      <c r="ER307" s="38">
        <f t="shared" si="582"/>
        <v>0</v>
      </c>
      <c r="ES307" s="38">
        <f t="shared" si="583"/>
        <v>0</v>
      </c>
      <c r="ET307" s="38">
        <f t="shared" si="584"/>
        <v>0</v>
      </c>
      <c r="EU307" s="38">
        <f t="shared" si="585"/>
        <v>0</v>
      </c>
      <c r="EV307" s="38">
        <f t="shared" si="586"/>
        <v>0</v>
      </c>
      <c r="EW307" s="38">
        <f t="shared" si="587"/>
        <v>0</v>
      </c>
      <c r="EX307" s="38">
        <f t="shared" si="588"/>
        <v>0</v>
      </c>
      <c r="EZ307" s="38">
        <f t="shared" si="589"/>
        <v>0</v>
      </c>
      <c r="FA307" s="38">
        <f t="shared" si="590"/>
        <v>0</v>
      </c>
      <c r="FB307" s="1">
        <f t="shared" si="591"/>
        <v>0</v>
      </c>
      <c r="FC307" s="1">
        <f t="shared" si="592"/>
        <v>0</v>
      </c>
      <c r="FD307" s="1">
        <f t="shared" si="593"/>
        <v>0</v>
      </c>
      <c r="FE307" s="1">
        <f t="shared" si="594"/>
        <v>0</v>
      </c>
      <c r="FF307" s="1">
        <f t="shared" si="595"/>
        <v>0</v>
      </c>
      <c r="FG307" s="1">
        <f t="shared" si="596"/>
        <v>0</v>
      </c>
      <c r="FH307" s="1">
        <f t="shared" si="597"/>
        <v>0</v>
      </c>
      <c r="FI307" s="1">
        <f t="shared" si="598"/>
        <v>0</v>
      </c>
      <c r="FJ307" s="1">
        <f t="shared" si="599"/>
        <v>0</v>
      </c>
      <c r="FK307" s="1">
        <f t="shared" si="600"/>
        <v>0</v>
      </c>
      <c r="FL307" s="1">
        <f t="shared" si="601"/>
        <v>0</v>
      </c>
      <c r="FM307" s="1">
        <f t="shared" si="602"/>
        <v>0</v>
      </c>
      <c r="FN307" s="1">
        <f t="shared" si="603"/>
        <v>0</v>
      </c>
      <c r="FO307" s="1">
        <f t="shared" si="604"/>
        <v>0</v>
      </c>
      <c r="FP307" s="1">
        <f t="shared" si="605"/>
        <v>0</v>
      </c>
      <c r="FQ307" s="1">
        <f t="shared" si="606"/>
        <v>0</v>
      </c>
      <c r="FS307" s="1">
        <f t="shared" si="607"/>
        <v>0</v>
      </c>
      <c r="FT307" s="1">
        <f t="shared" si="608"/>
        <v>0</v>
      </c>
      <c r="FU307" s="38">
        <f t="shared" si="609"/>
        <v>0</v>
      </c>
      <c r="FV307" s="38">
        <f t="shared" si="610"/>
        <v>0</v>
      </c>
      <c r="FW307" s="38">
        <f t="shared" si="611"/>
        <v>0</v>
      </c>
      <c r="FX307" s="38">
        <f t="shared" si="612"/>
        <v>0</v>
      </c>
      <c r="FY307" s="38">
        <f t="shared" si="613"/>
        <v>0</v>
      </c>
      <c r="FZ307" s="38">
        <f t="shared" si="614"/>
        <v>0</v>
      </c>
      <c r="GA307" s="38">
        <f t="shared" si="615"/>
        <v>0</v>
      </c>
      <c r="GB307" s="38">
        <f t="shared" si="616"/>
        <v>0</v>
      </c>
      <c r="GC307" s="38">
        <f t="shared" si="617"/>
        <v>0</v>
      </c>
      <c r="GD307" s="38">
        <f t="shared" si="618"/>
        <v>0</v>
      </c>
      <c r="GE307" s="38">
        <f t="shared" si="619"/>
        <v>0</v>
      </c>
      <c r="GF307" s="38">
        <f t="shared" si="620"/>
        <v>0</v>
      </c>
      <c r="GG307" s="38">
        <f t="shared" si="621"/>
        <v>0</v>
      </c>
      <c r="GH307" s="38">
        <f t="shared" si="622"/>
        <v>0</v>
      </c>
      <c r="GI307" s="38">
        <f t="shared" si="623"/>
        <v>0</v>
      </c>
      <c r="GJ307" s="38">
        <f t="shared" si="624"/>
        <v>0</v>
      </c>
      <c r="GL307" s="38">
        <f t="shared" si="625"/>
        <v>0</v>
      </c>
      <c r="GM307" s="38">
        <f t="shared" si="626"/>
        <v>0</v>
      </c>
      <c r="GN307" s="1" t="s">
        <v>2</v>
      </c>
      <c r="GO307" s="1">
        <f t="shared" si="549"/>
        <v>3.5</v>
      </c>
      <c r="GP307" s="13">
        <f t="shared" si="550"/>
        <v>1.4894285714285715</v>
      </c>
      <c r="GQ307" s="41">
        <f t="shared" si="551"/>
        <v>52.13</v>
      </c>
      <c r="GR307" s="41">
        <f t="shared" si="552"/>
        <v>833.55664300000001</v>
      </c>
      <c r="GS307" s="14">
        <f t="shared" si="553"/>
        <v>238.15904085714286</v>
      </c>
      <c r="GT307" s="1">
        <f t="shared" si="627"/>
        <v>0</v>
      </c>
      <c r="GU307" s="1">
        <f t="shared" si="628"/>
        <v>41.6</v>
      </c>
      <c r="GV307" s="1">
        <f t="shared" si="629"/>
        <v>10.53</v>
      </c>
      <c r="GW307" s="37">
        <f t="shared" si="554"/>
        <v>0</v>
      </c>
      <c r="GX307" s="37"/>
      <c r="GY307" s="37"/>
      <c r="GZ307" s="37"/>
      <c r="HB307" s="1">
        <f t="shared" si="630"/>
        <v>0</v>
      </c>
      <c r="HC307" s="1">
        <f t="shared" si="631"/>
        <v>0</v>
      </c>
      <c r="HD307" s="37" t="s">
        <v>2</v>
      </c>
      <c r="HE307" s="1" t="s">
        <v>113</v>
      </c>
      <c r="HF307" s="1" t="s">
        <v>223</v>
      </c>
      <c r="HI307" s="1" t="s">
        <v>96</v>
      </c>
      <c r="HJ307" s="37" t="s">
        <v>2</v>
      </c>
      <c r="JH307" s="58" t="s">
        <v>2</v>
      </c>
    </row>
    <row r="308" spans="1:268" ht="16.25" customHeight="1" x14ac:dyDescent="0.2">
      <c r="A308" s="15" t="s">
        <v>385</v>
      </c>
      <c r="B308" s="1" t="s">
        <v>69</v>
      </c>
      <c r="E308" s="1" t="s">
        <v>65</v>
      </c>
      <c r="F308" s="1" t="s">
        <v>356</v>
      </c>
      <c r="H308" s="1" t="s">
        <v>70</v>
      </c>
      <c r="I308" s="1">
        <v>0</v>
      </c>
      <c r="AD308" s="2">
        <f>0.340126+3.318468</f>
        <v>3.6585940000000003</v>
      </c>
      <c r="AL308" s="14">
        <f>(3.3*0.340126+1.2*3.318468)/AD308</f>
        <v>1.3952292602021432</v>
      </c>
      <c r="AY308" s="2">
        <f>0.078067+2.496658</f>
        <v>2.5747249999999999</v>
      </c>
      <c r="BG308" s="14">
        <f>(3.9*0.078067+1.3*2.496658)/AY308</f>
        <v>1.3788333511345872</v>
      </c>
      <c r="BT308" s="1">
        <v>0</v>
      </c>
      <c r="CO308" s="1">
        <v>0</v>
      </c>
      <c r="DJ308" s="1" t="s">
        <v>96</v>
      </c>
      <c r="DL308" s="1">
        <f t="shared" si="547"/>
        <v>1.3884567916386119</v>
      </c>
      <c r="DM308" s="1">
        <f t="shared" si="548"/>
        <v>0</v>
      </c>
      <c r="DN308" s="1" t="s">
        <v>67</v>
      </c>
      <c r="DO308" s="1" t="s">
        <v>2</v>
      </c>
      <c r="DP308" s="38">
        <f t="shared" si="555"/>
        <v>0</v>
      </c>
      <c r="DQ308" s="38">
        <f t="shared" si="556"/>
        <v>0</v>
      </c>
      <c r="DR308" s="38">
        <f t="shared" si="557"/>
        <v>0</v>
      </c>
      <c r="DS308" s="38">
        <f t="shared" si="558"/>
        <v>0</v>
      </c>
      <c r="DT308" s="38">
        <f t="shared" si="559"/>
        <v>0</v>
      </c>
      <c r="DU308" s="38">
        <f t="shared" si="560"/>
        <v>0</v>
      </c>
      <c r="DV308" s="38">
        <f t="shared" si="561"/>
        <v>0</v>
      </c>
      <c r="DW308" s="38">
        <f t="shared" si="562"/>
        <v>8.6546941000000002E-2</v>
      </c>
      <c r="DX308" s="38">
        <f t="shared" si="563"/>
        <v>0</v>
      </c>
      <c r="DY308" s="38">
        <f t="shared" si="564"/>
        <v>0</v>
      </c>
      <c r="DZ308" s="38">
        <f t="shared" si="565"/>
        <v>0</v>
      </c>
      <c r="EA308" s="38">
        <f t="shared" si="566"/>
        <v>0</v>
      </c>
      <c r="EB308" s="38">
        <f t="shared" si="567"/>
        <v>0</v>
      </c>
      <c r="EC308" s="38">
        <f t="shared" si="568"/>
        <v>0</v>
      </c>
      <c r="ED308" s="38">
        <f t="shared" si="569"/>
        <v>0</v>
      </c>
      <c r="EE308" s="38">
        <f t="shared" si="570"/>
        <v>0</v>
      </c>
      <c r="EG308" s="38">
        <f t="shared" si="571"/>
        <v>0</v>
      </c>
      <c r="EH308" s="38">
        <f t="shared" si="572"/>
        <v>0</v>
      </c>
      <c r="EI308" s="38">
        <f t="shared" si="573"/>
        <v>0</v>
      </c>
      <c r="EJ308" s="38">
        <f t="shared" si="574"/>
        <v>0</v>
      </c>
      <c r="EK308" s="38">
        <f t="shared" si="575"/>
        <v>0</v>
      </c>
      <c r="EL308" s="38">
        <f t="shared" si="576"/>
        <v>0</v>
      </c>
      <c r="EM308" s="38">
        <f t="shared" si="577"/>
        <v>0</v>
      </c>
      <c r="EN308" s="38">
        <f t="shared" si="578"/>
        <v>0</v>
      </c>
      <c r="EO308" s="38">
        <f t="shared" si="579"/>
        <v>0</v>
      </c>
      <c r="EP308" s="38">
        <f t="shared" si="580"/>
        <v>1134.9765842740001</v>
      </c>
      <c r="EQ308" s="38">
        <f t="shared" si="581"/>
        <v>0</v>
      </c>
      <c r="ER308" s="38">
        <f t="shared" si="582"/>
        <v>0</v>
      </c>
      <c r="ES308" s="38">
        <f t="shared" si="583"/>
        <v>0</v>
      </c>
      <c r="ET308" s="38">
        <f t="shared" si="584"/>
        <v>0</v>
      </c>
      <c r="EU308" s="38">
        <f t="shared" si="585"/>
        <v>0</v>
      </c>
      <c r="EV308" s="38">
        <f t="shared" si="586"/>
        <v>0</v>
      </c>
      <c r="EW308" s="38">
        <f t="shared" si="587"/>
        <v>0</v>
      </c>
      <c r="EX308" s="38">
        <f t="shared" si="588"/>
        <v>0</v>
      </c>
      <c r="EZ308" s="38">
        <f t="shared" si="589"/>
        <v>0</v>
      </c>
      <c r="FA308" s="38">
        <f t="shared" si="590"/>
        <v>0</v>
      </c>
      <c r="FB308" s="1">
        <f t="shared" si="591"/>
        <v>0</v>
      </c>
      <c r="FC308" s="1">
        <f t="shared" si="592"/>
        <v>0</v>
      </c>
      <c r="FD308" s="1">
        <f t="shared" si="593"/>
        <v>0</v>
      </c>
      <c r="FE308" s="1">
        <f t="shared" si="594"/>
        <v>0</v>
      </c>
      <c r="FF308" s="1">
        <f t="shared" si="595"/>
        <v>0</v>
      </c>
      <c r="FG308" s="1">
        <f t="shared" si="596"/>
        <v>0</v>
      </c>
      <c r="FH308" s="1">
        <f t="shared" si="597"/>
        <v>0</v>
      </c>
      <c r="FI308" s="1">
        <f t="shared" si="598"/>
        <v>0</v>
      </c>
      <c r="FJ308" s="1">
        <f t="shared" si="599"/>
        <v>0</v>
      </c>
      <c r="FK308" s="1">
        <f t="shared" si="600"/>
        <v>0</v>
      </c>
      <c r="FL308" s="1">
        <f t="shared" si="601"/>
        <v>0</v>
      </c>
      <c r="FM308" s="1">
        <f t="shared" si="602"/>
        <v>0</v>
      </c>
      <c r="FN308" s="1">
        <f t="shared" si="603"/>
        <v>0</v>
      </c>
      <c r="FO308" s="1">
        <f t="shared" si="604"/>
        <v>0</v>
      </c>
      <c r="FP308" s="1">
        <f t="shared" si="605"/>
        <v>0</v>
      </c>
      <c r="FQ308" s="1">
        <f t="shared" si="606"/>
        <v>0</v>
      </c>
      <c r="FS308" s="1">
        <f t="shared" si="607"/>
        <v>0</v>
      </c>
      <c r="FT308" s="1">
        <f t="shared" si="608"/>
        <v>0</v>
      </c>
      <c r="FU308" s="38">
        <f t="shared" si="609"/>
        <v>0</v>
      </c>
      <c r="FV308" s="38">
        <f t="shared" si="610"/>
        <v>0</v>
      </c>
      <c r="FW308" s="38">
        <f t="shared" si="611"/>
        <v>0</v>
      </c>
      <c r="FX308" s="38">
        <f t="shared" si="612"/>
        <v>0</v>
      </c>
      <c r="FY308" s="38">
        <f t="shared" si="613"/>
        <v>0</v>
      </c>
      <c r="FZ308" s="38">
        <f t="shared" si="614"/>
        <v>0</v>
      </c>
      <c r="GA308" s="38">
        <f t="shared" si="615"/>
        <v>0</v>
      </c>
      <c r="GB308" s="38">
        <f t="shared" si="616"/>
        <v>0</v>
      </c>
      <c r="GC308" s="38">
        <f t="shared" si="617"/>
        <v>0</v>
      </c>
      <c r="GD308" s="38">
        <f t="shared" si="618"/>
        <v>0</v>
      </c>
      <c r="GE308" s="38">
        <f t="shared" si="619"/>
        <v>0</v>
      </c>
      <c r="GF308" s="38">
        <f t="shared" si="620"/>
        <v>0</v>
      </c>
      <c r="GG308" s="38">
        <f t="shared" si="621"/>
        <v>0</v>
      </c>
      <c r="GH308" s="38">
        <f t="shared" si="622"/>
        <v>0</v>
      </c>
      <c r="GI308" s="38">
        <f t="shared" si="623"/>
        <v>0</v>
      </c>
      <c r="GJ308" s="38">
        <f t="shared" si="624"/>
        <v>0</v>
      </c>
      <c r="GL308" s="38">
        <f t="shared" si="625"/>
        <v>0</v>
      </c>
      <c r="GM308" s="38">
        <f t="shared" si="626"/>
        <v>0</v>
      </c>
      <c r="GN308" s="1" t="s">
        <v>2</v>
      </c>
      <c r="GO308" s="2">
        <f t="shared" si="549"/>
        <v>6.2333189999999998</v>
      </c>
      <c r="GP308" s="13">
        <f t="shared" si="550"/>
        <v>1.3884567916386119</v>
      </c>
      <c r="GQ308" s="41">
        <f t="shared" si="551"/>
        <v>86.546941000000004</v>
      </c>
      <c r="GR308" s="41">
        <f t="shared" si="552"/>
        <v>1134.9765842740001</v>
      </c>
      <c r="GS308" s="14">
        <f t="shared" si="553"/>
        <v>182.08222365548755</v>
      </c>
      <c r="GT308" s="1">
        <f t="shared" si="627"/>
        <v>0</v>
      </c>
      <c r="GU308" s="1">
        <f t="shared" si="628"/>
        <v>51.045774000000002</v>
      </c>
      <c r="GV308" s="1">
        <f t="shared" si="629"/>
        <v>35.501166999999995</v>
      </c>
      <c r="GW308" s="37">
        <f t="shared" si="554"/>
        <v>0</v>
      </c>
      <c r="GX308" s="37"/>
      <c r="GY308" s="37"/>
      <c r="GZ308" s="37"/>
      <c r="HB308" s="1">
        <f t="shared" si="630"/>
        <v>0</v>
      </c>
      <c r="HC308" s="1">
        <f t="shared" si="631"/>
        <v>0</v>
      </c>
      <c r="HD308" s="37" t="s">
        <v>2</v>
      </c>
      <c r="HE308" s="1" t="s">
        <v>113</v>
      </c>
      <c r="HF308" s="1" t="s">
        <v>223</v>
      </c>
      <c r="HI308" s="1" t="s">
        <v>96</v>
      </c>
      <c r="HJ308" s="37" t="s">
        <v>2</v>
      </c>
      <c r="JH308" s="58" t="s">
        <v>2</v>
      </c>
    </row>
    <row r="309" spans="1:268" ht="16.25" customHeight="1" x14ac:dyDescent="0.2">
      <c r="A309" s="15" t="s">
        <v>388</v>
      </c>
      <c r="B309" s="1" t="s">
        <v>71</v>
      </c>
      <c r="E309" s="1" t="s">
        <v>65</v>
      </c>
      <c r="F309" s="1" t="s">
        <v>389</v>
      </c>
      <c r="H309" s="1" t="s">
        <v>70</v>
      </c>
      <c r="I309" s="1">
        <v>0</v>
      </c>
      <c r="AD309" s="1">
        <v>0</v>
      </c>
      <c r="AY309" s="2">
        <v>0.59130000000000005</v>
      </c>
      <c r="BG309" s="1">
        <v>2.2000000000000002</v>
      </c>
      <c r="BT309" s="1">
        <v>0</v>
      </c>
      <c r="CO309" s="1">
        <v>0</v>
      </c>
      <c r="DJ309" s="1" t="s">
        <v>96</v>
      </c>
      <c r="DL309" s="1">
        <f t="shared" si="547"/>
        <v>2.2000000000000002</v>
      </c>
      <c r="DM309" s="1">
        <f t="shared" si="548"/>
        <v>0</v>
      </c>
      <c r="DN309" s="1" t="s">
        <v>148</v>
      </c>
      <c r="DO309" s="1" t="s">
        <v>2</v>
      </c>
      <c r="DP309" s="38">
        <f t="shared" si="555"/>
        <v>0</v>
      </c>
      <c r="DQ309" s="38">
        <f t="shared" si="556"/>
        <v>0</v>
      </c>
      <c r="DR309" s="38">
        <f t="shared" si="557"/>
        <v>0</v>
      </c>
      <c r="DS309" s="38">
        <f t="shared" si="558"/>
        <v>0</v>
      </c>
      <c r="DT309" s="38">
        <f t="shared" si="559"/>
        <v>0</v>
      </c>
      <c r="DU309" s="38">
        <f t="shared" si="560"/>
        <v>0</v>
      </c>
      <c r="DV309" s="38">
        <f t="shared" si="561"/>
        <v>0</v>
      </c>
      <c r="DW309" s="38">
        <f t="shared" si="562"/>
        <v>1.3008600000000002E-2</v>
      </c>
      <c r="DX309" s="38">
        <f t="shared" si="563"/>
        <v>0</v>
      </c>
      <c r="DY309" s="38">
        <f t="shared" si="564"/>
        <v>0</v>
      </c>
      <c r="DZ309" s="38">
        <f t="shared" si="565"/>
        <v>0</v>
      </c>
      <c r="EA309" s="38">
        <f t="shared" si="566"/>
        <v>0</v>
      </c>
      <c r="EB309" s="38">
        <f t="shared" si="567"/>
        <v>0</v>
      </c>
      <c r="EC309" s="38">
        <f t="shared" si="568"/>
        <v>0</v>
      </c>
      <c r="ED309" s="38">
        <f t="shared" si="569"/>
        <v>0</v>
      </c>
      <c r="EE309" s="38">
        <f t="shared" si="570"/>
        <v>0</v>
      </c>
      <c r="EG309" s="38">
        <f t="shared" si="571"/>
        <v>0</v>
      </c>
      <c r="EH309" s="38">
        <f t="shared" si="572"/>
        <v>0</v>
      </c>
      <c r="EI309" s="38">
        <f t="shared" si="573"/>
        <v>0</v>
      </c>
      <c r="EJ309" s="38">
        <f t="shared" si="574"/>
        <v>0</v>
      </c>
      <c r="EK309" s="38">
        <f t="shared" si="575"/>
        <v>0</v>
      </c>
      <c r="EL309" s="38">
        <f t="shared" si="576"/>
        <v>0</v>
      </c>
      <c r="EM309" s="38">
        <f t="shared" si="577"/>
        <v>0</v>
      </c>
      <c r="EN309" s="38">
        <f t="shared" si="578"/>
        <v>0</v>
      </c>
      <c r="EO309" s="38">
        <f t="shared" si="579"/>
        <v>0</v>
      </c>
      <c r="EP309" s="38">
        <f t="shared" si="580"/>
        <v>170.59478040000002</v>
      </c>
      <c r="EQ309" s="38">
        <f t="shared" si="581"/>
        <v>0</v>
      </c>
      <c r="ER309" s="38">
        <f t="shared" si="582"/>
        <v>0</v>
      </c>
      <c r="ES309" s="38">
        <f t="shared" si="583"/>
        <v>0</v>
      </c>
      <c r="ET309" s="38">
        <f t="shared" si="584"/>
        <v>0</v>
      </c>
      <c r="EU309" s="38">
        <f t="shared" si="585"/>
        <v>0</v>
      </c>
      <c r="EV309" s="38">
        <f t="shared" si="586"/>
        <v>0</v>
      </c>
      <c r="EW309" s="38">
        <f t="shared" si="587"/>
        <v>0</v>
      </c>
      <c r="EX309" s="38">
        <f t="shared" si="588"/>
        <v>0</v>
      </c>
      <c r="EZ309" s="38">
        <f t="shared" si="589"/>
        <v>0</v>
      </c>
      <c r="FA309" s="38">
        <f t="shared" si="590"/>
        <v>0</v>
      </c>
      <c r="FB309" s="1">
        <f t="shared" si="591"/>
        <v>0</v>
      </c>
      <c r="FC309" s="1">
        <f t="shared" si="592"/>
        <v>0</v>
      </c>
      <c r="FD309" s="1">
        <f t="shared" si="593"/>
        <v>0</v>
      </c>
      <c r="FE309" s="1">
        <f t="shared" si="594"/>
        <v>0</v>
      </c>
      <c r="FF309" s="1">
        <f t="shared" si="595"/>
        <v>0</v>
      </c>
      <c r="FG309" s="1">
        <f t="shared" si="596"/>
        <v>0</v>
      </c>
      <c r="FH309" s="1">
        <f t="shared" si="597"/>
        <v>0</v>
      </c>
      <c r="FI309" s="1">
        <f t="shared" si="598"/>
        <v>0</v>
      </c>
      <c r="FJ309" s="1">
        <f t="shared" si="599"/>
        <v>0</v>
      </c>
      <c r="FK309" s="1">
        <f t="shared" si="600"/>
        <v>0</v>
      </c>
      <c r="FL309" s="1">
        <f t="shared" si="601"/>
        <v>0</v>
      </c>
      <c r="FM309" s="1">
        <f t="shared" si="602"/>
        <v>0</v>
      </c>
      <c r="FN309" s="1">
        <f t="shared" si="603"/>
        <v>0</v>
      </c>
      <c r="FO309" s="1">
        <f t="shared" si="604"/>
        <v>0</v>
      </c>
      <c r="FP309" s="1">
        <f t="shared" si="605"/>
        <v>0</v>
      </c>
      <c r="FQ309" s="1">
        <f t="shared" si="606"/>
        <v>0</v>
      </c>
      <c r="FS309" s="1">
        <f t="shared" si="607"/>
        <v>0</v>
      </c>
      <c r="FT309" s="1">
        <f t="shared" si="608"/>
        <v>0</v>
      </c>
      <c r="FU309" s="38">
        <f t="shared" si="609"/>
        <v>0</v>
      </c>
      <c r="FV309" s="38">
        <f t="shared" si="610"/>
        <v>0</v>
      </c>
      <c r="FW309" s="38">
        <f t="shared" si="611"/>
        <v>0</v>
      </c>
      <c r="FX309" s="38">
        <f t="shared" si="612"/>
        <v>0</v>
      </c>
      <c r="FY309" s="38">
        <f t="shared" si="613"/>
        <v>0</v>
      </c>
      <c r="FZ309" s="38">
        <f t="shared" si="614"/>
        <v>0</v>
      </c>
      <c r="GA309" s="38">
        <f t="shared" si="615"/>
        <v>0</v>
      </c>
      <c r="GB309" s="38">
        <f t="shared" si="616"/>
        <v>0</v>
      </c>
      <c r="GC309" s="38">
        <f t="shared" si="617"/>
        <v>0</v>
      </c>
      <c r="GD309" s="38">
        <f t="shared" si="618"/>
        <v>0</v>
      </c>
      <c r="GE309" s="38">
        <f t="shared" si="619"/>
        <v>0</v>
      </c>
      <c r="GF309" s="38">
        <f t="shared" si="620"/>
        <v>0</v>
      </c>
      <c r="GG309" s="38">
        <f t="shared" si="621"/>
        <v>0</v>
      </c>
      <c r="GH309" s="38">
        <f t="shared" si="622"/>
        <v>0</v>
      </c>
      <c r="GI309" s="38">
        <f t="shared" si="623"/>
        <v>0</v>
      </c>
      <c r="GJ309" s="38">
        <f t="shared" si="624"/>
        <v>0</v>
      </c>
      <c r="GL309" s="38">
        <f t="shared" si="625"/>
        <v>0</v>
      </c>
      <c r="GM309" s="38">
        <f t="shared" si="626"/>
        <v>0</v>
      </c>
      <c r="GN309" s="1" t="s">
        <v>2</v>
      </c>
      <c r="GO309" s="2">
        <f t="shared" si="549"/>
        <v>0.59130000000000005</v>
      </c>
      <c r="GP309" s="1">
        <f t="shared" si="550"/>
        <v>2.2000000000000002</v>
      </c>
      <c r="GQ309" s="41">
        <f t="shared" si="551"/>
        <v>13.008600000000003</v>
      </c>
      <c r="GR309" s="41">
        <f t="shared" si="552"/>
        <v>170.59478040000002</v>
      </c>
      <c r="GS309" s="14">
        <f t="shared" si="553"/>
        <v>288.50799999999998</v>
      </c>
      <c r="GT309" s="1">
        <f t="shared" si="627"/>
        <v>0</v>
      </c>
      <c r="GU309" s="1">
        <f t="shared" si="628"/>
        <v>0</v>
      </c>
      <c r="GV309" s="1">
        <f t="shared" si="629"/>
        <v>13.008600000000001</v>
      </c>
      <c r="GW309" s="37">
        <f t="shared" si="554"/>
        <v>0</v>
      </c>
      <c r="GX309" s="37"/>
      <c r="GY309" s="37"/>
      <c r="GZ309" s="37"/>
      <c r="HB309" s="1">
        <f t="shared" si="630"/>
        <v>0</v>
      </c>
      <c r="HC309" s="1">
        <f t="shared" si="631"/>
        <v>0</v>
      </c>
      <c r="HD309" s="37" t="s">
        <v>2</v>
      </c>
      <c r="HE309" s="1" t="s">
        <v>113</v>
      </c>
      <c r="HF309" s="1" t="s">
        <v>223</v>
      </c>
      <c r="HI309" s="1" t="s">
        <v>96</v>
      </c>
      <c r="HJ309" s="37" t="s">
        <v>2</v>
      </c>
      <c r="JH309" s="58" t="s">
        <v>2</v>
      </c>
    </row>
    <row r="310" spans="1:268" ht="16.25" customHeight="1" x14ac:dyDescent="0.2">
      <c r="A310" s="15" t="s">
        <v>390</v>
      </c>
      <c r="B310" s="1" t="s">
        <v>71</v>
      </c>
      <c r="E310" s="1" t="s">
        <v>65</v>
      </c>
      <c r="F310" s="1" t="s">
        <v>356</v>
      </c>
      <c r="H310" s="1" t="s">
        <v>70</v>
      </c>
      <c r="I310" s="1">
        <v>0</v>
      </c>
      <c r="AD310" s="2">
        <f>0.1809+0.195</f>
        <v>0.37590000000000001</v>
      </c>
      <c r="AL310" s="14">
        <f>(2.8*0.1809+2*0.195)/AD310</f>
        <v>2.3849960095770149</v>
      </c>
      <c r="AY310" s="1">
        <v>0</v>
      </c>
      <c r="BT310" s="1">
        <v>0</v>
      </c>
      <c r="CO310" s="1">
        <v>0</v>
      </c>
      <c r="DJ310" s="1" t="s">
        <v>96</v>
      </c>
      <c r="DL310" s="1">
        <f t="shared" si="547"/>
        <v>2.3849960095770149</v>
      </c>
      <c r="DM310" s="1">
        <f t="shared" si="548"/>
        <v>0</v>
      </c>
      <c r="DN310" s="1" t="s">
        <v>67</v>
      </c>
      <c r="DO310" s="1" t="s">
        <v>2</v>
      </c>
      <c r="DP310" s="38">
        <f t="shared" si="555"/>
        <v>0</v>
      </c>
      <c r="DQ310" s="38">
        <f t="shared" si="556"/>
        <v>0</v>
      </c>
      <c r="DR310" s="38">
        <f t="shared" si="557"/>
        <v>0</v>
      </c>
      <c r="DS310" s="38">
        <f t="shared" si="558"/>
        <v>0</v>
      </c>
      <c r="DT310" s="38">
        <f t="shared" si="559"/>
        <v>0</v>
      </c>
      <c r="DU310" s="38">
        <f t="shared" si="560"/>
        <v>0</v>
      </c>
      <c r="DV310" s="38">
        <f t="shared" si="561"/>
        <v>0</v>
      </c>
      <c r="DW310" s="38">
        <f t="shared" si="562"/>
        <v>8.9651999999999996E-3</v>
      </c>
      <c r="DX310" s="38">
        <f t="shared" si="563"/>
        <v>0</v>
      </c>
      <c r="DY310" s="38">
        <f t="shared" si="564"/>
        <v>0</v>
      </c>
      <c r="DZ310" s="38">
        <f t="shared" si="565"/>
        <v>0</v>
      </c>
      <c r="EA310" s="38">
        <f t="shared" si="566"/>
        <v>0</v>
      </c>
      <c r="EB310" s="38">
        <f t="shared" si="567"/>
        <v>0</v>
      </c>
      <c r="EC310" s="38">
        <f t="shared" si="568"/>
        <v>0</v>
      </c>
      <c r="ED310" s="38">
        <f t="shared" si="569"/>
        <v>0</v>
      </c>
      <c r="EE310" s="38">
        <f t="shared" si="570"/>
        <v>0</v>
      </c>
      <c r="EG310" s="38">
        <f t="shared" si="571"/>
        <v>0</v>
      </c>
      <c r="EH310" s="38">
        <f t="shared" si="572"/>
        <v>0</v>
      </c>
      <c r="EI310" s="38">
        <f t="shared" si="573"/>
        <v>0</v>
      </c>
      <c r="EJ310" s="38">
        <f t="shared" si="574"/>
        <v>0</v>
      </c>
      <c r="EK310" s="38">
        <f t="shared" si="575"/>
        <v>0</v>
      </c>
      <c r="EL310" s="38">
        <f t="shared" si="576"/>
        <v>0</v>
      </c>
      <c r="EM310" s="38">
        <f t="shared" si="577"/>
        <v>0</v>
      </c>
      <c r="EN310" s="38">
        <f t="shared" si="578"/>
        <v>0</v>
      </c>
      <c r="EO310" s="38">
        <f t="shared" si="579"/>
        <v>0</v>
      </c>
      <c r="EP310" s="38">
        <f t="shared" si="580"/>
        <v>117.56963279999999</v>
      </c>
      <c r="EQ310" s="38">
        <f t="shared" si="581"/>
        <v>0</v>
      </c>
      <c r="ER310" s="38">
        <f t="shared" si="582"/>
        <v>0</v>
      </c>
      <c r="ES310" s="38">
        <f t="shared" si="583"/>
        <v>0</v>
      </c>
      <c r="ET310" s="38">
        <f t="shared" si="584"/>
        <v>0</v>
      </c>
      <c r="EU310" s="38">
        <f t="shared" si="585"/>
        <v>0</v>
      </c>
      <c r="EV310" s="38">
        <f t="shared" si="586"/>
        <v>0</v>
      </c>
      <c r="EW310" s="38">
        <f t="shared" si="587"/>
        <v>0</v>
      </c>
      <c r="EX310" s="38">
        <f t="shared" si="588"/>
        <v>0</v>
      </c>
      <c r="EZ310" s="38">
        <f t="shared" si="589"/>
        <v>0</v>
      </c>
      <c r="FA310" s="38">
        <f t="shared" si="590"/>
        <v>0</v>
      </c>
      <c r="FB310" s="1">
        <f t="shared" si="591"/>
        <v>0</v>
      </c>
      <c r="FC310" s="1">
        <f t="shared" si="592"/>
        <v>0</v>
      </c>
      <c r="FD310" s="1">
        <f t="shared" si="593"/>
        <v>0</v>
      </c>
      <c r="FE310" s="1">
        <f t="shared" si="594"/>
        <v>0</v>
      </c>
      <c r="FF310" s="1">
        <f t="shared" si="595"/>
        <v>0</v>
      </c>
      <c r="FG310" s="1">
        <f t="shared" si="596"/>
        <v>0</v>
      </c>
      <c r="FH310" s="1">
        <f t="shared" si="597"/>
        <v>0</v>
      </c>
      <c r="FI310" s="1">
        <f t="shared" si="598"/>
        <v>0</v>
      </c>
      <c r="FJ310" s="1">
        <f t="shared" si="599"/>
        <v>0</v>
      </c>
      <c r="FK310" s="1">
        <f t="shared" si="600"/>
        <v>0</v>
      </c>
      <c r="FL310" s="1">
        <f t="shared" si="601"/>
        <v>0</v>
      </c>
      <c r="FM310" s="1">
        <f t="shared" si="602"/>
        <v>0</v>
      </c>
      <c r="FN310" s="1">
        <f t="shared" si="603"/>
        <v>0</v>
      </c>
      <c r="FO310" s="1">
        <f t="shared" si="604"/>
        <v>0</v>
      </c>
      <c r="FP310" s="1">
        <f t="shared" si="605"/>
        <v>0</v>
      </c>
      <c r="FQ310" s="1">
        <f t="shared" si="606"/>
        <v>0</v>
      </c>
      <c r="FS310" s="1">
        <f t="shared" si="607"/>
        <v>0</v>
      </c>
      <c r="FT310" s="1">
        <f t="shared" si="608"/>
        <v>0</v>
      </c>
      <c r="FU310" s="38">
        <f t="shared" si="609"/>
        <v>0</v>
      </c>
      <c r="FV310" s="38">
        <f t="shared" si="610"/>
        <v>0</v>
      </c>
      <c r="FW310" s="38">
        <f t="shared" si="611"/>
        <v>0</v>
      </c>
      <c r="FX310" s="38">
        <f t="shared" si="612"/>
        <v>0</v>
      </c>
      <c r="FY310" s="38">
        <f t="shared" si="613"/>
        <v>0</v>
      </c>
      <c r="FZ310" s="38">
        <f t="shared" si="614"/>
        <v>0</v>
      </c>
      <c r="GA310" s="38">
        <f t="shared" si="615"/>
        <v>0</v>
      </c>
      <c r="GB310" s="38">
        <f t="shared" si="616"/>
        <v>0</v>
      </c>
      <c r="GC310" s="38">
        <f t="shared" si="617"/>
        <v>0</v>
      </c>
      <c r="GD310" s="38">
        <f t="shared" si="618"/>
        <v>0</v>
      </c>
      <c r="GE310" s="38">
        <f t="shared" si="619"/>
        <v>0</v>
      </c>
      <c r="GF310" s="38">
        <f t="shared" si="620"/>
        <v>0</v>
      </c>
      <c r="GG310" s="38">
        <f t="shared" si="621"/>
        <v>0</v>
      </c>
      <c r="GH310" s="38">
        <f t="shared" si="622"/>
        <v>0</v>
      </c>
      <c r="GI310" s="38">
        <f t="shared" si="623"/>
        <v>0</v>
      </c>
      <c r="GJ310" s="38">
        <f t="shared" si="624"/>
        <v>0</v>
      </c>
      <c r="GL310" s="38">
        <f t="shared" si="625"/>
        <v>0</v>
      </c>
      <c r="GM310" s="38">
        <f t="shared" si="626"/>
        <v>0</v>
      </c>
      <c r="GN310" s="1" t="s">
        <v>2</v>
      </c>
      <c r="GO310" s="2">
        <f t="shared" si="549"/>
        <v>0.37590000000000001</v>
      </c>
      <c r="GP310" s="13">
        <f t="shared" si="550"/>
        <v>2.3849960095770149</v>
      </c>
      <c r="GQ310" s="41">
        <f t="shared" si="551"/>
        <v>8.9651999999999994</v>
      </c>
      <c r="GR310" s="41">
        <f t="shared" si="552"/>
        <v>117.56963279999999</v>
      </c>
      <c r="GS310" s="14">
        <f t="shared" si="553"/>
        <v>312.76837669592976</v>
      </c>
      <c r="GT310" s="1">
        <f t="shared" si="627"/>
        <v>0</v>
      </c>
      <c r="GU310" s="1">
        <f t="shared" si="628"/>
        <v>8.9651999999999994</v>
      </c>
      <c r="GV310" s="1">
        <f t="shared" si="629"/>
        <v>0</v>
      </c>
      <c r="GW310" s="37">
        <f t="shared" si="554"/>
        <v>0</v>
      </c>
      <c r="GX310" s="37"/>
      <c r="GY310" s="37"/>
      <c r="GZ310" s="37"/>
      <c r="HB310" s="1">
        <f t="shared" si="630"/>
        <v>0</v>
      </c>
      <c r="HC310" s="1">
        <f t="shared" si="631"/>
        <v>0</v>
      </c>
      <c r="HD310" s="37" t="s">
        <v>2</v>
      </c>
      <c r="HE310" s="1" t="s">
        <v>113</v>
      </c>
      <c r="HF310" s="1" t="s">
        <v>223</v>
      </c>
      <c r="HI310" s="1" t="s">
        <v>96</v>
      </c>
      <c r="HJ310" s="37" t="s">
        <v>2</v>
      </c>
      <c r="JH310" s="58" t="s">
        <v>2</v>
      </c>
    </row>
    <row r="311" spans="1:268" ht="16.25" customHeight="1" x14ac:dyDescent="0.2">
      <c r="A311" s="15" t="s">
        <v>391</v>
      </c>
      <c r="B311" s="1" t="s">
        <v>69</v>
      </c>
      <c r="E311" s="1" t="s">
        <v>65</v>
      </c>
      <c r="F311" s="1" t="s">
        <v>392</v>
      </c>
      <c r="H311" s="1" t="s">
        <v>70</v>
      </c>
      <c r="I311" s="1">
        <v>0</v>
      </c>
      <c r="AD311" s="1">
        <v>0</v>
      </c>
      <c r="AY311" s="1">
        <v>0.6</v>
      </c>
      <c r="AZ311" s="1">
        <v>0.3</v>
      </c>
      <c r="BG311" s="1">
        <v>1.39</v>
      </c>
      <c r="BI311" s="11">
        <v>0.15</v>
      </c>
      <c r="BJ311" s="11">
        <v>0.3</v>
      </c>
      <c r="BK311" s="11">
        <v>0.05</v>
      </c>
      <c r="BL311" s="11"/>
      <c r="BM311" s="11"/>
      <c r="BT311" s="1">
        <v>0</v>
      </c>
      <c r="CO311" s="1">
        <v>0</v>
      </c>
      <c r="DJ311" s="1" t="s">
        <v>96</v>
      </c>
      <c r="DL311" s="1">
        <f t="shared" si="547"/>
        <v>1.39</v>
      </c>
      <c r="DM311" s="1">
        <f t="shared" si="548"/>
        <v>0</v>
      </c>
      <c r="DN311" s="1" t="s">
        <v>148</v>
      </c>
      <c r="DO311" s="1" t="s">
        <v>2</v>
      </c>
      <c r="DP311" s="38">
        <f t="shared" si="555"/>
        <v>1.8E-3</v>
      </c>
      <c r="DQ311" s="38">
        <f t="shared" si="556"/>
        <v>0</v>
      </c>
      <c r="DR311" s="38">
        <f t="shared" si="557"/>
        <v>0</v>
      </c>
      <c r="DS311" s="38">
        <f t="shared" si="558"/>
        <v>0</v>
      </c>
      <c r="DT311" s="38">
        <f t="shared" si="559"/>
        <v>0</v>
      </c>
      <c r="DU311" s="38">
        <f t="shared" si="560"/>
        <v>0</v>
      </c>
      <c r="DV311" s="38">
        <f t="shared" si="561"/>
        <v>0</v>
      </c>
      <c r="DW311" s="38">
        <f t="shared" si="562"/>
        <v>8.3400000000000002E-3</v>
      </c>
      <c r="DX311" s="38">
        <f t="shared" si="563"/>
        <v>0</v>
      </c>
      <c r="DY311" s="38">
        <f t="shared" si="564"/>
        <v>0.09</v>
      </c>
      <c r="DZ311" s="38">
        <f t="shared" si="565"/>
        <v>0.18</v>
      </c>
      <c r="EA311" s="38">
        <f t="shared" si="566"/>
        <v>0.03</v>
      </c>
      <c r="EB311" s="38">
        <f t="shared" si="567"/>
        <v>0</v>
      </c>
      <c r="EC311" s="38">
        <f t="shared" si="568"/>
        <v>0</v>
      </c>
      <c r="ED311" s="38">
        <f t="shared" si="569"/>
        <v>0</v>
      </c>
      <c r="EE311" s="38">
        <f t="shared" si="570"/>
        <v>0</v>
      </c>
      <c r="EG311" s="38">
        <f t="shared" si="571"/>
        <v>0</v>
      </c>
      <c r="EH311" s="38">
        <f t="shared" si="572"/>
        <v>0</v>
      </c>
      <c r="EI311" s="38">
        <f t="shared" si="573"/>
        <v>11.7461088</v>
      </c>
      <c r="EJ311" s="38">
        <f t="shared" si="574"/>
        <v>0</v>
      </c>
      <c r="EK311" s="38">
        <f t="shared" si="575"/>
        <v>0</v>
      </c>
      <c r="EL311" s="38">
        <f t="shared" si="576"/>
        <v>0</v>
      </c>
      <c r="EM311" s="38">
        <f t="shared" si="577"/>
        <v>0</v>
      </c>
      <c r="EN311" s="38">
        <f t="shared" si="578"/>
        <v>0</v>
      </c>
      <c r="EO311" s="38">
        <f t="shared" si="579"/>
        <v>0</v>
      </c>
      <c r="EP311" s="38">
        <f t="shared" si="580"/>
        <v>109.37076</v>
      </c>
      <c r="EQ311" s="38">
        <f t="shared" si="581"/>
        <v>0</v>
      </c>
      <c r="ER311" s="38">
        <f t="shared" si="582"/>
        <v>2.5543215434083599</v>
      </c>
      <c r="ES311" s="38">
        <f t="shared" si="583"/>
        <v>5.9986302250803858</v>
      </c>
      <c r="ET311" s="38">
        <f t="shared" si="584"/>
        <v>2.1465916398713825</v>
      </c>
      <c r="EU311" s="38">
        <f t="shared" si="585"/>
        <v>0</v>
      </c>
      <c r="EV311" s="38">
        <f t="shared" si="586"/>
        <v>0</v>
      </c>
      <c r="EW311" s="38">
        <f t="shared" si="587"/>
        <v>0</v>
      </c>
      <c r="EX311" s="38">
        <f t="shared" si="588"/>
        <v>0</v>
      </c>
      <c r="EZ311" s="38">
        <f t="shared" si="589"/>
        <v>0</v>
      </c>
      <c r="FA311" s="38">
        <f t="shared" si="590"/>
        <v>0</v>
      </c>
      <c r="FB311" s="1">
        <f t="shared" si="591"/>
        <v>0</v>
      </c>
      <c r="FC311" s="1">
        <f t="shared" si="592"/>
        <v>0</v>
      </c>
      <c r="FD311" s="1">
        <f t="shared" si="593"/>
        <v>0</v>
      </c>
      <c r="FE311" s="1">
        <f t="shared" si="594"/>
        <v>0</v>
      </c>
      <c r="FF311" s="1">
        <f t="shared" si="595"/>
        <v>0</v>
      </c>
      <c r="FG311" s="1">
        <f t="shared" si="596"/>
        <v>0</v>
      </c>
      <c r="FH311" s="1">
        <f t="shared" si="597"/>
        <v>0</v>
      </c>
      <c r="FI311" s="1">
        <f t="shared" si="598"/>
        <v>0</v>
      </c>
      <c r="FJ311" s="1">
        <f t="shared" si="599"/>
        <v>0</v>
      </c>
      <c r="FK311" s="1">
        <f t="shared" si="600"/>
        <v>0</v>
      </c>
      <c r="FL311" s="1">
        <f t="shared" si="601"/>
        <v>0</v>
      </c>
      <c r="FM311" s="1">
        <f t="shared" si="602"/>
        <v>0</v>
      </c>
      <c r="FN311" s="1">
        <f t="shared" si="603"/>
        <v>0</v>
      </c>
      <c r="FO311" s="1">
        <f t="shared" si="604"/>
        <v>0</v>
      </c>
      <c r="FP311" s="1">
        <f t="shared" si="605"/>
        <v>0</v>
      </c>
      <c r="FQ311" s="1">
        <f t="shared" si="606"/>
        <v>0</v>
      </c>
      <c r="FS311" s="1">
        <f t="shared" si="607"/>
        <v>0</v>
      </c>
      <c r="FT311" s="1">
        <f t="shared" si="608"/>
        <v>0</v>
      </c>
      <c r="FU311" s="38">
        <f t="shared" si="609"/>
        <v>0</v>
      </c>
      <c r="FV311" s="38">
        <f t="shared" si="610"/>
        <v>0</v>
      </c>
      <c r="FW311" s="38">
        <f t="shared" si="611"/>
        <v>0</v>
      </c>
      <c r="FX311" s="38">
        <f t="shared" si="612"/>
        <v>0</v>
      </c>
      <c r="FY311" s="38">
        <f t="shared" si="613"/>
        <v>0</v>
      </c>
      <c r="FZ311" s="38">
        <f t="shared" si="614"/>
        <v>0</v>
      </c>
      <c r="GA311" s="38">
        <f t="shared" si="615"/>
        <v>0</v>
      </c>
      <c r="GB311" s="38">
        <f t="shared" si="616"/>
        <v>0</v>
      </c>
      <c r="GC311" s="38">
        <f t="shared" si="617"/>
        <v>0</v>
      </c>
      <c r="GD311" s="38">
        <f t="shared" si="618"/>
        <v>0</v>
      </c>
      <c r="GE311" s="38">
        <f t="shared" si="619"/>
        <v>0</v>
      </c>
      <c r="GF311" s="38">
        <f t="shared" si="620"/>
        <v>0</v>
      </c>
      <c r="GG311" s="38">
        <f t="shared" si="621"/>
        <v>0</v>
      </c>
      <c r="GH311" s="38">
        <f t="shared" si="622"/>
        <v>0</v>
      </c>
      <c r="GI311" s="38">
        <f t="shared" si="623"/>
        <v>0</v>
      </c>
      <c r="GJ311" s="38">
        <f t="shared" si="624"/>
        <v>0</v>
      </c>
      <c r="GL311" s="38">
        <f t="shared" si="625"/>
        <v>0</v>
      </c>
      <c r="GM311" s="38">
        <f t="shared" si="626"/>
        <v>0</v>
      </c>
      <c r="GN311" s="1" t="s">
        <v>2</v>
      </c>
      <c r="GO311" s="1">
        <f t="shared" si="549"/>
        <v>0.6</v>
      </c>
      <c r="GP311" s="1">
        <f t="shared" si="550"/>
        <v>1.39</v>
      </c>
      <c r="GQ311" s="41">
        <f t="shared" si="551"/>
        <v>8.3399999999999981</v>
      </c>
      <c r="GR311" s="41">
        <f t="shared" si="552"/>
        <v>131.81641220836013</v>
      </c>
      <c r="GS311" s="14">
        <f t="shared" si="553"/>
        <v>219.6940203472669</v>
      </c>
      <c r="GT311" s="1">
        <f t="shared" si="627"/>
        <v>0</v>
      </c>
      <c r="GU311" s="1">
        <f t="shared" si="628"/>
        <v>0</v>
      </c>
      <c r="GV311" s="1">
        <f t="shared" si="629"/>
        <v>8.34</v>
      </c>
      <c r="GW311" s="37">
        <f t="shared" si="554"/>
        <v>0</v>
      </c>
      <c r="GX311" s="37"/>
      <c r="GY311" s="37"/>
      <c r="GZ311" s="37"/>
      <c r="HB311" s="1">
        <f t="shared" si="630"/>
        <v>0</v>
      </c>
      <c r="HC311" s="1">
        <f t="shared" si="631"/>
        <v>0</v>
      </c>
      <c r="HD311" s="37" t="s">
        <v>2</v>
      </c>
      <c r="HE311" s="1" t="s">
        <v>113</v>
      </c>
      <c r="HF311" s="1" t="s">
        <v>223</v>
      </c>
      <c r="HI311" s="1" t="s">
        <v>96</v>
      </c>
      <c r="HJ311" s="37" t="s">
        <v>2</v>
      </c>
      <c r="JH311" s="58" t="s">
        <v>2</v>
      </c>
    </row>
    <row r="312" spans="1:268" ht="16.25" customHeight="1" x14ac:dyDescent="0.2">
      <c r="A312" s="15" t="s">
        <v>397</v>
      </c>
      <c r="B312" s="1" t="s">
        <v>71</v>
      </c>
      <c r="E312" s="1" t="s">
        <v>65</v>
      </c>
      <c r="F312" s="1" t="s">
        <v>392</v>
      </c>
      <c r="H312" s="1" t="s">
        <v>70</v>
      </c>
      <c r="I312" s="1">
        <v>0</v>
      </c>
      <c r="AD312" s="1">
        <v>0</v>
      </c>
      <c r="AY312" s="1">
        <f>0.086+0.135</f>
        <v>0.221</v>
      </c>
      <c r="BG312" s="14">
        <f>(2*0.086+3.7*0.135)/AY312</f>
        <v>3.0384615384615383</v>
      </c>
      <c r="BT312" s="1">
        <v>0</v>
      </c>
      <c r="CO312" s="1">
        <v>0</v>
      </c>
      <c r="DJ312" s="1" t="s">
        <v>96</v>
      </c>
      <c r="DL312" s="1">
        <f t="shared" si="547"/>
        <v>3.0384615384615383</v>
      </c>
      <c r="DM312" s="1">
        <f t="shared" si="548"/>
        <v>0</v>
      </c>
      <c r="DN312" s="1" t="s">
        <v>148</v>
      </c>
      <c r="DO312" s="1" t="s">
        <v>2</v>
      </c>
      <c r="DP312" s="38">
        <f t="shared" si="555"/>
        <v>0</v>
      </c>
      <c r="DQ312" s="38">
        <f t="shared" si="556"/>
        <v>0</v>
      </c>
      <c r="DR312" s="38">
        <f t="shared" si="557"/>
        <v>0</v>
      </c>
      <c r="DS312" s="38">
        <f t="shared" si="558"/>
        <v>0</v>
      </c>
      <c r="DT312" s="38">
        <f t="shared" si="559"/>
        <v>0</v>
      </c>
      <c r="DU312" s="38">
        <f t="shared" si="560"/>
        <v>0</v>
      </c>
      <c r="DV312" s="38">
        <f t="shared" si="561"/>
        <v>0</v>
      </c>
      <c r="DW312" s="38">
        <f t="shared" si="562"/>
        <v>6.7149999999999996E-3</v>
      </c>
      <c r="DX312" s="38">
        <f t="shared" si="563"/>
        <v>0</v>
      </c>
      <c r="DY312" s="38">
        <f t="shared" si="564"/>
        <v>0</v>
      </c>
      <c r="DZ312" s="38">
        <f t="shared" si="565"/>
        <v>0</v>
      </c>
      <c r="EA312" s="38">
        <f t="shared" si="566"/>
        <v>0</v>
      </c>
      <c r="EB312" s="38">
        <f t="shared" si="567"/>
        <v>0</v>
      </c>
      <c r="EC312" s="38">
        <f t="shared" si="568"/>
        <v>0</v>
      </c>
      <c r="ED312" s="38">
        <f t="shared" si="569"/>
        <v>0</v>
      </c>
      <c r="EE312" s="38">
        <f t="shared" si="570"/>
        <v>0</v>
      </c>
      <c r="EG312" s="38">
        <f t="shared" si="571"/>
        <v>0</v>
      </c>
      <c r="EH312" s="38">
        <f t="shared" si="572"/>
        <v>0</v>
      </c>
      <c r="EI312" s="38">
        <f t="shared" si="573"/>
        <v>0</v>
      </c>
      <c r="EJ312" s="38">
        <f t="shared" si="574"/>
        <v>0</v>
      </c>
      <c r="EK312" s="38">
        <f t="shared" si="575"/>
        <v>0</v>
      </c>
      <c r="EL312" s="38">
        <f t="shared" si="576"/>
        <v>0</v>
      </c>
      <c r="EM312" s="38">
        <f t="shared" si="577"/>
        <v>0</v>
      </c>
      <c r="EN312" s="38">
        <f t="shared" si="578"/>
        <v>0</v>
      </c>
      <c r="EO312" s="38">
        <f t="shared" si="579"/>
        <v>0</v>
      </c>
      <c r="EP312" s="38">
        <f t="shared" si="580"/>
        <v>88.060509999999994</v>
      </c>
      <c r="EQ312" s="38">
        <f t="shared" si="581"/>
        <v>0</v>
      </c>
      <c r="ER312" s="38">
        <f t="shared" si="582"/>
        <v>0</v>
      </c>
      <c r="ES312" s="38">
        <f t="shared" si="583"/>
        <v>0</v>
      </c>
      <c r="ET312" s="38">
        <f t="shared" si="584"/>
        <v>0</v>
      </c>
      <c r="EU312" s="38">
        <f t="shared" si="585"/>
        <v>0</v>
      </c>
      <c r="EV312" s="38">
        <f t="shared" si="586"/>
        <v>0</v>
      </c>
      <c r="EW312" s="38">
        <f t="shared" si="587"/>
        <v>0</v>
      </c>
      <c r="EX312" s="38">
        <f t="shared" si="588"/>
        <v>0</v>
      </c>
      <c r="EZ312" s="38">
        <f t="shared" si="589"/>
        <v>0</v>
      </c>
      <c r="FA312" s="38">
        <f t="shared" si="590"/>
        <v>0</v>
      </c>
      <c r="FB312" s="1">
        <f t="shared" si="591"/>
        <v>0</v>
      </c>
      <c r="FC312" s="1">
        <f t="shared" si="592"/>
        <v>0</v>
      </c>
      <c r="FD312" s="1">
        <f t="shared" si="593"/>
        <v>0</v>
      </c>
      <c r="FE312" s="1">
        <f t="shared" si="594"/>
        <v>0</v>
      </c>
      <c r="FF312" s="1">
        <f t="shared" si="595"/>
        <v>0</v>
      </c>
      <c r="FG312" s="1">
        <f t="shared" si="596"/>
        <v>0</v>
      </c>
      <c r="FH312" s="1">
        <f t="shared" si="597"/>
        <v>0</v>
      </c>
      <c r="FI312" s="1">
        <f t="shared" si="598"/>
        <v>0</v>
      </c>
      <c r="FJ312" s="1">
        <f t="shared" si="599"/>
        <v>0</v>
      </c>
      <c r="FK312" s="1">
        <f t="shared" si="600"/>
        <v>0</v>
      </c>
      <c r="FL312" s="1">
        <f t="shared" si="601"/>
        <v>0</v>
      </c>
      <c r="FM312" s="1">
        <f t="shared" si="602"/>
        <v>0</v>
      </c>
      <c r="FN312" s="1">
        <f t="shared" si="603"/>
        <v>0</v>
      </c>
      <c r="FO312" s="1">
        <f t="shared" si="604"/>
        <v>0</v>
      </c>
      <c r="FP312" s="1">
        <f t="shared" si="605"/>
        <v>0</v>
      </c>
      <c r="FQ312" s="1">
        <f t="shared" si="606"/>
        <v>0</v>
      </c>
      <c r="FS312" s="1">
        <f t="shared" si="607"/>
        <v>0</v>
      </c>
      <c r="FT312" s="1">
        <f t="shared" si="608"/>
        <v>0</v>
      </c>
      <c r="FU312" s="38">
        <f t="shared" si="609"/>
        <v>0</v>
      </c>
      <c r="FV312" s="38">
        <f t="shared" si="610"/>
        <v>0</v>
      </c>
      <c r="FW312" s="38">
        <f t="shared" si="611"/>
        <v>0</v>
      </c>
      <c r="FX312" s="38">
        <f t="shared" si="612"/>
        <v>0</v>
      </c>
      <c r="FY312" s="38">
        <f t="shared" si="613"/>
        <v>0</v>
      </c>
      <c r="FZ312" s="38">
        <f t="shared" si="614"/>
        <v>0</v>
      </c>
      <c r="GA312" s="38">
        <f t="shared" si="615"/>
        <v>0</v>
      </c>
      <c r="GB312" s="38">
        <f t="shared" si="616"/>
        <v>0</v>
      </c>
      <c r="GC312" s="38">
        <f t="shared" si="617"/>
        <v>0</v>
      </c>
      <c r="GD312" s="38">
        <f t="shared" si="618"/>
        <v>0</v>
      </c>
      <c r="GE312" s="38">
        <f t="shared" si="619"/>
        <v>0</v>
      </c>
      <c r="GF312" s="38">
        <f t="shared" si="620"/>
        <v>0</v>
      </c>
      <c r="GG312" s="38">
        <f t="shared" si="621"/>
        <v>0</v>
      </c>
      <c r="GH312" s="38">
        <f t="shared" si="622"/>
        <v>0</v>
      </c>
      <c r="GI312" s="38">
        <f t="shared" si="623"/>
        <v>0</v>
      </c>
      <c r="GJ312" s="38">
        <f t="shared" si="624"/>
        <v>0</v>
      </c>
      <c r="GL312" s="38">
        <f t="shared" si="625"/>
        <v>0</v>
      </c>
      <c r="GM312" s="38">
        <f t="shared" si="626"/>
        <v>0</v>
      </c>
      <c r="GN312" s="1" t="s">
        <v>2</v>
      </c>
      <c r="GO312" s="1">
        <f t="shared" si="549"/>
        <v>0.221</v>
      </c>
      <c r="GP312" s="13">
        <f t="shared" si="550"/>
        <v>3.0384615384615383</v>
      </c>
      <c r="GQ312" s="41">
        <f t="shared" si="551"/>
        <v>6.7149999999999999</v>
      </c>
      <c r="GR312" s="41">
        <f t="shared" si="552"/>
        <v>88.060509999999994</v>
      </c>
      <c r="GS312" s="14">
        <f t="shared" si="553"/>
        <v>398.46384615384613</v>
      </c>
      <c r="GT312" s="1">
        <f t="shared" si="627"/>
        <v>0</v>
      </c>
      <c r="GU312" s="1">
        <f t="shared" si="628"/>
        <v>0</v>
      </c>
      <c r="GV312" s="1">
        <f t="shared" si="629"/>
        <v>6.7149999999999999</v>
      </c>
      <c r="GW312" s="37">
        <f t="shared" si="554"/>
        <v>0</v>
      </c>
      <c r="GX312" s="37"/>
      <c r="GY312" s="37"/>
      <c r="GZ312" s="37"/>
      <c r="HB312" s="1">
        <f t="shared" si="630"/>
        <v>0</v>
      </c>
      <c r="HC312" s="1">
        <f t="shared" si="631"/>
        <v>0</v>
      </c>
      <c r="HD312" s="37" t="s">
        <v>2</v>
      </c>
      <c r="HE312" s="1" t="s">
        <v>113</v>
      </c>
      <c r="HF312" s="1" t="s">
        <v>223</v>
      </c>
      <c r="HI312" s="1" t="s">
        <v>96</v>
      </c>
      <c r="HJ312" s="37" t="s">
        <v>2</v>
      </c>
      <c r="JH312" s="58" t="s">
        <v>2</v>
      </c>
    </row>
    <row r="313" spans="1:268" ht="16.25" customHeight="1" x14ac:dyDescent="0.2">
      <c r="A313" s="15" t="s">
        <v>398</v>
      </c>
      <c r="B313" s="1" t="s">
        <v>69</v>
      </c>
      <c r="E313" s="1" t="s">
        <v>65</v>
      </c>
      <c r="F313" s="1" t="s">
        <v>392</v>
      </c>
      <c r="H313" s="1" t="s">
        <v>70</v>
      </c>
      <c r="I313" s="1">
        <v>0</v>
      </c>
      <c r="AD313" s="1">
        <v>0</v>
      </c>
      <c r="AY313" s="1">
        <v>1.05</v>
      </c>
      <c r="AZ313" s="14">
        <v>0.2</v>
      </c>
      <c r="BG313" s="14">
        <v>2</v>
      </c>
      <c r="BH313" s="13">
        <v>0.06</v>
      </c>
      <c r="BT313" s="1">
        <v>0</v>
      </c>
      <c r="CO313" s="1">
        <v>0</v>
      </c>
      <c r="DJ313" s="1" t="s">
        <v>96</v>
      </c>
      <c r="DK313" s="1" t="s">
        <v>96</v>
      </c>
      <c r="DL313" s="1">
        <f t="shared" si="547"/>
        <v>2</v>
      </c>
      <c r="DM313" s="1">
        <f t="shared" si="548"/>
        <v>0.06</v>
      </c>
      <c r="DN313" s="1" t="s">
        <v>399</v>
      </c>
      <c r="DO313" s="1" t="s">
        <v>2</v>
      </c>
      <c r="DP313" s="38">
        <f t="shared" si="555"/>
        <v>2.1000000000000003E-3</v>
      </c>
      <c r="DQ313" s="38">
        <f t="shared" si="556"/>
        <v>0</v>
      </c>
      <c r="DR313" s="38">
        <f t="shared" si="557"/>
        <v>0</v>
      </c>
      <c r="DS313" s="38">
        <f t="shared" si="558"/>
        <v>0</v>
      </c>
      <c r="DT313" s="38">
        <f t="shared" si="559"/>
        <v>0</v>
      </c>
      <c r="DU313" s="38">
        <f t="shared" si="560"/>
        <v>0</v>
      </c>
      <c r="DV313" s="38">
        <f t="shared" si="561"/>
        <v>0</v>
      </c>
      <c r="DW313" s="38">
        <f t="shared" si="562"/>
        <v>2.1000000000000001E-2</v>
      </c>
      <c r="DX313" s="38">
        <f t="shared" si="563"/>
        <v>6.3000000000000003E-4</v>
      </c>
      <c r="DY313" s="38">
        <f t="shared" si="564"/>
        <v>0</v>
      </c>
      <c r="DZ313" s="38">
        <f t="shared" si="565"/>
        <v>0</v>
      </c>
      <c r="EA313" s="38">
        <f t="shared" si="566"/>
        <v>0</v>
      </c>
      <c r="EB313" s="38">
        <f t="shared" si="567"/>
        <v>0</v>
      </c>
      <c r="EC313" s="38">
        <f t="shared" si="568"/>
        <v>0</v>
      </c>
      <c r="ED313" s="38">
        <f t="shared" si="569"/>
        <v>0</v>
      </c>
      <c r="EE313" s="38">
        <f t="shared" si="570"/>
        <v>0</v>
      </c>
      <c r="EG313" s="38">
        <f t="shared" si="571"/>
        <v>0</v>
      </c>
      <c r="EH313" s="38">
        <f t="shared" si="572"/>
        <v>0</v>
      </c>
      <c r="EI313" s="38">
        <f t="shared" si="573"/>
        <v>13.703793600000003</v>
      </c>
      <c r="EJ313" s="38">
        <f t="shared" si="574"/>
        <v>0</v>
      </c>
      <c r="EK313" s="38">
        <f t="shared" si="575"/>
        <v>0</v>
      </c>
      <c r="EL313" s="38">
        <f t="shared" si="576"/>
        <v>0</v>
      </c>
      <c r="EM313" s="38">
        <f t="shared" si="577"/>
        <v>0</v>
      </c>
      <c r="EN313" s="38">
        <f t="shared" si="578"/>
        <v>0</v>
      </c>
      <c r="EO313" s="38">
        <f t="shared" si="579"/>
        <v>0</v>
      </c>
      <c r="EP313" s="38">
        <f t="shared" si="580"/>
        <v>275.39400000000001</v>
      </c>
      <c r="EQ313" s="38">
        <f t="shared" si="581"/>
        <v>45.750300119999999</v>
      </c>
      <c r="ER313" s="38">
        <f t="shared" si="582"/>
        <v>0</v>
      </c>
      <c r="ES313" s="38">
        <f t="shared" si="583"/>
        <v>0</v>
      </c>
      <c r="ET313" s="38">
        <f t="shared" si="584"/>
        <v>0</v>
      </c>
      <c r="EU313" s="38">
        <f t="shared" si="585"/>
        <v>0</v>
      </c>
      <c r="EV313" s="38">
        <f t="shared" si="586"/>
        <v>0</v>
      </c>
      <c r="EW313" s="38">
        <f t="shared" si="587"/>
        <v>0</v>
      </c>
      <c r="EX313" s="38">
        <f t="shared" si="588"/>
        <v>0</v>
      </c>
      <c r="EZ313" s="38">
        <f t="shared" si="589"/>
        <v>0</v>
      </c>
      <c r="FA313" s="38">
        <f t="shared" si="590"/>
        <v>0</v>
      </c>
      <c r="FB313" s="1">
        <f t="shared" si="591"/>
        <v>0</v>
      </c>
      <c r="FC313" s="1">
        <f t="shared" si="592"/>
        <v>0</v>
      </c>
      <c r="FD313" s="1">
        <f t="shared" si="593"/>
        <v>0</v>
      </c>
      <c r="FE313" s="1">
        <f t="shared" si="594"/>
        <v>0</v>
      </c>
      <c r="FF313" s="1">
        <f t="shared" si="595"/>
        <v>0</v>
      </c>
      <c r="FG313" s="1">
        <f t="shared" si="596"/>
        <v>0</v>
      </c>
      <c r="FH313" s="1">
        <f t="shared" si="597"/>
        <v>0</v>
      </c>
      <c r="FI313" s="1">
        <f t="shared" si="598"/>
        <v>0</v>
      </c>
      <c r="FJ313" s="1">
        <f t="shared" si="599"/>
        <v>0</v>
      </c>
      <c r="FK313" s="1">
        <f t="shared" si="600"/>
        <v>0</v>
      </c>
      <c r="FL313" s="1">
        <f t="shared" si="601"/>
        <v>0</v>
      </c>
      <c r="FM313" s="1">
        <f t="shared" si="602"/>
        <v>0</v>
      </c>
      <c r="FN313" s="1">
        <f t="shared" si="603"/>
        <v>0</v>
      </c>
      <c r="FO313" s="1">
        <f t="shared" si="604"/>
        <v>0</v>
      </c>
      <c r="FP313" s="1">
        <f t="shared" si="605"/>
        <v>0</v>
      </c>
      <c r="FQ313" s="1">
        <f t="shared" si="606"/>
        <v>0</v>
      </c>
      <c r="FS313" s="1">
        <f t="shared" si="607"/>
        <v>0</v>
      </c>
      <c r="FT313" s="1">
        <f t="shared" si="608"/>
        <v>0</v>
      </c>
      <c r="FU313" s="38">
        <f t="shared" si="609"/>
        <v>0</v>
      </c>
      <c r="FV313" s="38">
        <f t="shared" si="610"/>
        <v>0</v>
      </c>
      <c r="FW313" s="38">
        <f t="shared" si="611"/>
        <v>0</v>
      </c>
      <c r="FX313" s="38">
        <f t="shared" si="612"/>
        <v>0</v>
      </c>
      <c r="FY313" s="38">
        <f t="shared" si="613"/>
        <v>0</v>
      </c>
      <c r="FZ313" s="38">
        <f t="shared" si="614"/>
        <v>0</v>
      </c>
      <c r="GA313" s="38">
        <f t="shared" si="615"/>
        <v>0</v>
      </c>
      <c r="GB313" s="38">
        <f t="shared" si="616"/>
        <v>0</v>
      </c>
      <c r="GC313" s="38">
        <f t="shared" si="617"/>
        <v>0</v>
      </c>
      <c r="GD313" s="38">
        <f t="shared" si="618"/>
        <v>0</v>
      </c>
      <c r="GE313" s="38">
        <f t="shared" si="619"/>
        <v>0</v>
      </c>
      <c r="GF313" s="38">
        <f t="shared" si="620"/>
        <v>0</v>
      </c>
      <c r="GG313" s="38">
        <f t="shared" si="621"/>
        <v>0</v>
      </c>
      <c r="GH313" s="38">
        <f t="shared" si="622"/>
        <v>0</v>
      </c>
      <c r="GI313" s="38">
        <f t="shared" si="623"/>
        <v>0</v>
      </c>
      <c r="GJ313" s="38">
        <f t="shared" si="624"/>
        <v>0</v>
      </c>
      <c r="GL313" s="38">
        <f t="shared" si="625"/>
        <v>0</v>
      </c>
      <c r="GM313" s="38">
        <f t="shared" si="626"/>
        <v>0</v>
      </c>
      <c r="GN313" s="1" t="s">
        <v>2</v>
      </c>
      <c r="GO313" s="1">
        <f t="shared" si="549"/>
        <v>1.05</v>
      </c>
      <c r="GP313" s="1">
        <f t="shared" si="550"/>
        <v>2</v>
      </c>
      <c r="GQ313" s="41">
        <f t="shared" si="551"/>
        <v>21</v>
      </c>
      <c r="GR313" s="41">
        <f t="shared" si="552"/>
        <v>334.84809372000001</v>
      </c>
      <c r="GS313" s="14">
        <f t="shared" si="553"/>
        <v>318.90294640000002</v>
      </c>
      <c r="GT313" s="1">
        <f t="shared" si="627"/>
        <v>0</v>
      </c>
      <c r="GU313" s="1">
        <f t="shared" si="628"/>
        <v>0</v>
      </c>
      <c r="GV313" s="1">
        <f t="shared" si="629"/>
        <v>21</v>
      </c>
      <c r="GW313" s="37">
        <f t="shared" si="554"/>
        <v>0</v>
      </c>
      <c r="GX313" s="37"/>
      <c r="GY313" s="37"/>
      <c r="GZ313" s="37"/>
      <c r="HB313" s="1">
        <f t="shared" si="630"/>
        <v>0</v>
      </c>
      <c r="HC313" s="1">
        <f t="shared" si="631"/>
        <v>0</v>
      </c>
      <c r="HD313" s="37" t="s">
        <v>2</v>
      </c>
      <c r="HE313" s="1" t="s">
        <v>113</v>
      </c>
      <c r="HF313" s="1" t="s">
        <v>223</v>
      </c>
      <c r="HI313" s="1" t="s">
        <v>96</v>
      </c>
      <c r="HJ313" s="37" t="s">
        <v>2</v>
      </c>
      <c r="JH313" s="58" t="s">
        <v>2</v>
      </c>
    </row>
    <row r="314" spans="1:268" ht="16.25" customHeight="1" x14ac:dyDescent="0.2">
      <c r="A314" s="15" t="s">
        <v>400</v>
      </c>
      <c r="B314" s="1" t="s">
        <v>69</v>
      </c>
      <c r="E314" s="1" t="s">
        <v>65</v>
      </c>
      <c r="F314" s="1" t="s">
        <v>401</v>
      </c>
      <c r="H314" s="1" t="s">
        <v>70</v>
      </c>
      <c r="I314" s="1">
        <v>0</v>
      </c>
      <c r="AD314" s="1">
        <v>0</v>
      </c>
      <c r="AY314" s="1">
        <v>0.24</v>
      </c>
      <c r="BG314" s="1">
        <v>2.36</v>
      </c>
      <c r="BT314" s="1">
        <v>0</v>
      </c>
      <c r="CO314" s="1">
        <v>0</v>
      </c>
      <c r="DJ314" s="1" t="s">
        <v>96</v>
      </c>
      <c r="DL314" s="1">
        <f t="shared" si="547"/>
        <v>2.36</v>
      </c>
      <c r="DM314" s="1">
        <f t="shared" si="548"/>
        <v>0</v>
      </c>
      <c r="DN314" s="1" t="s">
        <v>67</v>
      </c>
      <c r="DO314" s="1" t="s">
        <v>2</v>
      </c>
      <c r="DP314" s="38">
        <f t="shared" si="555"/>
        <v>0</v>
      </c>
      <c r="DQ314" s="38">
        <f t="shared" si="556"/>
        <v>0</v>
      </c>
      <c r="DR314" s="38">
        <f t="shared" si="557"/>
        <v>0</v>
      </c>
      <c r="DS314" s="38">
        <f t="shared" si="558"/>
        <v>0</v>
      </c>
      <c r="DT314" s="38">
        <f t="shared" si="559"/>
        <v>0</v>
      </c>
      <c r="DU314" s="38">
        <f t="shared" si="560"/>
        <v>0</v>
      </c>
      <c r="DV314" s="38">
        <f t="shared" si="561"/>
        <v>0</v>
      </c>
      <c r="DW314" s="38">
        <f t="shared" si="562"/>
        <v>5.6639999999999989E-3</v>
      </c>
      <c r="DX314" s="38">
        <f t="shared" si="563"/>
        <v>0</v>
      </c>
      <c r="DY314" s="38">
        <f t="shared" si="564"/>
        <v>0</v>
      </c>
      <c r="DZ314" s="38">
        <f t="shared" si="565"/>
        <v>0</v>
      </c>
      <c r="EA314" s="38">
        <f t="shared" si="566"/>
        <v>0</v>
      </c>
      <c r="EB314" s="38">
        <f t="shared" si="567"/>
        <v>0</v>
      </c>
      <c r="EC314" s="38">
        <f t="shared" si="568"/>
        <v>0</v>
      </c>
      <c r="ED314" s="38">
        <f t="shared" si="569"/>
        <v>0</v>
      </c>
      <c r="EE314" s="38">
        <f t="shared" si="570"/>
        <v>0</v>
      </c>
      <c r="EG314" s="38">
        <f t="shared" si="571"/>
        <v>0</v>
      </c>
      <c r="EH314" s="38">
        <f t="shared" si="572"/>
        <v>0</v>
      </c>
      <c r="EI314" s="38">
        <f t="shared" si="573"/>
        <v>0</v>
      </c>
      <c r="EJ314" s="38">
        <f t="shared" si="574"/>
        <v>0</v>
      </c>
      <c r="EK314" s="38">
        <f t="shared" si="575"/>
        <v>0</v>
      </c>
      <c r="EL314" s="38">
        <f t="shared" si="576"/>
        <v>0</v>
      </c>
      <c r="EM314" s="38">
        <f t="shared" si="577"/>
        <v>0</v>
      </c>
      <c r="EN314" s="38">
        <f t="shared" si="578"/>
        <v>0</v>
      </c>
      <c r="EO314" s="38">
        <f t="shared" si="579"/>
        <v>0</v>
      </c>
      <c r="EP314" s="38">
        <f t="shared" si="580"/>
        <v>74.277695999999992</v>
      </c>
      <c r="EQ314" s="38">
        <f t="shared" si="581"/>
        <v>0</v>
      </c>
      <c r="ER314" s="38">
        <f t="shared" si="582"/>
        <v>0</v>
      </c>
      <c r="ES314" s="38">
        <f t="shared" si="583"/>
        <v>0</v>
      </c>
      <c r="ET314" s="38">
        <f t="shared" si="584"/>
        <v>0</v>
      </c>
      <c r="EU314" s="38">
        <f t="shared" si="585"/>
        <v>0</v>
      </c>
      <c r="EV314" s="38">
        <f t="shared" si="586"/>
        <v>0</v>
      </c>
      <c r="EW314" s="38">
        <f t="shared" si="587"/>
        <v>0</v>
      </c>
      <c r="EX314" s="38">
        <f t="shared" si="588"/>
        <v>0</v>
      </c>
      <c r="EZ314" s="38">
        <f t="shared" si="589"/>
        <v>0</v>
      </c>
      <c r="FA314" s="38">
        <f t="shared" si="590"/>
        <v>0</v>
      </c>
      <c r="FB314" s="1">
        <f t="shared" si="591"/>
        <v>0</v>
      </c>
      <c r="FC314" s="1">
        <f t="shared" si="592"/>
        <v>0</v>
      </c>
      <c r="FD314" s="1">
        <f t="shared" si="593"/>
        <v>0</v>
      </c>
      <c r="FE314" s="1">
        <f t="shared" si="594"/>
        <v>0</v>
      </c>
      <c r="FF314" s="1">
        <f t="shared" si="595"/>
        <v>0</v>
      </c>
      <c r="FG314" s="1">
        <f t="shared" si="596"/>
        <v>0</v>
      </c>
      <c r="FH314" s="1">
        <f t="shared" si="597"/>
        <v>0</v>
      </c>
      <c r="FI314" s="1">
        <f t="shared" si="598"/>
        <v>0</v>
      </c>
      <c r="FJ314" s="1">
        <f t="shared" si="599"/>
        <v>0</v>
      </c>
      <c r="FK314" s="1">
        <f t="shared" si="600"/>
        <v>0</v>
      </c>
      <c r="FL314" s="1">
        <f t="shared" si="601"/>
        <v>0</v>
      </c>
      <c r="FM314" s="1">
        <f t="shared" si="602"/>
        <v>0</v>
      </c>
      <c r="FN314" s="1">
        <f t="shared" si="603"/>
        <v>0</v>
      </c>
      <c r="FO314" s="1">
        <f t="shared" si="604"/>
        <v>0</v>
      </c>
      <c r="FP314" s="1">
        <f t="shared" si="605"/>
        <v>0</v>
      </c>
      <c r="FQ314" s="1">
        <f t="shared" si="606"/>
        <v>0</v>
      </c>
      <c r="FS314" s="1">
        <f t="shared" si="607"/>
        <v>0</v>
      </c>
      <c r="FT314" s="1">
        <f t="shared" si="608"/>
        <v>0</v>
      </c>
      <c r="FU314" s="38">
        <f t="shared" si="609"/>
        <v>0</v>
      </c>
      <c r="FV314" s="38">
        <f t="shared" si="610"/>
        <v>0</v>
      </c>
      <c r="FW314" s="38">
        <f t="shared" si="611"/>
        <v>0</v>
      </c>
      <c r="FX314" s="38">
        <f t="shared" si="612"/>
        <v>0</v>
      </c>
      <c r="FY314" s="38">
        <f t="shared" si="613"/>
        <v>0</v>
      </c>
      <c r="FZ314" s="38">
        <f t="shared" si="614"/>
        <v>0</v>
      </c>
      <c r="GA314" s="38">
        <f t="shared" si="615"/>
        <v>0</v>
      </c>
      <c r="GB314" s="38">
        <f t="shared" si="616"/>
        <v>0</v>
      </c>
      <c r="GC314" s="38">
        <f t="shared" si="617"/>
        <v>0</v>
      </c>
      <c r="GD314" s="38">
        <f t="shared" si="618"/>
        <v>0</v>
      </c>
      <c r="GE314" s="38">
        <f t="shared" si="619"/>
        <v>0</v>
      </c>
      <c r="GF314" s="38">
        <f t="shared" si="620"/>
        <v>0</v>
      </c>
      <c r="GG314" s="38">
        <f t="shared" si="621"/>
        <v>0</v>
      </c>
      <c r="GH314" s="38">
        <f t="shared" si="622"/>
        <v>0</v>
      </c>
      <c r="GI314" s="38">
        <f t="shared" si="623"/>
        <v>0</v>
      </c>
      <c r="GJ314" s="38">
        <f t="shared" si="624"/>
        <v>0</v>
      </c>
      <c r="GL314" s="38">
        <f t="shared" si="625"/>
        <v>0</v>
      </c>
      <c r="GM314" s="38">
        <f t="shared" si="626"/>
        <v>0</v>
      </c>
      <c r="GN314" s="1" t="s">
        <v>2</v>
      </c>
      <c r="GO314" s="1">
        <f t="shared" si="549"/>
        <v>0.24</v>
      </c>
      <c r="GP314" s="1">
        <f t="shared" si="550"/>
        <v>2.36</v>
      </c>
      <c r="GQ314" s="41">
        <f t="shared" si="551"/>
        <v>5.6639999999999997</v>
      </c>
      <c r="GR314" s="41">
        <f t="shared" si="552"/>
        <v>74.277695999999992</v>
      </c>
      <c r="GS314" s="14">
        <f t="shared" si="553"/>
        <v>309.49039999999997</v>
      </c>
      <c r="GT314" s="1">
        <f t="shared" si="627"/>
        <v>0</v>
      </c>
      <c r="GU314" s="1">
        <f t="shared" si="628"/>
        <v>0</v>
      </c>
      <c r="GV314" s="1">
        <f t="shared" si="629"/>
        <v>5.6639999999999988</v>
      </c>
      <c r="GW314" s="37">
        <f t="shared" si="554"/>
        <v>0</v>
      </c>
      <c r="GX314" s="37"/>
      <c r="GY314" s="37"/>
      <c r="GZ314" s="37"/>
      <c r="HB314" s="1">
        <f t="shared" si="630"/>
        <v>0</v>
      </c>
      <c r="HC314" s="1">
        <f t="shared" si="631"/>
        <v>0</v>
      </c>
      <c r="HD314" s="37" t="s">
        <v>2</v>
      </c>
      <c r="HE314" s="1" t="s">
        <v>113</v>
      </c>
      <c r="HF314" s="1" t="s">
        <v>223</v>
      </c>
      <c r="HI314" s="1" t="s">
        <v>96</v>
      </c>
      <c r="HJ314" s="37" t="s">
        <v>2</v>
      </c>
      <c r="JH314" s="58" t="s">
        <v>2</v>
      </c>
    </row>
    <row r="315" spans="1:268" ht="16.25" customHeight="1" x14ac:dyDescent="0.2">
      <c r="A315" s="15" t="s">
        <v>402</v>
      </c>
      <c r="B315" s="1" t="s">
        <v>69</v>
      </c>
      <c r="E315" s="1" t="s">
        <v>65</v>
      </c>
      <c r="F315" s="1" t="s">
        <v>389</v>
      </c>
      <c r="H315" s="1" t="s">
        <v>70</v>
      </c>
      <c r="I315" s="1">
        <v>0</v>
      </c>
      <c r="AD315" s="1">
        <v>0</v>
      </c>
      <c r="AY315" s="1">
        <v>0.22700000000000001</v>
      </c>
      <c r="AZ315" s="1">
        <v>0.06</v>
      </c>
      <c r="BG315" s="1">
        <v>1.7</v>
      </c>
      <c r="BT315" s="1">
        <v>0</v>
      </c>
      <c r="CO315" s="1">
        <v>0</v>
      </c>
      <c r="DJ315" s="1" t="s">
        <v>96</v>
      </c>
      <c r="DL315" s="1">
        <f t="shared" si="547"/>
        <v>1.7</v>
      </c>
      <c r="DM315" s="1">
        <f t="shared" si="548"/>
        <v>0</v>
      </c>
      <c r="DN315" s="1" t="s">
        <v>148</v>
      </c>
      <c r="DO315" s="1" t="s">
        <v>2</v>
      </c>
      <c r="DP315" s="38">
        <f t="shared" si="555"/>
        <v>1.362E-4</v>
      </c>
      <c r="DQ315" s="38">
        <f t="shared" si="556"/>
        <v>0</v>
      </c>
      <c r="DR315" s="38">
        <f t="shared" si="557"/>
        <v>0</v>
      </c>
      <c r="DS315" s="38">
        <f t="shared" si="558"/>
        <v>0</v>
      </c>
      <c r="DT315" s="38">
        <f t="shared" si="559"/>
        <v>0</v>
      </c>
      <c r="DU315" s="38">
        <f t="shared" si="560"/>
        <v>0</v>
      </c>
      <c r="DV315" s="38">
        <f t="shared" si="561"/>
        <v>0</v>
      </c>
      <c r="DW315" s="38">
        <f t="shared" si="562"/>
        <v>3.859E-3</v>
      </c>
      <c r="DX315" s="38">
        <f t="shared" si="563"/>
        <v>0</v>
      </c>
      <c r="DY315" s="38">
        <f t="shared" si="564"/>
        <v>0</v>
      </c>
      <c r="DZ315" s="38">
        <f t="shared" si="565"/>
        <v>0</v>
      </c>
      <c r="EA315" s="38">
        <f t="shared" si="566"/>
        <v>0</v>
      </c>
      <c r="EB315" s="38">
        <f t="shared" si="567"/>
        <v>0</v>
      </c>
      <c r="EC315" s="38">
        <f t="shared" si="568"/>
        <v>0</v>
      </c>
      <c r="ED315" s="38">
        <f t="shared" si="569"/>
        <v>0</v>
      </c>
      <c r="EE315" s="38">
        <f t="shared" si="570"/>
        <v>0</v>
      </c>
      <c r="EG315" s="38">
        <f t="shared" si="571"/>
        <v>0</v>
      </c>
      <c r="EH315" s="38">
        <f t="shared" si="572"/>
        <v>0</v>
      </c>
      <c r="EI315" s="38">
        <f t="shared" si="573"/>
        <v>0.88878889920000004</v>
      </c>
      <c r="EJ315" s="38">
        <f t="shared" si="574"/>
        <v>0</v>
      </c>
      <c r="EK315" s="38">
        <f t="shared" si="575"/>
        <v>0</v>
      </c>
      <c r="EL315" s="38">
        <f t="shared" si="576"/>
        <v>0</v>
      </c>
      <c r="EM315" s="38">
        <f t="shared" si="577"/>
        <v>0</v>
      </c>
      <c r="EN315" s="38">
        <f t="shared" si="578"/>
        <v>0</v>
      </c>
      <c r="EO315" s="38">
        <f t="shared" si="579"/>
        <v>0</v>
      </c>
      <c r="EP315" s="38">
        <f t="shared" si="580"/>
        <v>50.606926000000001</v>
      </c>
      <c r="EQ315" s="38">
        <f t="shared" si="581"/>
        <v>0</v>
      </c>
      <c r="ER315" s="38">
        <f t="shared" si="582"/>
        <v>0</v>
      </c>
      <c r="ES315" s="38">
        <f t="shared" si="583"/>
        <v>0</v>
      </c>
      <c r="ET315" s="38">
        <f t="shared" si="584"/>
        <v>0</v>
      </c>
      <c r="EU315" s="38">
        <f t="shared" si="585"/>
        <v>0</v>
      </c>
      <c r="EV315" s="38">
        <f t="shared" si="586"/>
        <v>0</v>
      </c>
      <c r="EW315" s="38">
        <f t="shared" si="587"/>
        <v>0</v>
      </c>
      <c r="EX315" s="38">
        <f t="shared" si="588"/>
        <v>0</v>
      </c>
      <c r="EZ315" s="38">
        <f t="shared" si="589"/>
        <v>0</v>
      </c>
      <c r="FA315" s="38">
        <f t="shared" si="590"/>
        <v>0</v>
      </c>
      <c r="FB315" s="1">
        <f t="shared" si="591"/>
        <v>0</v>
      </c>
      <c r="FC315" s="1">
        <f t="shared" si="592"/>
        <v>0</v>
      </c>
      <c r="FD315" s="1">
        <f t="shared" si="593"/>
        <v>0</v>
      </c>
      <c r="FE315" s="1">
        <f t="shared" si="594"/>
        <v>0</v>
      </c>
      <c r="FF315" s="1">
        <f t="shared" si="595"/>
        <v>0</v>
      </c>
      <c r="FG315" s="1">
        <f t="shared" si="596"/>
        <v>0</v>
      </c>
      <c r="FH315" s="1">
        <f t="shared" si="597"/>
        <v>0</v>
      </c>
      <c r="FI315" s="1">
        <f t="shared" si="598"/>
        <v>0</v>
      </c>
      <c r="FJ315" s="1">
        <f t="shared" si="599"/>
        <v>0</v>
      </c>
      <c r="FK315" s="1">
        <f t="shared" si="600"/>
        <v>0</v>
      </c>
      <c r="FL315" s="1">
        <f t="shared" si="601"/>
        <v>0</v>
      </c>
      <c r="FM315" s="1">
        <f t="shared" si="602"/>
        <v>0</v>
      </c>
      <c r="FN315" s="1">
        <f t="shared" si="603"/>
        <v>0</v>
      </c>
      <c r="FO315" s="1">
        <f t="shared" si="604"/>
        <v>0</v>
      </c>
      <c r="FP315" s="1">
        <f t="shared" si="605"/>
        <v>0</v>
      </c>
      <c r="FQ315" s="1">
        <f t="shared" si="606"/>
        <v>0</v>
      </c>
      <c r="FS315" s="1">
        <f t="shared" si="607"/>
        <v>0</v>
      </c>
      <c r="FT315" s="1">
        <f t="shared" si="608"/>
        <v>0</v>
      </c>
      <c r="FU315" s="38">
        <f t="shared" si="609"/>
        <v>0</v>
      </c>
      <c r="FV315" s="38">
        <f t="shared" si="610"/>
        <v>0</v>
      </c>
      <c r="FW315" s="38">
        <f t="shared" si="611"/>
        <v>0</v>
      </c>
      <c r="FX315" s="38">
        <f t="shared" si="612"/>
        <v>0</v>
      </c>
      <c r="FY315" s="38">
        <f t="shared" si="613"/>
        <v>0</v>
      </c>
      <c r="FZ315" s="38">
        <f t="shared" si="614"/>
        <v>0</v>
      </c>
      <c r="GA315" s="38">
        <f t="shared" si="615"/>
        <v>0</v>
      </c>
      <c r="GB315" s="38">
        <f t="shared" si="616"/>
        <v>0</v>
      </c>
      <c r="GC315" s="38">
        <f t="shared" si="617"/>
        <v>0</v>
      </c>
      <c r="GD315" s="38">
        <f t="shared" si="618"/>
        <v>0</v>
      </c>
      <c r="GE315" s="38">
        <f t="shared" si="619"/>
        <v>0</v>
      </c>
      <c r="GF315" s="38">
        <f t="shared" si="620"/>
        <v>0</v>
      </c>
      <c r="GG315" s="38">
        <f t="shared" si="621"/>
        <v>0</v>
      </c>
      <c r="GH315" s="38">
        <f t="shared" si="622"/>
        <v>0</v>
      </c>
      <c r="GI315" s="38">
        <f t="shared" si="623"/>
        <v>0</v>
      </c>
      <c r="GJ315" s="38">
        <f t="shared" si="624"/>
        <v>0</v>
      </c>
      <c r="GL315" s="38">
        <f t="shared" si="625"/>
        <v>0</v>
      </c>
      <c r="GM315" s="38">
        <f t="shared" si="626"/>
        <v>0</v>
      </c>
      <c r="GN315" s="1" t="s">
        <v>2</v>
      </c>
      <c r="GO315" s="1">
        <f t="shared" si="549"/>
        <v>0.22700000000000001</v>
      </c>
      <c r="GP315" s="1">
        <f t="shared" si="550"/>
        <v>1.7</v>
      </c>
      <c r="GQ315" s="41">
        <f t="shared" si="551"/>
        <v>3.859</v>
      </c>
      <c r="GR315" s="41">
        <f t="shared" si="552"/>
        <v>51.495714899200003</v>
      </c>
      <c r="GS315" s="14">
        <f t="shared" si="553"/>
        <v>226.85336960000001</v>
      </c>
      <c r="GT315" s="1">
        <f t="shared" si="627"/>
        <v>0</v>
      </c>
      <c r="GU315" s="1">
        <f t="shared" si="628"/>
        <v>0</v>
      </c>
      <c r="GV315" s="1">
        <f t="shared" si="629"/>
        <v>3.8590000000000004</v>
      </c>
      <c r="GW315" s="37">
        <f t="shared" si="554"/>
        <v>0</v>
      </c>
      <c r="GX315" s="37"/>
      <c r="GY315" s="37"/>
      <c r="GZ315" s="37"/>
      <c r="HB315" s="1">
        <f t="shared" si="630"/>
        <v>0</v>
      </c>
      <c r="HC315" s="1">
        <f t="shared" si="631"/>
        <v>0</v>
      </c>
      <c r="HD315" s="37" t="s">
        <v>2</v>
      </c>
      <c r="HE315" s="1" t="s">
        <v>113</v>
      </c>
      <c r="HF315" s="1" t="s">
        <v>223</v>
      </c>
      <c r="HI315" s="1" t="s">
        <v>96</v>
      </c>
      <c r="HJ315" s="37" t="s">
        <v>2</v>
      </c>
      <c r="JH315" s="58" t="s">
        <v>2</v>
      </c>
    </row>
    <row r="316" spans="1:268" ht="16.25" customHeight="1" x14ac:dyDescent="0.2">
      <c r="A316" s="15" t="s">
        <v>406</v>
      </c>
      <c r="B316" s="1" t="s">
        <v>69</v>
      </c>
      <c r="E316" s="1" t="s">
        <v>65</v>
      </c>
      <c r="F316" s="1" t="s">
        <v>407</v>
      </c>
      <c r="H316" s="1" t="s">
        <v>70</v>
      </c>
      <c r="I316" s="1">
        <v>0</v>
      </c>
      <c r="AD316" s="1">
        <v>0</v>
      </c>
      <c r="AY316" s="1">
        <v>0.35</v>
      </c>
      <c r="BG316" s="1">
        <v>0.9</v>
      </c>
      <c r="BT316" s="1">
        <v>0</v>
      </c>
      <c r="CO316" s="1">
        <v>0</v>
      </c>
      <c r="DJ316" s="1" t="s">
        <v>96</v>
      </c>
      <c r="DL316" s="1">
        <f t="shared" si="547"/>
        <v>0.9</v>
      </c>
      <c r="DM316" s="1">
        <f t="shared" si="548"/>
        <v>0</v>
      </c>
      <c r="DN316" s="1" t="s">
        <v>148</v>
      </c>
      <c r="DO316" s="1" t="s">
        <v>2</v>
      </c>
      <c r="DP316" s="38">
        <f t="shared" si="555"/>
        <v>0</v>
      </c>
      <c r="DQ316" s="38">
        <f t="shared" si="556"/>
        <v>0</v>
      </c>
      <c r="DR316" s="38">
        <f t="shared" si="557"/>
        <v>0</v>
      </c>
      <c r="DS316" s="38">
        <f t="shared" si="558"/>
        <v>0</v>
      </c>
      <c r="DT316" s="38">
        <f t="shared" si="559"/>
        <v>0</v>
      </c>
      <c r="DU316" s="38">
        <f t="shared" si="560"/>
        <v>0</v>
      </c>
      <c r="DV316" s="38">
        <f t="shared" si="561"/>
        <v>0</v>
      </c>
      <c r="DW316" s="38">
        <f t="shared" si="562"/>
        <v>3.15E-3</v>
      </c>
      <c r="DX316" s="38">
        <f t="shared" si="563"/>
        <v>0</v>
      </c>
      <c r="DY316" s="38">
        <f t="shared" si="564"/>
        <v>0</v>
      </c>
      <c r="DZ316" s="38">
        <f t="shared" si="565"/>
        <v>0</v>
      </c>
      <c r="EA316" s="38">
        <f t="shared" si="566"/>
        <v>0</v>
      </c>
      <c r="EB316" s="38">
        <f t="shared" si="567"/>
        <v>0</v>
      </c>
      <c r="EC316" s="38">
        <f t="shared" si="568"/>
        <v>0</v>
      </c>
      <c r="ED316" s="38">
        <f t="shared" si="569"/>
        <v>0</v>
      </c>
      <c r="EE316" s="38">
        <f t="shared" si="570"/>
        <v>0</v>
      </c>
      <c r="EG316" s="38">
        <f t="shared" si="571"/>
        <v>0</v>
      </c>
      <c r="EH316" s="38">
        <f t="shared" si="572"/>
        <v>0</v>
      </c>
      <c r="EI316" s="38">
        <f t="shared" si="573"/>
        <v>0</v>
      </c>
      <c r="EJ316" s="38">
        <f t="shared" si="574"/>
        <v>0</v>
      </c>
      <c r="EK316" s="38">
        <f t="shared" si="575"/>
        <v>0</v>
      </c>
      <c r="EL316" s="38">
        <f t="shared" si="576"/>
        <v>0</v>
      </c>
      <c r="EM316" s="38">
        <f t="shared" si="577"/>
        <v>0</v>
      </c>
      <c r="EN316" s="38">
        <f t="shared" si="578"/>
        <v>0</v>
      </c>
      <c r="EO316" s="38">
        <f t="shared" si="579"/>
        <v>0</v>
      </c>
      <c r="EP316" s="38">
        <f t="shared" si="580"/>
        <v>41.309100000000001</v>
      </c>
      <c r="EQ316" s="38">
        <f t="shared" si="581"/>
        <v>0</v>
      </c>
      <c r="ER316" s="38">
        <f t="shared" si="582"/>
        <v>0</v>
      </c>
      <c r="ES316" s="38">
        <f t="shared" si="583"/>
        <v>0</v>
      </c>
      <c r="ET316" s="38">
        <f t="shared" si="584"/>
        <v>0</v>
      </c>
      <c r="EU316" s="38">
        <f t="shared" si="585"/>
        <v>0</v>
      </c>
      <c r="EV316" s="38">
        <f t="shared" si="586"/>
        <v>0</v>
      </c>
      <c r="EW316" s="38">
        <f t="shared" si="587"/>
        <v>0</v>
      </c>
      <c r="EX316" s="38">
        <f t="shared" si="588"/>
        <v>0</v>
      </c>
      <c r="EZ316" s="38">
        <f t="shared" si="589"/>
        <v>0</v>
      </c>
      <c r="FA316" s="38">
        <f t="shared" si="590"/>
        <v>0</v>
      </c>
      <c r="FB316" s="1">
        <f t="shared" si="591"/>
        <v>0</v>
      </c>
      <c r="FC316" s="1">
        <f t="shared" si="592"/>
        <v>0</v>
      </c>
      <c r="FD316" s="1">
        <f t="shared" si="593"/>
        <v>0</v>
      </c>
      <c r="FE316" s="1">
        <f t="shared" si="594"/>
        <v>0</v>
      </c>
      <c r="FF316" s="1">
        <f t="shared" si="595"/>
        <v>0</v>
      </c>
      <c r="FG316" s="1">
        <f t="shared" si="596"/>
        <v>0</v>
      </c>
      <c r="FH316" s="1">
        <f t="shared" si="597"/>
        <v>0</v>
      </c>
      <c r="FI316" s="1">
        <f t="shared" si="598"/>
        <v>0</v>
      </c>
      <c r="FJ316" s="1">
        <f t="shared" si="599"/>
        <v>0</v>
      </c>
      <c r="FK316" s="1">
        <f t="shared" si="600"/>
        <v>0</v>
      </c>
      <c r="FL316" s="1">
        <f t="shared" si="601"/>
        <v>0</v>
      </c>
      <c r="FM316" s="1">
        <f t="shared" si="602"/>
        <v>0</v>
      </c>
      <c r="FN316" s="1">
        <f t="shared" si="603"/>
        <v>0</v>
      </c>
      <c r="FO316" s="1">
        <f t="shared" si="604"/>
        <v>0</v>
      </c>
      <c r="FP316" s="1">
        <f t="shared" si="605"/>
        <v>0</v>
      </c>
      <c r="FQ316" s="1">
        <f t="shared" si="606"/>
        <v>0</v>
      </c>
      <c r="FS316" s="1">
        <f t="shared" si="607"/>
        <v>0</v>
      </c>
      <c r="FT316" s="1">
        <f t="shared" si="608"/>
        <v>0</v>
      </c>
      <c r="FU316" s="38">
        <f t="shared" si="609"/>
        <v>0</v>
      </c>
      <c r="FV316" s="38">
        <f t="shared" si="610"/>
        <v>0</v>
      </c>
      <c r="FW316" s="38">
        <f t="shared" si="611"/>
        <v>0</v>
      </c>
      <c r="FX316" s="38">
        <f t="shared" si="612"/>
        <v>0</v>
      </c>
      <c r="FY316" s="38">
        <f t="shared" si="613"/>
        <v>0</v>
      </c>
      <c r="FZ316" s="38">
        <f t="shared" si="614"/>
        <v>0</v>
      </c>
      <c r="GA316" s="38">
        <f t="shared" si="615"/>
        <v>0</v>
      </c>
      <c r="GB316" s="38">
        <f t="shared" si="616"/>
        <v>0</v>
      </c>
      <c r="GC316" s="38">
        <f t="shared" si="617"/>
        <v>0</v>
      </c>
      <c r="GD316" s="38">
        <f t="shared" si="618"/>
        <v>0</v>
      </c>
      <c r="GE316" s="38">
        <f t="shared" si="619"/>
        <v>0</v>
      </c>
      <c r="GF316" s="38">
        <f t="shared" si="620"/>
        <v>0</v>
      </c>
      <c r="GG316" s="38">
        <f t="shared" si="621"/>
        <v>0</v>
      </c>
      <c r="GH316" s="38">
        <f t="shared" si="622"/>
        <v>0</v>
      </c>
      <c r="GI316" s="38">
        <f t="shared" si="623"/>
        <v>0</v>
      </c>
      <c r="GJ316" s="38">
        <f t="shared" si="624"/>
        <v>0</v>
      </c>
      <c r="GL316" s="38">
        <f t="shared" si="625"/>
        <v>0</v>
      </c>
      <c r="GM316" s="38">
        <f t="shared" si="626"/>
        <v>0</v>
      </c>
      <c r="GN316" s="1" t="s">
        <v>2</v>
      </c>
      <c r="GO316" s="1">
        <f t="shared" si="549"/>
        <v>0.35</v>
      </c>
      <c r="GP316" s="1">
        <f t="shared" si="550"/>
        <v>0.9</v>
      </c>
      <c r="GQ316" s="41">
        <f t="shared" si="551"/>
        <v>3.15</v>
      </c>
      <c r="GR316" s="41">
        <f t="shared" si="552"/>
        <v>41.309100000000001</v>
      </c>
      <c r="GS316" s="14">
        <f t="shared" si="553"/>
        <v>118.02600000000001</v>
      </c>
      <c r="GT316" s="1">
        <f t="shared" si="627"/>
        <v>0</v>
      </c>
      <c r="GU316" s="1">
        <f t="shared" si="628"/>
        <v>0</v>
      </c>
      <c r="GV316" s="1">
        <f t="shared" si="629"/>
        <v>3.15</v>
      </c>
      <c r="GW316" s="37">
        <f t="shared" si="554"/>
        <v>0</v>
      </c>
      <c r="GX316" s="37"/>
      <c r="GY316" s="37"/>
      <c r="GZ316" s="37"/>
      <c r="HB316" s="1">
        <f t="shared" si="630"/>
        <v>0</v>
      </c>
      <c r="HC316" s="1">
        <f t="shared" si="631"/>
        <v>0</v>
      </c>
      <c r="HD316" s="37" t="s">
        <v>2</v>
      </c>
      <c r="HE316" s="1" t="s">
        <v>113</v>
      </c>
      <c r="HF316" s="1" t="s">
        <v>223</v>
      </c>
      <c r="HI316" s="1" t="s">
        <v>96</v>
      </c>
      <c r="HJ316" s="37" t="s">
        <v>2</v>
      </c>
      <c r="JH316" s="58" t="s">
        <v>2</v>
      </c>
    </row>
    <row r="317" spans="1:268" ht="16.25" customHeight="1" x14ac:dyDescent="0.2">
      <c r="A317" s="15" t="s">
        <v>408</v>
      </c>
      <c r="B317" s="1" t="s">
        <v>71</v>
      </c>
      <c r="E317" s="1" t="s">
        <v>72</v>
      </c>
      <c r="F317" s="1" t="s">
        <v>401</v>
      </c>
      <c r="H317" s="1" t="s">
        <v>70</v>
      </c>
      <c r="I317" s="1">
        <v>0</v>
      </c>
      <c r="AD317" s="2">
        <f>0.0013+0.0192+0.0087+0.1</f>
        <v>0.12920000000000001</v>
      </c>
      <c r="AE317" s="11">
        <v>0.2</v>
      </c>
      <c r="AL317" s="14">
        <f>(1.52*0.0013+3.28*0.0192+4.8*0.0087+2*0.1)/AD317</f>
        <v>2.3739318885448912</v>
      </c>
      <c r="AM317" s="1">
        <v>0.03</v>
      </c>
      <c r="AY317" s="2">
        <f>0.0753+0.142</f>
        <v>0.21729999999999999</v>
      </c>
      <c r="AZ317" s="11">
        <v>0.2</v>
      </c>
      <c r="BG317" s="14">
        <f>(3.07*0.0753+2*0.142)/AY317</f>
        <v>2.3707823285780032</v>
      </c>
      <c r="BH317" s="1">
        <v>0.03</v>
      </c>
      <c r="BT317" s="1">
        <v>0</v>
      </c>
      <c r="CO317" s="1">
        <v>0</v>
      </c>
      <c r="DJ317" s="1" t="s">
        <v>96</v>
      </c>
      <c r="DK317" s="1" t="s">
        <v>96</v>
      </c>
      <c r="DL317" s="1">
        <f t="shared" si="547"/>
        <v>2.3719567099567098</v>
      </c>
      <c r="DM317" s="1">
        <f t="shared" si="548"/>
        <v>2.9999999999999995E-2</v>
      </c>
      <c r="DN317" s="1" t="s">
        <v>148</v>
      </c>
      <c r="DO317" s="1" t="s">
        <v>2</v>
      </c>
      <c r="DP317" s="38">
        <f t="shared" si="555"/>
        <v>6.9300000000000004E-4</v>
      </c>
      <c r="DQ317" s="38">
        <f t="shared" si="556"/>
        <v>0</v>
      </c>
      <c r="DR317" s="38">
        <f t="shared" si="557"/>
        <v>0</v>
      </c>
      <c r="DS317" s="38">
        <f t="shared" si="558"/>
        <v>0</v>
      </c>
      <c r="DT317" s="38">
        <f t="shared" si="559"/>
        <v>0</v>
      </c>
      <c r="DU317" s="38">
        <f t="shared" si="560"/>
        <v>0</v>
      </c>
      <c r="DV317" s="38">
        <f t="shared" si="561"/>
        <v>0</v>
      </c>
      <c r="DW317" s="38">
        <f t="shared" si="562"/>
        <v>8.2188299999999999E-3</v>
      </c>
      <c r="DX317" s="38">
        <f t="shared" si="563"/>
        <v>1.0394999999999999E-4</v>
      </c>
      <c r="DY317" s="38">
        <f t="shared" si="564"/>
        <v>0</v>
      </c>
      <c r="DZ317" s="38">
        <f t="shared" si="565"/>
        <v>0</v>
      </c>
      <c r="EA317" s="38">
        <f t="shared" si="566"/>
        <v>0</v>
      </c>
      <c r="EB317" s="38">
        <f t="shared" si="567"/>
        <v>0</v>
      </c>
      <c r="EC317" s="38">
        <f t="shared" si="568"/>
        <v>0</v>
      </c>
      <c r="ED317" s="38">
        <f t="shared" si="569"/>
        <v>0</v>
      </c>
      <c r="EE317" s="38">
        <f t="shared" si="570"/>
        <v>0</v>
      </c>
      <c r="EG317" s="38">
        <f t="shared" si="571"/>
        <v>0</v>
      </c>
      <c r="EH317" s="38">
        <f t="shared" si="572"/>
        <v>0</v>
      </c>
      <c r="EI317" s="38">
        <f t="shared" si="573"/>
        <v>4.5222518880000004</v>
      </c>
      <c r="EJ317" s="38">
        <f t="shared" si="574"/>
        <v>0</v>
      </c>
      <c r="EK317" s="38">
        <f t="shared" si="575"/>
        <v>0</v>
      </c>
      <c r="EL317" s="38">
        <f t="shared" si="576"/>
        <v>0</v>
      </c>
      <c r="EM317" s="38">
        <f t="shared" si="577"/>
        <v>0</v>
      </c>
      <c r="EN317" s="38">
        <f t="shared" si="578"/>
        <v>0</v>
      </c>
      <c r="EO317" s="38">
        <f t="shared" si="579"/>
        <v>0</v>
      </c>
      <c r="EP317" s="38">
        <f t="shared" si="580"/>
        <v>107.78173662</v>
      </c>
      <c r="EQ317" s="38">
        <f t="shared" si="581"/>
        <v>7.5487995197999984</v>
      </c>
      <c r="ER317" s="38">
        <f t="shared" si="582"/>
        <v>0</v>
      </c>
      <c r="ES317" s="38">
        <f t="shared" si="583"/>
        <v>0</v>
      </c>
      <c r="ET317" s="38">
        <f t="shared" si="584"/>
        <v>0</v>
      </c>
      <c r="EU317" s="38">
        <f t="shared" si="585"/>
        <v>0</v>
      </c>
      <c r="EV317" s="38">
        <f t="shared" si="586"/>
        <v>0</v>
      </c>
      <c r="EW317" s="38">
        <f t="shared" si="587"/>
        <v>0</v>
      </c>
      <c r="EX317" s="38">
        <f t="shared" si="588"/>
        <v>0</v>
      </c>
      <c r="EZ317" s="38">
        <f t="shared" si="589"/>
        <v>0</v>
      </c>
      <c r="FA317" s="38">
        <f t="shared" si="590"/>
        <v>0</v>
      </c>
      <c r="FB317" s="1">
        <f t="shared" si="591"/>
        <v>0</v>
      </c>
      <c r="FC317" s="1">
        <f t="shared" si="592"/>
        <v>0</v>
      </c>
      <c r="FD317" s="1">
        <f t="shared" si="593"/>
        <v>0</v>
      </c>
      <c r="FE317" s="1">
        <f t="shared" si="594"/>
        <v>0</v>
      </c>
      <c r="FF317" s="1">
        <f t="shared" si="595"/>
        <v>0</v>
      </c>
      <c r="FG317" s="1">
        <f t="shared" si="596"/>
        <v>0</v>
      </c>
      <c r="FH317" s="1">
        <f t="shared" si="597"/>
        <v>0</v>
      </c>
      <c r="FI317" s="1">
        <f t="shared" si="598"/>
        <v>0</v>
      </c>
      <c r="FJ317" s="1">
        <f t="shared" si="599"/>
        <v>0</v>
      </c>
      <c r="FK317" s="1">
        <f t="shared" si="600"/>
        <v>0</v>
      </c>
      <c r="FL317" s="1">
        <f t="shared" si="601"/>
        <v>0</v>
      </c>
      <c r="FM317" s="1">
        <f t="shared" si="602"/>
        <v>0</v>
      </c>
      <c r="FN317" s="1">
        <f t="shared" si="603"/>
        <v>0</v>
      </c>
      <c r="FO317" s="1">
        <f t="shared" si="604"/>
        <v>0</v>
      </c>
      <c r="FP317" s="1">
        <f t="shared" si="605"/>
        <v>0</v>
      </c>
      <c r="FQ317" s="1">
        <f t="shared" si="606"/>
        <v>0</v>
      </c>
      <c r="FS317" s="1">
        <f t="shared" si="607"/>
        <v>0</v>
      </c>
      <c r="FT317" s="1">
        <f t="shared" si="608"/>
        <v>0</v>
      </c>
      <c r="FU317" s="38">
        <f t="shared" si="609"/>
        <v>0</v>
      </c>
      <c r="FV317" s="38">
        <f t="shared" si="610"/>
        <v>0</v>
      </c>
      <c r="FW317" s="38">
        <f t="shared" si="611"/>
        <v>0</v>
      </c>
      <c r="FX317" s="38">
        <f t="shared" si="612"/>
        <v>0</v>
      </c>
      <c r="FY317" s="38">
        <f t="shared" si="613"/>
        <v>0</v>
      </c>
      <c r="FZ317" s="38">
        <f t="shared" si="614"/>
        <v>0</v>
      </c>
      <c r="GA317" s="38">
        <f t="shared" si="615"/>
        <v>0</v>
      </c>
      <c r="GB317" s="38">
        <f t="shared" si="616"/>
        <v>0</v>
      </c>
      <c r="GC317" s="38">
        <f t="shared" si="617"/>
        <v>0</v>
      </c>
      <c r="GD317" s="38">
        <f t="shared" si="618"/>
        <v>0</v>
      </c>
      <c r="GE317" s="38">
        <f t="shared" si="619"/>
        <v>0</v>
      </c>
      <c r="GF317" s="38">
        <f t="shared" si="620"/>
        <v>0</v>
      </c>
      <c r="GG317" s="38">
        <f t="shared" si="621"/>
        <v>0</v>
      </c>
      <c r="GH317" s="38">
        <f t="shared" si="622"/>
        <v>0</v>
      </c>
      <c r="GI317" s="38">
        <f t="shared" si="623"/>
        <v>0</v>
      </c>
      <c r="GJ317" s="38">
        <f t="shared" si="624"/>
        <v>0</v>
      </c>
      <c r="GL317" s="38">
        <f t="shared" si="625"/>
        <v>0</v>
      </c>
      <c r="GM317" s="38">
        <f t="shared" si="626"/>
        <v>0</v>
      </c>
      <c r="GN317" s="1" t="s">
        <v>2</v>
      </c>
      <c r="GO317" s="2">
        <f t="shared" si="549"/>
        <v>0.34650000000000003</v>
      </c>
      <c r="GP317" s="13">
        <f t="shared" si="550"/>
        <v>2.3719567099567098</v>
      </c>
      <c r="GQ317" s="41">
        <f t="shared" si="551"/>
        <v>8.2188300000000005</v>
      </c>
      <c r="GR317" s="41">
        <f t="shared" si="552"/>
        <v>119.8527880278</v>
      </c>
      <c r="GS317" s="14">
        <f t="shared" si="553"/>
        <v>345.89549214372295</v>
      </c>
      <c r="GT317" s="1">
        <f t="shared" si="627"/>
        <v>0</v>
      </c>
      <c r="GU317" s="1">
        <f t="shared" si="628"/>
        <v>3.0671200000000001</v>
      </c>
      <c r="GV317" s="1">
        <f t="shared" si="629"/>
        <v>5.1517100000000005</v>
      </c>
      <c r="GW317" s="37">
        <f t="shared" si="554"/>
        <v>0</v>
      </c>
      <c r="GX317" s="37"/>
      <c r="GY317" s="37"/>
      <c r="GZ317" s="37"/>
      <c r="HB317" s="1">
        <f t="shared" si="630"/>
        <v>0</v>
      </c>
      <c r="HC317" s="1">
        <f t="shared" si="631"/>
        <v>0</v>
      </c>
      <c r="HD317" s="37" t="s">
        <v>2</v>
      </c>
      <c r="HE317" s="1" t="s">
        <v>113</v>
      </c>
      <c r="HF317" s="1" t="s">
        <v>223</v>
      </c>
      <c r="HI317" s="1" t="s">
        <v>96</v>
      </c>
      <c r="HJ317" s="37" t="s">
        <v>2</v>
      </c>
      <c r="JH317" s="58" t="s">
        <v>2</v>
      </c>
    </row>
    <row r="318" spans="1:268" ht="16.25" customHeight="1" x14ac:dyDescent="0.2">
      <c r="A318" s="15" t="s">
        <v>409</v>
      </c>
      <c r="B318" s="1" t="s">
        <v>69</v>
      </c>
      <c r="E318" s="1" t="s">
        <v>65</v>
      </c>
      <c r="F318" s="1" t="s">
        <v>410</v>
      </c>
      <c r="H318" s="1" t="s">
        <v>70</v>
      </c>
      <c r="I318" s="1">
        <v>0</v>
      </c>
      <c r="AD318" s="1">
        <v>0</v>
      </c>
      <c r="AY318" s="1">
        <v>8.5999999999999993E-2</v>
      </c>
      <c r="BG318" s="1">
        <v>2</v>
      </c>
      <c r="BT318" s="1">
        <v>0</v>
      </c>
      <c r="CO318" s="1">
        <v>0</v>
      </c>
      <c r="DJ318" s="1" t="s">
        <v>96</v>
      </c>
      <c r="DL318" s="1">
        <f t="shared" si="547"/>
        <v>2</v>
      </c>
      <c r="DM318" s="1">
        <f t="shared" si="548"/>
        <v>0</v>
      </c>
      <c r="DN318" s="1" t="s">
        <v>148</v>
      </c>
      <c r="DO318" s="1" t="s">
        <v>2</v>
      </c>
      <c r="DP318" s="38">
        <f t="shared" si="555"/>
        <v>0</v>
      </c>
      <c r="DQ318" s="38">
        <f t="shared" si="556"/>
        <v>0</v>
      </c>
      <c r="DR318" s="38">
        <f t="shared" si="557"/>
        <v>0</v>
      </c>
      <c r="DS318" s="38">
        <f t="shared" si="558"/>
        <v>0</v>
      </c>
      <c r="DT318" s="38">
        <f t="shared" si="559"/>
        <v>0</v>
      </c>
      <c r="DU318" s="38">
        <f t="shared" si="560"/>
        <v>0</v>
      </c>
      <c r="DV318" s="38">
        <f t="shared" si="561"/>
        <v>0</v>
      </c>
      <c r="DW318" s="38">
        <f t="shared" si="562"/>
        <v>1.72E-3</v>
      </c>
      <c r="DX318" s="38">
        <f t="shared" si="563"/>
        <v>0</v>
      </c>
      <c r="DY318" s="38">
        <f t="shared" si="564"/>
        <v>0</v>
      </c>
      <c r="DZ318" s="38">
        <f t="shared" si="565"/>
        <v>0</v>
      </c>
      <c r="EA318" s="38">
        <f t="shared" si="566"/>
        <v>0</v>
      </c>
      <c r="EB318" s="38">
        <f t="shared" si="567"/>
        <v>0</v>
      </c>
      <c r="EC318" s="38">
        <f t="shared" si="568"/>
        <v>0</v>
      </c>
      <c r="ED318" s="38">
        <f t="shared" si="569"/>
        <v>0</v>
      </c>
      <c r="EE318" s="38">
        <f t="shared" si="570"/>
        <v>0</v>
      </c>
      <c r="EG318" s="38">
        <f t="shared" si="571"/>
        <v>0</v>
      </c>
      <c r="EH318" s="38">
        <f t="shared" si="572"/>
        <v>0</v>
      </c>
      <c r="EI318" s="38">
        <f t="shared" si="573"/>
        <v>0</v>
      </c>
      <c r="EJ318" s="38">
        <f t="shared" si="574"/>
        <v>0</v>
      </c>
      <c r="EK318" s="38">
        <f t="shared" si="575"/>
        <v>0</v>
      </c>
      <c r="EL318" s="38">
        <f t="shared" si="576"/>
        <v>0</v>
      </c>
      <c r="EM318" s="38">
        <f t="shared" si="577"/>
        <v>0</v>
      </c>
      <c r="EN318" s="38">
        <f t="shared" si="578"/>
        <v>0</v>
      </c>
      <c r="EO318" s="38">
        <f t="shared" si="579"/>
        <v>0</v>
      </c>
      <c r="EP318" s="38">
        <f t="shared" si="580"/>
        <v>22.556079999999998</v>
      </c>
      <c r="EQ318" s="38">
        <f t="shared" si="581"/>
        <v>0</v>
      </c>
      <c r="ER318" s="38">
        <f t="shared" si="582"/>
        <v>0</v>
      </c>
      <c r="ES318" s="38">
        <f t="shared" si="583"/>
        <v>0</v>
      </c>
      <c r="ET318" s="38">
        <f t="shared" si="584"/>
        <v>0</v>
      </c>
      <c r="EU318" s="38">
        <f t="shared" si="585"/>
        <v>0</v>
      </c>
      <c r="EV318" s="38">
        <f t="shared" si="586"/>
        <v>0</v>
      </c>
      <c r="EW318" s="38">
        <f t="shared" si="587"/>
        <v>0</v>
      </c>
      <c r="EX318" s="38">
        <f t="shared" si="588"/>
        <v>0</v>
      </c>
      <c r="EZ318" s="38">
        <f t="shared" si="589"/>
        <v>0</v>
      </c>
      <c r="FA318" s="38">
        <f t="shared" si="590"/>
        <v>0</v>
      </c>
      <c r="FB318" s="1">
        <f t="shared" si="591"/>
        <v>0</v>
      </c>
      <c r="FC318" s="1">
        <f t="shared" si="592"/>
        <v>0</v>
      </c>
      <c r="FD318" s="1">
        <f t="shared" si="593"/>
        <v>0</v>
      </c>
      <c r="FE318" s="1">
        <f t="shared" si="594"/>
        <v>0</v>
      </c>
      <c r="FF318" s="1">
        <f t="shared" si="595"/>
        <v>0</v>
      </c>
      <c r="FG318" s="1">
        <f t="shared" si="596"/>
        <v>0</v>
      </c>
      <c r="FH318" s="1">
        <f t="shared" si="597"/>
        <v>0</v>
      </c>
      <c r="FI318" s="1">
        <f t="shared" si="598"/>
        <v>0</v>
      </c>
      <c r="FJ318" s="1">
        <f t="shared" si="599"/>
        <v>0</v>
      </c>
      <c r="FK318" s="1">
        <f t="shared" si="600"/>
        <v>0</v>
      </c>
      <c r="FL318" s="1">
        <f t="shared" si="601"/>
        <v>0</v>
      </c>
      <c r="FM318" s="1">
        <f t="shared" si="602"/>
        <v>0</v>
      </c>
      <c r="FN318" s="1">
        <f t="shared" si="603"/>
        <v>0</v>
      </c>
      <c r="FO318" s="1">
        <f t="shared" si="604"/>
        <v>0</v>
      </c>
      <c r="FP318" s="1">
        <f t="shared" si="605"/>
        <v>0</v>
      </c>
      <c r="FQ318" s="1">
        <f t="shared" si="606"/>
        <v>0</v>
      </c>
      <c r="FS318" s="1">
        <f t="shared" si="607"/>
        <v>0</v>
      </c>
      <c r="FT318" s="1">
        <f t="shared" si="608"/>
        <v>0</v>
      </c>
      <c r="FU318" s="38">
        <f t="shared" si="609"/>
        <v>0</v>
      </c>
      <c r="FV318" s="38">
        <f t="shared" si="610"/>
        <v>0</v>
      </c>
      <c r="FW318" s="38">
        <f t="shared" si="611"/>
        <v>0</v>
      </c>
      <c r="FX318" s="38">
        <f t="shared" si="612"/>
        <v>0</v>
      </c>
      <c r="FY318" s="38">
        <f t="shared" si="613"/>
        <v>0</v>
      </c>
      <c r="FZ318" s="38">
        <f t="shared" si="614"/>
        <v>0</v>
      </c>
      <c r="GA318" s="38">
        <f t="shared" si="615"/>
        <v>0</v>
      </c>
      <c r="GB318" s="38">
        <f t="shared" si="616"/>
        <v>0</v>
      </c>
      <c r="GC318" s="38">
        <f t="shared" si="617"/>
        <v>0</v>
      </c>
      <c r="GD318" s="38">
        <f t="shared" si="618"/>
        <v>0</v>
      </c>
      <c r="GE318" s="38">
        <f t="shared" si="619"/>
        <v>0</v>
      </c>
      <c r="GF318" s="38">
        <f t="shared" si="620"/>
        <v>0</v>
      </c>
      <c r="GG318" s="38">
        <f t="shared" si="621"/>
        <v>0</v>
      </c>
      <c r="GH318" s="38">
        <f t="shared" si="622"/>
        <v>0</v>
      </c>
      <c r="GI318" s="38">
        <f t="shared" si="623"/>
        <v>0</v>
      </c>
      <c r="GJ318" s="38">
        <f t="shared" si="624"/>
        <v>0</v>
      </c>
      <c r="GL318" s="38">
        <f t="shared" si="625"/>
        <v>0</v>
      </c>
      <c r="GM318" s="38">
        <f t="shared" si="626"/>
        <v>0</v>
      </c>
      <c r="GN318" s="1" t="s">
        <v>2</v>
      </c>
      <c r="GO318" s="1">
        <f t="shared" si="549"/>
        <v>8.5999999999999993E-2</v>
      </c>
      <c r="GP318" s="1">
        <f t="shared" si="550"/>
        <v>2</v>
      </c>
      <c r="GQ318" s="41">
        <f t="shared" si="551"/>
        <v>1.72</v>
      </c>
      <c r="GR318" s="41">
        <f t="shared" si="552"/>
        <v>22.556079999999998</v>
      </c>
      <c r="GS318" s="14">
        <f t="shared" si="553"/>
        <v>262.27999999999997</v>
      </c>
      <c r="GT318" s="1">
        <f t="shared" si="627"/>
        <v>0</v>
      </c>
      <c r="GU318" s="1">
        <f t="shared" si="628"/>
        <v>0</v>
      </c>
      <c r="GV318" s="1">
        <f t="shared" si="629"/>
        <v>1.72</v>
      </c>
      <c r="GW318" s="37">
        <f t="shared" si="554"/>
        <v>0</v>
      </c>
      <c r="GX318" s="37"/>
      <c r="GY318" s="37"/>
      <c r="GZ318" s="37"/>
      <c r="HB318" s="1">
        <f t="shared" si="630"/>
        <v>0</v>
      </c>
      <c r="HC318" s="1">
        <f t="shared" si="631"/>
        <v>0</v>
      </c>
      <c r="HD318" s="37" t="s">
        <v>2</v>
      </c>
      <c r="HE318" s="1" t="s">
        <v>113</v>
      </c>
      <c r="HF318" s="1" t="s">
        <v>223</v>
      </c>
      <c r="HI318" s="1" t="s">
        <v>96</v>
      </c>
      <c r="HJ318" s="37" t="s">
        <v>2</v>
      </c>
      <c r="JH318" s="58" t="s">
        <v>2</v>
      </c>
    </row>
    <row r="319" spans="1:268" ht="16.25" customHeight="1" x14ac:dyDescent="0.2">
      <c r="A319" s="15" t="s">
        <v>415</v>
      </c>
      <c r="B319" s="1" t="s">
        <v>69</v>
      </c>
      <c r="E319" s="1" t="s">
        <v>65</v>
      </c>
      <c r="F319" s="1" t="s">
        <v>308</v>
      </c>
      <c r="H319" s="1" t="s">
        <v>70</v>
      </c>
      <c r="I319" s="1">
        <v>0</v>
      </c>
      <c r="AD319" s="1">
        <v>0</v>
      </c>
      <c r="AY319" s="13">
        <f>0.637+0.835+0.141+0.092605</f>
        <v>1.705605</v>
      </c>
      <c r="BG319" s="14">
        <f>(1*0.637+0.7*0.835+1.6*0.141+2.87*0.092605)/AY319</f>
        <v>1.004263208656166</v>
      </c>
      <c r="BT319" s="1">
        <v>0</v>
      </c>
      <c r="CO319" s="2">
        <v>3.8934999999999997E-2</v>
      </c>
      <c r="CW319" s="1">
        <v>2.94</v>
      </c>
      <c r="DJ319" s="1" t="s">
        <v>96</v>
      </c>
      <c r="DL319" s="1">
        <f t="shared" si="547"/>
        <v>1.004263208656166</v>
      </c>
      <c r="DM319" s="1">
        <f t="shared" si="548"/>
        <v>0</v>
      </c>
      <c r="DN319" s="1" t="s">
        <v>148</v>
      </c>
      <c r="DO319" s="1" t="s">
        <v>2</v>
      </c>
      <c r="DP319" s="38">
        <f t="shared" si="555"/>
        <v>0</v>
      </c>
      <c r="DQ319" s="38">
        <f t="shared" si="556"/>
        <v>0</v>
      </c>
      <c r="DR319" s="38">
        <f t="shared" si="557"/>
        <v>0</v>
      </c>
      <c r="DS319" s="38">
        <f t="shared" si="558"/>
        <v>0</v>
      </c>
      <c r="DT319" s="38">
        <f t="shared" si="559"/>
        <v>0</v>
      </c>
      <c r="DU319" s="38">
        <f t="shared" si="560"/>
        <v>0</v>
      </c>
      <c r="DV319" s="38">
        <f t="shared" si="561"/>
        <v>0</v>
      </c>
      <c r="DW319" s="38">
        <f t="shared" si="562"/>
        <v>1.7128763500000001E-2</v>
      </c>
      <c r="DX319" s="38">
        <f t="shared" si="563"/>
        <v>0</v>
      </c>
      <c r="DY319" s="38">
        <f t="shared" si="564"/>
        <v>0</v>
      </c>
      <c r="DZ319" s="38">
        <f t="shared" si="565"/>
        <v>0</v>
      </c>
      <c r="EA319" s="38">
        <f t="shared" si="566"/>
        <v>0</v>
      </c>
      <c r="EB319" s="38">
        <f t="shared" si="567"/>
        <v>0</v>
      </c>
      <c r="EC319" s="38">
        <f t="shared" si="568"/>
        <v>0</v>
      </c>
      <c r="ED319" s="38">
        <f t="shared" si="569"/>
        <v>0</v>
      </c>
      <c r="EE319" s="38">
        <f t="shared" si="570"/>
        <v>0</v>
      </c>
      <c r="EG319" s="38">
        <f t="shared" si="571"/>
        <v>0</v>
      </c>
      <c r="EH319" s="38">
        <f t="shared" si="572"/>
        <v>0</v>
      </c>
      <c r="EI319" s="38">
        <f t="shared" si="573"/>
        <v>0</v>
      </c>
      <c r="EJ319" s="38">
        <f t="shared" si="574"/>
        <v>0</v>
      </c>
      <c r="EK319" s="38">
        <f t="shared" si="575"/>
        <v>0</v>
      </c>
      <c r="EL319" s="38">
        <f t="shared" si="576"/>
        <v>0</v>
      </c>
      <c r="EM319" s="38">
        <f t="shared" si="577"/>
        <v>0</v>
      </c>
      <c r="EN319" s="38">
        <f t="shared" si="578"/>
        <v>0</v>
      </c>
      <c r="EO319" s="38">
        <f t="shared" si="579"/>
        <v>0</v>
      </c>
      <c r="EP319" s="38">
        <f t="shared" si="580"/>
        <v>224.62660453900003</v>
      </c>
      <c r="EQ319" s="38">
        <f t="shared" si="581"/>
        <v>0</v>
      </c>
      <c r="ER319" s="38">
        <f t="shared" si="582"/>
        <v>0</v>
      </c>
      <c r="ES319" s="38">
        <f t="shared" si="583"/>
        <v>0</v>
      </c>
      <c r="ET319" s="38">
        <f t="shared" si="584"/>
        <v>0</v>
      </c>
      <c r="EU319" s="38">
        <f t="shared" si="585"/>
        <v>0</v>
      </c>
      <c r="EV319" s="38">
        <f t="shared" si="586"/>
        <v>0</v>
      </c>
      <c r="EW319" s="38">
        <f t="shared" si="587"/>
        <v>0</v>
      </c>
      <c r="EX319" s="38">
        <f t="shared" si="588"/>
        <v>0</v>
      </c>
      <c r="EZ319" s="38">
        <f t="shared" si="589"/>
        <v>0</v>
      </c>
      <c r="FA319" s="38">
        <f t="shared" si="590"/>
        <v>0</v>
      </c>
      <c r="FB319" s="1">
        <f t="shared" si="591"/>
        <v>0</v>
      </c>
      <c r="FC319" s="1">
        <f t="shared" si="592"/>
        <v>0</v>
      </c>
      <c r="FD319" s="1">
        <f t="shared" si="593"/>
        <v>0</v>
      </c>
      <c r="FE319" s="1">
        <f t="shared" si="594"/>
        <v>0</v>
      </c>
      <c r="FF319" s="1">
        <f t="shared" si="595"/>
        <v>0</v>
      </c>
      <c r="FG319" s="1">
        <f t="shared" si="596"/>
        <v>0</v>
      </c>
      <c r="FH319" s="1">
        <f t="shared" si="597"/>
        <v>0</v>
      </c>
      <c r="FI319" s="1">
        <f t="shared" si="598"/>
        <v>1.1446889999999999E-3</v>
      </c>
      <c r="FJ319" s="1">
        <f t="shared" si="599"/>
        <v>0</v>
      </c>
      <c r="FK319" s="1">
        <f t="shared" si="600"/>
        <v>0</v>
      </c>
      <c r="FL319" s="1">
        <f t="shared" si="601"/>
        <v>0</v>
      </c>
      <c r="FM319" s="1">
        <f t="shared" si="602"/>
        <v>0</v>
      </c>
      <c r="FN319" s="1">
        <f t="shared" si="603"/>
        <v>0</v>
      </c>
      <c r="FO319" s="1">
        <f t="shared" si="604"/>
        <v>0</v>
      </c>
      <c r="FP319" s="1">
        <f t="shared" si="605"/>
        <v>0</v>
      </c>
      <c r="FQ319" s="1">
        <f t="shared" si="606"/>
        <v>0</v>
      </c>
      <c r="FS319" s="1">
        <f t="shared" si="607"/>
        <v>0</v>
      </c>
      <c r="FT319" s="1">
        <f t="shared" si="608"/>
        <v>0</v>
      </c>
      <c r="FU319" s="38">
        <f t="shared" si="609"/>
        <v>0</v>
      </c>
      <c r="FV319" s="38">
        <f t="shared" si="610"/>
        <v>0</v>
      </c>
      <c r="FW319" s="38">
        <f t="shared" si="611"/>
        <v>0</v>
      </c>
      <c r="FX319" s="38">
        <f t="shared" si="612"/>
        <v>0</v>
      </c>
      <c r="FY319" s="38">
        <f t="shared" si="613"/>
        <v>0</v>
      </c>
      <c r="FZ319" s="38">
        <f t="shared" si="614"/>
        <v>0</v>
      </c>
      <c r="GA319" s="38">
        <f t="shared" si="615"/>
        <v>0</v>
      </c>
      <c r="GB319" s="38">
        <f t="shared" si="616"/>
        <v>15.011451546</v>
      </c>
      <c r="GC319" s="38">
        <f t="shared" si="617"/>
        <v>0</v>
      </c>
      <c r="GD319" s="38">
        <f t="shared" si="618"/>
        <v>0</v>
      </c>
      <c r="GE319" s="38">
        <f t="shared" si="619"/>
        <v>0</v>
      </c>
      <c r="GF319" s="38">
        <f t="shared" si="620"/>
        <v>0</v>
      </c>
      <c r="GG319" s="38">
        <f t="shared" si="621"/>
        <v>0</v>
      </c>
      <c r="GH319" s="38">
        <f t="shared" si="622"/>
        <v>0</v>
      </c>
      <c r="GI319" s="38">
        <f t="shared" si="623"/>
        <v>0</v>
      </c>
      <c r="GJ319" s="38">
        <f t="shared" si="624"/>
        <v>0</v>
      </c>
      <c r="GL319" s="38">
        <f t="shared" si="625"/>
        <v>0</v>
      </c>
      <c r="GM319" s="38">
        <f t="shared" si="626"/>
        <v>0</v>
      </c>
      <c r="GN319" s="1" t="s">
        <v>2</v>
      </c>
      <c r="GO319" s="2">
        <f t="shared" si="549"/>
        <v>1.705605</v>
      </c>
      <c r="GP319" s="13">
        <f t="shared" si="550"/>
        <v>1.004263208656166</v>
      </c>
      <c r="GQ319" s="41">
        <f t="shared" si="551"/>
        <v>17.128763500000002</v>
      </c>
      <c r="GR319" s="41">
        <f t="shared" si="552"/>
        <v>224.62660453900003</v>
      </c>
      <c r="GS319" s="14">
        <f t="shared" si="553"/>
        <v>131.69907718316963</v>
      </c>
      <c r="GT319" s="1">
        <f t="shared" si="627"/>
        <v>0</v>
      </c>
      <c r="GU319" s="1">
        <f t="shared" si="628"/>
        <v>0</v>
      </c>
      <c r="GV319" s="1">
        <f t="shared" si="629"/>
        <v>17.128763500000002</v>
      </c>
      <c r="GW319" s="46">
        <f t="shared" si="554"/>
        <v>3.8934999999999997E-2</v>
      </c>
      <c r="GX319" s="44">
        <f>(BT319*CB319+CO319*CW319)/GW319</f>
        <v>2.94</v>
      </c>
      <c r="GY319" s="41">
        <f>1000*GW319*GX319/100</f>
        <v>1.1446889999999998</v>
      </c>
      <c r="GZ319" s="41">
        <f>SUM(FU319:GM319)</f>
        <v>15.011451546</v>
      </c>
      <c r="HA319" s="14">
        <f>GZ319/GW319</f>
        <v>385.55160000000001</v>
      </c>
      <c r="HB319" s="1">
        <f t="shared" si="630"/>
        <v>0</v>
      </c>
      <c r="HC319" s="1">
        <f t="shared" si="631"/>
        <v>1.1446889999999998</v>
      </c>
      <c r="HD319" s="37" t="s">
        <v>2</v>
      </c>
      <c r="HE319" s="1" t="s">
        <v>113</v>
      </c>
      <c r="HF319" s="1" t="s">
        <v>223</v>
      </c>
      <c r="HI319" s="1" t="s">
        <v>96</v>
      </c>
      <c r="HJ319" s="37" t="s">
        <v>2</v>
      </c>
      <c r="JH319" s="58" t="s">
        <v>2</v>
      </c>
    </row>
    <row r="320" spans="1:268" ht="16.25" customHeight="1" x14ac:dyDescent="0.2">
      <c r="A320" s="15" t="s">
        <v>419</v>
      </c>
      <c r="B320" s="1" t="s">
        <v>69</v>
      </c>
      <c r="E320" s="1" t="s">
        <v>65</v>
      </c>
      <c r="F320" s="1" t="s">
        <v>420</v>
      </c>
      <c r="H320" s="1" t="s">
        <v>70</v>
      </c>
      <c r="I320" s="1">
        <v>0</v>
      </c>
      <c r="AD320" s="1">
        <f>1.7+0.24+1.8</f>
        <v>3.74</v>
      </c>
      <c r="AL320" s="14">
        <f>(2*1.7+2.9*0.24+1.7*1.8)/AD320</f>
        <v>1.9133689839572192</v>
      </c>
      <c r="AY320" s="1">
        <f>0.3+0.02+0.1</f>
        <v>0.42000000000000004</v>
      </c>
      <c r="BG320" s="14">
        <f>(1.5*0.3+1.9*0.02+1.5*0.1)/AY320</f>
        <v>1.5190476190476188</v>
      </c>
      <c r="BT320" s="1">
        <v>0</v>
      </c>
      <c r="CO320" s="1">
        <v>0</v>
      </c>
      <c r="DJ320" s="1" t="s">
        <v>96</v>
      </c>
      <c r="DL320" s="1">
        <f t="shared" si="547"/>
        <v>1.8735576923076924</v>
      </c>
      <c r="DM320" s="1">
        <f t="shared" si="548"/>
        <v>0</v>
      </c>
      <c r="DN320" s="1" t="s">
        <v>67</v>
      </c>
      <c r="DO320" s="1" t="s">
        <v>2</v>
      </c>
      <c r="DP320" s="38">
        <f t="shared" si="555"/>
        <v>0</v>
      </c>
      <c r="DQ320" s="38">
        <f t="shared" si="556"/>
        <v>0</v>
      </c>
      <c r="DR320" s="38">
        <f t="shared" si="557"/>
        <v>0</v>
      </c>
      <c r="DS320" s="38">
        <f t="shared" si="558"/>
        <v>0</v>
      </c>
      <c r="DT320" s="38">
        <f t="shared" si="559"/>
        <v>0</v>
      </c>
      <c r="DU320" s="38">
        <f t="shared" si="560"/>
        <v>0</v>
      </c>
      <c r="DV320" s="38">
        <f t="shared" si="561"/>
        <v>0</v>
      </c>
      <c r="DW320" s="38">
        <f t="shared" si="562"/>
        <v>7.7940000000000009E-2</v>
      </c>
      <c r="DX320" s="38">
        <f t="shared" si="563"/>
        <v>0</v>
      </c>
      <c r="DY320" s="38">
        <f t="shared" si="564"/>
        <v>0</v>
      </c>
      <c r="DZ320" s="38">
        <f t="shared" si="565"/>
        <v>0</v>
      </c>
      <c r="EA320" s="38">
        <f t="shared" si="566"/>
        <v>0</v>
      </c>
      <c r="EB320" s="38">
        <f t="shared" si="567"/>
        <v>0</v>
      </c>
      <c r="EC320" s="38">
        <f t="shared" si="568"/>
        <v>0</v>
      </c>
      <c r="ED320" s="38">
        <f t="shared" si="569"/>
        <v>0</v>
      </c>
      <c r="EE320" s="38">
        <f t="shared" si="570"/>
        <v>0</v>
      </c>
      <c r="EG320" s="38">
        <f t="shared" si="571"/>
        <v>0</v>
      </c>
      <c r="EH320" s="38">
        <f t="shared" si="572"/>
        <v>0</v>
      </c>
      <c r="EI320" s="38">
        <f t="shared" si="573"/>
        <v>0</v>
      </c>
      <c r="EJ320" s="38">
        <f t="shared" si="574"/>
        <v>0</v>
      </c>
      <c r="EK320" s="38">
        <f t="shared" si="575"/>
        <v>0</v>
      </c>
      <c r="EL320" s="38">
        <f t="shared" si="576"/>
        <v>0</v>
      </c>
      <c r="EM320" s="38">
        <f t="shared" si="577"/>
        <v>0</v>
      </c>
      <c r="EN320" s="38">
        <f t="shared" si="578"/>
        <v>0</v>
      </c>
      <c r="EO320" s="38">
        <f t="shared" si="579"/>
        <v>0</v>
      </c>
      <c r="EP320" s="38">
        <f t="shared" si="580"/>
        <v>1022.1051600000001</v>
      </c>
      <c r="EQ320" s="38">
        <f t="shared" si="581"/>
        <v>0</v>
      </c>
      <c r="ER320" s="38">
        <f t="shared" si="582"/>
        <v>0</v>
      </c>
      <c r="ES320" s="38">
        <f t="shared" si="583"/>
        <v>0</v>
      </c>
      <c r="ET320" s="38">
        <f t="shared" si="584"/>
        <v>0</v>
      </c>
      <c r="EU320" s="38">
        <f t="shared" si="585"/>
        <v>0</v>
      </c>
      <c r="EV320" s="38">
        <f t="shared" si="586"/>
        <v>0</v>
      </c>
      <c r="EW320" s="38">
        <f t="shared" si="587"/>
        <v>0</v>
      </c>
      <c r="EX320" s="38">
        <f t="shared" si="588"/>
        <v>0</v>
      </c>
      <c r="EZ320" s="38">
        <f t="shared" si="589"/>
        <v>0</v>
      </c>
      <c r="FA320" s="38">
        <f t="shared" si="590"/>
        <v>0</v>
      </c>
      <c r="FB320" s="1">
        <f t="shared" si="591"/>
        <v>0</v>
      </c>
      <c r="FC320" s="1">
        <f t="shared" si="592"/>
        <v>0</v>
      </c>
      <c r="FD320" s="1">
        <f t="shared" si="593"/>
        <v>0</v>
      </c>
      <c r="FE320" s="1">
        <f t="shared" si="594"/>
        <v>0</v>
      </c>
      <c r="FF320" s="1">
        <f t="shared" si="595"/>
        <v>0</v>
      </c>
      <c r="FG320" s="1">
        <f t="shared" si="596"/>
        <v>0</v>
      </c>
      <c r="FH320" s="1">
        <f t="shared" si="597"/>
        <v>0</v>
      </c>
      <c r="FI320" s="1">
        <f t="shared" si="598"/>
        <v>0</v>
      </c>
      <c r="FJ320" s="1">
        <f t="shared" si="599"/>
        <v>0</v>
      </c>
      <c r="FK320" s="1">
        <f t="shared" si="600"/>
        <v>0</v>
      </c>
      <c r="FL320" s="1">
        <f t="shared" si="601"/>
        <v>0</v>
      </c>
      <c r="FM320" s="1">
        <f t="shared" si="602"/>
        <v>0</v>
      </c>
      <c r="FN320" s="1">
        <f t="shared" si="603"/>
        <v>0</v>
      </c>
      <c r="FO320" s="1">
        <f t="shared" si="604"/>
        <v>0</v>
      </c>
      <c r="FP320" s="1">
        <f t="shared" si="605"/>
        <v>0</v>
      </c>
      <c r="FQ320" s="1">
        <f t="shared" si="606"/>
        <v>0</v>
      </c>
      <c r="FS320" s="1">
        <f t="shared" si="607"/>
        <v>0</v>
      </c>
      <c r="FT320" s="1">
        <f t="shared" si="608"/>
        <v>0</v>
      </c>
      <c r="FU320" s="38">
        <f t="shared" si="609"/>
        <v>0</v>
      </c>
      <c r="FV320" s="38">
        <f t="shared" si="610"/>
        <v>0</v>
      </c>
      <c r="FW320" s="38">
        <f t="shared" si="611"/>
        <v>0</v>
      </c>
      <c r="FX320" s="38">
        <f t="shared" si="612"/>
        <v>0</v>
      </c>
      <c r="FY320" s="38">
        <f t="shared" si="613"/>
        <v>0</v>
      </c>
      <c r="FZ320" s="38">
        <f t="shared" si="614"/>
        <v>0</v>
      </c>
      <c r="GA320" s="38">
        <f t="shared" si="615"/>
        <v>0</v>
      </c>
      <c r="GB320" s="38">
        <f t="shared" si="616"/>
        <v>0</v>
      </c>
      <c r="GC320" s="38">
        <f t="shared" si="617"/>
        <v>0</v>
      </c>
      <c r="GD320" s="38">
        <f t="shared" si="618"/>
        <v>0</v>
      </c>
      <c r="GE320" s="38">
        <f t="shared" si="619"/>
        <v>0</v>
      </c>
      <c r="GF320" s="38">
        <f t="shared" si="620"/>
        <v>0</v>
      </c>
      <c r="GG320" s="38">
        <f t="shared" si="621"/>
        <v>0</v>
      </c>
      <c r="GH320" s="38">
        <f t="shared" si="622"/>
        <v>0</v>
      </c>
      <c r="GI320" s="38">
        <f t="shared" si="623"/>
        <v>0</v>
      </c>
      <c r="GJ320" s="38">
        <f t="shared" si="624"/>
        <v>0</v>
      </c>
      <c r="GL320" s="38">
        <f t="shared" si="625"/>
        <v>0</v>
      </c>
      <c r="GM320" s="38">
        <f t="shared" si="626"/>
        <v>0</v>
      </c>
      <c r="GN320" s="1" t="s">
        <v>2</v>
      </c>
      <c r="GO320" s="1">
        <f t="shared" si="549"/>
        <v>4.16</v>
      </c>
      <c r="GP320" s="13">
        <f t="shared" si="550"/>
        <v>1.8735576923076924</v>
      </c>
      <c r="GQ320" s="41">
        <f t="shared" si="551"/>
        <v>77.940000000000012</v>
      </c>
      <c r="GR320" s="41">
        <f t="shared" si="552"/>
        <v>1022.1051600000001</v>
      </c>
      <c r="GS320" s="14">
        <f t="shared" si="553"/>
        <v>245.69835576923077</v>
      </c>
      <c r="GT320" s="1">
        <f t="shared" si="627"/>
        <v>0</v>
      </c>
      <c r="GU320" s="1">
        <f t="shared" si="628"/>
        <v>71.56</v>
      </c>
      <c r="GV320" s="1">
        <f t="shared" si="629"/>
        <v>6.379999999999999</v>
      </c>
      <c r="GW320" s="37">
        <f t="shared" si="554"/>
        <v>0</v>
      </c>
      <c r="GX320" s="37"/>
      <c r="GY320" s="37"/>
      <c r="GZ320" s="37"/>
      <c r="HB320" s="1">
        <f t="shared" si="630"/>
        <v>0</v>
      </c>
      <c r="HC320" s="1">
        <f t="shared" si="631"/>
        <v>0</v>
      </c>
      <c r="HD320" s="37" t="s">
        <v>2</v>
      </c>
      <c r="HE320" s="1" t="s">
        <v>113</v>
      </c>
      <c r="HF320" s="1" t="s">
        <v>223</v>
      </c>
      <c r="HI320" s="1" t="s">
        <v>96</v>
      </c>
      <c r="HJ320" s="37" t="s">
        <v>2</v>
      </c>
      <c r="JH320" s="58" t="s">
        <v>2</v>
      </c>
    </row>
    <row r="321" spans="1:268" ht="16.25" customHeight="1" x14ac:dyDescent="0.2">
      <c r="A321" s="15" t="s">
        <v>421</v>
      </c>
      <c r="B321" s="1" t="s">
        <v>69</v>
      </c>
      <c r="E321" s="1" t="s">
        <v>65</v>
      </c>
      <c r="F321" s="1" t="s">
        <v>420</v>
      </c>
      <c r="H321" s="1" t="s">
        <v>70</v>
      </c>
      <c r="I321" s="1">
        <v>0</v>
      </c>
      <c r="AD321" s="1">
        <v>0</v>
      </c>
      <c r="AY321" s="1">
        <v>0.57299999999999995</v>
      </c>
      <c r="AZ321" s="1">
        <v>1.19</v>
      </c>
      <c r="BG321" s="1">
        <v>1.63</v>
      </c>
      <c r="BH321" s="1">
        <v>8.2000000000000003E-2</v>
      </c>
      <c r="BI321" s="1">
        <v>0.85</v>
      </c>
      <c r="BJ321" s="1">
        <v>1.49</v>
      </c>
      <c r="BT321" s="1">
        <v>0</v>
      </c>
      <c r="CO321" s="1">
        <v>0</v>
      </c>
      <c r="DJ321" s="1" t="s">
        <v>96</v>
      </c>
      <c r="DK321" s="1" t="s">
        <v>96</v>
      </c>
      <c r="DL321" s="1">
        <f t="shared" si="547"/>
        <v>1.63</v>
      </c>
      <c r="DM321" s="1">
        <f t="shared" si="548"/>
        <v>8.2000000000000003E-2</v>
      </c>
      <c r="DN321" s="1" t="s">
        <v>67</v>
      </c>
      <c r="DO321" s="1" t="s">
        <v>2</v>
      </c>
      <c r="DP321" s="38">
        <f t="shared" si="555"/>
        <v>6.8186999999999987E-3</v>
      </c>
      <c r="DQ321" s="38">
        <f t="shared" si="556"/>
        <v>0</v>
      </c>
      <c r="DR321" s="38">
        <f t="shared" si="557"/>
        <v>0</v>
      </c>
      <c r="DS321" s="38">
        <f t="shared" si="558"/>
        <v>0</v>
      </c>
      <c r="DT321" s="38">
        <f t="shared" si="559"/>
        <v>0</v>
      </c>
      <c r="DU321" s="38">
        <f t="shared" si="560"/>
        <v>0</v>
      </c>
      <c r="DV321" s="38">
        <f t="shared" si="561"/>
        <v>0</v>
      </c>
      <c r="DW321" s="38">
        <f t="shared" si="562"/>
        <v>9.3398999999999982E-3</v>
      </c>
      <c r="DX321" s="38">
        <f t="shared" si="563"/>
        <v>4.6986E-4</v>
      </c>
      <c r="DY321" s="38">
        <f t="shared" si="564"/>
        <v>0.48704999999999993</v>
      </c>
      <c r="DZ321" s="38">
        <f t="shared" si="565"/>
        <v>0.85376999999999992</v>
      </c>
      <c r="EA321" s="38">
        <f t="shared" si="566"/>
        <v>0</v>
      </c>
      <c r="EB321" s="38">
        <f t="shared" si="567"/>
        <v>0</v>
      </c>
      <c r="EC321" s="38">
        <f t="shared" si="568"/>
        <v>0</v>
      </c>
      <c r="ED321" s="38">
        <f t="shared" si="569"/>
        <v>0</v>
      </c>
      <c r="EE321" s="38">
        <f t="shared" si="570"/>
        <v>0</v>
      </c>
      <c r="EG321" s="38">
        <f t="shared" si="571"/>
        <v>0</v>
      </c>
      <c r="EH321" s="38">
        <f t="shared" si="572"/>
        <v>0</v>
      </c>
      <c r="EI321" s="38">
        <f t="shared" si="573"/>
        <v>44.496217819199991</v>
      </c>
      <c r="EJ321" s="38">
        <f t="shared" si="574"/>
        <v>0</v>
      </c>
      <c r="EK321" s="38">
        <f t="shared" si="575"/>
        <v>0</v>
      </c>
      <c r="EL321" s="38">
        <f t="shared" si="576"/>
        <v>0</v>
      </c>
      <c r="EM321" s="38">
        <f t="shared" si="577"/>
        <v>0</v>
      </c>
      <c r="EN321" s="38">
        <f t="shared" si="578"/>
        <v>0</v>
      </c>
      <c r="EO321" s="38">
        <f t="shared" si="579"/>
        <v>0</v>
      </c>
      <c r="EP321" s="38">
        <f t="shared" si="580"/>
        <v>122.48344859999997</v>
      </c>
      <c r="EQ321" s="38">
        <f t="shared" si="581"/>
        <v>34.121009546639996</v>
      </c>
      <c r="ER321" s="38">
        <f t="shared" si="582"/>
        <v>13.823136752411573</v>
      </c>
      <c r="ES321" s="38">
        <f t="shared" si="583"/>
        <v>28.452502929260447</v>
      </c>
      <c r="ET321" s="38">
        <f t="shared" si="584"/>
        <v>0</v>
      </c>
      <c r="EU321" s="38">
        <f t="shared" si="585"/>
        <v>0</v>
      </c>
      <c r="EV321" s="38">
        <f t="shared" si="586"/>
        <v>0</v>
      </c>
      <c r="EW321" s="38">
        <f t="shared" si="587"/>
        <v>0</v>
      </c>
      <c r="EX321" s="38">
        <f t="shared" si="588"/>
        <v>0</v>
      </c>
      <c r="EZ321" s="38">
        <f t="shared" si="589"/>
        <v>0</v>
      </c>
      <c r="FA321" s="38">
        <f t="shared" si="590"/>
        <v>0</v>
      </c>
      <c r="FB321" s="1">
        <f t="shared" si="591"/>
        <v>0</v>
      </c>
      <c r="FC321" s="1">
        <f t="shared" si="592"/>
        <v>0</v>
      </c>
      <c r="FD321" s="1">
        <f t="shared" si="593"/>
        <v>0</v>
      </c>
      <c r="FE321" s="1">
        <f t="shared" si="594"/>
        <v>0</v>
      </c>
      <c r="FF321" s="1">
        <f t="shared" si="595"/>
        <v>0</v>
      </c>
      <c r="FG321" s="1">
        <f t="shared" si="596"/>
        <v>0</v>
      </c>
      <c r="FH321" s="1">
        <f t="shared" si="597"/>
        <v>0</v>
      </c>
      <c r="FI321" s="1">
        <f t="shared" si="598"/>
        <v>0</v>
      </c>
      <c r="FJ321" s="1">
        <f t="shared" si="599"/>
        <v>0</v>
      </c>
      <c r="FK321" s="1">
        <f t="shared" si="600"/>
        <v>0</v>
      </c>
      <c r="FL321" s="1">
        <f t="shared" si="601"/>
        <v>0</v>
      </c>
      <c r="FM321" s="1">
        <f t="shared" si="602"/>
        <v>0</v>
      </c>
      <c r="FN321" s="1">
        <f t="shared" si="603"/>
        <v>0</v>
      </c>
      <c r="FO321" s="1">
        <f t="shared" si="604"/>
        <v>0</v>
      </c>
      <c r="FP321" s="1">
        <f t="shared" si="605"/>
        <v>0</v>
      </c>
      <c r="FQ321" s="1">
        <f t="shared" si="606"/>
        <v>0</v>
      </c>
      <c r="FS321" s="1">
        <f t="shared" si="607"/>
        <v>0</v>
      </c>
      <c r="FT321" s="1">
        <f t="shared" si="608"/>
        <v>0</v>
      </c>
      <c r="FU321" s="38">
        <f t="shared" si="609"/>
        <v>0</v>
      </c>
      <c r="FV321" s="38">
        <f t="shared" si="610"/>
        <v>0</v>
      </c>
      <c r="FW321" s="38">
        <f t="shared" si="611"/>
        <v>0</v>
      </c>
      <c r="FX321" s="38">
        <f t="shared" si="612"/>
        <v>0</v>
      </c>
      <c r="FY321" s="38">
        <f t="shared" si="613"/>
        <v>0</v>
      </c>
      <c r="FZ321" s="38">
        <f t="shared" si="614"/>
        <v>0</v>
      </c>
      <c r="GA321" s="38">
        <f t="shared" si="615"/>
        <v>0</v>
      </c>
      <c r="GB321" s="38">
        <f t="shared" si="616"/>
        <v>0</v>
      </c>
      <c r="GC321" s="38">
        <f t="shared" si="617"/>
        <v>0</v>
      </c>
      <c r="GD321" s="38">
        <f t="shared" si="618"/>
        <v>0</v>
      </c>
      <c r="GE321" s="38">
        <f t="shared" si="619"/>
        <v>0</v>
      </c>
      <c r="GF321" s="38">
        <f t="shared" si="620"/>
        <v>0</v>
      </c>
      <c r="GG321" s="38">
        <f t="shared" si="621"/>
        <v>0</v>
      </c>
      <c r="GH321" s="38">
        <f t="shared" si="622"/>
        <v>0</v>
      </c>
      <c r="GI321" s="38">
        <f t="shared" si="623"/>
        <v>0</v>
      </c>
      <c r="GJ321" s="38">
        <f t="shared" si="624"/>
        <v>0</v>
      </c>
      <c r="GL321" s="38">
        <f t="shared" si="625"/>
        <v>0</v>
      </c>
      <c r="GM321" s="38">
        <f t="shared" si="626"/>
        <v>0</v>
      </c>
      <c r="GN321" s="1" t="s">
        <v>2</v>
      </c>
      <c r="GO321" s="1">
        <f t="shared" si="549"/>
        <v>0.57299999999999995</v>
      </c>
      <c r="GP321" s="1">
        <f t="shared" si="550"/>
        <v>1.63</v>
      </c>
      <c r="GQ321" s="41">
        <f t="shared" si="551"/>
        <v>9.3398999999999983</v>
      </c>
      <c r="GR321" s="41">
        <f t="shared" si="552"/>
        <v>243.376315647512</v>
      </c>
      <c r="GS321" s="14">
        <f t="shared" si="553"/>
        <v>424.74051596424437</v>
      </c>
      <c r="GT321" s="1">
        <f t="shared" si="627"/>
        <v>0</v>
      </c>
      <c r="GU321" s="1">
        <f t="shared" si="628"/>
        <v>0</v>
      </c>
      <c r="GV321" s="1">
        <f t="shared" si="629"/>
        <v>9.3398999999999983</v>
      </c>
      <c r="GW321" s="37">
        <f t="shared" si="554"/>
        <v>0</v>
      </c>
      <c r="GX321" s="37"/>
      <c r="GY321" s="37"/>
      <c r="GZ321" s="37"/>
      <c r="HB321" s="1">
        <f t="shared" si="630"/>
        <v>0</v>
      </c>
      <c r="HC321" s="1">
        <f t="shared" si="631"/>
        <v>0</v>
      </c>
      <c r="HD321" s="37" t="s">
        <v>2</v>
      </c>
      <c r="HE321" s="1" t="s">
        <v>113</v>
      </c>
      <c r="HF321" s="1" t="s">
        <v>223</v>
      </c>
      <c r="HI321" s="1" t="s">
        <v>96</v>
      </c>
      <c r="HJ321" s="37" t="s">
        <v>2</v>
      </c>
      <c r="JH321" s="58" t="s">
        <v>2</v>
      </c>
    </row>
    <row r="322" spans="1:268" ht="16.25" customHeight="1" x14ac:dyDescent="0.2">
      <c r="A322" s="15" t="s">
        <v>422</v>
      </c>
      <c r="B322" s="1" t="s">
        <v>71</v>
      </c>
      <c r="E322" s="1" t="s">
        <v>158</v>
      </c>
      <c r="F322" s="1" t="s">
        <v>423</v>
      </c>
      <c r="H322" s="1" t="s">
        <v>70</v>
      </c>
      <c r="I322" s="1">
        <v>0</v>
      </c>
      <c r="AD322" s="1">
        <v>2.58</v>
      </c>
      <c r="AE322" s="11">
        <v>0.2</v>
      </c>
      <c r="AL322" s="14">
        <v>2</v>
      </c>
      <c r="AM322" s="11">
        <v>0.03</v>
      </c>
      <c r="AY322" s="1">
        <v>4.8049999999999997</v>
      </c>
      <c r="AZ322" s="11">
        <v>0.2</v>
      </c>
      <c r="BG322" s="1">
        <v>1.5</v>
      </c>
      <c r="BH322" s="11">
        <v>0.03</v>
      </c>
      <c r="BT322" s="1">
        <v>0</v>
      </c>
      <c r="CO322" s="1">
        <v>0</v>
      </c>
      <c r="DJ322" s="1" t="s">
        <v>96</v>
      </c>
      <c r="DK322" s="1" t="s">
        <v>96</v>
      </c>
      <c r="DL322" s="1">
        <f t="shared" si="547"/>
        <v>1.6746784021665537</v>
      </c>
      <c r="DM322" s="1">
        <f t="shared" si="548"/>
        <v>2.9999999999999995E-2</v>
      </c>
      <c r="DN322" s="1" t="s">
        <v>67</v>
      </c>
      <c r="DO322" s="1" t="s">
        <v>2</v>
      </c>
      <c r="DP322" s="38">
        <f t="shared" si="555"/>
        <v>1.4769999999999998E-2</v>
      </c>
      <c r="DQ322" s="38">
        <f t="shared" si="556"/>
        <v>0</v>
      </c>
      <c r="DR322" s="38">
        <f t="shared" si="557"/>
        <v>0</v>
      </c>
      <c r="DS322" s="38">
        <f t="shared" si="558"/>
        <v>0</v>
      </c>
      <c r="DT322" s="38">
        <f t="shared" si="559"/>
        <v>0</v>
      </c>
      <c r="DU322" s="38">
        <f t="shared" si="560"/>
        <v>0</v>
      </c>
      <c r="DV322" s="38">
        <f t="shared" si="561"/>
        <v>0</v>
      </c>
      <c r="DW322" s="38">
        <f t="shared" si="562"/>
        <v>0.12367499999999999</v>
      </c>
      <c r="DX322" s="38">
        <f t="shared" si="563"/>
        <v>2.2154999999999996E-3</v>
      </c>
      <c r="DY322" s="38">
        <f t="shared" si="564"/>
        <v>0</v>
      </c>
      <c r="DZ322" s="38">
        <f t="shared" si="565"/>
        <v>0</v>
      </c>
      <c r="EA322" s="38">
        <f t="shared" si="566"/>
        <v>0</v>
      </c>
      <c r="EB322" s="38">
        <f t="shared" si="567"/>
        <v>0</v>
      </c>
      <c r="EC322" s="38">
        <f t="shared" si="568"/>
        <v>0</v>
      </c>
      <c r="ED322" s="38">
        <f t="shared" si="569"/>
        <v>0</v>
      </c>
      <c r="EE322" s="38">
        <f t="shared" si="570"/>
        <v>0</v>
      </c>
      <c r="EG322" s="38">
        <f t="shared" si="571"/>
        <v>0</v>
      </c>
      <c r="EH322" s="38">
        <f t="shared" si="572"/>
        <v>0</v>
      </c>
      <c r="EI322" s="38">
        <f t="shared" si="573"/>
        <v>96.383348319999996</v>
      </c>
      <c r="EJ322" s="38">
        <f t="shared" si="574"/>
        <v>0</v>
      </c>
      <c r="EK322" s="38">
        <f t="shared" si="575"/>
        <v>0</v>
      </c>
      <c r="EL322" s="38">
        <f t="shared" si="576"/>
        <v>0</v>
      </c>
      <c r="EM322" s="38">
        <f t="shared" si="577"/>
        <v>0</v>
      </c>
      <c r="EN322" s="38">
        <f t="shared" si="578"/>
        <v>0</v>
      </c>
      <c r="EO322" s="38">
        <f t="shared" si="579"/>
        <v>0</v>
      </c>
      <c r="EP322" s="38">
        <f t="shared" si="580"/>
        <v>1621.8739499999999</v>
      </c>
      <c r="EQ322" s="38">
        <f t="shared" si="581"/>
        <v>160.88855542199994</v>
      </c>
      <c r="ER322" s="38">
        <f t="shared" si="582"/>
        <v>0</v>
      </c>
      <c r="ES322" s="38">
        <f t="shared" si="583"/>
        <v>0</v>
      </c>
      <c r="ET322" s="38">
        <f t="shared" si="584"/>
        <v>0</v>
      </c>
      <c r="EU322" s="38">
        <f t="shared" si="585"/>
        <v>0</v>
      </c>
      <c r="EV322" s="38">
        <f t="shared" si="586"/>
        <v>0</v>
      </c>
      <c r="EW322" s="38">
        <f t="shared" si="587"/>
        <v>0</v>
      </c>
      <c r="EX322" s="38">
        <f t="shared" si="588"/>
        <v>0</v>
      </c>
      <c r="EZ322" s="38">
        <f t="shared" si="589"/>
        <v>0</v>
      </c>
      <c r="FA322" s="38">
        <f t="shared" si="590"/>
        <v>0</v>
      </c>
      <c r="FB322" s="1">
        <f t="shared" si="591"/>
        <v>0</v>
      </c>
      <c r="FC322" s="1">
        <f t="shared" si="592"/>
        <v>0</v>
      </c>
      <c r="FD322" s="1">
        <f t="shared" si="593"/>
        <v>0</v>
      </c>
      <c r="FE322" s="1">
        <f t="shared" si="594"/>
        <v>0</v>
      </c>
      <c r="FF322" s="1">
        <f t="shared" si="595"/>
        <v>0</v>
      </c>
      <c r="FG322" s="1">
        <f t="shared" si="596"/>
        <v>0</v>
      </c>
      <c r="FH322" s="1">
        <f t="shared" si="597"/>
        <v>0</v>
      </c>
      <c r="FI322" s="1">
        <f t="shared" si="598"/>
        <v>0</v>
      </c>
      <c r="FJ322" s="1">
        <f t="shared" si="599"/>
        <v>0</v>
      </c>
      <c r="FK322" s="1">
        <f t="shared" si="600"/>
        <v>0</v>
      </c>
      <c r="FL322" s="1">
        <f t="shared" si="601"/>
        <v>0</v>
      </c>
      <c r="FM322" s="1">
        <f t="shared" si="602"/>
        <v>0</v>
      </c>
      <c r="FN322" s="1">
        <f t="shared" si="603"/>
        <v>0</v>
      </c>
      <c r="FO322" s="1">
        <f t="shared" si="604"/>
        <v>0</v>
      </c>
      <c r="FP322" s="1">
        <f t="shared" si="605"/>
        <v>0</v>
      </c>
      <c r="FQ322" s="1">
        <f t="shared" si="606"/>
        <v>0</v>
      </c>
      <c r="FS322" s="1">
        <f t="shared" si="607"/>
        <v>0</v>
      </c>
      <c r="FT322" s="1">
        <f t="shared" si="608"/>
        <v>0</v>
      </c>
      <c r="FU322" s="38">
        <f t="shared" si="609"/>
        <v>0</v>
      </c>
      <c r="FV322" s="38">
        <f t="shared" si="610"/>
        <v>0</v>
      </c>
      <c r="FW322" s="38">
        <f t="shared" si="611"/>
        <v>0</v>
      </c>
      <c r="FX322" s="38">
        <f t="shared" si="612"/>
        <v>0</v>
      </c>
      <c r="FY322" s="38">
        <f t="shared" si="613"/>
        <v>0</v>
      </c>
      <c r="FZ322" s="38">
        <f t="shared" si="614"/>
        <v>0</v>
      </c>
      <c r="GA322" s="38">
        <f t="shared" si="615"/>
        <v>0</v>
      </c>
      <c r="GB322" s="38">
        <f t="shared" si="616"/>
        <v>0</v>
      </c>
      <c r="GC322" s="38">
        <f t="shared" si="617"/>
        <v>0</v>
      </c>
      <c r="GD322" s="38">
        <f t="shared" si="618"/>
        <v>0</v>
      </c>
      <c r="GE322" s="38">
        <f t="shared" si="619"/>
        <v>0</v>
      </c>
      <c r="GF322" s="38">
        <f t="shared" si="620"/>
        <v>0</v>
      </c>
      <c r="GG322" s="38">
        <f t="shared" si="621"/>
        <v>0</v>
      </c>
      <c r="GH322" s="38">
        <f t="shared" si="622"/>
        <v>0</v>
      </c>
      <c r="GI322" s="38">
        <f t="shared" si="623"/>
        <v>0</v>
      </c>
      <c r="GJ322" s="38">
        <f t="shared" si="624"/>
        <v>0</v>
      </c>
      <c r="GL322" s="38">
        <f t="shared" si="625"/>
        <v>0</v>
      </c>
      <c r="GM322" s="38">
        <f t="shared" si="626"/>
        <v>0</v>
      </c>
      <c r="GN322" s="1" t="s">
        <v>2</v>
      </c>
      <c r="GO322" s="1">
        <f t="shared" si="549"/>
        <v>7.3849999999999998</v>
      </c>
      <c r="GP322" s="13">
        <f t="shared" si="550"/>
        <v>1.6746784021665537</v>
      </c>
      <c r="GQ322" s="41">
        <f t="shared" si="551"/>
        <v>123.675</v>
      </c>
      <c r="GR322" s="41">
        <f t="shared" si="552"/>
        <v>1879.1458537419999</v>
      </c>
      <c r="GS322" s="14">
        <f t="shared" si="553"/>
        <v>254.45441486012186</v>
      </c>
      <c r="GT322" s="1">
        <f t="shared" si="627"/>
        <v>0</v>
      </c>
      <c r="GU322" s="1">
        <f t="shared" si="628"/>
        <v>51.6</v>
      </c>
      <c r="GV322" s="1">
        <f t="shared" si="629"/>
        <v>72.075000000000003</v>
      </c>
      <c r="GW322" s="37">
        <f t="shared" si="554"/>
        <v>0</v>
      </c>
      <c r="GX322" s="37"/>
      <c r="GY322" s="37"/>
      <c r="GZ322" s="37"/>
      <c r="HB322" s="1">
        <f t="shared" si="630"/>
        <v>0</v>
      </c>
      <c r="HC322" s="1">
        <f t="shared" si="631"/>
        <v>0</v>
      </c>
      <c r="HD322" s="37" t="s">
        <v>2</v>
      </c>
      <c r="HE322" s="1" t="s">
        <v>113</v>
      </c>
      <c r="HF322" s="1" t="s">
        <v>223</v>
      </c>
      <c r="HI322" s="1" t="s">
        <v>96</v>
      </c>
      <c r="HJ322" s="37" t="s">
        <v>2</v>
      </c>
      <c r="JH322" s="58" t="s">
        <v>2</v>
      </c>
    </row>
    <row r="323" spans="1:268" ht="16.25" customHeight="1" x14ac:dyDescent="0.2">
      <c r="A323" s="15" t="s">
        <v>424</v>
      </c>
      <c r="B323" s="1" t="s">
        <v>69</v>
      </c>
      <c r="E323" s="1" t="s">
        <v>65</v>
      </c>
      <c r="F323" s="1" t="s">
        <v>104</v>
      </c>
      <c r="H323" s="1" t="s">
        <v>70</v>
      </c>
      <c r="I323" s="1">
        <v>0</v>
      </c>
      <c r="AD323" s="1">
        <v>0.06</v>
      </c>
      <c r="AE323" s="1">
        <v>0.87</v>
      </c>
      <c r="AL323" s="1">
        <v>0.99</v>
      </c>
      <c r="AM323" s="1">
        <v>0.04</v>
      </c>
      <c r="AO323" s="1">
        <v>0.24</v>
      </c>
      <c r="AY323" s="1">
        <v>0.09</v>
      </c>
      <c r="AZ323" s="1">
        <v>0.87</v>
      </c>
      <c r="BG323" s="1">
        <v>1.05</v>
      </c>
      <c r="BH323" s="1">
        <v>0.04</v>
      </c>
      <c r="BJ323" s="1">
        <v>0.24</v>
      </c>
      <c r="BT323" s="1">
        <v>0</v>
      </c>
      <c r="CO323" s="1">
        <v>0</v>
      </c>
      <c r="DJ323" s="1" t="s">
        <v>96</v>
      </c>
      <c r="DK323" s="1" t="s">
        <v>96</v>
      </c>
      <c r="DL323" s="1">
        <f t="shared" si="547"/>
        <v>1.026</v>
      </c>
      <c r="DM323" s="1">
        <f t="shared" si="548"/>
        <v>0.04</v>
      </c>
      <c r="DN323" s="1" t="s">
        <v>148</v>
      </c>
      <c r="DO323" s="1" t="s">
        <v>2</v>
      </c>
      <c r="DP323" s="38">
        <f t="shared" si="555"/>
        <v>1.305E-3</v>
      </c>
      <c r="DQ323" s="38">
        <f t="shared" si="556"/>
        <v>0</v>
      </c>
      <c r="DR323" s="38">
        <f t="shared" si="557"/>
        <v>0</v>
      </c>
      <c r="DS323" s="38">
        <f t="shared" si="558"/>
        <v>0</v>
      </c>
      <c r="DT323" s="38">
        <f t="shared" si="559"/>
        <v>0</v>
      </c>
      <c r="DU323" s="38">
        <f t="shared" si="560"/>
        <v>0</v>
      </c>
      <c r="DV323" s="38">
        <f t="shared" si="561"/>
        <v>0</v>
      </c>
      <c r="DW323" s="38">
        <f t="shared" si="562"/>
        <v>1.5389999999999998E-3</v>
      </c>
      <c r="DX323" s="38">
        <f t="shared" si="563"/>
        <v>6.0000000000000002E-5</v>
      </c>
      <c r="DY323" s="38">
        <f t="shared" si="564"/>
        <v>0</v>
      </c>
      <c r="DZ323" s="38">
        <f t="shared" si="565"/>
        <v>3.5999999999999997E-2</v>
      </c>
      <c r="EA323" s="38">
        <f t="shared" si="566"/>
        <v>0</v>
      </c>
      <c r="EB323" s="38">
        <f t="shared" si="567"/>
        <v>0</v>
      </c>
      <c r="EC323" s="38">
        <f t="shared" si="568"/>
        <v>0</v>
      </c>
      <c r="ED323" s="38">
        <f t="shared" si="569"/>
        <v>0</v>
      </c>
      <c r="EE323" s="38">
        <f t="shared" si="570"/>
        <v>0</v>
      </c>
      <c r="EG323" s="38">
        <f t="shared" si="571"/>
        <v>0</v>
      </c>
      <c r="EH323" s="38">
        <f t="shared" si="572"/>
        <v>0</v>
      </c>
      <c r="EI323" s="38">
        <f t="shared" si="573"/>
        <v>8.5159288799999988</v>
      </c>
      <c r="EJ323" s="38">
        <f t="shared" si="574"/>
        <v>0</v>
      </c>
      <c r="EK323" s="38">
        <f t="shared" si="575"/>
        <v>0</v>
      </c>
      <c r="EL323" s="38">
        <f t="shared" si="576"/>
        <v>0</v>
      </c>
      <c r="EM323" s="38">
        <f t="shared" si="577"/>
        <v>0</v>
      </c>
      <c r="EN323" s="38">
        <f t="shared" si="578"/>
        <v>0</v>
      </c>
      <c r="EO323" s="38">
        <f t="shared" si="579"/>
        <v>0</v>
      </c>
      <c r="EP323" s="38">
        <f t="shared" si="580"/>
        <v>20.182445999999999</v>
      </c>
      <c r="EQ323" s="38">
        <f t="shared" si="581"/>
        <v>4.3571714399999992</v>
      </c>
      <c r="ER323" s="38">
        <f t="shared" si="582"/>
        <v>0</v>
      </c>
      <c r="ES323" s="38">
        <f t="shared" si="583"/>
        <v>1.1997260450160772</v>
      </c>
      <c r="ET323" s="38">
        <f t="shared" si="584"/>
        <v>0</v>
      </c>
      <c r="EU323" s="38">
        <f t="shared" si="585"/>
        <v>0</v>
      </c>
      <c r="EV323" s="38">
        <f t="shared" si="586"/>
        <v>0</v>
      </c>
      <c r="EW323" s="38">
        <f t="shared" si="587"/>
        <v>0</v>
      </c>
      <c r="EX323" s="38">
        <f t="shared" si="588"/>
        <v>0</v>
      </c>
      <c r="EZ323" s="38">
        <f t="shared" si="589"/>
        <v>0</v>
      </c>
      <c r="FA323" s="38">
        <f t="shared" si="590"/>
        <v>0</v>
      </c>
      <c r="FB323" s="1">
        <f t="shared" si="591"/>
        <v>0</v>
      </c>
      <c r="FC323" s="1">
        <f t="shared" si="592"/>
        <v>0</v>
      </c>
      <c r="FD323" s="1">
        <f t="shared" si="593"/>
        <v>0</v>
      </c>
      <c r="FE323" s="1">
        <f t="shared" si="594"/>
        <v>0</v>
      </c>
      <c r="FF323" s="1">
        <f t="shared" si="595"/>
        <v>0</v>
      </c>
      <c r="FG323" s="1">
        <f t="shared" si="596"/>
        <v>0</v>
      </c>
      <c r="FH323" s="1">
        <f t="shared" si="597"/>
        <v>0</v>
      </c>
      <c r="FI323" s="1">
        <f t="shared" si="598"/>
        <v>0</v>
      </c>
      <c r="FJ323" s="1">
        <f t="shared" si="599"/>
        <v>0</v>
      </c>
      <c r="FK323" s="1">
        <f t="shared" si="600"/>
        <v>0</v>
      </c>
      <c r="FL323" s="1">
        <f t="shared" si="601"/>
        <v>0</v>
      </c>
      <c r="FM323" s="1">
        <f t="shared" si="602"/>
        <v>0</v>
      </c>
      <c r="FN323" s="1">
        <f t="shared" si="603"/>
        <v>0</v>
      </c>
      <c r="FO323" s="1">
        <f t="shared" si="604"/>
        <v>0</v>
      </c>
      <c r="FP323" s="1">
        <f t="shared" si="605"/>
        <v>0</v>
      </c>
      <c r="FQ323" s="1">
        <f t="shared" si="606"/>
        <v>0</v>
      </c>
      <c r="FS323" s="1">
        <f t="shared" si="607"/>
        <v>0</v>
      </c>
      <c r="FT323" s="1">
        <f t="shared" si="608"/>
        <v>0</v>
      </c>
      <c r="FU323" s="38">
        <f t="shared" si="609"/>
        <v>0</v>
      </c>
      <c r="FV323" s="38">
        <f t="shared" si="610"/>
        <v>0</v>
      </c>
      <c r="FW323" s="38">
        <f t="shared" si="611"/>
        <v>0</v>
      </c>
      <c r="FX323" s="38">
        <f t="shared" si="612"/>
        <v>0</v>
      </c>
      <c r="FY323" s="38">
        <f t="shared" si="613"/>
        <v>0</v>
      </c>
      <c r="FZ323" s="38">
        <f t="shared" si="614"/>
        <v>0</v>
      </c>
      <c r="GA323" s="38">
        <f t="shared" si="615"/>
        <v>0</v>
      </c>
      <c r="GB323" s="38">
        <f t="shared" si="616"/>
        <v>0</v>
      </c>
      <c r="GC323" s="38">
        <f t="shared" si="617"/>
        <v>0</v>
      </c>
      <c r="GD323" s="38">
        <f t="shared" si="618"/>
        <v>0</v>
      </c>
      <c r="GE323" s="38">
        <f t="shared" si="619"/>
        <v>0</v>
      </c>
      <c r="GF323" s="38">
        <f t="shared" si="620"/>
        <v>0</v>
      </c>
      <c r="GG323" s="38">
        <f t="shared" si="621"/>
        <v>0</v>
      </c>
      <c r="GH323" s="38">
        <f t="shared" si="622"/>
        <v>0</v>
      </c>
      <c r="GI323" s="38">
        <f t="shared" si="623"/>
        <v>0</v>
      </c>
      <c r="GJ323" s="38">
        <f t="shared" si="624"/>
        <v>0</v>
      </c>
      <c r="GL323" s="38">
        <f t="shared" si="625"/>
        <v>0</v>
      </c>
      <c r="GM323" s="38">
        <f t="shared" si="626"/>
        <v>0</v>
      </c>
      <c r="GN323" s="1" t="s">
        <v>2</v>
      </c>
      <c r="GO323" s="1">
        <f t="shared" si="549"/>
        <v>0.15</v>
      </c>
      <c r="GP323" s="13">
        <f t="shared" si="550"/>
        <v>1.026</v>
      </c>
      <c r="GQ323" s="41">
        <f t="shared" si="551"/>
        <v>1.5390000000000001</v>
      </c>
      <c r="GR323" s="41">
        <f t="shared" si="552"/>
        <v>34.255272365016076</v>
      </c>
      <c r="GS323" s="14">
        <f t="shared" si="553"/>
        <v>228.36848243344051</v>
      </c>
      <c r="GT323" s="1">
        <f t="shared" si="627"/>
        <v>0</v>
      </c>
      <c r="GU323" s="1">
        <f t="shared" si="628"/>
        <v>0.59399999999999986</v>
      </c>
      <c r="GV323" s="1">
        <f t="shared" si="629"/>
        <v>0.94499999999999995</v>
      </c>
      <c r="GW323" s="37">
        <f t="shared" si="554"/>
        <v>0</v>
      </c>
      <c r="GX323" s="37"/>
      <c r="GY323" s="37"/>
      <c r="GZ323" s="37"/>
      <c r="HB323" s="1">
        <f t="shared" si="630"/>
        <v>0</v>
      </c>
      <c r="HC323" s="1">
        <f t="shared" si="631"/>
        <v>0</v>
      </c>
      <c r="HD323" s="37" t="s">
        <v>2</v>
      </c>
      <c r="HE323" s="1" t="s">
        <v>113</v>
      </c>
      <c r="HF323" s="1" t="s">
        <v>223</v>
      </c>
      <c r="HI323" s="1" t="s">
        <v>96</v>
      </c>
      <c r="HJ323" s="37" t="s">
        <v>2</v>
      </c>
      <c r="JH323" s="58" t="s">
        <v>2</v>
      </c>
    </row>
    <row r="324" spans="1:268" ht="16.25" customHeight="1" x14ac:dyDescent="0.2">
      <c r="A324" s="15" t="s">
        <v>425</v>
      </c>
      <c r="B324" s="1" t="s">
        <v>69</v>
      </c>
      <c r="E324" s="1" t="s">
        <v>65</v>
      </c>
      <c r="F324" s="1" t="s">
        <v>426</v>
      </c>
      <c r="H324" s="1" t="s">
        <v>70</v>
      </c>
      <c r="I324" s="1">
        <v>0</v>
      </c>
      <c r="AD324" s="1">
        <v>1.41</v>
      </c>
      <c r="AE324" s="1">
        <v>0.4</v>
      </c>
      <c r="AL324" s="1">
        <v>1.7</v>
      </c>
      <c r="AN324" s="1">
        <v>0.8</v>
      </c>
      <c r="AO324" s="14">
        <v>1</v>
      </c>
      <c r="AY324" s="1">
        <v>0.53</v>
      </c>
      <c r="AZ324" s="1">
        <v>0.4</v>
      </c>
      <c r="BG324" s="1">
        <v>1.6</v>
      </c>
      <c r="BI324" s="1">
        <v>0.9</v>
      </c>
      <c r="BJ324" s="1">
        <v>1.3</v>
      </c>
      <c r="BT324" s="1">
        <v>0</v>
      </c>
      <c r="CO324" s="1">
        <v>0</v>
      </c>
      <c r="DJ324" s="1" t="s">
        <v>96</v>
      </c>
      <c r="DL324" s="1">
        <f t="shared" si="547"/>
        <v>1.6726804123711341</v>
      </c>
      <c r="DM324" s="1">
        <f t="shared" si="548"/>
        <v>0</v>
      </c>
      <c r="DN324" s="1" t="s">
        <v>67</v>
      </c>
      <c r="DO324" s="1" t="s">
        <v>2</v>
      </c>
      <c r="DP324" s="38">
        <f t="shared" si="555"/>
        <v>7.7600000000000004E-3</v>
      </c>
      <c r="DQ324" s="38">
        <f t="shared" si="556"/>
        <v>0</v>
      </c>
      <c r="DR324" s="38">
        <f t="shared" si="557"/>
        <v>0</v>
      </c>
      <c r="DS324" s="38">
        <f t="shared" si="558"/>
        <v>0</v>
      </c>
      <c r="DT324" s="38">
        <f t="shared" si="559"/>
        <v>0</v>
      </c>
      <c r="DU324" s="38">
        <f t="shared" si="560"/>
        <v>0</v>
      </c>
      <c r="DV324" s="38">
        <f t="shared" si="561"/>
        <v>0</v>
      </c>
      <c r="DW324" s="38">
        <f t="shared" si="562"/>
        <v>3.245E-2</v>
      </c>
      <c r="DX324" s="38">
        <f t="shared" si="563"/>
        <v>0</v>
      </c>
      <c r="DY324" s="38">
        <f t="shared" si="564"/>
        <v>1.605</v>
      </c>
      <c r="DZ324" s="38">
        <f t="shared" si="565"/>
        <v>2.0990000000000002</v>
      </c>
      <c r="EA324" s="38">
        <f t="shared" si="566"/>
        <v>0</v>
      </c>
      <c r="EB324" s="38">
        <f t="shared" si="567"/>
        <v>0</v>
      </c>
      <c r="EC324" s="38">
        <f t="shared" si="568"/>
        <v>0</v>
      </c>
      <c r="ED324" s="38">
        <f t="shared" si="569"/>
        <v>0</v>
      </c>
      <c r="EE324" s="38">
        <f t="shared" si="570"/>
        <v>0</v>
      </c>
      <c r="EG324" s="38">
        <f t="shared" si="571"/>
        <v>0</v>
      </c>
      <c r="EH324" s="38">
        <f t="shared" si="572"/>
        <v>0</v>
      </c>
      <c r="EI324" s="38">
        <f t="shared" si="573"/>
        <v>50.638780160000003</v>
      </c>
      <c r="EJ324" s="38">
        <f t="shared" si="574"/>
        <v>0</v>
      </c>
      <c r="EK324" s="38">
        <f t="shared" si="575"/>
        <v>0</v>
      </c>
      <c r="EL324" s="38">
        <f t="shared" si="576"/>
        <v>0</v>
      </c>
      <c r="EM324" s="38">
        <f t="shared" si="577"/>
        <v>0</v>
      </c>
      <c r="EN324" s="38">
        <f t="shared" si="578"/>
        <v>0</v>
      </c>
      <c r="EO324" s="38">
        <f t="shared" si="579"/>
        <v>0</v>
      </c>
      <c r="EP324" s="38">
        <f t="shared" si="580"/>
        <v>425.54930000000002</v>
      </c>
      <c r="EQ324" s="38">
        <f t="shared" si="581"/>
        <v>0</v>
      </c>
      <c r="ER324" s="38">
        <f t="shared" si="582"/>
        <v>45.552067524115749</v>
      </c>
      <c r="ES324" s="38">
        <f t="shared" si="583"/>
        <v>69.950693569131843</v>
      </c>
      <c r="ET324" s="38">
        <f t="shared" si="584"/>
        <v>0</v>
      </c>
      <c r="EU324" s="38">
        <f t="shared" si="585"/>
        <v>0</v>
      </c>
      <c r="EV324" s="38">
        <f t="shared" si="586"/>
        <v>0</v>
      </c>
      <c r="EW324" s="38">
        <f t="shared" si="587"/>
        <v>0</v>
      </c>
      <c r="EX324" s="38">
        <f t="shared" si="588"/>
        <v>0</v>
      </c>
      <c r="EZ324" s="38">
        <f t="shared" si="589"/>
        <v>0</v>
      </c>
      <c r="FA324" s="38">
        <f t="shared" si="590"/>
        <v>0</v>
      </c>
      <c r="FB324" s="1">
        <f t="shared" si="591"/>
        <v>0</v>
      </c>
      <c r="FC324" s="1">
        <f t="shared" si="592"/>
        <v>0</v>
      </c>
      <c r="FD324" s="1">
        <f t="shared" si="593"/>
        <v>0</v>
      </c>
      <c r="FE324" s="1">
        <f t="shared" si="594"/>
        <v>0</v>
      </c>
      <c r="FF324" s="1">
        <f t="shared" si="595"/>
        <v>0</v>
      </c>
      <c r="FG324" s="1">
        <f t="shared" si="596"/>
        <v>0</v>
      </c>
      <c r="FH324" s="1">
        <f t="shared" si="597"/>
        <v>0</v>
      </c>
      <c r="FI324" s="1">
        <f t="shared" si="598"/>
        <v>0</v>
      </c>
      <c r="FJ324" s="1">
        <f t="shared" si="599"/>
        <v>0</v>
      </c>
      <c r="FK324" s="1">
        <f t="shared" si="600"/>
        <v>0</v>
      </c>
      <c r="FL324" s="1">
        <f t="shared" si="601"/>
        <v>0</v>
      </c>
      <c r="FM324" s="1">
        <f t="shared" si="602"/>
        <v>0</v>
      </c>
      <c r="FN324" s="1">
        <f t="shared" si="603"/>
        <v>0</v>
      </c>
      <c r="FO324" s="1">
        <f t="shared" si="604"/>
        <v>0</v>
      </c>
      <c r="FP324" s="1">
        <f t="shared" si="605"/>
        <v>0</v>
      </c>
      <c r="FQ324" s="1">
        <f t="shared" si="606"/>
        <v>0</v>
      </c>
      <c r="FS324" s="1">
        <f t="shared" si="607"/>
        <v>0</v>
      </c>
      <c r="FT324" s="1">
        <f t="shared" si="608"/>
        <v>0</v>
      </c>
      <c r="FU324" s="38">
        <f t="shared" si="609"/>
        <v>0</v>
      </c>
      <c r="FV324" s="38">
        <f t="shared" si="610"/>
        <v>0</v>
      </c>
      <c r="FW324" s="38">
        <f t="shared" si="611"/>
        <v>0</v>
      </c>
      <c r="FX324" s="38">
        <f t="shared" si="612"/>
        <v>0</v>
      </c>
      <c r="FY324" s="38">
        <f t="shared" si="613"/>
        <v>0</v>
      </c>
      <c r="FZ324" s="38">
        <f t="shared" si="614"/>
        <v>0</v>
      </c>
      <c r="GA324" s="38">
        <f t="shared" si="615"/>
        <v>0</v>
      </c>
      <c r="GB324" s="38">
        <f t="shared" si="616"/>
        <v>0</v>
      </c>
      <c r="GC324" s="38">
        <f t="shared" si="617"/>
        <v>0</v>
      </c>
      <c r="GD324" s="38">
        <f t="shared" si="618"/>
        <v>0</v>
      </c>
      <c r="GE324" s="38">
        <f t="shared" si="619"/>
        <v>0</v>
      </c>
      <c r="GF324" s="38">
        <f t="shared" si="620"/>
        <v>0</v>
      </c>
      <c r="GG324" s="38">
        <f t="shared" si="621"/>
        <v>0</v>
      </c>
      <c r="GH324" s="38">
        <f t="shared" si="622"/>
        <v>0</v>
      </c>
      <c r="GI324" s="38">
        <f t="shared" si="623"/>
        <v>0</v>
      </c>
      <c r="GJ324" s="38">
        <f t="shared" si="624"/>
        <v>0</v>
      </c>
      <c r="GL324" s="38">
        <f t="shared" si="625"/>
        <v>0</v>
      </c>
      <c r="GM324" s="38">
        <f t="shared" si="626"/>
        <v>0</v>
      </c>
      <c r="GN324" s="1" t="s">
        <v>2</v>
      </c>
      <c r="GO324" s="1">
        <f t="shared" si="549"/>
        <v>1.94</v>
      </c>
      <c r="GP324" s="13">
        <f t="shared" si="550"/>
        <v>1.6726804123711341</v>
      </c>
      <c r="GQ324" s="41">
        <f t="shared" si="551"/>
        <v>32.450000000000003</v>
      </c>
      <c r="GR324" s="41">
        <f t="shared" si="552"/>
        <v>591.69084125324764</v>
      </c>
      <c r="GS324" s="14">
        <f t="shared" si="553"/>
        <v>304.9952789965194</v>
      </c>
      <c r="GT324" s="1">
        <f t="shared" si="627"/>
        <v>0</v>
      </c>
      <c r="GU324" s="1">
        <f t="shared" si="628"/>
        <v>23.97</v>
      </c>
      <c r="GV324" s="1">
        <f t="shared" si="629"/>
        <v>8.48</v>
      </c>
      <c r="GW324" s="37">
        <f t="shared" si="554"/>
        <v>0</v>
      </c>
      <c r="GX324" s="37"/>
      <c r="GY324" s="37"/>
      <c r="GZ324" s="37"/>
      <c r="HB324" s="1">
        <f t="shared" si="630"/>
        <v>0</v>
      </c>
      <c r="HC324" s="1">
        <f t="shared" si="631"/>
        <v>0</v>
      </c>
      <c r="HD324" s="37" t="s">
        <v>2</v>
      </c>
      <c r="HE324" s="1" t="s">
        <v>113</v>
      </c>
      <c r="HF324" s="1" t="s">
        <v>223</v>
      </c>
      <c r="HI324" s="1" t="s">
        <v>96</v>
      </c>
      <c r="HJ324" s="37" t="s">
        <v>2</v>
      </c>
      <c r="JH324" s="58" t="s">
        <v>2</v>
      </c>
    </row>
    <row r="325" spans="1:268" ht="16.25" customHeight="1" x14ac:dyDescent="0.2">
      <c r="A325" s="15" t="s">
        <v>427</v>
      </c>
      <c r="B325" s="1" t="s">
        <v>69</v>
      </c>
      <c r="E325" s="1" t="s">
        <v>65</v>
      </c>
      <c r="F325" s="1" t="s">
        <v>426</v>
      </c>
      <c r="H325" s="1" t="s">
        <v>70</v>
      </c>
      <c r="I325" s="1">
        <v>0</v>
      </c>
      <c r="AD325" s="1">
        <v>0</v>
      </c>
      <c r="AY325" s="2">
        <v>5.721787</v>
      </c>
      <c r="AZ325" s="1">
        <v>0.04</v>
      </c>
      <c r="BG325" s="1">
        <v>0.7</v>
      </c>
      <c r="BI325" s="1">
        <v>6.0999999999999999E-2</v>
      </c>
      <c r="BJ325" s="1">
        <v>8.2000000000000003E-2</v>
      </c>
      <c r="BT325" s="1">
        <v>0</v>
      </c>
      <c r="CO325" s="1">
        <v>0</v>
      </c>
      <c r="DJ325" s="1" t="s">
        <v>96</v>
      </c>
      <c r="DL325" s="1">
        <f t="shared" ref="DL325:DL388" si="632">(Q325*I325+AL325*AD325+BG325*AY325)/(I325+AD325+AY325)</f>
        <v>0.70000000000000007</v>
      </c>
      <c r="DM325" s="1">
        <f t="shared" ref="DM325:DM388" si="633">(R325*I325+AM325*AD325+BH325*AY325)/(I325+AD325+AY325)</f>
        <v>0</v>
      </c>
      <c r="DN325" s="1" t="s">
        <v>67</v>
      </c>
      <c r="DO325" s="1" t="s">
        <v>2</v>
      </c>
      <c r="DP325" s="38">
        <f t="shared" si="555"/>
        <v>2.2887148000000001E-3</v>
      </c>
      <c r="DQ325" s="38">
        <f t="shared" si="556"/>
        <v>0</v>
      </c>
      <c r="DR325" s="38">
        <f t="shared" si="557"/>
        <v>0</v>
      </c>
      <c r="DS325" s="38">
        <f t="shared" si="558"/>
        <v>0</v>
      </c>
      <c r="DT325" s="38">
        <f t="shared" si="559"/>
        <v>0</v>
      </c>
      <c r="DU325" s="38">
        <f t="shared" si="560"/>
        <v>0</v>
      </c>
      <c r="DV325" s="38">
        <f t="shared" si="561"/>
        <v>0</v>
      </c>
      <c r="DW325" s="38">
        <f t="shared" si="562"/>
        <v>4.0052509E-2</v>
      </c>
      <c r="DX325" s="38">
        <f t="shared" si="563"/>
        <v>0</v>
      </c>
      <c r="DY325" s="38">
        <f t="shared" si="564"/>
        <v>0.349029007</v>
      </c>
      <c r="DZ325" s="38">
        <f t="shared" si="565"/>
        <v>0.46918653399999999</v>
      </c>
      <c r="EA325" s="38">
        <f t="shared" si="566"/>
        <v>0</v>
      </c>
      <c r="EB325" s="38">
        <f t="shared" si="567"/>
        <v>0</v>
      </c>
      <c r="EC325" s="38">
        <f t="shared" si="568"/>
        <v>0</v>
      </c>
      <c r="ED325" s="38">
        <f t="shared" si="569"/>
        <v>0</v>
      </c>
      <c r="EE325" s="38">
        <f t="shared" si="570"/>
        <v>0</v>
      </c>
      <c r="EG325" s="38">
        <f t="shared" si="571"/>
        <v>0</v>
      </c>
      <c r="EH325" s="38">
        <f t="shared" si="572"/>
        <v>0</v>
      </c>
      <c r="EI325" s="38">
        <f t="shared" si="573"/>
        <v>14.935273918316801</v>
      </c>
      <c r="EJ325" s="38">
        <f t="shared" si="574"/>
        <v>0</v>
      </c>
      <c r="EK325" s="38">
        <f t="shared" si="575"/>
        <v>0</v>
      </c>
      <c r="EL325" s="38">
        <f t="shared" si="576"/>
        <v>0</v>
      </c>
      <c r="EM325" s="38">
        <f t="shared" si="577"/>
        <v>0</v>
      </c>
      <c r="EN325" s="38">
        <f t="shared" si="578"/>
        <v>0</v>
      </c>
      <c r="EO325" s="38">
        <f t="shared" si="579"/>
        <v>0</v>
      </c>
      <c r="EP325" s="38">
        <f t="shared" si="580"/>
        <v>525.24860302599996</v>
      </c>
      <c r="EQ325" s="38">
        <f t="shared" si="581"/>
        <v>0</v>
      </c>
      <c r="ER325" s="38">
        <f t="shared" si="582"/>
        <v>9.9059145761614129</v>
      </c>
      <c r="ES325" s="38">
        <f t="shared" si="583"/>
        <v>15.635980689183922</v>
      </c>
      <c r="ET325" s="38">
        <f t="shared" si="584"/>
        <v>0</v>
      </c>
      <c r="EU325" s="38">
        <f t="shared" si="585"/>
        <v>0</v>
      </c>
      <c r="EV325" s="38">
        <f t="shared" si="586"/>
        <v>0</v>
      </c>
      <c r="EW325" s="38">
        <f t="shared" si="587"/>
        <v>0</v>
      </c>
      <c r="EX325" s="38">
        <f t="shared" si="588"/>
        <v>0</v>
      </c>
      <c r="EZ325" s="38">
        <f t="shared" si="589"/>
        <v>0</v>
      </c>
      <c r="FA325" s="38">
        <f t="shared" si="590"/>
        <v>0</v>
      </c>
      <c r="FB325" s="1">
        <f t="shared" si="591"/>
        <v>0</v>
      </c>
      <c r="FC325" s="1">
        <f t="shared" si="592"/>
        <v>0</v>
      </c>
      <c r="FD325" s="1">
        <f t="shared" si="593"/>
        <v>0</v>
      </c>
      <c r="FE325" s="1">
        <f t="shared" si="594"/>
        <v>0</v>
      </c>
      <c r="FF325" s="1">
        <f t="shared" si="595"/>
        <v>0</v>
      </c>
      <c r="FG325" s="1">
        <f t="shared" si="596"/>
        <v>0</v>
      </c>
      <c r="FH325" s="1">
        <f t="shared" si="597"/>
        <v>0</v>
      </c>
      <c r="FI325" s="1">
        <f t="shared" si="598"/>
        <v>0</v>
      </c>
      <c r="FJ325" s="1">
        <f t="shared" si="599"/>
        <v>0</v>
      </c>
      <c r="FK325" s="1">
        <f t="shared" si="600"/>
        <v>0</v>
      </c>
      <c r="FL325" s="1">
        <f t="shared" si="601"/>
        <v>0</v>
      </c>
      <c r="FM325" s="1">
        <f t="shared" si="602"/>
        <v>0</v>
      </c>
      <c r="FN325" s="1">
        <f t="shared" si="603"/>
        <v>0</v>
      </c>
      <c r="FO325" s="1">
        <f t="shared" si="604"/>
        <v>0</v>
      </c>
      <c r="FP325" s="1">
        <f t="shared" si="605"/>
        <v>0</v>
      </c>
      <c r="FQ325" s="1">
        <f t="shared" si="606"/>
        <v>0</v>
      </c>
      <c r="FS325" s="1">
        <f t="shared" si="607"/>
        <v>0</v>
      </c>
      <c r="FT325" s="1">
        <f t="shared" si="608"/>
        <v>0</v>
      </c>
      <c r="FU325" s="38">
        <f t="shared" si="609"/>
        <v>0</v>
      </c>
      <c r="FV325" s="38">
        <f t="shared" si="610"/>
        <v>0</v>
      </c>
      <c r="FW325" s="38">
        <f t="shared" si="611"/>
        <v>0</v>
      </c>
      <c r="FX325" s="38">
        <f t="shared" si="612"/>
        <v>0</v>
      </c>
      <c r="FY325" s="38">
        <f t="shared" si="613"/>
        <v>0</v>
      </c>
      <c r="FZ325" s="38">
        <f t="shared" si="614"/>
        <v>0</v>
      </c>
      <c r="GA325" s="38">
        <f t="shared" si="615"/>
        <v>0</v>
      </c>
      <c r="GB325" s="38">
        <f t="shared" si="616"/>
        <v>0</v>
      </c>
      <c r="GC325" s="38">
        <f t="shared" si="617"/>
        <v>0</v>
      </c>
      <c r="GD325" s="38">
        <f t="shared" si="618"/>
        <v>0</v>
      </c>
      <c r="GE325" s="38">
        <f t="shared" si="619"/>
        <v>0</v>
      </c>
      <c r="GF325" s="38">
        <f t="shared" si="620"/>
        <v>0</v>
      </c>
      <c r="GG325" s="38">
        <f t="shared" si="621"/>
        <v>0</v>
      </c>
      <c r="GH325" s="38">
        <f t="shared" si="622"/>
        <v>0</v>
      </c>
      <c r="GI325" s="38">
        <f t="shared" si="623"/>
        <v>0</v>
      </c>
      <c r="GJ325" s="38">
        <f t="shared" si="624"/>
        <v>0</v>
      </c>
      <c r="GL325" s="38">
        <f t="shared" si="625"/>
        <v>0</v>
      </c>
      <c r="GM325" s="38">
        <f t="shared" si="626"/>
        <v>0</v>
      </c>
      <c r="GN325" s="1" t="s">
        <v>2</v>
      </c>
      <c r="GO325" s="2">
        <f t="shared" ref="GO325:GO388" si="634">I325+AD325+AY325</f>
        <v>5.721787</v>
      </c>
      <c r="GP325" s="1">
        <f t="shared" ref="GP325:GP388" si="635">(I325*Q325+AD325*AL325+AY325*BG325)/GO325</f>
        <v>0.70000000000000007</v>
      </c>
      <c r="GQ325" s="41">
        <f t="shared" ref="GQ325:GQ388" si="636">1000*GO325*GP325/100</f>
        <v>40.052509000000008</v>
      </c>
      <c r="GR325" s="41">
        <f t="shared" ref="GR325:GR388" si="637">SUM(EI325:FA325)</f>
        <v>565.72577220966218</v>
      </c>
      <c r="GS325" s="14">
        <f t="shared" ref="GS325:GS388" si="638">GR325/GO325</f>
        <v>98.872218104180078</v>
      </c>
      <c r="GT325" s="1">
        <f t="shared" si="627"/>
        <v>0</v>
      </c>
      <c r="GU325" s="1">
        <f t="shared" si="628"/>
        <v>0</v>
      </c>
      <c r="GV325" s="1">
        <f t="shared" si="629"/>
        <v>40.052509000000001</v>
      </c>
      <c r="GW325" s="37">
        <f t="shared" ref="GW325:GW388" si="639">BT325+CO325</f>
        <v>0</v>
      </c>
      <c r="GX325" s="37"/>
      <c r="GY325" s="37"/>
      <c r="GZ325" s="37"/>
      <c r="HB325" s="1">
        <f t="shared" si="630"/>
        <v>0</v>
      </c>
      <c r="HC325" s="1">
        <f t="shared" si="631"/>
        <v>0</v>
      </c>
      <c r="HD325" s="37" t="s">
        <v>2</v>
      </c>
      <c r="HE325" s="1" t="s">
        <v>113</v>
      </c>
      <c r="HF325" s="1" t="s">
        <v>223</v>
      </c>
      <c r="HI325" s="1" t="s">
        <v>96</v>
      </c>
      <c r="HJ325" s="37" t="s">
        <v>2</v>
      </c>
      <c r="JH325" s="58" t="s">
        <v>2</v>
      </c>
    </row>
    <row r="326" spans="1:268" ht="16.25" customHeight="1" x14ac:dyDescent="0.2">
      <c r="A326" s="15" t="s">
        <v>428</v>
      </c>
      <c r="B326" s="1" t="s">
        <v>71</v>
      </c>
      <c r="E326" s="1" t="s">
        <v>65</v>
      </c>
      <c r="F326" s="1" t="s">
        <v>429</v>
      </c>
      <c r="H326" s="1" t="s">
        <v>70</v>
      </c>
      <c r="I326" s="1">
        <v>0</v>
      </c>
      <c r="AD326" s="1">
        <v>0.57899999999999996</v>
      </c>
      <c r="AE326" s="11">
        <v>0.2</v>
      </c>
      <c r="AL326" s="1">
        <v>2.21</v>
      </c>
      <c r="AM326" s="11">
        <v>0.03</v>
      </c>
      <c r="AY326" s="1">
        <f>0.245+0.164</f>
        <v>0.40900000000000003</v>
      </c>
      <c r="AZ326" s="11">
        <v>0.2</v>
      </c>
      <c r="BG326" s="14">
        <f>(2.2*0.245+4.13*0.164)/AY326</f>
        <v>2.9738875305623473</v>
      </c>
      <c r="BH326" s="11">
        <v>0.03</v>
      </c>
      <c r="BT326" s="1">
        <v>0</v>
      </c>
      <c r="CO326" s="1">
        <v>0</v>
      </c>
      <c r="DJ326" s="1" t="s">
        <v>96</v>
      </c>
      <c r="DK326" s="1" t="s">
        <v>96</v>
      </c>
      <c r="DL326" s="1">
        <f t="shared" si="632"/>
        <v>2.5262246963562753</v>
      </c>
      <c r="DM326" s="1">
        <f t="shared" si="633"/>
        <v>2.9999999999999995E-2</v>
      </c>
      <c r="DN326" s="1" t="s">
        <v>148</v>
      </c>
      <c r="DO326" s="1" t="s">
        <v>2</v>
      </c>
      <c r="DP326" s="38">
        <f t="shared" si="555"/>
        <v>1.9759999999999999E-3</v>
      </c>
      <c r="DQ326" s="38">
        <f t="shared" si="556"/>
        <v>0</v>
      </c>
      <c r="DR326" s="38">
        <f t="shared" si="557"/>
        <v>0</v>
      </c>
      <c r="DS326" s="38">
        <f t="shared" si="558"/>
        <v>0</v>
      </c>
      <c r="DT326" s="38">
        <f t="shared" si="559"/>
        <v>0</v>
      </c>
      <c r="DU326" s="38">
        <f t="shared" si="560"/>
        <v>0</v>
      </c>
      <c r="DV326" s="38">
        <f t="shared" si="561"/>
        <v>0</v>
      </c>
      <c r="DW326" s="38">
        <f t="shared" si="562"/>
        <v>2.4959099999999998E-2</v>
      </c>
      <c r="DX326" s="38">
        <f t="shared" si="563"/>
        <v>2.9639999999999994E-4</v>
      </c>
      <c r="DY326" s="38">
        <f t="shared" si="564"/>
        <v>0</v>
      </c>
      <c r="DZ326" s="38">
        <f t="shared" si="565"/>
        <v>0</v>
      </c>
      <c r="EA326" s="38">
        <f t="shared" si="566"/>
        <v>0</v>
      </c>
      <c r="EB326" s="38">
        <f t="shared" si="567"/>
        <v>0</v>
      </c>
      <c r="EC326" s="38">
        <f t="shared" si="568"/>
        <v>0</v>
      </c>
      <c r="ED326" s="38">
        <f t="shared" si="569"/>
        <v>0</v>
      </c>
      <c r="EE326" s="38">
        <f t="shared" si="570"/>
        <v>0</v>
      </c>
      <c r="EG326" s="38">
        <f t="shared" si="571"/>
        <v>0</v>
      </c>
      <c r="EH326" s="38">
        <f t="shared" si="572"/>
        <v>0</v>
      </c>
      <c r="EI326" s="38">
        <f t="shared" si="573"/>
        <v>12.894617215999999</v>
      </c>
      <c r="EJ326" s="38">
        <f t="shared" si="574"/>
        <v>0</v>
      </c>
      <c r="EK326" s="38">
        <f t="shared" si="575"/>
        <v>0</v>
      </c>
      <c r="EL326" s="38">
        <f t="shared" si="576"/>
        <v>0</v>
      </c>
      <c r="EM326" s="38">
        <f t="shared" si="577"/>
        <v>0</v>
      </c>
      <c r="EN326" s="38">
        <f t="shared" si="578"/>
        <v>0</v>
      </c>
      <c r="EO326" s="38">
        <f t="shared" si="579"/>
        <v>0</v>
      </c>
      <c r="EP326" s="38">
        <f t="shared" si="580"/>
        <v>327.31363739999995</v>
      </c>
      <c r="EQ326" s="38">
        <f t="shared" si="581"/>
        <v>21.524426913599992</v>
      </c>
      <c r="ER326" s="38">
        <f t="shared" si="582"/>
        <v>0</v>
      </c>
      <c r="ES326" s="38">
        <f t="shared" si="583"/>
        <v>0</v>
      </c>
      <c r="ET326" s="38">
        <f t="shared" si="584"/>
        <v>0</v>
      </c>
      <c r="EU326" s="38">
        <f t="shared" si="585"/>
        <v>0</v>
      </c>
      <c r="EV326" s="38">
        <f t="shared" si="586"/>
        <v>0</v>
      </c>
      <c r="EW326" s="38">
        <f t="shared" si="587"/>
        <v>0</v>
      </c>
      <c r="EX326" s="38">
        <f t="shared" si="588"/>
        <v>0</v>
      </c>
      <c r="EZ326" s="38">
        <f t="shared" si="589"/>
        <v>0</v>
      </c>
      <c r="FA326" s="38">
        <f t="shared" si="590"/>
        <v>0</v>
      </c>
      <c r="FB326" s="1">
        <f t="shared" si="591"/>
        <v>0</v>
      </c>
      <c r="FC326" s="1">
        <f t="shared" si="592"/>
        <v>0</v>
      </c>
      <c r="FD326" s="1">
        <f t="shared" si="593"/>
        <v>0</v>
      </c>
      <c r="FE326" s="1">
        <f t="shared" si="594"/>
        <v>0</v>
      </c>
      <c r="FF326" s="1">
        <f t="shared" si="595"/>
        <v>0</v>
      </c>
      <c r="FG326" s="1">
        <f t="shared" si="596"/>
        <v>0</v>
      </c>
      <c r="FH326" s="1">
        <f t="shared" si="597"/>
        <v>0</v>
      </c>
      <c r="FI326" s="1">
        <f t="shared" si="598"/>
        <v>0</v>
      </c>
      <c r="FJ326" s="1">
        <f t="shared" si="599"/>
        <v>0</v>
      </c>
      <c r="FK326" s="1">
        <f t="shared" si="600"/>
        <v>0</v>
      </c>
      <c r="FL326" s="1">
        <f t="shared" si="601"/>
        <v>0</v>
      </c>
      <c r="FM326" s="1">
        <f t="shared" si="602"/>
        <v>0</v>
      </c>
      <c r="FN326" s="1">
        <f t="shared" si="603"/>
        <v>0</v>
      </c>
      <c r="FO326" s="1">
        <f t="shared" si="604"/>
        <v>0</v>
      </c>
      <c r="FP326" s="1">
        <f t="shared" si="605"/>
        <v>0</v>
      </c>
      <c r="FQ326" s="1">
        <f t="shared" si="606"/>
        <v>0</v>
      </c>
      <c r="FS326" s="1">
        <f t="shared" si="607"/>
        <v>0</v>
      </c>
      <c r="FT326" s="1">
        <f t="shared" si="608"/>
        <v>0</v>
      </c>
      <c r="FU326" s="38">
        <f t="shared" si="609"/>
        <v>0</v>
      </c>
      <c r="FV326" s="38">
        <f t="shared" si="610"/>
        <v>0</v>
      </c>
      <c r="FW326" s="38">
        <f t="shared" si="611"/>
        <v>0</v>
      </c>
      <c r="FX326" s="38">
        <f t="shared" si="612"/>
        <v>0</v>
      </c>
      <c r="FY326" s="38">
        <f t="shared" si="613"/>
        <v>0</v>
      </c>
      <c r="FZ326" s="38">
        <f t="shared" si="614"/>
        <v>0</v>
      </c>
      <c r="GA326" s="38">
        <f t="shared" si="615"/>
        <v>0</v>
      </c>
      <c r="GB326" s="38">
        <f t="shared" si="616"/>
        <v>0</v>
      </c>
      <c r="GC326" s="38">
        <f t="shared" si="617"/>
        <v>0</v>
      </c>
      <c r="GD326" s="38">
        <f t="shared" si="618"/>
        <v>0</v>
      </c>
      <c r="GE326" s="38">
        <f t="shared" si="619"/>
        <v>0</v>
      </c>
      <c r="GF326" s="38">
        <f t="shared" si="620"/>
        <v>0</v>
      </c>
      <c r="GG326" s="38">
        <f t="shared" si="621"/>
        <v>0</v>
      </c>
      <c r="GH326" s="38">
        <f t="shared" si="622"/>
        <v>0</v>
      </c>
      <c r="GI326" s="38">
        <f t="shared" si="623"/>
        <v>0</v>
      </c>
      <c r="GJ326" s="38">
        <f t="shared" si="624"/>
        <v>0</v>
      </c>
      <c r="GL326" s="38">
        <f t="shared" si="625"/>
        <v>0</v>
      </c>
      <c r="GM326" s="38">
        <f t="shared" si="626"/>
        <v>0</v>
      </c>
      <c r="GN326" s="1" t="s">
        <v>2</v>
      </c>
      <c r="GO326" s="1">
        <f t="shared" si="634"/>
        <v>0.98799999999999999</v>
      </c>
      <c r="GP326" s="13">
        <f t="shared" si="635"/>
        <v>2.5262246963562753</v>
      </c>
      <c r="GQ326" s="41">
        <f t="shared" si="636"/>
        <v>24.959099999999999</v>
      </c>
      <c r="GR326" s="41">
        <f t="shared" si="637"/>
        <v>361.73268152959992</v>
      </c>
      <c r="GS326" s="14">
        <f t="shared" si="638"/>
        <v>366.12619588016184</v>
      </c>
      <c r="GT326" s="1">
        <f t="shared" si="627"/>
        <v>0</v>
      </c>
      <c r="GU326" s="1">
        <f t="shared" si="628"/>
        <v>12.795899999999996</v>
      </c>
      <c r="GV326" s="1">
        <f t="shared" si="629"/>
        <v>12.163200000000002</v>
      </c>
      <c r="GW326" s="37">
        <f t="shared" si="639"/>
        <v>0</v>
      </c>
      <c r="GX326" s="37"/>
      <c r="GY326" s="37"/>
      <c r="GZ326" s="37"/>
      <c r="HB326" s="1">
        <f t="shared" si="630"/>
        <v>0</v>
      </c>
      <c r="HC326" s="1">
        <f t="shared" si="631"/>
        <v>0</v>
      </c>
      <c r="HD326" s="37" t="s">
        <v>2</v>
      </c>
      <c r="HE326" s="1" t="s">
        <v>113</v>
      </c>
      <c r="HF326" s="1" t="s">
        <v>223</v>
      </c>
      <c r="HI326" s="1" t="s">
        <v>96</v>
      </c>
      <c r="HJ326" s="37" t="s">
        <v>2</v>
      </c>
      <c r="JH326" s="58" t="s">
        <v>2</v>
      </c>
    </row>
    <row r="327" spans="1:268" ht="16.25" customHeight="1" x14ac:dyDescent="0.2">
      <c r="A327" s="15" t="s">
        <v>435</v>
      </c>
      <c r="B327" s="1" t="s">
        <v>69</v>
      </c>
      <c r="E327" s="1" t="s">
        <v>65</v>
      </c>
      <c r="F327" s="1" t="s">
        <v>131</v>
      </c>
      <c r="H327" s="1" t="s">
        <v>70</v>
      </c>
      <c r="I327" s="1">
        <v>0</v>
      </c>
      <c r="AD327" s="1">
        <v>0</v>
      </c>
      <c r="AY327" s="1">
        <v>0.39</v>
      </c>
      <c r="BG327" s="1">
        <v>3.78</v>
      </c>
      <c r="BT327" s="1">
        <v>0</v>
      </c>
      <c r="CO327" s="1">
        <v>0</v>
      </c>
      <c r="DJ327" s="1" t="s">
        <v>96</v>
      </c>
      <c r="DL327" s="1">
        <f t="shared" si="632"/>
        <v>3.78</v>
      </c>
      <c r="DM327" s="1">
        <f t="shared" si="633"/>
        <v>0</v>
      </c>
      <c r="DN327" s="1" t="s">
        <v>148</v>
      </c>
      <c r="DO327" s="1" t="s">
        <v>2</v>
      </c>
      <c r="DP327" s="38">
        <f t="shared" si="555"/>
        <v>0</v>
      </c>
      <c r="DQ327" s="38">
        <f t="shared" si="556"/>
        <v>0</v>
      </c>
      <c r="DR327" s="38">
        <f t="shared" si="557"/>
        <v>0</v>
      </c>
      <c r="DS327" s="38">
        <f t="shared" si="558"/>
        <v>0</v>
      </c>
      <c r="DT327" s="38">
        <f t="shared" si="559"/>
        <v>0</v>
      </c>
      <c r="DU327" s="38">
        <f t="shared" si="560"/>
        <v>0</v>
      </c>
      <c r="DV327" s="38">
        <f t="shared" si="561"/>
        <v>0</v>
      </c>
      <c r="DW327" s="38">
        <f t="shared" si="562"/>
        <v>1.4742E-2</v>
      </c>
      <c r="DX327" s="38">
        <f t="shared" si="563"/>
        <v>0</v>
      </c>
      <c r="DY327" s="38">
        <f t="shared" si="564"/>
        <v>0</v>
      </c>
      <c r="DZ327" s="38">
        <f t="shared" si="565"/>
        <v>0</v>
      </c>
      <c r="EA327" s="38">
        <f t="shared" si="566"/>
        <v>0</v>
      </c>
      <c r="EB327" s="38">
        <f t="shared" si="567"/>
        <v>0</v>
      </c>
      <c r="EC327" s="38">
        <f t="shared" si="568"/>
        <v>0</v>
      </c>
      <c r="ED327" s="38">
        <f t="shared" si="569"/>
        <v>0</v>
      </c>
      <c r="EE327" s="38">
        <f t="shared" si="570"/>
        <v>0</v>
      </c>
      <c r="EG327" s="38">
        <f t="shared" si="571"/>
        <v>0</v>
      </c>
      <c r="EH327" s="38">
        <f t="shared" si="572"/>
        <v>0</v>
      </c>
      <c r="EI327" s="38">
        <f t="shared" si="573"/>
        <v>0</v>
      </c>
      <c r="EJ327" s="38">
        <f t="shared" si="574"/>
        <v>0</v>
      </c>
      <c r="EK327" s="38">
        <f t="shared" si="575"/>
        <v>0</v>
      </c>
      <c r="EL327" s="38">
        <f t="shared" si="576"/>
        <v>0</v>
      </c>
      <c r="EM327" s="38">
        <f t="shared" si="577"/>
        <v>0</v>
      </c>
      <c r="EN327" s="38">
        <f t="shared" si="578"/>
        <v>0</v>
      </c>
      <c r="EO327" s="38">
        <f t="shared" si="579"/>
        <v>0</v>
      </c>
      <c r="EP327" s="38">
        <f t="shared" si="580"/>
        <v>193.32658799999999</v>
      </c>
      <c r="EQ327" s="38">
        <f t="shared" si="581"/>
        <v>0</v>
      </c>
      <c r="ER327" s="38">
        <f t="shared" si="582"/>
        <v>0</v>
      </c>
      <c r="ES327" s="38">
        <f t="shared" si="583"/>
        <v>0</v>
      </c>
      <c r="ET327" s="38">
        <f t="shared" si="584"/>
        <v>0</v>
      </c>
      <c r="EU327" s="38">
        <f t="shared" si="585"/>
        <v>0</v>
      </c>
      <c r="EV327" s="38">
        <f t="shared" si="586"/>
        <v>0</v>
      </c>
      <c r="EW327" s="38">
        <f t="shared" si="587"/>
        <v>0</v>
      </c>
      <c r="EX327" s="38">
        <f t="shared" si="588"/>
        <v>0</v>
      </c>
      <c r="EZ327" s="38">
        <f t="shared" si="589"/>
        <v>0</v>
      </c>
      <c r="FA327" s="38">
        <f t="shared" si="590"/>
        <v>0</v>
      </c>
      <c r="FB327" s="1">
        <f t="shared" si="591"/>
        <v>0</v>
      </c>
      <c r="FC327" s="1">
        <f t="shared" si="592"/>
        <v>0</v>
      </c>
      <c r="FD327" s="1">
        <f t="shared" si="593"/>
        <v>0</v>
      </c>
      <c r="FE327" s="1">
        <f t="shared" si="594"/>
        <v>0</v>
      </c>
      <c r="FF327" s="1">
        <f t="shared" si="595"/>
        <v>0</v>
      </c>
      <c r="FG327" s="1">
        <f t="shared" si="596"/>
        <v>0</v>
      </c>
      <c r="FH327" s="1">
        <f t="shared" si="597"/>
        <v>0</v>
      </c>
      <c r="FI327" s="1">
        <f t="shared" si="598"/>
        <v>0</v>
      </c>
      <c r="FJ327" s="1">
        <f t="shared" si="599"/>
        <v>0</v>
      </c>
      <c r="FK327" s="1">
        <f t="shared" si="600"/>
        <v>0</v>
      </c>
      <c r="FL327" s="1">
        <f t="shared" si="601"/>
        <v>0</v>
      </c>
      <c r="FM327" s="1">
        <f t="shared" si="602"/>
        <v>0</v>
      </c>
      <c r="FN327" s="1">
        <f t="shared" si="603"/>
        <v>0</v>
      </c>
      <c r="FO327" s="1">
        <f t="shared" si="604"/>
        <v>0</v>
      </c>
      <c r="FP327" s="1">
        <f t="shared" si="605"/>
        <v>0</v>
      </c>
      <c r="FQ327" s="1">
        <f t="shared" si="606"/>
        <v>0</v>
      </c>
      <c r="FS327" s="1">
        <f t="shared" si="607"/>
        <v>0</v>
      </c>
      <c r="FT327" s="1">
        <f t="shared" si="608"/>
        <v>0</v>
      </c>
      <c r="FU327" s="38">
        <f t="shared" si="609"/>
        <v>0</v>
      </c>
      <c r="FV327" s="38">
        <f t="shared" si="610"/>
        <v>0</v>
      </c>
      <c r="FW327" s="38">
        <f t="shared" si="611"/>
        <v>0</v>
      </c>
      <c r="FX327" s="38">
        <f t="shared" si="612"/>
        <v>0</v>
      </c>
      <c r="FY327" s="38">
        <f t="shared" si="613"/>
        <v>0</v>
      </c>
      <c r="FZ327" s="38">
        <f t="shared" si="614"/>
        <v>0</v>
      </c>
      <c r="GA327" s="38">
        <f t="shared" si="615"/>
        <v>0</v>
      </c>
      <c r="GB327" s="38">
        <f t="shared" si="616"/>
        <v>0</v>
      </c>
      <c r="GC327" s="38">
        <f t="shared" si="617"/>
        <v>0</v>
      </c>
      <c r="GD327" s="38">
        <f t="shared" si="618"/>
        <v>0</v>
      </c>
      <c r="GE327" s="38">
        <f t="shared" si="619"/>
        <v>0</v>
      </c>
      <c r="GF327" s="38">
        <f t="shared" si="620"/>
        <v>0</v>
      </c>
      <c r="GG327" s="38">
        <f t="shared" si="621"/>
        <v>0</v>
      </c>
      <c r="GH327" s="38">
        <f t="shared" si="622"/>
        <v>0</v>
      </c>
      <c r="GI327" s="38">
        <f t="shared" si="623"/>
        <v>0</v>
      </c>
      <c r="GJ327" s="38">
        <f t="shared" si="624"/>
        <v>0</v>
      </c>
      <c r="GL327" s="38">
        <f t="shared" si="625"/>
        <v>0</v>
      </c>
      <c r="GM327" s="38">
        <f t="shared" si="626"/>
        <v>0</v>
      </c>
      <c r="GN327" s="1" t="s">
        <v>2</v>
      </c>
      <c r="GO327" s="1">
        <f t="shared" si="634"/>
        <v>0.39</v>
      </c>
      <c r="GP327" s="1">
        <f t="shared" si="635"/>
        <v>3.78</v>
      </c>
      <c r="GQ327" s="41">
        <f t="shared" si="636"/>
        <v>14.741999999999997</v>
      </c>
      <c r="GR327" s="41">
        <f t="shared" si="637"/>
        <v>193.32658799999999</v>
      </c>
      <c r="GS327" s="14">
        <f t="shared" si="638"/>
        <v>495.70919999999995</v>
      </c>
      <c r="GT327" s="1">
        <f t="shared" si="627"/>
        <v>0</v>
      </c>
      <c r="GU327" s="1">
        <f t="shared" si="628"/>
        <v>0</v>
      </c>
      <c r="GV327" s="1">
        <f t="shared" si="629"/>
        <v>14.742000000000001</v>
      </c>
      <c r="GW327" s="37">
        <f t="shared" si="639"/>
        <v>0</v>
      </c>
      <c r="GX327" s="37"/>
      <c r="GY327" s="37"/>
      <c r="GZ327" s="37"/>
      <c r="HB327" s="1">
        <f t="shared" si="630"/>
        <v>0</v>
      </c>
      <c r="HC327" s="1">
        <f t="shared" si="631"/>
        <v>0</v>
      </c>
      <c r="HD327" s="37" t="s">
        <v>2</v>
      </c>
      <c r="HE327" s="1" t="s">
        <v>113</v>
      </c>
      <c r="HF327" s="1" t="s">
        <v>223</v>
      </c>
      <c r="HI327" s="1" t="s">
        <v>96</v>
      </c>
      <c r="HJ327" s="37" t="s">
        <v>2</v>
      </c>
      <c r="JH327" s="58" t="s">
        <v>2</v>
      </c>
    </row>
    <row r="328" spans="1:268" ht="16.25" customHeight="1" x14ac:dyDescent="0.2">
      <c r="A328" s="15" t="s">
        <v>439</v>
      </c>
      <c r="B328" s="1" t="s">
        <v>69</v>
      </c>
      <c r="E328" s="1" t="s">
        <v>65</v>
      </c>
      <c r="F328" s="1" t="s">
        <v>440</v>
      </c>
      <c r="H328" s="1" t="s">
        <v>70</v>
      </c>
      <c r="I328" s="1">
        <v>0</v>
      </c>
      <c r="AD328" s="1">
        <v>0</v>
      </c>
      <c r="AY328" s="2">
        <v>2.2302</v>
      </c>
      <c r="BG328" s="1">
        <v>0.52</v>
      </c>
      <c r="BT328" s="1">
        <v>0</v>
      </c>
      <c r="CO328" s="1">
        <v>0</v>
      </c>
      <c r="DJ328" s="1" t="s">
        <v>96</v>
      </c>
      <c r="DL328" s="1">
        <f t="shared" si="632"/>
        <v>0.52</v>
      </c>
      <c r="DM328" s="1">
        <f t="shared" si="633"/>
        <v>0</v>
      </c>
      <c r="DN328" s="1" t="s">
        <v>148</v>
      </c>
      <c r="DO328" s="1" t="s">
        <v>2</v>
      </c>
      <c r="DP328" s="38">
        <f t="shared" si="555"/>
        <v>0</v>
      </c>
      <c r="DQ328" s="38">
        <f t="shared" si="556"/>
        <v>0</v>
      </c>
      <c r="DR328" s="38">
        <f t="shared" si="557"/>
        <v>0</v>
      </c>
      <c r="DS328" s="38">
        <f t="shared" si="558"/>
        <v>0</v>
      </c>
      <c r="DT328" s="38">
        <f t="shared" si="559"/>
        <v>0</v>
      </c>
      <c r="DU328" s="38">
        <f t="shared" si="560"/>
        <v>0</v>
      </c>
      <c r="DV328" s="38">
        <f t="shared" si="561"/>
        <v>0</v>
      </c>
      <c r="DW328" s="38">
        <f t="shared" si="562"/>
        <v>1.1597040000000001E-2</v>
      </c>
      <c r="DX328" s="38">
        <f t="shared" si="563"/>
        <v>0</v>
      </c>
      <c r="DY328" s="38">
        <f t="shared" si="564"/>
        <v>0</v>
      </c>
      <c r="DZ328" s="38">
        <f t="shared" si="565"/>
        <v>0</v>
      </c>
      <c r="EA328" s="38">
        <f t="shared" si="566"/>
        <v>0</v>
      </c>
      <c r="EB328" s="38">
        <f t="shared" si="567"/>
        <v>0</v>
      </c>
      <c r="EC328" s="38">
        <f t="shared" si="568"/>
        <v>0</v>
      </c>
      <c r="ED328" s="38">
        <f t="shared" si="569"/>
        <v>0</v>
      </c>
      <c r="EE328" s="38">
        <f t="shared" si="570"/>
        <v>0</v>
      </c>
      <c r="EG328" s="38">
        <f t="shared" si="571"/>
        <v>0</v>
      </c>
      <c r="EH328" s="38">
        <f t="shared" si="572"/>
        <v>0</v>
      </c>
      <c r="EI328" s="38">
        <f t="shared" si="573"/>
        <v>0</v>
      </c>
      <c r="EJ328" s="38">
        <f t="shared" si="574"/>
        <v>0</v>
      </c>
      <c r="EK328" s="38">
        <f t="shared" si="575"/>
        <v>0</v>
      </c>
      <c r="EL328" s="38">
        <f t="shared" si="576"/>
        <v>0</v>
      </c>
      <c r="EM328" s="38">
        <f t="shared" si="577"/>
        <v>0</v>
      </c>
      <c r="EN328" s="38">
        <f t="shared" si="578"/>
        <v>0</v>
      </c>
      <c r="EO328" s="38">
        <f t="shared" si="579"/>
        <v>0</v>
      </c>
      <c r="EP328" s="38">
        <f t="shared" si="580"/>
        <v>152.08358256000002</v>
      </c>
      <c r="EQ328" s="38">
        <f t="shared" si="581"/>
        <v>0</v>
      </c>
      <c r="ER328" s="38">
        <f t="shared" si="582"/>
        <v>0</v>
      </c>
      <c r="ES328" s="38">
        <f t="shared" si="583"/>
        <v>0</v>
      </c>
      <c r="ET328" s="38">
        <f t="shared" si="584"/>
        <v>0</v>
      </c>
      <c r="EU328" s="38">
        <f t="shared" si="585"/>
        <v>0</v>
      </c>
      <c r="EV328" s="38">
        <f t="shared" si="586"/>
        <v>0</v>
      </c>
      <c r="EW328" s="38">
        <f t="shared" si="587"/>
        <v>0</v>
      </c>
      <c r="EX328" s="38">
        <f t="shared" si="588"/>
        <v>0</v>
      </c>
      <c r="EZ328" s="38">
        <f t="shared" si="589"/>
        <v>0</v>
      </c>
      <c r="FA328" s="38">
        <f t="shared" si="590"/>
        <v>0</v>
      </c>
      <c r="FB328" s="1">
        <f t="shared" si="591"/>
        <v>0</v>
      </c>
      <c r="FC328" s="1">
        <f t="shared" si="592"/>
        <v>0</v>
      </c>
      <c r="FD328" s="1">
        <f t="shared" si="593"/>
        <v>0</v>
      </c>
      <c r="FE328" s="1">
        <f t="shared" si="594"/>
        <v>0</v>
      </c>
      <c r="FF328" s="1">
        <f t="shared" si="595"/>
        <v>0</v>
      </c>
      <c r="FG328" s="1">
        <f t="shared" si="596"/>
        <v>0</v>
      </c>
      <c r="FH328" s="1">
        <f t="shared" si="597"/>
        <v>0</v>
      </c>
      <c r="FI328" s="1">
        <f t="shared" si="598"/>
        <v>0</v>
      </c>
      <c r="FJ328" s="1">
        <f t="shared" si="599"/>
        <v>0</v>
      </c>
      <c r="FK328" s="1">
        <f t="shared" si="600"/>
        <v>0</v>
      </c>
      <c r="FL328" s="1">
        <f t="shared" si="601"/>
        <v>0</v>
      </c>
      <c r="FM328" s="1">
        <f t="shared" si="602"/>
        <v>0</v>
      </c>
      <c r="FN328" s="1">
        <f t="shared" si="603"/>
        <v>0</v>
      </c>
      <c r="FO328" s="1">
        <f t="shared" si="604"/>
        <v>0</v>
      </c>
      <c r="FP328" s="1">
        <f t="shared" si="605"/>
        <v>0</v>
      </c>
      <c r="FQ328" s="1">
        <f t="shared" si="606"/>
        <v>0</v>
      </c>
      <c r="FS328" s="1">
        <f t="shared" si="607"/>
        <v>0</v>
      </c>
      <c r="FT328" s="1">
        <f t="shared" si="608"/>
        <v>0</v>
      </c>
      <c r="FU328" s="38">
        <f t="shared" si="609"/>
        <v>0</v>
      </c>
      <c r="FV328" s="38">
        <f t="shared" si="610"/>
        <v>0</v>
      </c>
      <c r="FW328" s="38">
        <f t="shared" si="611"/>
        <v>0</v>
      </c>
      <c r="FX328" s="38">
        <f t="shared" si="612"/>
        <v>0</v>
      </c>
      <c r="FY328" s="38">
        <f t="shared" si="613"/>
        <v>0</v>
      </c>
      <c r="FZ328" s="38">
        <f t="shared" si="614"/>
        <v>0</v>
      </c>
      <c r="GA328" s="38">
        <f t="shared" si="615"/>
        <v>0</v>
      </c>
      <c r="GB328" s="38">
        <f t="shared" si="616"/>
        <v>0</v>
      </c>
      <c r="GC328" s="38">
        <f t="shared" si="617"/>
        <v>0</v>
      </c>
      <c r="GD328" s="38">
        <f t="shared" si="618"/>
        <v>0</v>
      </c>
      <c r="GE328" s="38">
        <f t="shared" si="619"/>
        <v>0</v>
      </c>
      <c r="GF328" s="38">
        <f t="shared" si="620"/>
        <v>0</v>
      </c>
      <c r="GG328" s="38">
        <f t="shared" si="621"/>
        <v>0</v>
      </c>
      <c r="GH328" s="38">
        <f t="shared" si="622"/>
        <v>0</v>
      </c>
      <c r="GI328" s="38">
        <f t="shared" si="623"/>
        <v>0</v>
      </c>
      <c r="GJ328" s="38">
        <f t="shared" si="624"/>
        <v>0</v>
      </c>
      <c r="GL328" s="38">
        <f t="shared" si="625"/>
        <v>0</v>
      </c>
      <c r="GM328" s="38">
        <f t="shared" si="626"/>
        <v>0</v>
      </c>
      <c r="GN328" s="1" t="s">
        <v>2</v>
      </c>
      <c r="GO328" s="13">
        <f t="shared" si="634"/>
        <v>2.2302</v>
      </c>
      <c r="GP328" s="1">
        <f t="shared" si="635"/>
        <v>0.52</v>
      </c>
      <c r="GQ328" s="41">
        <f t="shared" si="636"/>
        <v>11.59704</v>
      </c>
      <c r="GR328" s="41">
        <f t="shared" si="637"/>
        <v>152.08358256000002</v>
      </c>
      <c r="GS328" s="14">
        <f t="shared" si="638"/>
        <v>68.192800000000005</v>
      </c>
      <c r="GT328" s="1">
        <f t="shared" si="627"/>
        <v>0</v>
      </c>
      <c r="GU328" s="1">
        <f t="shared" si="628"/>
        <v>0</v>
      </c>
      <c r="GV328" s="1">
        <f t="shared" si="629"/>
        <v>11.597040000000002</v>
      </c>
      <c r="GW328" s="37">
        <f t="shared" si="639"/>
        <v>0</v>
      </c>
      <c r="GX328" s="37"/>
      <c r="GY328" s="37"/>
      <c r="GZ328" s="37"/>
      <c r="HB328" s="1">
        <f t="shared" si="630"/>
        <v>0</v>
      </c>
      <c r="HC328" s="1">
        <f t="shared" si="631"/>
        <v>0</v>
      </c>
      <c r="HD328" s="37" t="s">
        <v>2</v>
      </c>
      <c r="HE328" s="1" t="s">
        <v>113</v>
      </c>
      <c r="HF328" s="1" t="s">
        <v>223</v>
      </c>
      <c r="HI328" s="1" t="s">
        <v>96</v>
      </c>
      <c r="HJ328" s="37" t="s">
        <v>2</v>
      </c>
      <c r="JH328" s="58" t="s">
        <v>2</v>
      </c>
    </row>
    <row r="329" spans="1:268" ht="16.25" customHeight="1" x14ac:dyDescent="0.2">
      <c r="A329" s="15" t="s">
        <v>446</v>
      </c>
      <c r="B329" s="1" t="s">
        <v>71</v>
      </c>
      <c r="E329" s="1" t="s">
        <v>65</v>
      </c>
      <c r="F329" s="1" t="s">
        <v>447</v>
      </c>
      <c r="H329" s="1" t="s">
        <v>70</v>
      </c>
      <c r="I329" s="1">
        <v>0</v>
      </c>
      <c r="AD329" s="1">
        <v>0.25</v>
      </c>
      <c r="AL329" s="1">
        <v>2.4</v>
      </c>
      <c r="AY329" s="1">
        <v>0.46</v>
      </c>
      <c r="BG329" s="1">
        <v>2.2000000000000002</v>
      </c>
      <c r="BT329" s="1">
        <v>0</v>
      </c>
      <c r="CO329" s="1">
        <v>0</v>
      </c>
      <c r="DJ329" s="1" t="s">
        <v>96</v>
      </c>
      <c r="DL329" s="1">
        <f t="shared" si="632"/>
        <v>2.2704225352112677</v>
      </c>
      <c r="DM329" s="1">
        <f t="shared" si="633"/>
        <v>0</v>
      </c>
      <c r="DN329" s="1" t="s">
        <v>448</v>
      </c>
      <c r="DO329" s="1" t="s">
        <v>2</v>
      </c>
      <c r="DP329" s="38">
        <f t="shared" si="555"/>
        <v>0</v>
      </c>
      <c r="DQ329" s="38">
        <f t="shared" si="556"/>
        <v>0</v>
      </c>
      <c r="DR329" s="38">
        <f t="shared" si="557"/>
        <v>0</v>
      </c>
      <c r="DS329" s="38">
        <f t="shared" si="558"/>
        <v>0</v>
      </c>
      <c r="DT329" s="38">
        <f t="shared" si="559"/>
        <v>0</v>
      </c>
      <c r="DU329" s="38">
        <f t="shared" si="560"/>
        <v>0</v>
      </c>
      <c r="DV329" s="38">
        <f t="shared" si="561"/>
        <v>0</v>
      </c>
      <c r="DW329" s="38">
        <f t="shared" si="562"/>
        <v>1.6120000000000002E-2</v>
      </c>
      <c r="DX329" s="38">
        <f t="shared" si="563"/>
        <v>0</v>
      </c>
      <c r="DY329" s="38">
        <f t="shared" si="564"/>
        <v>0</v>
      </c>
      <c r="DZ329" s="38">
        <f t="shared" si="565"/>
        <v>0</v>
      </c>
      <c r="EA329" s="38">
        <f t="shared" si="566"/>
        <v>0</v>
      </c>
      <c r="EB329" s="38">
        <f t="shared" si="567"/>
        <v>0</v>
      </c>
      <c r="EC329" s="38">
        <f t="shared" si="568"/>
        <v>0</v>
      </c>
      <c r="ED329" s="38">
        <f t="shared" si="569"/>
        <v>0</v>
      </c>
      <c r="EE329" s="38">
        <f t="shared" si="570"/>
        <v>0</v>
      </c>
      <c r="EG329" s="38">
        <f t="shared" si="571"/>
        <v>0</v>
      </c>
      <c r="EH329" s="38">
        <f t="shared" si="572"/>
        <v>0</v>
      </c>
      <c r="EI329" s="38">
        <f t="shared" si="573"/>
        <v>0</v>
      </c>
      <c r="EJ329" s="38">
        <f t="shared" si="574"/>
        <v>0</v>
      </c>
      <c r="EK329" s="38">
        <f t="shared" si="575"/>
        <v>0</v>
      </c>
      <c r="EL329" s="38">
        <f t="shared" si="576"/>
        <v>0</v>
      </c>
      <c r="EM329" s="38">
        <f t="shared" si="577"/>
        <v>0</v>
      </c>
      <c r="EN329" s="38">
        <f t="shared" si="578"/>
        <v>0</v>
      </c>
      <c r="EO329" s="38">
        <f t="shared" si="579"/>
        <v>0</v>
      </c>
      <c r="EP329" s="38">
        <f t="shared" si="580"/>
        <v>211.39768000000004</v>
      </c>
      <c r="EQ329" s="38">
        <f t="shared" si="581"/>
        <v>0</v>
      </c>
      <c r="ER329" s="38">
        <f t="shared" si="582"/>
        <v>0</v>
      </c>
      <c r="ES329" s="38">
        <f t="shared" si="583"/>
        <v>0</v>
      </c>
      <c r="ET329" s="38">
        <f t="shared" si="584"/>
        <v>0</v>
      </c>
      <c r="EU329" s="38">
        <f t="shared" si="585"/>
        <v>0</v>
      </c>
      <c r="EV329" s="38">
        <f t="shared" si="586"/>
        <v>0</v>
      </c>
      <c r="EW329" s="38">
        <f t="shared" si="587"/>
        <v>0</v>
      </c>
      <c r="EX329" s="38">
        <f t="shared" si="588"/>
        <v>0</v>
      </c>
      <c r="EZ329" s="38">
        <f t="shared" si="589"/>
        <v>0</v>
      </c>
      <c r="FA329" s="38">
        <f t="shared" si="590"/>
        <v>0</v>
      </c>
      <c r="FB329" s="1">
        <f t="shared" si="591"/>
        <v>0</v>
      </c>
      <c r="FC329" s="1">
        <f t="shared" si="592"/>
        <v>0</v>
      </c>
      <c r="FD329" s="1">
        <f t="shared" si="593"/>
        <v>0</v>
      </c>
      <c r="FE329" s="1">
        <f t="shared" si="594"/>
        <v>0</v>
      </c>
      <c r="FF329" s="1">
        <f t="shared" si="595"/>
        <v>0</v>
      </c>
      <c r="FG329" s="1">
        <f t="shared" si="596"/>
        <v>0</v>
      </c>
      <c r="FH329" s="1">
        <f t="shared" si="597"/>
        <v>0</v>
      </c>
      <c r="FI329" s="1">
        <f t="shared" si="598"/>
        <v>0</v>
      </c>
      <c r="FJ329" s="1">
        <f t="shared" si="599"/>
        <v>0</v>
      </c>
      <c r="FK329" s="1">
        <f t="shared" si="600"/>
        <v>0</v>
      </c>
      <c r="FL329" s="1">
        <f t="shared" si="601"/>
        <v>0</v>
      </c>
      <c r="FM329" s="1">
        <f t="shared" si="602"/>
        <v>0</v>
      </c>
      <c r="FN329" s="1">
        <f t="shared" si="603"/>
        <v>0</v>
      </c>
      <c r="FO329" s="1">
        <f t="shared" si="604"/>
        <v>0</v>
      </c>
      <c r="FP329" s="1">
        <f t="shared" si="605"/>
        <v>0</v>
      </c>
      <c r="FQ329" s="1">
        <f t="shared" si="606"/>
        <v>0</v>
      </c>
      <c r="FS329" s="1">
        <f t="shared" si="607"/>
        <v>0</v>
      </c>
      <c r="FT329" s="1">
        <f t="shared" si="608"/>
        <v>0</v>
      </c>
      <c r="FU329" s="38">
        <f t="shared" si="609"/>
        <v>0</v>
      </c>
      <c r="FV329" s="38">
        <f t="shared" si="610"/>
        <v>0</v>
      </c>
      <c r="FW329" s="38">
        <f t="shared" si="611"/>
        <v>0</v>
      </c>
      <c r="FX329" s="38">
        <f t="shared" si="612"/>
        <v>0</v>
      </c>
      <c r="FY329" s="38">
        <f t="shared" si="613"/>
        <v>0</v>
      </c>
      <c r="FZ329" s="38">
        <f t="shared" si="614"/>
        <v>0</v>
      </c>
      <c r="GA329" s="38">
        <f t="shared" si="615"/>
        <v>0</v>
      </c>
      <c r="GB329" s="38">
        <f t="shared" si="616"/>
        <v>0</v>
      </c>
      <c r="GC329" s="38">
        <f t="shared" si="617"/>
        <v>0</v>
      </c>
      <c r="GD329" s="38">
        <f t="shared" si="618"/>
        <v>0</v>
      </c>
      <c r="GE329" s="38">
        <f t="shared" si="619"/>
        <v>0</v>
      </c>
      <c r="GF329" s="38">
        <f t="shared" si="620"/>
        <v>0</v>
      </c>
      <c r="GG329" s="38">
        <f t="shared" si="621"/>
        <v>0</v>
      </c>
      <c r="GH329" s="38">
        <f t="shared" si="622"/>
        <v>0</v>
      </c>
      <c r="GI329" s="38">
        <f t="shared" si="623"/>
        <v>0</v>
      </c>
      <c r="GJ329" s="38">
        <f t="shared" si="624"/>
        <v>0</v>
      </c>
      <c r="GL329" s="38">
        <f t="shared" si="625"/>
        <v>0</v>
      </c>
      <c r="GM329" s="38">
        <f t="shared" si="626"/>
        <v>0</v>
      </c>
      <c r="GN329" s="1" t="s">
        <v>2</v>
      </c>
      <c r="GO329" s="1">
        <f t="shared" si="634"/>
        <v>0.71</v>
      </c>
      <c r="GP329" s="13">
        <f t="shared" si="635"/>
        <v>2.2704225352112677</v>
      </c>
      <c r="GQ329" s="41">
        <f t="shared" si="636"/>
        <v>16.12</v>
      </c>
      <c r="GR329" s="41">
        <f t="shared" si="637"/>
        <v>211.39768000000004</v>
      </c>
      <c r="GS329" s="14">
        <f t="shared" si="638"/>
        <v>297.74321126760572</v>
      </c>
      <c r="GT329" s="1">
        <f t="shared" si="627"/>
        <v>0</v>
      </c>
      <c r="GU329" s="1">
        <f t="shared" si="628"/>
        <v>6</v>
      </c>
      <c r="GV329" s="1">
        <f t="shared" si="629"/>
        <v>10.120000000000003</v>
      </c>
      <c r="GW329" s="37">
        <f t="shared" si="639"/>
        <v>0</v>
      </c>
      <c r="GX329" s="37"/>
      <c r="GY329" s="37"/>
      <c r="GZ329" s="37"/>
      <c r="HB329" s="1">
        <f t="shared" si="630"/>
        <v>0</v>
      </c>
      <c r="HC329" s="1">
        <f t="shared" si="631"/>
        <v>0</v>
      </c>
      <c r="HD329" s="37" t="s">
        <v>2</v>
      </c>
      <c r="HE329" s="1" t="s">
        <v>113</v>
      </c>
      <c r="HF329" s="1" t="s">
        <v>223</v>
      </c>
      <c r="HI329" s="1" t="s">
        <v>96</v>
      </c>
      <c r="HJ329" s="37" t="s">
        <v>2</v>
      </c>
      <c r="JH329" s="58" t="s">
        <v>2</v>
      </c>
    </row>
    <row r="330" spans="1:268" ht="16.25" customHeight="1" x14ac:dyDescent="0.2">
      <c r="A330" s="15" t="s">
        <v>449</v>
      </c>
      <c r="B330" s="1" t="s">
        <v>69</v>
      </c>
      <c r="E330" s="1" t="s">
        <v>65</v>
      </c>
      <c r="F330" s="1" t="s">
        <v>66</v>
      </c>
      <c r="H330" s="1" t="s">
        <v>70</v>
      </c>
      <c r="I330" s="1">
        <v>0</v>
      </c>
      <c r="AD330" s="1">
        <v>0.08</v>
      </c>
      <c r="AL330" s="1">
        <v>3.5</v>
      </c>
      <c r="AY330" s="1">
        <v>0</v>
      </c>
      <c r="BT330" s="1">
        <v>0</v>
      </c>
      <c r="CO330" s="1">
        <v>0</v>
      </c>
      <c r="DJ330" s="1" t="s">
        <v>96</v>
      </c>
      <c r="DL330" s="1">
        <f t="shared" si="632"/>
        <v>3.5000000000000004</v>
      </c>
      <c r="DM330" s="1">
        <f t="shared" si="633"/>
        <v>0</v>
      </c>
      <c r="DN330" s="1" t="s">
        <v>148</v>
      </c>
      <c r="DO330" s="1" t="s">
        <v>2</v>
      </c>
      <c r="DP330" s="38">
        <f t="shared" si="555"/>
        <v>0</v>
      </c>
      <c r="DQ330" s="38">
        <f t="shared" si="556"/>
        <v>0</v>
      </c>
      <c r="DR330" s="38">
        <f t="shared" si="557"/>
        <v>0</v>
      </c>
      <c r="DS330" s="38">
        <f t="shared" si="558"/>
        <v>0</v>
      </c>
      <c r="DT330" s="38">
        <f t="shared" si="559"/>
        <v>0</v>
      </c>
      <c r="DU330" s="38">
        <f t="shared" si="560"/>
        <v>0</v>
      </c>
      <c r="DV330" s="38">
        <f t="shared" si="561"/>
        <v>0</v>
      </c>
      <c r="DW330" s="38">
        <f t="shared" si="562"/>
        <v>2.8000000000000004E-3</v>
      </c>
      <c r="DX330" s="38">
        <f t="shared" si="563"/>
        <v>0</v>
      </c>
      <c r="DY330" s="38">
        <f t="shared" si="564"/>
        <v>0</v>
      </c>
      <c r="DZ330" s="38">
        <f t="shared" si="565"/>
        <v>0</v>
      </c>
      <c r="EA330" s="38">
        <f t="shared" si="566"/>
        <v>0</v>
      </c>
      <c r="EB330" s="38">
        <f t="shared" si="567"/>
        <v>0</v>
      </c>
      <c r="EC330" s="38">
        <f t="shared" si="568"/>
        <v>0</v>
      </c>
      <c r="ED330" s="38">
        <f t="shared" si="569"/>
        <v>0</v>
      </c>
      <c r="EE330" s="38">
        <f t="shared" si="570"/>
        <v>0</v>
      </c>
      <c r="EG330" s="38">
        <f t="shared" si="571"/>
        <v>0</v>
      </c>
      <c r="EH330" s="38">
        <f t="shared" si="572"/>
        <v>0</v>
      </c>
      <c r="EI330" s="38">
        <f t="shared" si="573"/>
        <v>0</v>
      </c>
      <c r="EJ330" s="38">
        <f t="shared" si="574"/>
        <v>0</v>
      </c>
      <c r="EK330" s="38">
        <f t="shared" si="575"/>
        <v>0</v>
      </c>
      <c r="EL330" s="38">
        <f t="shared" si="576"/>
        <v>0</v>
      </c>
      <c r="EM330" s="38">
        <f t="shared" si="577"/>
        <v>0</v>
      </c>
      <c r="EN330" s="38">
        <f t="shared" si="578"/>
        <v>0</v>
      </c>
      <c r="EO330" s="38">
        <f t="shared" si="579"/>
        <v>0</v>
      </c>
      <c r="EP330" s="38">
        <f t="shared" si="580"/>
        <v>36.719200000000008</v>
      </c>
      <c r="EQ330" s="38">
        <f t="shared" si="581"/>
        <v>0</v>
      </c>
      <c r="ER330" s="38">
        <f t="shared" si="582"/>
        <v>0</v>
      </c>
      <c r="ES330" s="38">
        <f t="shared" si="583"/>
        <v>0</v>
      </c>
      <c r="ET330" s="38">
        <f t="shared" si="584"/>
        <v>0</v>
      </c>
      <c r="EU330" s="38">
        <f t="shared" si="585"/>
        <v>0</v>
      </c>
      <c r="EV330" s="38">
        <f t="shared" si="586"/>
        <v>0</v>
      </c>
      <c r="EW330" s="38">
        <f t="shared" si="587"/>
        <v>0</v>
      </c>
      <c r="EX330" s="38">
        <f t="shared" si="588"/>
        <v>0</v>
      </c>
      <c r="EZ330" s="38">
        <f t="shared" si="589"/>
        <v>0</v>
      </c>
      <c r="FA330" s="38">
        <f t="shared" si="590"/>
        <v>0</v>
      </c>
      <c r="FB330" s="1">
        <f t="shared" si="591"/>
        <v>0</v>
      </c>
      <c r="FC330" s="1">
        <f t="shared" si="592"/>
        <v>0</v>
      </c>
      <c r="FD330" s="1">
        <f t="shared" si="593"/>
        <v>0</v>
      </c>
      <c r="FE330" s="1">
        <f t="shared" si="594"/>
        <v>0</v>
      </c>
      <c r="FF330" s="1">
        <f t="shared" si="595"/>
        <v>0</v>
      </c>
      <c r="FG330" s="1">
        <f t="shared" si="596"/>
        <v>0</v>
      </c>
      <c r="FH330" s="1">
        <f t="shared" si="597"/>
        <v>0</v>
      </c>
      <c r="FI330" s="1">
        <f t="shared" si="598"/>
        <v>0</v>
      </c>
      <c r="FJ330" s="1">
        <f t="shared" si="599"/>
        <v>0</v>
      </c>
      <c r="FK330" s="1">
        <f t="shared" si="600"/>
        <v>0</v>
      </c>
      <c r="FL330" s="1">
        <f t="shared" si="601"/>
        <v>0</v>
      </c>
      <c r="FM330" s="1">
        <f t="shared" si="602"/>
        <v>0</v>
      </c>
      <c r="FN330" s="1">
        <f t="shared" si="603"/>
        <v>0</v>
      </c>
      <c r="FO330" s="1">
        <f t="shared" si="604"/>
        <v>0</v>
      </c>
      <c r="FP330" s="1">
        <f t="shared" si="605"/>
        <v>0</v>
      </c>
      <c r="FQ330" s="1">
        <f t="shared" si="606"/>
        <v>0</v>
      </c>
      <c r="FS330" s="1">
        <f t="shared" si="607"/>
        <v>0</v>
      </c>
      <c r="FT330" s="1">
        <f t="shared" si="608"/>
        <v>0</v>
      </c>
      <c r="FU330" s="38">
        <f t="shared" si="609"/>
        <v>0</v>
      </c>
      <c r="FV330" s="38">
        <f t="shared" si="610"/>
        <v>0</v>
      </c>
      <c r="FW330" s="38">
        <f t="shared" si="611"/>
        <v>0</v>
      </c>
      <c r="FX330" s="38">
        <f t="shared" si="612"/>
        <v>0</v>
      </c>
      <c r="FY330" s="38">
        <f t="shared" si="613"/>
        <v>0</v>
      </c>
      <c r="FZ330" s="38">
        <f t="shared" si="614"/>
        <v>0</v>
      </c>
      <c r="GA330" s="38">
        <f t="shared" si="615"/>
        <v>0</v>
      </c>
      <c r="GB330" s="38">
        <f t="shared" si="616"/>
        <v>0</v>
      </c>
      <c r="GC330" s="38">
        <f t="shared" si="617"/>
        <v>0</v>
      </c>
      <c r="GD330" s="38">
        <f t="shared" si="618"/>
        <v>0</v>
      </c>
      <c r="GE330" s="38">
        <f t="shared" si="619"/>
        <v>0</v>
      </c>
      <c r="GF330" s="38">
        <f t="shared" si="620"/>
        <v>0</v>
      </c>
      <c r="GG330" s="38">
        <f t="shared" si="621"/>
        <v>0</v>
      </c>
      <c r="GH330" s="38">
        <f t="shared" si="622"/>
        <v>0</v>
      </c>
      <c r="GI330" s="38">
        <f t="shared" si="623"/>
        <v>0</v>
      </c>
      <c r="GJ330" s="38">
        <f t="shared" si="624"/>
        <v>0</v>
      </c>
      <c r="GL330" s="38">
        <f t="shared" si="625"/>
        <v>0</v>
      </c>
      <c r="GM330" s="38">
        <f t="shared" si="626"/>
        <v>0</v>
      </c>
      <c r="GN330" s="1" t="s">
        <v>2</v>
      </c>
      <c r="GO330" s="1">
        <f t="shared" si="634"/>
        <v>0.08</v>
      </c>
      <c r="GP330" s="1">
        <f t="shared" si="635"/>
        <v>3.5000000000000004</v>
      </c>
      <c r="GQ330" s="41">
        <f t="shared" si="636"/>
        <v>2.8000000000000007</v>
      </c>
      <c r="GR330" s="41">
        <f t="shared" si="637"/>
        <v>36.719200000000008</v>
      </c>
      <c r="GS330" s="14">
        <f t="shared" si="638"/>
        <v>458.99000000000007</v>
      </c>
      <c r="GT330" s="1">
        <f t="shared" si="627"/>
        <v>0</v>
      </c>
      <c r="GU330" s="1">
        <f t="shared" si="628"/>
        <v>2.8</v>
      </c>
      <c r="GV330" s="1">
        <f t="shared" si="629"/>
        <v>0</v>
      </c>
      <c r="GW330" s="37">
        <f t="shared" si="639"/>
        <v>0</v>
      </c>
      <c r="GX330" s="37"/>
      <c r="GY330" s="37"/>
      <c r="GZ330" s="37"/>
      <c r="HB330" s="1">
        <f t="shared" si="630"/>
        <v>0</v>
      </c>
      <c r="HC330" s="1">
        <f t="shared" si="631"/>
        <v>0</v>
      </c>
      <c r="HD330" s="37" t="s">
        <v>2</v>
      </c>
      <c r="HE330" s="1" t="s">
        <v>113</v>
      </c>
      <c r="HF330" s="1" t="s">
        <v>223</v>
      </c>
      <c r="HI330" s="1" t="s">
        <v>96</v>
      </c>
      <c r="HJ330" s="37" t="s">
        <v>2</v>
      </c>
      <c r="JH330" s="58" t="s">
        <v>2</v>
      </c>
    </row>
    <row r="331" spans="1:268" ht="16.25" customHeight="1" x14ac:dyDescent="0.2">
      <c r="A331" s="15" t="s">
        <v>460</v>
      </c>
      <c r="B331" s="1" t="s">
        <v>71</v>
      </c>
      <c r="E331" s="1" t="s">
        <v>65</v>
      </c>
      <c r="F331" s="1" t="s">
        <v>401</v>
      </c>
      <c r="H331" s="1" t="s">
        <v>70</v>
      </c>
      <c r="I331" s="1">
        <v>0</v>
      </c>
      <c r="AD331" s="1">
        <f>0.382+0.091+0.103</f>
        <v>0.57599999999999996</v>
      </c>
      <c r="AE331" s="14">
        <f>(0.5*0.382+0.4*0.091+0.4*0.103)/AD331</f>
        <v>0.46631944444444451</v>
      </c>
      <c r="AL331" s="14">
        <f>(1.4*0.382+1.7*0.091+1.1*0.103)/AD331</f>
        <v>1.39375</v>
      </c>
      <c r="AY331" s="1">
        <f>0.021+0.004</f>
        <v>2.5000000000000001E-2</v>
      </c>
      <c r="AZ331" s="14">
        <f>(0.4*0.021+0.5*0.004)/AY331</f>
        <v>0.41600000000000004</v>
      </c>
      <c r="BG331" s="14">
        <f>(1.6*0.021+1.4*0.004)/AY331</f>
        <v>1.5680000000000001</v>
      </c>
      <c r="BT331" s="1">
        <v>0</v>
      </c>
      <c r="CO331" s="1">
        <v>0</v>
      </c>
      <c r="DJ331" s="1" t="s">
        <v>96</v>
      </c>
      <c r="DL331" s="1">
        <f t="shared" si="632"/>
        <v>1.4009983361064893</v>
      </c>
      <c r="DM331" s="1">
        <f t="shared" si="633"/>
        <v>0</v>
      </c>
      <c r="DN331" s="1" t="s">
        <v>148</v>
      </c>
      <c r="DO331" s="1" t="s">
        <v>2</v>
      </c>
      <c r="DP331" s="38">
        <f t="shared" si="555"/>
        <v>2.7900000000000004E-3</v>
      </c>
      <c r="DQ331" s="38">
        <f t="shared" si="556"/>
        <v>0</v>
      </c>
      <c r="DR331" s="38">
        <f t="shared" si="557"/>
        <v>0</v>
      </c>
      <c r="DS331" s="38">
        <f t="shared" si="558"/>
        <v>0</v>
      </c>
      <c r="DT331" s="38">
        <f t="shared" si="559"/>
        <v>0</v>
      </c>
      <c r="DU331" s="38">
        <f t="shared" si="560"/>
        <v>0</v>
      </c>
      <c r="DV331" s="38">
        <f t="shared" si="561"/>
        <v>0</v>
      </c>
      <c r="DW331" s="38">
        <f t="shared" si="562"/>
        <v>8.4200000000000004E-3</v>
      </c>
      <c r="DX331" s="38">
        <f t="shared" si="563"/>
        <v>0</v>
      </c>
      <c r="DY331" s="38">
        <f t="shared" si="564"/>
        <v>0</v>
      </c>
      <c r="DZ331" s="38">
        <f t="shared" si="565"/>
        <v>0</v>
      </c>
      <c r="EA331" s="38">
        <f t="shared" si="566"/>
        <v>0</v>
      </c>
      <c r="EB331" s="38">
        <f t="shared" si="567"/>
        <v>0</v>
      </c>
      <c r="EC331" s="38">
        <f t="shared" si="568"/>
        <v>0</v>
      </c>
      <c r="ED331" s="38">
        <f t="shared" si="569"/>
        <v>0</v>
      </c>
      <c r="EE331" s="38">
        <f t="shared" si="570"/>
        <v>0</v>
      </c>
      <c r="EG331" s="38">
        <f t="shared" si="571"/>
        <v>0</v>
      </c>
      <c r="EH331" s="38">
        <f t="shared" si="572"/>
        <v>0</v>
      </c>
      <c r="EI331" s="38">
        <f t="shared" si="573"/>
        <v>18.206468640000004</v>
      </c>
      <c r="EJ331" s="38">
        <f t="shared" si="574"/>
        <v>0</v>
      </c>
      <c r="EK331" s="38">
        <f t="shared" si="575"/>
        <v>0</v>
      </c>
      <c r="EL331" s="38">
        <f t="shared" si="576"/>
        <v>0</v>
      </c>
      <c r="EM331" s="38">
        <f t="shared" si="577"/>
        <v>0</v>
      </c>
      <c r="EN331" s="38">
        <f t="shared" si="578"/>
        <v>0</v>
      </c>
      <c r="EO331" s="38">
        <f t="shared" si="579"/>
        <v>0</v>
      </c>
      <c r="EP331" s="38">
        <f t="shared" si="580"/>
        <v>110.41988000000001</v>
      </c>
      <c r="EQ331" s="38">
        <f t="shared" si="581"/>
        <v>0</v>
      </c>
      <c r="ER331" s="38">
        <f t="shared" si="582"/>
        <v>0</v>
      </c>
      <c r="ES331" s="38">
        <f t="shared" si="583"/>
        <v>0</v>
      </c>
      <c r="ET331" s="38">
        <f t="shared" si="584"/>
        <v>0</v>
      </c>
      <c r="EU331" s="38">
        <f t="shared" si="585"/>
        <v>0</v>
      </c>
      <c r="EV331" s="38">
        <f t="shared" si="586"/>
        <v>0</v>
      </c>
      <c r="EW331" s="38">
        <f t="shared" si="587"/>
        <v>0</v>
      </c>
      <c r="EX331" s="38">
        <f t="shared" si="588"/>
        <v>0</v>
      </c>
      <c r="EZ331" s="38">
        <f t="shared" si="589"/>
        <v>0</v>
      </c>
      <c r="FA331" s="38">
        <f t="shared" si="590"/>
        <v>0</v>
      </c>
      <c r="FB331" s="1">
        <f t="shared" si="591"/>
        <v>0</v>
      </c>
      <c r="FC331" s="1">
        <f t="shared" si="592"/>
        <v>0</v>
      </c>
      <c r="FD331" s="1">
        <f t="shared" si="593"/>
        <v>0</v>
      </c>
      <c r="FE331" s="1">
        <f t="shared" si="594"/>
        <v>0</v>
      </c>
      <c r="FF331" s="1">
        <f t="shared" si="595"/>
        <v>0</v>
      </c>
      <c r="FG331" s="1">
        <f t="shared" si="596"/>
        <v>0</v>
      </c>
      <c r="FH331" s="1">
        <f t="shared" si="597"/>
        <v>0</v>
      </c>
      <c r="FI331" s="1">
        <f t="shared" si="598"/>
        <v>0</v>
      </c>
      <c r="FJ331" s="1">
        <f t="shared" si="599"/>
        <v>0</v>
      </c>
      <c r="FK331" s="1">
        <f t="shared" si="600"/>
        <v>0</v>
      </c>
      <c r="FL331" s="1">
        <f t="shared" si="601"/>
        <v>0</v>
      </c>
      <c r="FM331" s="1">
        <f t="shared" si="602"/>
        <v>0</v>
      </c>
      <c r="FN331" s="1">
        <f t="shared" si="603"/>
        <v>0</v>
      </c>
      <c r="FO331" s="1">
        <f t="shared" si="604"/>
        <v>0</v>
      </c>
      <c r="FP331" s="1">
        <f t="shared" si="605"/>
        <v>0</v>
      </c>
      <c r="FQ331" s="1">
        <f t="shared" si="606"/>
        <v>0</v>
      </c>
      <c r="FS331" s="1">
        <f t="shared" si="607"/>
        <v>0</v>
      </c>
      <c r="FT331" s="1">
        <f t="shared" si="608"/>
        <v>0</v>
      </c>
      <c r="FU331" s="38">
        <f t="shared" si="609"/>
        <v>0</v>
      </c>
      <c r="FV331" s="38">
        <f t="shared" si="610"/>
        <v>0</v>
      </c>
      <c r="FW331" s="38">
        <f t="shared" si="611"/>
        <v>0</v>
      </c>
      <c r="FX331" s="38">
        <f t="shared" si="612"/>
        <v>0</v>
      </c>
      <c r="FY331" s="38">
        <f t="shared" si="613"/>
        <v>0</v>
      </c>
      <c r="FZ331" s="38">
        <f t="shared" si="614"/>
        <v>0</v>
      </c>
      <c r="GA331" s="38">
        <f t="shared" si="615"/>
        <v>0</v>
      </c>
      <c r="GB331" s="38">
        <f t="shared" si="616"/>
        <v>0</v>
      </c>
      <c r="GC331" s="38">
        <f t="shared" si="617"/>
        <v>0</v>
      </c>
      <c r="GD331" s="38">
        <f t="shared" si="618"/>
        <v>0</v>
      </c>
      <c r="GE331" s="38">
        <f t="shared" si="619"/>
        <v>0</v>
      </c>
      <c r="GF331" s="38">
        <f t="shared" si="620"/>
        <v>0</v>
      </c>
      <c r="GG331" s="38">
        <f t="shared" si="621"/>
        <v>0</v>
      </c>
      <c r="GH331" s="38">
        <f t="shared" si="622"/>
        <v>0</v>
      </c>
      <c r="GI331" s="38">
        <f t="shared" si="623"/>
        <v>0</v>
      </c>
      <c r="GJ331" s="38">
        <f t="shared" si="624"/>
        <v>0</v>
      </c>
      <c r="GL331" s="38">
        <f t="shared" si="625"/>
        <v>0</v>
      </c>
      <c r="GM331" s="38">
        <f t="shared" si="626"/>
        <v>0</v>
      </c>
      <c r="GN331" s="1" t="s">
        <v>2</v>
      </c>
      <c r="GO331" s="1">
        <f t="shared" si="634"/>
        <v>0.60099999999999998</v>
      </c>
      <c r="GP331" s="13">
        <f t="shared" si="635"/>
        <v>1.4009983361064893</v>
      </c>
      <c r="GQ331" s="41">
        <f t="shared" si="636"/>
        <v>8.42</v>
      </c>
      <c r="GR331" s="41">
        <f t="shared" si="637"/>
        <v>128.62634864</v>
      </c>
      <c r="GS331" s="14">
        <f t="shared" si="638"/>
        <v>214.02054682196342</v>
      </c>
      <c r="GT331" s="1">
        <f t="shared" si="627"/>
        <v>0</v>
      </c>
      <c r="GU331" s="1">
        <f t="shared" si="628"/>
        <v>8.0279999999999987</v>
      </c>
      <c r="GV331" s="1">
        <f t="shared" si="629"/>
        <v>0.39200000000000002</v>
      </c>
      <c r="GW331" s="37">
        <f t="shared" si="639"/>
        <v>0</v>
      </c>
      <c r="GX331" s="37"/>
      <c r="GY331" s="37"/>
      <c r="GZ331" s="37"/>
      <c r="HB331" s="1">
        <f t="shared" si="630"/>
        <v>0</v>
      </c>
      <c r="HC331" s="1">
        <f t="shared" si="631"/>
        <v>0</v>
      </c>
      <c r="HD331" s="37" t="s">
        <v>2</v>
      </c>
      <c r="HE331" s="1" t="s">
        <v>113</v>
      </c>
      <c r="HF331" s="1" t="s">
        <v>223</v>
      </c>
      <c r="HI331" s="1" t="s">
        <v>96</v>
      </c>
      <c r="HJ331" s="37" t="s">
        <v>2</v>
      </c>
      <c r="JH331" s="58" t="s">
        <v>2</v>
      </c>
    </row>
    <row r="332" spans="1:268" ht="16.25" customHeight="1" x14ac:dyDescent="0.2">
      <c r="A332" s="15" t="s">
        <v>639</v>
      </c>
      <c r="B332" s="1" t="s">
        <v>71</v>
      </c>
      <c r="F332" s="1" t="s">
        <v>640</v>
      </c>
      <c r="I332" s="1">
        <v>0</v>
      </c>
      <c r="AD332" s="1">
        <v>0.47299999999999998</v>
      </c>
      <c r="AE332" s="1">
        <v>0.04</v>
      </c>
      <c r="AF332" s="1">
        <v>0.01</v>
      </c>
      <c r="AL332" s="1">
        <v>0.96</v>
      </c>
      <c r="AM332" s="1">
        <v>0.03</v>
      </c>
      <c r="AN332" s="1">
        <v>0.03</v>
      </c>
      <c r="AO332" s="1">
        <v>7.0000000000000007E-2</v>
      </c>
      <c r="AY332" s="1">
        <v>6.6000000000000003E-2</v>
      </c>
      <c r="AZ332" s="1">
        <v>0.04</v>
      </c>
      <c r="BA332" s="1">
        <v>0.01</v>
      </c>
      <c r="BG332" s="1">
        <v>0.82</v>
      </c>
      <c r="BH332" s="1">
        <v>0.02</v>
      </c>
      <c r="BI332" s="1">
        <v>0.01</v>
      </c>
      <c r="BJ332" s="1">
        <v>0.02</v>
      </c>
      <c r="BT332" s="1">
        <v>0</v>
      </c>
      <c r="CO332" s="1">
        <v>0</v>
      </c>
      <c r="DJ332" s="1" t="s">
        <v>96</v>
      </c>
      <c r="DK332" s="1" t="s">
        <v>96</v>
      </c>
      <c r="DL332" s="1">
        <f t="shared" si="632"/>
        <v>0.94285714285714295</v>
      </c>
      <c r="DM332" s="1">
        <f t="shared" si="633"/>
        <v>2.8775510204081634E-2</v>
      </c>
      <c r="DN332" s="1" t="s">
        <v>641</v>
      </c>
      <c r="DO332" s="1" t="s">
        <v>2</v>
      </c>
      <c r="DP332" s="38">
        <f t="shared" si="555"/>
        <v>2.1559999999999998E-4</v>
      </c>
      <c r="DQ332" s="38">
        <f t="shared" si="556"/>
        <v>5.3899999999999998E-3</v>
      </c>
      <c r="DR332" s="38">
        <f t="shared" si="557"/>
        <v>0</v>
      </c>
      <c r="DS332" s="38">
        <f t="shared" si="558"/>
        <v>0</v>
      </c>
      <c r="DT332" s="38">
        <f t="shared" si="559"/>
        <v>0</v>
      </c>
      <c r="DU332" s="38">
        <f t="shared" si="560"/>
        <v>0</v>
      </c>
      <c r="DV332" s="38">
        <f t="shared" si="561"/>
        <v>0</v>
      </c>
      <c r="DW332" s="38">
        <f t="shared" si="562"/>
        <v>5.0819999999999997E-3</v>
      </c>
      <c r="DX332" s="38">
        <f t="shared" si="563"/>
        <v>1.551E-4</v>
      </c>
      <c r="DY332" s="38">
        <f t="shared" si="564"/>
        <v>1.4849999999999999E-2</v>
      </c>
      <c r="DZ332" s="38">
        <f t="shared" si="565"/>
        <v>3.4430000000000002E-2</v>
      </c>
      <c r="EA332" s="38">
        <f t="shared" si="566"/>
        <v>0</v>
      </c>
      <c r="EB332" s="38">
        <f t="shared" si="567"/>
        <v>0</v>
      </c>
      <c r="EC332" s="38">
        <f t="shared" si="568"/>
        <v>0</v>
      </c>
      <c r="ED332" s="38">
        <f t="shared" si="569"/>
        <v>0</v>
      </c>
      <c r="EE332" s="38">
        <f t="shared" si="570"/>
        <v>0</v>
      </c>
      <c r="EG332" s="38">
        <f t="shared" si="571"/>
        <v>0</v>
      </c>
      <c r="EH332" s="38">
        <f t="shared" si="572"/>
        <v>0</v>
      </c>
      <c r="EI332" s="38">
        <f t="shared" si="573"/>
        <v>1.4069228095999999</v>
      </c>
      <c r="EJ332" s="38">
        <f t="shared" si="574"/>
        <v>0.22045273311897101</v>
      </c>
      <c r="EK332" s="38">
        <f t="shared" si="575"/>
        <v>0</v>
      </c>
      <c r="EL332" s="38">
        <f t="shared" si="576"/>
        <v>0</v>
      </c>
      <c r="EM332" s="38">
        <f t="shared" si="577"/>
        <v>0</v>
      </c>
      <c r="EN332" s="38">
        <f t="shared" si="578"/>
        <v>0</v>
      </c>
      <c r="EO332" s="38">
        <f t="shared" si="579"/>
        <v>0</v>
      </c>
      <c r="EP332" s="38">
        <f t="shared" si="580"/>
        <v>66.645347999999998</v>
      </c>
      <c r="EQ332" s="38">
        <f t="shared" si="581"/>
        <v>11.263288172399999</v>
      </c>
      <c r="ER332" s="38">
        <f t="shared" si="582"/>
        <v>0.42146305466237932</v>
      </c>
      <c r="ES332" s="38">
        <f t="shared" si="583"/>
        <v>1.1474046591639873</v>
      </c>
      <c r="ET332" s="38">
        <f t="shared" si="584"/>
        <v>0</v>
      </c>
      <c r="EU332" s="38">
        <f t="shared" si="585"/>
        <v>0</v>
      </c>
      <c r="EV332" s="38">
        <f t="shared" si="586"/>
        <v>0</v>
      </c>
      <c r="EW332" s="38">
        <f t="shared" si="587"/>
        <v>0</v>
      </c>
      <c r="EX332" s="38">
        <f t="shared" si="588"/>
        <v>0</v>
      </c>
      <c r="EZ332" s="38">
        <f t="shared" si="589"/>
        <v>0</v>
      </c>
      <c r="FA332" s="38">
        <f t="shared" si="590"/>
        <v>0</v>
      </c>
      <c r="FB332" s="1">
        <f t="shared" si="591"/>
        <v>0</v>
      </c>
      <c r="FC332" s="1">
        <f t="shared" si="592"/>
        <v>0</v>
      </c>
      <c r="FD332" s="1">
        <f t="shared" si="593"/>
        <v>0</v>
      </c>
      <c r="FE332" s="1">
        <f t="shared" si="594"/>
        <v>0</v>
      </c>
      <c r="FF332" s="1">
        <f t="shared" si="595"/>
        <v>0</v>
      </c>
      <c r="FG332" s="1">
        <f t="shared" si="596"/>
        <v>0</v>
      </c>
      <c r="FH332" s="1">
        <f t="shared" si="597"/>
        <v>0</v>
      </c>
      <c r="FI332" s="1">
        <f t="shared" si="598"/>
        <v>0</v>
      </c>
      <c r="FJ332" s="1">
        <f t="shared" si="599"/>
        <v>0</v>
      </c>
      <c r="FK332" s="1">
        <f t="shared" si="600"/>
        <v>0</v>
      </c>
      <c r="FL332" s="1">
        <f t="shared" si="601"/>
        <v>0</v>
      </c>
      <c r="FM332" s="1">
        <f t="shared" si="602"/>
        <v>0</v>
      </c>
      <c r="FN332" s="1">
        <f t="shared" si="603"/>
        <v>0</v>
      </c>
      <c r="FO332" s="1">
        <f t="shared" si="604"/>
        <v>0</v>
      </c>
      <c r="FP332" s="1">
        <f t="shared" si="605"/>
        <v>0</v>
      </c>
      <c r="FQ332" s="1">
        <f t="shared" si="606"/>
        <v>0</v>
      </c>
      <c r="FS332" s="1">
        <f t="shared" si="607"/>
        <v>0</v>
      </c>
      <c r="FT332" s="1">
        <f t="shared" si="608"/>
        <v>0</v>
      </c>
      <c r="FU332" s="38">
        <f t="shared" si="609"/>
        <v>0</v>
      </c>
      <c r="FV332" s="38">
        <f t="shared" si="610"/>
        <v>0</v>
      </c>
      <c r="FW332" s="38">
        <f t="shared" si="611"/>
        <v>0</v>
      </c>
      <c r="FX332" s="38">
        <f t="shared" si="612"/>
        <v>0</v>
      </c>
      <c r="FY332" s="38">
        <f t="shared" si="613"/>
        <v>0</v>
      </c>
      <c r="FZ332" s="38">
        <f t="shared" si="614"/>
        <v>0</v>
      </c>
      <c r="GA332" s="38">
        <f t="shared" si="615"/>
        <v>0</v>
      </c>
      <c r="GB332" s="38">
        <f t="shared" si="616"/>
        <v>0</v>
      </c>
      <c r="GC332" s="38">
        <f t="shared" si="617"/>
        <v>0</v>
      </c>
      <c r="GD332" s="38">
        <f t="shared" si="618"/>
        <v>0</v>
      </c>
      <c r="GE332" s="38">
        <f t="shared" si="619"/>
        <v>0</v>
      </c>
      <c r="GF332" s="38">
        <f t="shared" si="620"/>
        <v>0</v>
      </c>
      <c r="GG332" s="38">
        <f t="shared" si="621"/>
        <v>0</v>
      </c>
      <c r="GH332" s="38">
        <f t="shared" si="622"/>
        <v>0</v>
      </c>
      <c r="GI332" s="38">
        <f t="shared" si="623"/>
        <v>0</v>
      </c>
      <c r="GJ332" s="38">
        <f t="shared" si="624"/>
        <v>0</v>
      </c>
      <c r="GL332" s="38">
        <f t="shared" si="625"/>
        <v>0</v>
      </c>
      <c r="GM332" s="38">
        <f t="shared" si="626"/>
        <v>0</v>
      </c>
      <c r="GN332" s="1" t="s">
        <v>2</v>
      </c>
      <c r="GO332" s="1">
        <f t="shared" si="634"/>
        <v>0.53899999999999992</v>
      </c>
      <c r="GP332" s="13">
        <f t="shared" si="635"/>
        <v>0.94285714285714295</v>
      </c>
      <c r="GQ332" s="41">
        <f t="shared" si="636"/>
        <v>5.081999999999999</v>
      </c>
      <c r="GR332" s="41">
        <f t="shared" si="637"/>
        <v>81.104879428945324</v>
      </c>
      <c r="GS332" s="14">
        <f t="shared" si="638"/>
        <v>150.47287463626222</v>
      </c>
      <c r="GT332" s="1">
        <f t="shared" si="627"/>
        <v>0</v>
      </c>
      <c r="GU332" s="1">
        <f t="shared" si="628"/>
        <v>4.5407999999999999</v>
      </c>
      <c r="GV332" s="1">
        <f t="shared" si="629"/>
        <v>0.54120000000000001</v>
      </c>
      <c r="GW332" s="37">
        <f t="shared" si="639"/>
        <v>0</v>
      </c>
      <c r="GX332" s="37"/>
      <c r="GY332" s="37"/>
      <c r="GZ332" s="37"/>
      <c r="HB332" s="1">
        <f t="shared" si="630"/>
        <v>0</v>
      </c>
      <c r="HC332" s="1">
        <f t="shared" si="631"/>
        <v>0</v>
      </c>
      <c r="HD332" s="37" t="s">
        <v>2</v>
      </c>
      <c r="HE332" s="1" t="s">
        <v>113</v>
      </c>
      <c r="HF332" s="1" t="s">
        <v>223</v>
      </c>
      <c r="HI332" s="1" t="s">
        <v>96</v>
      </c>
      <c r="HJ332" s="37" t="s">
        <v>2</v>
      </c>
      <c r="JH332" s="58" t="s">
        <v>2</v>
      </c>
    </row>
    <row r="333" spans="1:268" ht="16.25" customHeight="1" x14ac:dyDescent="0.2">
      <c r="A333" s="15" t="s">
        <v>659</v>
      </c>
      <c r="B333" s="1" t="s">
        <v>69</v>
      </c>
      <c r="F333" s="1" t="s">
        <v>660</v>
      </c>
      <c r="I333" s="14">
        <f>59.490559+145.379632</f>
        <v>204.87019099999998</v>
      </c>
      <c r="Q333" s="13">
        <f>(0.31*59.490559+0.21*145.379632)/I333</f>
        <v>0.23903817227368132</v>
      </c>
      <c r="R333" s="2">
        <f>(0.013*59.490559+0.013*145.379632)/I333</f>
        <v>1.3000000000000001E-2</v>
      </c>
      <c r="S333" s="2">
        <f>(0.01*59.490559+0*145.379632)/I333</f>
        <v>2.9038172273681342E-3</v>
      </c>
      <c r="T333" s="2">
        <f>(0.026*59.490559+0*145.379632)/I333</f>
        <v>7.5499247911571489E-3</v>
      </c>
      <c r="Y333" s="13">
        <f>(6.37*59.490559+6.91*145.379632)/I333</f>
        <v>6.7531938697221205</v>
      </c>
      <c r="AD333" s="14">
        <f>203.350316+192.169547</f>
        <v>395.51986299999999</v>
      </c>
      <c r="AL333" s="13">
        <f>(0.31*203.350316+0.21*192.169547)/AD333</f>
        <v>0.26141342699140246</v>
      </c>
      <c r="AM333" s="2">
        <f>(0.013*203.350316+0.013*192.169547)/AD333</f>
        <v>1.2999999999999999E-2</v>
      </c>
      <c r="AN333" s="2">
        <f>(0.011*203.350316+0*192.169547)/AD333</f>
        <v>5.6554769690542695E-3</v>
      </c>
      <c r="AO333" s="2">
        <f>(0.028*203.350316+0*192.169547)/AD333</f>
        <v>1.4395759557592687E-2</v>
      </c>
      <c r="AT333" s="13">
        <f>(6.32*203.350316+6.86*192.169547)/AD333</f>
        <v>6.5823674942464274</v>
      </c>
      <c r="AY333" s="14">
        <f>66.385504+244.110758</f>
        <v>310.496262</v>
      </c>
      <c r="BG333" s="13">
        <f>(0.29*66.385504+0.21*244.110758)/AY333</f>
        <v>0.22710436153334432</v>
      </c>
      <c r="BH333" s="2">
        <f>(0.013*66.385504+0.013*244.110758)/AY333</f>
        <v>1.2999999999999998E-2</v>
      </c>
      <c r="BI333" s="2">
        <f>(0.014*66.385504+0*244.110758)/AY333</f>
        <v>2.9932632683352563E-3</v>
      </c>
      <c r="BJ333" s="2">
        <f>(0.029*66.385504+0*244.110758)/AY333</f>
        <v>6.2003310558373164E-3</v>
      </c>
      <c r="BO333" s="13">
        <f>(6.46*66.385504+6.75*244.110758)/AY333</f>
        <v>6.6879966894416274</v>
      </c>
      <c r="BT333" s="1">
        <v>0</v>
      </c>
      <c r="CO333" s="1">
        <v>0</v>
      </c>
      <c r="DJ333" s="1" t="s">
        <v>96</v>
      </c>
      <c r="DK333" s="1" t="s">
        <v>96</v>
      </c>
      <c r="DL333" s="1">
        <f t="shared" si="632"/>
        <v>0.24468591773202134</v>
      </c>
      <c r="DM333" s="1">
        <f t="shared" si="633"/>
        <v>1.2999999999999999E-2</v>
      </c>
      <c r="DN333" s="1" t="s">
        <v>661</v>
      </c>
      <c r="DO333" s="1" t="s">
        <v>2</v>
      </c>
      <c r="DP333" s="38">
        <f t="shared" si="555"/>
        <v>0</v>
      </c>
      <c r="DQ333" s="38">
        <f t="shared" si="556"/>
        <v>0</v>
      </c>
      <c r="DR333" s="38">
        <f t="shared" si="557"/>
        <v>0</v>
      </c>
      <c r="DS333" s="38">
        <f t="shared" si="558"/>
        <v>0</v>
      </c>
      <c r="DT333" s="38">
        <f t="shared" si="559"/>
        <v>0</v>
      </c>
      <c r="DU333" s="38">
        <f t="shared" si="560"/>
        <v>0</v>
      </c>
      <c r="DV333" s="38">
        <f t="shared" si="561"/>
        <v>0</v>
      </c>
      <c r="DW333" s="38">
        <f t="shared" si="562"/>
        <v>2.2288105417999997</v>
      </c>
      <c r="DX333" s="38">
        <f t="shared" si="563"/>
        <v>0.11841522107999999</v>
      </c>
      <c r="DY333" s="38">
        <f t="shared" si="564"/>
        <v>3.761156122</v>
      </c>
      <c r="DZ333" s="38">
        <f t="shared" si="565"/>
        <v>9.1657429979999989</v>
      </c>
      <c r="EA333" s="38">
        <f t="shared" si="566"/>
        <v>0</v>
      </c>
      <c r="EB333" s="38">
        <f t="shared" si="567"/>
        <v>0</v>
      </c>
      <c r="EC333" s="38">
        <f t="shared" si="568"/>
        <v>0</v>
      </c>
      <c r="ED333" s="38">
        <f t="shared" si="569"/>
        <v>0</v>
      </c>
      <c r="EE333" s="38">
        <f t="shared" si="570"/>
        <v>60.635831798300003</v>
      </c>
      <c r="EG333" s="38">
        <f t="shared" si="571"/>
        <v>0</v>
      </c>
      <c r="EH333" s="38">
        <f t="shared" si="572"/>
        <v>0</v>
      </c>
      <c r="EI333" s="38">
        <f t="shared" si="573"/>
        <v>0</v>
      </c>
      <c r="EJ333" s="38">
        <f t="shared" si="574"/>
        <v>0</v>
      </c>
      <c r="EK333" s="38">
        <f t="shared" si="575"/>
        <v>0</v>
      </c>
      <c r="EL333" s="38">
        <f t="shared" si="576"/>
        <v>0</v>
      </c>
      <c r="EM333" s="38">
        <f t="shared" si="577"/>
        <v>0</v>
      </c>
      <c r="EN333" s="38">
        <f t="shared" si="578"/>
        <v>0</v>
      </c>
      <c r="EO333" s="38">
        <f t="shared" si="579"/>
        <v>0</v>
      </c>
      <c r="EP333" s="38">
        <f t="shared" si="580"/>
        <v>29228.621445165198</v>
      </c>
      <c r="EQ333" s="38">
        <f t="shared" si="581"/>
        <v>8599.256989184365</v>
      </c>
      <c r="ER333" s="38">
        <f t="shared" si="582"/>
        <v>106.74669011718713</v>
      </c>
      <c r="ES333" s="38">
        <f t="shared" si="583"/>
        <v>305.45501657289839</v>
      </c>
      <c r="ET333" s="38">
        <f t="shared" si="584"/>
        <v>0</v>
      </c>
      <c r="EU333" s="38">
        <f t="shared" si="585"/>
        <v>0</v>
      </c>
      <c r="EV333" s="38">
        <f t="shared" si="586"/>
        <v>0</v>
      </c>
      <c r="EW333" s="38">
        <f t="shared" si="587"/>
        <v>0</v>
      </c>
      <c r="EX333" s="38">
        <f t="shared" si="588"/>
        <v>5639.1323572419005</v>
      </c>
      <c r="EZ333" s="38">
        <f t="shared" si="589"/>
        <v>0</v>
      </c>
      <c r="FA333" s="38">
        <f t="shared" si="590"/>
        <v>0</v>
      </c>
      <c r="FB333" s="1">
        <f t="shared" si="591"/>
        <v>0</v>
      </c>
      <c r="FC333" s="1">
        <f t="shared" si="592"/>
        <v>0</v>
      </c>
      <c r="FD333" s="1">
        <f t="shared" si="593"/>
        <v>0</v>
      </c>
      <c r="FE333" s="1">
        <f t="shared" si="594"/>
        <v>0</v>
      </c>
      <c r="FF333" s="1">
        <f t="shared" si="595"/>
        <v>0</v>
      </c>
      <c r="FG333" s="1">
        <f t="shared" si="596"/>
        <v>0</v>
      </c>
      <c r="FH333" s="1">
        <f t="shared" si="597"/>
        <v>0</v>
      </c>
      <c r="FI333" s="1">
        <f t="shared" si="598"/>
        <v>0</v>
      </c>
      <c r="FJ333" s="1">
        <f t="shared" si="599"/>
        <v>0</v>
      </c>
      <c r="FK333" s="1">
        <f t="shared" si="600"/>
        <v>0</v>
      </c>
      <c r="FL333" s="1">
        <f t="shared" si="601"/>
        <v>0</v>
      </c>
      <c r="FM333" s="1">
        <f t="shared" si="602"/>
        <v>0</v>
      </c>
      <c r="FN333" s="1">
        <f t="shared" si="603"/>
        <v>0</v>
      </c>
      <c r="FO333" s="1">
        <f t="shared" si="604"/>
        <v>0</v>
      </c>
      <c r="FP333" s="1">
        <f t="shared" si="605"/>
        <v>0</v>
      </c>
      <c r="FQ333" s="1">
        <f t="shared" si="606"/>
        <v>0</v>
      </c>
      <c r="FS333" s="1">
        <f t="shared" si="607"/>
        <v>0</v>
      </c>
      <c r="FT333" s="1">
        <f t="shared" si="608"/>
        <v>0</v>
      </c>
      <c r="FU333" s="38">
        <f t="shared" si="609"/>
        <v>0</v>
      </c>
      <c r="FV333" s="38">
        <f t="shared" si="610"/>
        <v>0</v>
      </c>
      <c r="FW333" s="38">
        <f t="shared" si="611"/>
        <v>0</v>
      </c>
      <c r="FX333" s="38">
        <f t="shared" si="612"/>
        <v>0</v>
      </c>
      <c r="FY333" s="38">
        <f t="shared" si="613"/>
        <v>0</v>
      </c>
      <c r="FZ333" s="38">
        <f t="shared" si="614"/>
        <v>0</v>
      </c>
      <c r="GA333" s="38">
        <f t="shared" si="615"/>
        <v>0</v>
      </c>
      <c r="GB333" s="38">
        <f t="shared" si="616"/>
        <v>0</v>
      </c>
      <c r="GC333" s="38">
        <f t="shared" si="617"/>
        <v>0</v>
      </c>
      <c r="GD333" s="38">
        <f t="shared" si="618"/>
        <v>0</v>
      </c>
      <c r="GE333" s="38">
        <f t="shared" si="619"/>
        <v>0</v>
      </c>
      <c r="GF333" s="38">
        <f t="shared" si="620"/>
        <v>0</v>
      </c>
      <c r="GG333" s="38">
        <f t="shared" si="621"/>
        <v>0</v>
      </c>
      <c r="GH333" s="38">
        <f t="shared" si="622"/>
        <v>0</v>
      </c>
      <c r="GI333" s="38">
        <f t="shared" si="623"/>
        <v>0</v>
      </c>
      <c r="GJ333" s="38">
        <f t="shared" si="624"/>
        <v>0</v>
      </c>
      <c r="GL333" s="38">
        <f t="shared" si="625"/>
        <v>0</v>
      </c>
      <c r="GM333" s="38">
        <f t="shared" si="626"/>
        <v>0</v>
      </c>
      <c r="GN333" s="1" t="s">
        <v>2</v>
      </c>
      <c r="GO333" s="14">
        <f t="shared" si="634"/>
        <v>910.88631599999997</v>
      </c>
      <c r="GP333" s="13">
        <f t="shared" si="635"/>
        <v>0.24468591773202134</v>
      </c>
      <c r="GQ333" s="43">
        <f t="shared" si="636"/>
        <v>2228.8105417999996</v>
      </c>
      <c r="GR333" s="41">
        <f t="shared" si="637"/>
        <v>43879.212498281551</v>
      </c>
      <c r="GS333" s="14">
        <f t="shared" si="638"/>
        <v>48.171996579078652</v>
      </c>
      <c r="GT333" s="1">
        <f t="shared" si="627"/>
        <v>489.71796009999991</v>
      </c>
      <c r="GU333" s="1">
        <f t="shared" si="628"/>
        <v>1033.9420282999999</v>
      </c>
      <c r="GV333" s="1">
        <f t="shared" si="629"/>
        <v>705.15055340000004</v>
      </c>
      <c r="GW333" s="37">
        <f t="shared" si="639"/>
        <v>0</v>
      </c>
      <c r="GX333" s="37"/>
      <c r="GY333" s="37"/>
      <c r="GZ333" s="37"/>
      <c r="HB333" s="1">
        <f t="shared" si="630"/>
        <v>0</v>
      </c>
      <c r="HC333" s="1">
        <f t="shared" si="631"/>
        <v>0</v>
      </c>
      <c r="HD333" s="37" t="s">
        <v>2</v>
      </c>
      <c r="HE333" s="1" t="s">
        <v>113</v>
      </c>
      <c r="HF333" s="1" t="s">
        <v>223</v>
      </c>
      <c r="HI333" s="1" t="s">
        <v>96</v>
      </c>
      <c r="HJ333" s="37" t="s">
        <v>2</v>
      </c>
      <c r="JH333" s="58" t="s">
        <v>2</v>
      </c>
    </row>
    <row r="334" spans="1:268" ht="16.25" customHeight="1" x14ac:dyDescent="0.2">
      <c r="A334" s="15" t="s">
        <v>673</v>
      </c>
      <c r="B334" s="1" t="s">
        <v>69</v>
      </c>
      <c r="F334" s="1" t="s">
        <v>367</v>
      </c>
      <c r="I334" s="1">
        <v>372.1</v>
      </c>
      <c r="Q334" s="1">
        <v>0.28000000000000003</v>
      </c>
      <c r="R334" s="2">
        <v>1.12E-2</v>
      </c>
      <c r="S334" s="1">
        <v>1.0999999999999999E-2</v>
      </c>
      <c r="T334" s="1">
        <v>2.4E-2</v>
      </c>
      <c r="AD334" s="4">
        <v>1293.5</v>
      </c>
      <c r="AL334" s="1">
        <v>0.26</v>
      </c>
      <c r="AM334" s="2">
        <v>1.06E-2</v>
      </c>
      <c r="AN334" s="1">
        <v>8.0000000000000002E-3</v>
      </c>
      <c r="AO334" s="1">
        <v>1.7000000000000001E-2</v>
      </c>
      <c r="AY334" s="1">
        <v>499.8</v>
      </c>
      <c r="BG334" s="1">
        <v>0.26</v>
      </c>
      <c r="BH334" s="2">
        <v>1.01E-2</v>
      </c>
      <c r="BI334" s="1">
        <v>6.0000000000000001E-3</v>
      </c>
      <c r="BJ334" s="1">
        <v>1.4E-2</v>
      </c>
      <c r="BT334" s="1">
        <v>163.13999999999999</v>
      </c>
      <c r="CB334" s="1">
        <v>0.33</v>
      </c>
      <c r="CC334" s="2">
        <v>1.14E-2</v>
      </c>
      <c r="CD334" s="1">
        <v>1.2999999999999999E-2</v>
      </c>
      <c r="CE334" s="1">
        <v>3.1E-2</v>
      </c>
      <c r="CO334" s="14">
        <v>864.90800000000002</v>
      </c>
      <c r="CW334" s="1">
        <v>0.26</v>
      </c>
      <c r="CX334" s="2">
        <v>1.06E-2</v>
      </c>
      <c r="CY334" s="1">
        <v>8.0000000000000002E-3</v>
      </c>
      <c r="CZ334" s="1">
        <v>1.7000000000000001E-2</v>
      </c>
      <c r="DJ334" s="1" t="s">
        <v>96</v>
      </c>
      <c r="DK334" s="1" t="s">
        <v>96</v>
      </c>
      <c r="DL334" s="1">
        <f t="shared" si="632"/>
        <v>0.26343677842430957</v>
      </c>
      <c r="DM334" s="1">
        <f t="shared" si="633"/>
        <v>1.0587697423108893E-2</v>
      </c>
      <c r="DN334" s="1" t="s">
        <v>674</v>
      </c>
      <c r="DO334" s="1" t="s">
        <v>2</v>
      </c>
      <c r="DP334" s="38">
        <f t="shared" si="555"/>
        <v>0</v>
      </c>
      <c r="DQ334" s="38">
        <f t="shared" si="556"/>
        <v>0</v>
      </c>
      <c r="DR334" s="38">
        <f t="shared" si="557"/>
        <v>0</v>
      </c>
      <c r="DS334" s="38">
        <f t="shared" si="558"/>
        <v>0</v>
      </c>
      <c r="DT334" s="38">
        <f t="shared" si="559"/>
        <v>0</v>
      </c>
      <c r="DU334" s="38">
        <f t="shared" si="560"/>
        <v>0</v>
      </c>
      <c r="DV334" s="38">
        <f t="shared" si="561"/>
        <v>0</v>
      </c>
      <c r="DW334" s="38">
        <f t="shared" si="562"/>
        <v>5.7044600000000001</v>
      </c>
      <c r="DX334" s="38">
        <f t="shared" si="563"/>
        <v>0.229266</v>
      </c>
      <c r="DY334" s="38">
        <f t="shared" si="564"/>
        <v>17.439900000000002</v>
      </c>
      <c r="DZ334" s="38">
        <f t="shared" si="565"/>
        <v>37.917100000000005</v>
      </c>
      <c r="EA334" s="38">
        <f t="shared" si="566"/>
        <v>0</v>
      </c>
      <c r="EB334" s="38">
        <f t="shared" si="567"/>
        <v>0</v>
      </c>
      <c r="EC334" s="38">
        <f t="shared" si="568"/>
        <v>0</v>
      </c>
      <c r="ED334" s="38">
        <f t="shared" si="569"/>
        <v>0</v>
      </c>
      <c r="EE334" s="38">
        <f t="shared" si="570"/>
        <v>0</v>
      </c>
      <c r="EG334" s="38">
        <f t="shared" si="571"/>
        <v>0</v>
      </c>
      <c r="EH334" s="38">
        <f t="shared" si="572"/>
        <v>0</v>
      </c>
      <c r="EI334" s="38">
        <f t="shared" si="573"/>
        <v>0</v>
      </c>
      <c r="EJ334" s="38">
        <f t="shared" si="574"/>
        <v>0</v>
      </c>
      <c r="EK334" s="38">
        <f t="shared" si="575"/>
        <v>0</v>
      </c>
      <c r="EL334" s="38">
        <f t="shared" si="576"/>
        <v>0</v>
      </c>
      <c r="EM334" s="38">
        <f t="shared" si="577"/>
        <v>0</v>
      </c>
      <c r="EN334" s="38">
        <f t="shared" si="578"/>
        <v>0</v>
      </c>
      <c r="EO334" s="38">
        <f t="shared" si="579"/>
        <v>0</v>
      </c>
      <c r="EP334" s="38">
        <f t="shared" si="580"/>
        <v>74808.288440000004</v>
      </c>
      <c r="EQ334" s="38">
        <f t="shared" si="581"/>
        <v>16649.187789383999</v>
      </c>
      <c r="ER334" s="38">
        <f t="shared" si="582"/>
        <v>494.96791427652727</v>
      </c>
      <c r="ES334" s="38">
        <f t="shared" si="583"/>
        <v>1263.6147894855308</v>
      </c>
      <c r="ET334" s="38">
        <f t="shared" si="584"/>
        <v>0</v>
      </c>
      <c r="EU334" s="38">
        <f t="shared" si="585"/>
        <v>0</v>
      </c>
      <c r="EV334" s="38">
        <f t="shared" si="586"/>
        <v>0</v>
      </c>
      <c r="EW334" s="38">
        <f t="shared" si="587"/>
        <v>0</v>
      </c>
      <c r="EX334" s="38">
        <f t="shared" si="588"/>
        <v>0</v>
      </c>
      <c r="EZ334" s="38">
        <f t="shared" si="589"/>
        <v>0</v>
      </c>
      <c r="FA334" s="38">
        <f t="shared" si="590"/>
        <v>0</v>
      </c>
      <c r="FB334" s="1">
        <f t="shared" si="591"/>
        <v>0</v>
      </c>
      <c r="FC334" s="1">
        <f t="shared" si="592"/>
        <v>0</v>
      </c>
      <c r="FD334" s="1">
        <f t="shared" si="593"/>
        <v>0</v>
      </c>
      <c r="FE334" s="1">
        <f t="shared" si="594"/>
        <v>0</v>
      </c>
      <c r="FF334" s="1">
        <f t="shared" si="595"/>
        <v>0</v>
      </c>
      <c r="FG334" s="1">
        <f t="shared" si="596"/>
        <v>0</v>
      </c>
      <c r="FH334" s="1">
        <f t="shared" si="597"/>
        <v>0</v>
      </c>
      <c r="FI334" s="1">
        <f t="shared" si="598"/>
        <v>2.7871228000000001</v>
      </c>
      <c r="FJ334" s="1">
        <f t="shared" si="599"/>
        <v>0.11027820799999999</v>
      </c>
      <c r="FK334" s="1">
        <f t="shared" si="600"/>
        <v>9.0400840000000002</v>
      </c>
      <c r="FL334" s="1">
        <f t="shared" si="601"/>
        <v>19.760776</v>
      </c>
      <c r="FM334" s="1">
        <f t="shared" si="602"/>
        <v>0</v>
      </c>
      <c r="FN334" s="1">
        <f t="shared" si="603"/>
        <v>0</v>
      </c>
      <c r="FO334" s="1">
        <f t="shared" si="604"/>
        <v>0</v>
      </c>
      <c r="FP334" s="1">
        <f t="shared" si="605"/>
        <v>0</v>
      </c>
      <c r="FQ334" s="1">
        <f t="shared" si="606"/>
        <v>0</v>
      </c>
      <c r="FS334" s="1">
        <f t="shared" si="607"/>
        <v>0</v>
      </c>
      <c r="FT334" s="1">
        <f t="shared" si="608"/>
        <v>0</v>
      </c>
      <c r="FU334" s="38">
        <f t="shared" si="609"/>
        <v>0</v>
      </c>
      <c r="FV334" s="38">
        <f t="shared" si="610"/>
        <v>0</v>
      </c>
      <c r="FW334" s="38">
        <f t="shared" si="611"/>
        <v>0</v>
      </c>
      <c r="FX334" s="38">
        <f t="shared" si="612"/>
        <v>0</v>
      </c>
      <c r="FY334" s="38">
        <f t="shared" si="613"/>
        <v>0</v>
      </c>
      <c r="FZ334" s="38">
        <f t="shared" si="614"/>
        <v>0</v>
      </c>
      <c r="GA334" s="38">
        <f t="shared" si="615"/>
        <v>0</v>
      </c>
      <c r="GB334" s="38">
        <f t="shared" si="616"/>
        <v>36550.3283992</v>
      </c>
      <c r="GC334" s="38">
        <f t="shared" si="617"/>
        <v>8008.3509725329905</v>
      </c>
      <c r="GD334" s="38">
        <f t="shared" si="618"/>
        <v>256.56979239356912</v>
      </c>
      <c r="GE334" s="38">
        <f t="shared" si="619"/>
        <v>658.54215658135058</v>
      </c>
      <c r="GF334" s="38">
        <f t="shared" si="620"/>
        <v>0</v>
      </c>
      <c r="GG334" s="38">
        <f t="shared" si="621"/>
        <v>0</v>
      </c>
      <c r="GH334" s="38">
        <f t="shared" si="622"/>
        <v>0</v>
      </c>
      <c r="GI334" s="38">
        <f t="shared" si="623"/>
        <v>0</v>
      </c>
      <c r="GJ334" s="38">
        <f t="shared" si="624"/>
        <v>0</v>
      </c>
      <c r="GL334" s="38">
        <f t="shared" si="625"/>
        <v>0</v>
      </c>
      <c r="GM334" s="38">
        <f t="shared" si="626"/>
        <v>0</v>
      </c>
      <c r="GN334" s="1" t="s">
        <v>2</v>
      </c>
      <c r="GO334" s="4">
        <f t="shared" si="634"/>
        <v>2165.4</v>
      </c>
      <c r="GP334" s="13">
        <f t="shared" si="635"/>
        <v>0.26343677842430957</v>
      </c>
      <c r="GQ334" s="43">
        <f t="shared" si="636"/>
        <v>5704.46</v>
      </c>
      <c r="GR334" s="41">
        <f t="shared" si="637"/>
        <v>93216.058933146051</v>
      </c>
      <c r="GS334" s="14">
        <f t="shared" si="638"/>
        <v>43.047962932089241</v>
      </c>
      <c r="GT334" s="1">
        <f t="shared" si="627"/>
        <v>1041.8800000000001</v>
      </c>
      <c r="GU334" s="1">
        <f t="shared" si="628"/>
        <v>3363.1</v>
      </c>
      <c r="GV334" s="1">
        <f t="shared" si="629"/>
        <v>1299.4800000000002</v>
      </c>
      <c r="GW334" s="42">
        <f t="shared" si="639"/>
        <v>1028.048</v>
      </c>
      <c r="GX334" s="44">
        <f>(BT334*CB334+CO334*CW334)/GW334</f>
        <v>0.27110823619130625</v>
      </c>
      <c r="GY334" s="43">
        <f>1000*GW334*GX334/100</f>
        <v>2787.1228000000001</v>
      </c>
      <c r="GZ334" s="41">
        <f>SUM(FU334:GM334)</f>
        <v>45473.791320707911</v>
      </c>
      <c r="HA334" s="14">
        <f>GZ334/GW334</f>
        <v>44.233140204258859</v>
      </c>
      <c r="HB334" s="1">
        <f t="shared" si="630"/>
        <v>538.36199999999997</v>
      </c>
      <c r="HC334" s="1">
        <f t="shared" si="631"/>
        <v>2248.7608</v>
      </c>
      <c r="HD334" s="37" t="s">
        <v>2</v>
      </c>
      <c r="HE334" s="1" t="s">
        <v>113</v>
      </c>
      <c r="HF334" s="1" t="s">
        <v>223</v>
      </c>
      <c r="HI334" s="1" t="s">
        <v>96</v>
      </c>
      <c r="HJ334" s="37" t="s">
        <v>2</v>
      </c>
      <c r="JH334" s="58" t="s">
        <v>2</v>
      </c>
    </row>
    <row r="335" spans="1:268" ht="16.25" customHeight="1" x14ac:dyDescent="0.2">
      <c r="A335" s="15" t="s">
        <v>675</v>
      </c>
      <c r="B335" s="1" t="s">
        <v>69</v>
      </c>
      <c r="F335" s="1" t="s">
        <v>676</v>
      </c>
      <c r="I335" s="1">
        <v>0</v>
      </c>
      <c r="AD335" s="1">
        <v>0</v>
      </c>
      <c r="AY335" s="1">
        <v>0.11600000000000001</v>
      </c>
      <c r="BG335" s="1">
        <v>3.16</v>
      </c>
      <c r="BT335" s="1">
        <v>0</v>
      </c>
      <c r="CO335" s="1">
        <v>0</v>
      </c>
      <c r="DJ335" s="1" t="s">
        <v>96</v>
      </c>
      <c r="DK335" s="1" t="s">
        <v>96</v>
      </c>
      <c r="DL335" s="1">
        <f t="shared" si="632"/>
        <v>3.16</v>
      </c>
      <c r="DM335" s="1">
        <f t="shared" si="633"/>
        <v>0</v>
      </c>
      <c r="DN335" s="1" t="s">
        <v>677</v>
      </c>
      <c r="DO335" s="1" t="s">
        <v>2</v>
      </c>
      <c r="DP335" s="38">
        <f t="shared" si="555"/>
        <v>0</v>
      </c>
      <c r="DQ335" s="38">
        <f t="shared" si="556"/>
        <v>0</v>
      </c>
      <c r="DR335" s="38">
        <f t="shared" si="557"/>
        <v>0</v>
      </c>
      <c r="DS335" s="38">
        <f t="shared" si="558"/>
        <v>0</v>
      </c>
      <c r="DT335" s="38">
        <f t="shared" si="559"/>
        <v>0</v>
      </c>
      <c r="DU335" s="38">
        <f t="shared" si="560"/>
        <v>0</v>
      </c>
      <c r="DV335" s="38">
        <f t="shared" si="561"/>
        <v>0</v>
      </c>
      <c r="DW335" s="38">
        <f t="shared" si="562"/>
        <v>3.6656000000000006E-3</v>
      </c>
      <c r="DX335" s="38">
        <f t="shared" si="563"/>
        <v>0</v>
      </c>
      <c r="DY335" s="38">
        <f t="shared" si="564"/>
        <v>0</v>
      </c>
      <c r="DZ335" s="38">
        <f t="shared" si="565"/>
        <v>0</v>
      </c>
      <c r="EA335" s="38">
        <f t="shared" si="566"/>
        <v>0</v>
      </c>
      <c r="EB335" s="38">
        <f t="shared" si="567"/>
        <v>0</v>
      </c>
      <c r="EC335" s="38">
        <f t="shared" si="568"/>
        <v>0</v>
      </c>
      <c r="ED335" s="38">
        <f t="shared" si="569"/>
        <v>0</v>
      </c>
      <c r="EE335" s="38">
        <f t="shared" si="570"/>
        <v>0</v>
      </c>
      <c r="EG335" s="38">
        <f t="shared" si="571"/>
        <v>0</v>
      </c>
      <c r="EH335" s="38">
        <f t="shared" si="572"/>
        <v>0</v>
      </c>
      <c r="EI335" s="38">
        <f t="shared" si="573"/>
        <v>0</v>
      </c>
      <c r="EJ335" s="38">
        <f t="shared" si="574"/>
        <v>0</v>
      </c>
      <c r="EK335" s="38">
        <f t="shared" si="575"/>
        <v>0</v>
      </c>
      <c r="EL335" s="38">
        <f t="shared" si="576"/>
        <v>0</v>
      </c>
      <c r="EM335" s="38">
        <f t="shared" si="577"/>
        <v>0</v>
      </c>
      <c r="EN335" s="38">
        <f t="shared" si="578"/>
        <v>0</v>
      </c>
      <c r="EO335" s="38">
        <f t="shared" si="579"/>
        <v>0</v>
      </c>
      <c r="EP335" s="38">
        <f t="shared" si="580"/>
        <v>48.070678400000006</v>
      </c>
      <c r="EQ335" s="38">
        <f t="shared" si="581"/>
        <v>0</v>
      </c>
      <c r="ER335" s="38">
        <f t="shared" si="582"/>
        <v>0</v>
      </c>
      <c r="ES335" s="38">
        <f t="shared" si="583"/>
        <v>0</v>
      </c>
      <c r="ET335" s="38">
        <f t="shared" si="584"/>
        <v>0</v>
      </c>
      <c r="EU335" s="38">
        <f t="shared" si="585"/>
        <v>0</v>
      </c>
      <c r="EV335" s="38">
        <f t="shared" si="586"/>
        <v>0</v>
      </c>
      <c r="EW335" s="38">
        <f t="shared" si="587"/>
        <v>0</v>
      </c>
      <c r="EX335" s="38">
        <f t="shared" si="588"/>
        <v>0</v>
      </c>
      <c r="EZ335" s="38">
        <f t="shared" si="589"/>
        <v>0</v>
      </c>
      <c r="FA335" s="38">
        <f t="shared" si="590"/>
        <v>0</v>
      </c>
      <c r="FB335" s="1">
        <f t="shared" si="591"/>
        <v>0</v>
      </c>
      <c r="FC335" s="1">
        <f t="shared" si="592"/>
        <v>0</v>
      </c>
      <c r="FD335" s="1">
        <f t="shared" si="593"/>
        <v>0</v>
      </c>
      <c r="FE335" s="1">
        <f t="shared" si="594"/>
        <v>0</v>
      </c>
      <c r="FF335" s="1">
        <f t="shared" si="595"/>
        <v>0</v>
      </c>
      <c r="FG335" s="1">
        <f t="shared" si="596"/>
        <v>0</v>
      </c>
      <c r="FH335" s="1">
        <f t="shared" si="597"/>
        <v>0</v>
      </c>
      <c r="FI335" s="1">
        <f t="shared" si="598"/>
        <v>0</v>
      </c>
      <c r="FJ335" s="1">
        <f t="shared" si="599"/>
        <v>0</v>
      </c>
      <c r="FK335" s="1">
        <f t="shared" si="600"/>
        <v>0</v>
      </c>
      <c r="FL335" s="1">
        <f t="shared" si="601"/>
        <v>0</v>
      </c>
      <c r="FM335" s="1">
        <f t="shared" si="602"/>
        <v>0</v>
      </c>
      <c r="FN335" s="1">
        <f t="shared" si="603"/>
        <v>0</v>
      </c>
      <c r="FO335" s="1">
        <f t="shared" si="604"/>
        <v>0</v>
      </c>
      <c r="FP335" s="1">
        <f t="shared" si="605"/>
        <v>0</v>
      </c>
      <c r="FQ335" s="1">
        <f t="shared" si="606"/>
        <v>0</v>
      </c>
      <c r="FS335" s="1">
        <f t="shared" si="607"/>
        <v>0</v>
      </c>
      <c r="FT335" s="1">
        <f t="shared" si="608"/>
        <v>0</v>
      </c>
      <c r="FU335" s="38">
        <f t="shared" si="609"/>
        <v>0</v>
      </c>
      <c r="FV335" s="38">
        <f t="shared" si="610"/>
        <v>0</v>
      </c>
      <c r="FW335" s="38">
        <f t="shared" si="611"/>
        <v>0</v>
      </c>
      <c r="FX335" s="38">
        <f t="shared" si="612"/>
        <v>0</v>
      </c>
      <c r="FY335" s="38">
        <f t="shared" si="613"/>
        <v>0</v>
      </c>
      <c r="FZ335" s="38">
        <f t="shared" si="614"/>
        <v>0</v>
      </c>
      <c r="GA335" s="38">
        <f t="shared" si="615"/>
        <v>0</v>
      </c>
      <c r="GB335" s="38">
        <f t="shared" si="616"/>
        <v>0</v>
      </c>
      <c r="GC335" s="38">
        <f t="shared" si="617"/>
        <v>0</v>
      </c>
      <c r="GD335" s="38">
        <f t="shared" si="618"/>
        <v>0</v>
      </c>
      <c r="GE335" s="38">
        <f t="shared" si="619"/>
        <v>0</v>
      </c>
      <c r="GF335" s="38">
        <f t="shared" si="620"/>
        <v>0</v>
      </c>
      <c r="GG335" s="38">
        <f t="shared" si="621"/>
        <v>0</v>
      </c>
      <c r="GH335" s="38">
        <f t="shared" si="622"/>
        <v>0</v>
      </c>
      <c r="GI335" s="38">
        <f t="shared" si="623"/>
        <v>0</v>
      </c>
      <c r="GJ335" s="38">
        <f t="shared" si="624"/>
        <v>0</v>
      </c>
      <c r="GL335" s="38">
        <f t="shared" si="625"/>
        <v>0</v>
      </c>
      <c r="GM335" s="38">
        <f t="shared" si="626"/>
        <v>0</v>
      </c>
      <c r="GN335" s="1" t="s">
        <v>2</v>
      </c>
      <c r="GO335" s="1">
        <f t="shared" si="634"/>
        <v>0.11600000000000001</v>
      </c>
      <c r="GP335" s="1">
        <f t="shared" si="635"/>
        <v>3.16</v>
      </c>
      <c r="GQ335" s="41">
        <f t="shared" si="636"/>
        <v>3.6656</v>
      </c>
      <c r="GR335" s="41">
        <f t="shared" si="637"/>
        <v>48.070678400000006</v>
      </c>
      <c r="GS335" s="14">
        <f t="shared" si="638"/>
        <v>414.4024</v>
      </c>
      <c r="GT335" s="1">
        <f t="shared" si="627"/>
        <v>0</v>
      </c>
      <c r="GU335" s="1">
        <f t="shared" si="628"/>
        <v>0</v>
      </c>
      <c r="GV335" s="1">
        <f t="shared" si="629"/>
        <v>3.6656000000000004</v>
      </c>
      <c r="GW335" s="37">
        <f t="shared" si="639"/>
        <v>0</v>
      </c>
      <c r="GX335" s="37"/>
      <c r="GY335" s="37"/>
      <c r="GZ335" s="37"/>
      <c r="HB335" s="1">
        <f t="shared" si="630"/>
        <v>0</v>
      </c>
      <c r="HC335" s="1">
        <f t="shared" si="631"/>
        <v>0</v>
      </c>
      <c r="HD335" s="37" t="s">
        <v>2</v>
      </c>
      <c r="HE335" s="1" t="s">
        <v>113</v>
      </c>
      <c r="HF335" s="1" t="s">
        <v>223</v>
      </c>
      <c r="HI335" s="1" t="s">
        <v>96</v>
      </c>
      <c r="HJ335" s="37" t="s">
        <v>2</v>
      </c>
      <c r="JH335" s="58" t="s">
        <v>2</v>
      </c>
    </row>
    <row r="336" spans="1:268" ht="16.25" customHeight="1" x14ac:dyDescent="0.2">
      <c r="A336" s="15" t="s">
        <v>687</v>
      </c>
      <c r="B336" s="1" t="s">
        <v>69</v>
      </c>
      <c r="F336" s="1" t="s">
        <v>688</v>
      </c>
      <c r="I336" s="1">
        <v>0</v>
      </c>
      <c r="AD336" s="1">
        <v>15.564</v>
      </c>
      <c r="AE336" s="1">
        <v>7.0000000000000007E-2</v>
      </c>
      <c r="AL336" s="1">
        <v>0.72</v>
      </c>
      <c r="AM336" s="1">
        <v>0.02</v>
      </c>
      <c r="AN336" s="1">
        <v>0.14000000000000001</v>
      </c>
      <c r="AO336" s="1">
        <v>0.34</v>
      </c>
      <c r="AY336" s="2">
        <v>2.9994000000000001</v>
      </c>
      <c r="AZ336" s="1">
        <v>0.04</v>
      </c>
      <c r="BG336" s="1">
        <v>0.43</v>
      </c>
      <c r="BH336" s="1">
        <v>0.01</v>
      </c>
      <c r="BI336" s="1">
        <v>0.06</v>
      </c>
      <c r="BJ336" s="1">
        <v>0.15</v>
      </c>
      <c r="BT336" s="1">
        <v>0</v>
      </c>
      <c r="CO336" s="1">
        <v>0</v>
      </c>
      <c r="DJ336" s="1" t="s">
        <v>96</v>
      </c>
      <c r="DK336" s="1" t="s">
        <v>96</v>
      </c>
      <c r="DL336" s="1">
        <f t="shared" si="632"/>
        <v>0.67314295872523344</v>
      </c>
      <c r="DM336" s="1">
        <f t="shared" si="633"/>
        <v>1.8384239956042533E-2</v>
      </c>
      <c r="DN336" s="1" t="s">
        <v>689</v>
      </c>
      <c r="DO336" s="1" t="s">
        <v>2</v>
      </c>
      <c r="DP336" s="38">
        <f t="shared" si="555"/>
        <v>1.2094560000000001E-2</v>
      </c>
      <c r="DQ336" s="38">
        <f t="shared" si="556"/>
        <v>0</v>
      </c>
      <c r="DR336" s="38">
        <f t="shared" si="557"/>
        <v>0</v>
      </c>
      <c r="DS336" s="38">
        <f t="shared" si="558"/>
        <v>0</v>
      </c>
      <c r="DT336" s="38">
        <f t="shared" si="559"/>
        <v>0</v>
      </c>
      <c r="DU336" s="38">
        <f t="shared" si="560"/>
        <v>0</v>
      </c>
      <c r="DV336" s="38">
        <f t="shared" si="561"/>
        <v>0</v>
      </c>
      <c r="DW336" s="38">
        <f t="shared" si="562"/>
        <v>0.12495822000000001</v>
      </c>
      <c r="DX336" s="38">
        <f t="shared" si="563"/>
        <v>3.41274E-3</v>
      </c>
      <c r="DY336" s="38">
        <f t="shared" si="564"/>
        <v>2.358924</v>
      </c>
      <c r="DZ336" s="38">
        <f t="shared" si="565"/>
        <v>5.7416700000000001</v>
      </c>
      <c r="EA336" s="38">
        <f t="shared" si="566"/>
        <v>0</v>
      </c>
      <c r="EB336" s="38">
        <f t="shared" si="567"/>
        <v>0</v>
      </c>
      <c r="EC336" s="38">
        <f t="shared" si="568"/>
        <v>0</v>
      </c>
      <c r="ED336" s="38">
        <f t="shared" si="569"/>
        <v>0</v>
      </c>
      <c r="EE336" s="38">
        <f t="shared" si="570"/>
        <v>0</v>
      </c>
      <c r="EG336" s="38">
        <f t="shared" si="571"/>
        <v>0</v>
      </c>
      <c r="EH336" s="38">
        <f t="shared" si="572"/>
        <v>0</v>
      </c>
      <c r="EI336" s="38">
        <f t="shared" si="573"/>
        <v>78.924454248960004</v>
      </c>
      <c r="EJ336" s="38">
        <f t="shared" si="574"/>
        <v>0</v>
      </c>
      <c r="EK336" s="38">
        <f t="shared" si="575"/>
        <v>0</v>
      </c>
      <c r="EL336" s="38">
        <f t="shared" si="576"/>
        <v>0</v>
      </c>
      <c r="EM336" s="38">
        <f t="shared" si="577"/>
        <v>0</v>
      </c>
      <c r="EN336" s="38">
        <f t="shared" si="578"/>
        <v>0</v>
      </c>
      <c r="EO336" s="38">
        <f t="shared" si="579"/>
        <v>0</v>
      </c>
      <c r="EP336" s="38">
        <f t="shared" si="580"/>
        <v>1638.7020970800002</v>
      </c>
      <c r="EQ336" s="38">
        <f t="shared" si="581"/>
        <v>247.83155433575996</v>
      </c>
      <c r="ER336" s="38">
        <f t="shared" si="582"/>
        <v>66.949448805144684</v>
      </c>
      <c r="ES336" s="38">
        <f t="shared" si="583"/>
        <v>191.34530669131834</v>
      </c>
      <c r="ET336" s="38">
        <f t="shared" si="584"/>
        <v>0</v>
      </c>
      <c r="EU336" s="38">
        <f t="shared" si="585"/>
        <v>0</v>
      </c>
      <c r="EV336" s="38">
        <f t="shared" si="586"/>
        <v>0</v>
      </c>
      <c r="EW336" s="38">
        <f t="shared" si="587"/>
        <v>0</v>
      </c>
      <c r="EX336" s="38">
        <f t="shared" si="588"/>
        <v>0</v>
      </c>
      <c r="EZ336" s="38">
        <f t="shared" si="589"/>
        <v>0</v>
      </c>
      <c r="FA336" s="38">
        <f t="shared" si="590"/>
        <v>0</v>
      </c>
      <c r="FB336" s="1">
        <f t="shared" si="591"/>
        <v>0</v>
      </c>
      <c r="FC336" s="1">
        <f t="shared" si="592"/>
        <v>0</v>
      </c>
      <c r="FD336" s="1">
        <f t="shared" si="593"/>
        <v>0</v>
      </c>
      <c r="FE336" s="1">
        <f t="shared" si="594"/>
        <v>0</v>
      </c>
      <c r="FF336" s="1">
        <f t="shared" si="595"/>
        <v>0</v>
      </c>
      <c r="FG336" s="1">
        <f t="shared" si="596"/>
        <v>0</v>
      </c>
      <c r="FH336" s="1">
        <f t="shared" si="597"/>
        <v>0</v>
      </c>
      <c r="FI336" s="1">
        <f t="shared" si="598"/>
        <v>0</v>
      </c>
      <c r="FJ336" s="1">
        <f t="shared" si="599"/>
        <v>0</v>
      </c>
      <c r="FK336" s="1">
        <f t="shared" si="600"/>
        <v>0</v>
      </c>
      <c r="FL336" s="1">
        <f t="shared" si="601"/>
        <v>0</v>
      </c>
      <c r="FM336" s="1">
        <f t="shared" si="602"/>
        <v>0</v>
      </c>
      <c r="FN336" s="1">
        <f t="shared" si="603"/>
        <v>0</v>
      </c>
      <c r="FO336" s="1">
        <f t="shared" si="604"/>
        <v>0</v>
      </c>
      <c r="FP336" s="1">
        <f t="shared" si="605"/>
        <v>0</v>
      </c>
      <c r="FQ336" s="1">
        <f t="shared" si="606"/>
        <v>0</v>
      </c>
      <c r="FS336" s="1">
        <f t="shared" si="607"/>
        <v>0</v>
      </c>
      <c r="FT336" s="1">
        <f t="shared" si="608"/>
        <v>0</v>
      </c>
      <c r="FU336" s="38">
        <f t="shared" si="609"/>
        <v>0</v>
      </c>
      <c r="FV336" s="38">
        <f t="shared" si="610"/>
        <v>0</v>
      </c>
      <c r="FW336" s="38">
        <f t="shared" si="611"/>
        <v>0</v>
      </c>
      <c r="FX336" s="38">
        <f t="shared" si="612"/>
        <v>0</v>
      </c>
      <c r="FY336" s="38">
        <f t="shared" si="613"/>
        <v>0</v>
      </c>
      <c r="FZ336" s="38">
        <f t="shared" si="614"/>
        <v>0</v>
      </c>
      <c r="GA336" s="38">
        <f t="shared" si="615"/>
        <v>0</v>
      </c>
      <c r="GB336" s="38">
        <f t="shared" si="616"/>
        <v>0</v>
      </c>
      <c r="GC336" s="38">
        <f t="shared" si="617"/>
        <v>0</v>
      </c>
      <c r="GD336" s="38">
        <f t="shared" si="618"/>
        <v>0</v>
      </c>
      <c r="GE336" s="38">
        <f t="shared" si="619"/>
        <v>0</v>
      </c>
      <c r="GF336" s="38">
        <f t="shared" si="620"/>
        <v>0</v>
      </c>
      <c r="GG336" s="38">
        <f t="shared" si="621"/>
        <v>0</v>
      </c>
      <c r="GH336" s="38">
        <f t="shared" si="622"/>
        <v>0</v>
      </c>
      <c r="GI336" s="38">
        <f t="shared" si="623"/>
        <v>0</v>
      </c>
      <c r="GJ336" s="38">
        <f t="shared" si="624"/>
        <v>0</v>
      </c>
      <c r="GL336" s="38">
        <f t="shared" si="625"/>
        <v>0</v>
      </c>
      <c r="GM336" s="38">
        <f t="shared" si="626"/>
        <v>0</v>
      </c>
      <c r="GN336" s="1" t="s">
        <v>2</v>
      </c>
      <c r="GO336" s="13">
        <f t="shared" si="634"/>
        <v>18.563400000000001</v>
      </c>
      <c r="GP336" s="13">
        <f t="shared" si="635"/>
        <v>0.67314295872523344</v>
      </c>
      <c r="GQ336" s="41">
        <f t="shared" si="636"/>
        <v>124.95822</v>
      </c>
      <c r="GR336" s="41">
        <f t="shared" si="637"/>
        <v>2223.7528611611833</v>
      </c>
      <c r="GS336" s="14">
        <f t="shared" si="638"/>
        <v>119.79232582184207</v>
      </c>
      <c r="GT336" s="1">
        <f t="shared" si="627"/>
        <v>0</v>
      </c>
      <c r="GU336" s="1">
        <f t="shared" si="628"/>
        <v>112.0608</v>
      </c>
      <c r="GV336" s="1">
        <f t="shared" si="629"/>
        <v>12.89742</v>
      </c>
      <c r="GW336" s="37">
        <f t="shared" si="639"/>
        <v>0</v>
      </c>
      <c r="GX336" s="37"/>
      <c r="GY336" s="37"/>
      <c r="GZ336" s="37"/>
      <c r="HB336" s="1">
        <f t="shared" si="630"/>
        <v>0</v>
      </c>
      <c r="HC336" s="1">
        <f t="shared" si="631"/>
        <v>0</v>
      </c>
      <c r="HD336" s="37" t="s">
        <v>2</v>
      </c>
      <c r="HE336" s="1" t="s">
        <v>113</v>
      </c>
      <c r="HF336" s="1" t="s">
        <v>223</v>
      </c>
      <c r="HI336" s="1" t="s">
        <v>96</v>
      </c>
      <c r="HJ336" s="37" t="s">
        <v>2</v>
      </c>
      <c r="JH336" s="58" t="s">
        <v>2</v>
      </c>
    </row>
    <row r="337" spans="1:268" ht="16.25" customHeight="1" x14ac:dyDescent="0.2">
      <c r="A337" s="15" t="s">
        <v>690</v>
      </c>
      <c r="B337" s="1" t="s">
        <v>69</v>
      </c>
      <c r="F337" s="1" t="s">
        <v>691</v>
      </c>
      <c r="I337" s="1">
        <v>0</v>
      </c>
      <c r="AD337" s="1">
        <v>3.2919999999999998</v>
      </c>
      <c r="AE337" s="1">
        <v>0.42</v>
      </c>
      <c r="AF337" s="1">
        <v>0.03</v>
      </c>
      <c r="AL337" s="1">
        <v>0.62</v>
      </c>
      <c r="AM337" s="1">
        <v>0.05</v>
      </c>
      <c r="AN337" s="1">
        <v>0.13</v>
      </c>
      <c r="AO337" s="1">
        <v>0.53</v>
      </c>
      <c r="AY337" s="1">
        <v>0.56799999999999995</v>
      </c>
      <c r="AZ337" s="1">
        <v>0.52</v>
      </c>
      <c r="BA337" s="1">
        <v>0.03</v>
      </c>
      <c r="BG337" s="1">
        <v>0.61</v>
      </c>
      <c r="BH337" s="1">
        <v>0.05</v>
      </c>
      <c r="BI337" s="1">
        <v>0.08</v>
      </c>
      <c r="BJ337" s="13">
        <v>0.5</v>
      </c>
      <c r="BT337" s="1">
        <v>0</v>
      </c>
      <c r="CO337" s="1">
        <v>0</v>
      </c>
      <c r="DJ337" s="1" t="s">
        <v>96</v>
      </c>
      <c r="DK337" s="1" t="s">
        <v>96</v>
      </c>
      <c r="DL337" s="1">
        <f t="shared" si="632"/>
        <v>0.61852849740932636</v>
      </c>
      <c r="DM337" s="1">
        <f t="shared" si="633"/>
        <v>0.05</v>
      </c>
      <c r="DN337" s="1" t="s">
        <v>692</v>
      </c>
      <c r="DO337" s="1" t="s">
        <v>2</v>
      </c>
      <c r="DP337" s="38">
        <f t="shared" si="555"/>
        <v>1.678E-2</v>
      </c>
      <c r="DQ337" s="38">
        <f t="shared" si="556"/>
        <v>0.11579999999999999</v>
      </c>
      <c r="DR337" s="38">
        <f t="shared" si="557"/>
        <v>0</v>
      </c>
      <c r="DS337" s="38">
        <f t="shared" si="558"/>
        <v>0</v>
      </c>
      <c r="DT337" s="38">
        <f t="shared" si="559"/>
        <v>0</v>
      </c>
      <c r="DU337" s="38">
        <f t="shared" si="560"/>
        <v>0</v>
      </c>
      <c r="DV337" s="38">
        <f t="shared" si="561"/>
        <v>0</v>
      </c>
      <c r="DW337" s="38">
        <f t="shared" si="562"/>
        <v>2.3875199999999999E-2</v>
      </c>
      <c r="DX337" s="38">
        <f t="shared" si="563"/>
        <v>1.9300000000000001E-3</v>
      </c>
      <c r="DY337" s="38">
        <f t="shared" si="564"/>
        <v>0.47339999999999999</v>
      </c>
      <c r="DZ337" s="38">
        <f t="shared" si="565"/>
        <v>2.0287600000000001</v>
      </c>
      <c r="EA337" s="38">
        <f t="shared" si="566"/>
        <v>0</v>
      </c>
      <c r="EB337" s="38">
        <f t="shared" si="567"/>
        <v>0</v>
      </c>
      <c r="EC337" s="38">
        <f t="shared" si="568"/>
        <v>0</v>
      </c>
      <c r="ED337" s="38">
        <f t="shared" si="569"/>
        <v>0</v>
      </c>
      <c r="EE337" s="38">
        <f t="shared" si="570"/>
        <v>0</v>
      </c>
      <c r="EG337" s="38">
        <f t="shared" si="571"/>
        <v>0</v>
      </c>
      <c r="EH337" s="38">
        <f t="shared" si="572"/>
        <v>0</v>
      </c>
      <c r="EI337" s="38">
        <f t="shared" si="573"/>
        <v>109.49983648</v>
      </c>
      <c r="EJ337" s="38">
        <f t="shared" si="574"/>
        <v>4.7362572347266871</v>
      </c>
      <c r="EK337" s="38">
        <f t="shared" si="575"/>
        <v>0</v>
      </c>
      <c r="EL337" s="38">
        <f t="shared" si="576"/>
        <v>0</v>
      </c>
      <c r="EM337" s="38">
        <f t="shared" si="577"/>
        <v>0</v>
      </c>
      <c r="EN337" s="38">
        <f t="shared" si="578"/>
        <v>0</v>
      </c>
      <c r="EO337" s="38">
        <f t="shared" si="579"/>
        <v>0</v>
      </c>
      <c r="EP337" s="38">
        <f t="shared" si="580"/>
        <v>313.09937279999997</v>
      </c>
      <c r="EQ337" s="38">
        <f t="shared" si="581"/>
        <v>140.15568131999999</v>
      </c>
      <c r="ER337" s="38">
        <f t="shared" si="582"/>
        <v>13.435731318327973</v>
      </c>
      <c r="ES337" s="38">
        <f t="shared" si="583"/>
        <v>67.609894752411591</v>
      </c>
      <c r="ET337" s="38">
        <f t="shared" si="584"/>
        <v>0</v>
      </c>
      <c r="EU337" s="38">
        <f t="shared" si="585"/>
        <v>0</v>
      </c>
      <c r="EV337" s="38">
        <f t="shared" si="586"/>
        <v>0</v>
      </c>
      <c r="EW337" s="38">
        <f t="shared" si="587"/>
        <v>0</v>
      </c>
      <c r="EX337" s="38">
        <f t="shared" si="588"/>
        <v>0</v>
      </c>
      <c r="EZ337" s="38">
        <f t="shared" si="589"/>
        <v>0</v>
      </c>
      <c r="FA337" s="38">
        <f t="shared" si="590"/>
        <v>0</v>
      </c>
      <c r="FB337" s="1">
        <f t="shared" si="591"/>
        <v>0</v>
      </c>
      <c r="FC337" s="1">
        <f t="shared" si="592"/>
        <v>0</v>
      </c>
      <c r="FD337" s="1">
        <f t="shared" si="593"/>
        <v>0</v>
      </c>
      <c r="FE337" s="1">
        <f t="shared" si="594"/>
        <v>0</v>
      </c>
      <c r="FF337" s="1">
        <f t="shared" si="595"/>
        <v>0</v>
      </c>
      <c r="FG337" s="1">
        <f t="shared" si="596"/>
        <v>0</v>
      </c>
      <c r="FH337" s="1">
        <f t="shared" si="597"/>
        <v>0</v>
      </c>
      <c r="FI337" s="1">
        <f t="shared" si="598"/>
        <v>0</v>
      </c>
      <c r="FJ337" s="1">
        <f t="shared" si="599"/>
        <v>0</v>
      </c>
      <c r="FK337" s="1">
        <f t="shared" si="600"/>
        <v>0</v>
      </c>
      <c r="FL337" s="1">
        <f t="shared" si="601"/>
        <v>0</v>
      </c>
      <c r="FM337" s="1">
        <f t="shared" si="602"/>
        <v>0</v>
      </c>
      <c r="FN337" s="1">
        <f t="shared" si="603"/>
        <v>0</v>
      </c>
      <c r="FO337" s="1">
        <f t="shared" si="604"/>
        <v>0</v>
      </c>
      <c r="FP337" s="1">
        <f t="shared" si="605"/>
        <v>0</v>
      </c>
      <c r="FQ337" s="1">
        <f t="shared" si="606"/>
        <v>0</v>
      </c>
      <c r="FS337" s="1">
        <f t="shared" si="607"/>
        <v>0</v>
      </c>
      <c r="FT337" s="1">
        <f t="shared" si="608"/>
        <v>0</v>
      </c>
      <c r="FU337" s="38">
        <f t="shared" si="609"/>
        <v>0</v>
      </c>
      <c r="FV337" s="38">
        <f t="shared" si="610"/>
        <v>0</v>
      </c>
      <c r="FW337" s="38">
        <f t="shared" si="611"/>
        <v>0</v>
      </c>
      <c r="FX337" s="38">
        <f t="shared" si="612"/>
        <v>0</v>
      </c>
      <c r="FY337" s="38">
        <f t="shared" si="613"/>
        <v>0</v>
      </c>
      <c r="FZ337" s="38">
        <f t="shared" si="614"/>
        <v>0</v>
      </c>
      <c r="GA337" s="38">
        <f t="shared" si="615"/>
        <v>0</v>
      </c>
      <c r="GB337" s="38">
        <f t="shared" si="616"/>
        <v>0</v>
      </c>
      <c r="GC337" s="38">
        <f t="shared" si="617"/>
        <v>0</v>
      </c>
      <c r="GD337" s="38">
        <f t="shared" si="618"/>
        <v>0</v>
      </c>
      <c r="GE337" s="38">
        <f t="shared" si="619"/>
        <v>0</v>
      </c>
      <c r="GF337" s="38">
        <f t="shared" si="620"/>
        <v>0</v>
      </c>
      <c r="GG337" s="38">
        <f t="shared" si="621"/>
        <v>0</v>
      </c>
      <c r="GH337" s="38">
        <f t="shared" si="622"/>
        <v>0</v>
      </c>
      <c r="GI337" s="38">
        <f t="shared" si="623"/>
        <v>0</v>
      </c>
      <c r="GJ337" s="38">
        <f t="shared" si="624"/>
        <v>0</v>
      </c>
      <c r="GL337" s="38">
        <f t="shared" si="625"/>
        <v>0</v>
      </c>
      <c r="GM337" s="38">
        <f t="shared" si="626"/>
        <v>0</v>
      </c>
      <c r="GN337" s="1" t="s">
        <v>2</v>
      </c>
      <c r="GO337" s="1">
        <f t="shared" si="634"/>
        <v>3.86</v>
      </c>
      <c r="GP337" s="13">
        <f t="shared" si="635"/>
        <v>0.61852849740932636</v>
      </c>
      <c r="GQ337" s="41">
        <f t="shared" si="636"/>
        <v>23.875199999999996</v>
      </c>
      <c r="GR337" s="41">
        <f t="shared" si="637"/>
        <v>648.53677390546625</v>
      </c>
      <c r="GS337" s="14">
        <f t="shared" si="638"/>
        <v>168.01470826566484</v>
      </c>
      <c r="GT337" s="1">
        <f t="shared" si="627"/>
        <v>0</v>
      </c>
      <c r="GU337" s="1">
        <f t="shared" si="628"/>
        <v>20.410399999999996</v>
      </c>
      <c r="GV337" s="1">
        <f t="shared" si="629"/>
        <v>3.4647999999999994</v>
      </c>
      <c r="GW337" s="37">
        <f t="shared" si="639"/>
        <v>0</v>
      </c>
      <c r="GX337" s="37"/>
      <c r="GY337" s="37"/>
      <c r="GZ337" s="37"/>
      <c r="HB337" s="1">
        <f t="shared" si="630"/>
        <v>0</v>
      </c>
      <c r="HC337" s="1">
        <f t="shared" si="631"/>
        <v>0</v>
      </c>
      <c r="HD337" s="37" t="s">
        <v>2</v>
      </c>
      <c r="HE337" s="1" t="s">
        <v>113</v>
      </c>
      <c r="HF337" s="1" t="s">
        <v>223</v>
      </c>
      <c r="HI337" s="1" t="s">
        <v>96</v>
      </c>
      <c r="HJ337" s="37" t="s">
        <v>2</v>
      </c>
      <c r="JH337" s="58" t="s">
        <v>2</v>
      </c>
    </row>
    <row r="338" spans="1:268" ht="16.25" customHeight="1" x14ac:dyDescent="0.2">
      <c r="A338" s="15" t="s">
        <v>693</v>
      </c>
      <c r="B338" s="1" t="s">
        <v>69</v>
      </c>
      <c r="F338" s="1" t="s">
        <v>691</v>
      </c>
      <c r="I338" s="1">
        <v>0</v>
      </c>
      <c r="AD338" s="1">
        <v>1.0840000000000001</v>
      </c>
      <c r="AE338" s="1">
        <v>7.0000000000000007E-2</v>
      </c>
      <c r="AF338" s="1">
        <v>0.01</v>
      </c>
      <c r="AL338" s="1">
        <v>0.63</v>
      </c>
      <c r="AM338" s="1">
        <v>0.02</v>
      </c>
      <c r="AN338" s="1">
        <v>0.04</v>
      </c>
      <c r="AO338" s="1">
        <v>0.05</v>
      </c>
      <c r="AY338" s="1">
        <v>0.18</v>
      </c>
      <c r="AZ338" s="1">
        <v>7.0000000000000007E-2</v>
      </c>
      <c r="BA338" s="1">
        <v>0.01</v>
      </c>
      <c r="BG338" s="13">
        <v>0.6</v>
      </c>
      <c r="BH338" s="1">
        <v>0.02</v>
      </c>
      <c r="BI338" s="1">
        <v>0.02</v>
      </c>
      <c r="BJ338" s="1">
        <v>0.04</v>
      </c>
      <c r="BT338" s="1">
        <v>0</v>
      </c>
      <c r="CO338" s="1">
        <v>0</v>
      </c>
      <c r="DJ338" s="1" t="s">
        <v>96</v>
      </c>
      <c r="DK338" s="1" t="s">
        <v>96</v>
      </c>
      <c r="DL338" s="1">
        <f t="shared" si="632"/>
        <v>0.62572784810126592</v>
      </c>
      <c r="DM338" s="1">
        <f t="shared" si="633"/>
        <v>0.02</v>
      </c>
      <c r="DN338" s="1" t="s">
        <v>692</v>
      </c>
      <c r="DO338" s="1" t="s">
        <v>2</v>
      </c>
      <c r="DP338" s="38">
        <f t="shared" si="555"/>
        <v>8.8480000000000015E-4</v>
      </c>
      <c r="DQ338" s="38">
        <f t="shared" si="556"/>
        <v>1.264E-2</v>
      </c>
      <c r="DR338" s="38">
        <f t="shared" si="557"/>
        <v>0</v>
      </c>
      <c r="DS338" s="38">
        <f t="shared" si="558"/>
        <v>0</v>
      </c>
      <c r="DT338" s="38">
        <f t="shared" si="559"/>
        <v>0</v>
      </c>
      <c r="DU338" s="38">
        <f t="shared" si="560"/>
        <v>0</v>
      </c>
      <c r="DV338" s="38">
        <f t="shared" si="561"/>
        <v>0</v>
      </c>
      <c r="DW338" s="38">
        <f t="shared" si="562"/>
        <v>7.9091999999999999E-3</v>
      </c>
      <c r="DX338" s="38">
        <f t="shared" si="563"/>
        <v>2.5280000000000002E-4</v>
      </c>
      <c r="DY338" s="38">
        <f t="shared" si="564"/>
        <v>4.6960000000000002E-2</v>
      </c>
      <c r="DZ338" s="38">
        <f t="shared" si="565"/>
        <v>6.1400000000000003E-2</v>
      </c>
      <c r="EA338" s="38">
        <f t="shared" si="566"/>
        <v>0</v>
      </c>
      <c r="EB338" s="38">
        <f t="shared" si="567"/>
        <v>0</v>
      </c>
      <c r="EC338" s="38">
        <f t="shared" si="568"/>
        <v>0</v>
      </c>
      <c r="ED338" s="38">
        <f t="shared" si="569"/>
        <v>0</v>
      </c>
      <c r="EE338" s="38">
        <f t="shared" si="570"/>
        <v>0</v>
      </c>
      <c r="EG338" s="38">
        <f t="shared" si="571"/>
        <v>0</v>
      </c>
      <c r="EH338" s="38">
        <f t="shared" si="572"/>
        <v>0</v>
      </c>
      <c r="EI338" s="38">
        <f t="shared" si="573"/>
        <v>5.7738650368000011</v>
      </c>
      <c r="EJ338" s="38">
        <f t="shared" si="574"/>
        <v>0.5169800643086816</v>
      </c>
      <c r="EK338" s="38">
        <f t="shared" si="575"/>
        <v>0</v>
      </c>
      <c r="EL338" s="38">
        <f t="shared" si="576"/>
        <v>0</v>
      </c>
      <c r="EM338" s="38">
        <f t="shared" si="577"/>
        <v>0</v>
      </c>
      <c r="EN338" s="38">
        <f t="shared" si="578"/>
        <v>0</v>
      </c>
      <c r="EO338" s="38">
        <f t="shared" si="579"/>
        <v>0</v>
      </c>
      <c r="EP338" s="38">
        <f t="shared" si="580"/>
        <v>103.7212488</v>
      </c>
      <c r="EQ338" s="38">
        <f t="shared" si="581"/>
        <v>18.3582156672</v>
      </c>
      <c r="ER338" s="38">
        <f t="shared" si="582"/>
        <v>1.3327882186495175</v>
      </c>
      <c r="ES338" s="38">
        <f t="shared" si="583"/>
        <v>2.046199421221865</v>
      </c>
      <c r="ET338" s="38">
        <f t="shared" si="584"/>
        <v>0</v>
      </c>
      <c r="EU338" s="38">
        <f t="shared" si="585"/>
        <v>0</v>
      </c>
      <c r="EV338" s="38">
        <f t="shared" si="586"/>
        <v>0</v>
      </c>
      <c r="EW338" s="38">
        <f t="shared" si="587"/>
        <v>0</v>
      </c>
      <c r="EX338" s="38">
        <f t="shared" si="588"/>
        <v>0</v>
      </c>
      <c r="EZ338" s="38">
        <f t="shared" si="589"/>
        <v>0</v>
      </c>
      <c r="FA338" s="38">
        <f t="shared" si="590"/>
        <v>0</v>
      </c>
      <c r="FB338" s="1">
        <f t="shared" si="591"/>
        <v>0</v>
      </c>
      <c r="FC338" s="1">
        <f t="shared" si="592"/>
        <v>0</v>
      </c>
      <c r="FD338" s="1">
        <f t="shared" si="593"/>
        <v>0</v>
      </c>
      <c r="FE338" s="1">
        <f t="shared" si="594"/>
        <v>0</v>
      </c>
      <c r="FF338" s="1">
        <f t="shared" si="595"/>
        <v>0</v>
      </c>
      <c r="FG338" s="1">
        <f t="shared" si="596"/>
        <v>0</v>
      </c>
      <c r="FH338" s="1">
        <f t="shared" si="597"/>
        <v>0</v>
      </c>
      <c r="FI338" s="1">
        <f t="shared" si="598"/>
        <v>0</v>
      </c>
      <c r="FJ338" s="1">
        <f t="shared" si="599"/>
        <v>0</v>
      </c>
      <c r="FK338" s="1">
        <f t="shared" si="600"/>
        <v>0</v>
      </c>
      <c r="FL338" s="1">
        <f t="shared" si="601"/>
        <v>0</v>
      </c>
      <c r="FM338" s="1">
        <f t="shared" si="602"/>
        <v>0</v>
      </c>
      <c r="FN338" s="1">
        <f t="shared" si="603"/>
        <v>0</v>
      </c>
      <c r="FO338" s="1">
        <f t="shared" si="604"/>
        <v>0</v>
      </c>
      <c r="FP338" s="1">
        <f t="shared" si="605"/>
        <v>0</v>
      </c>
      <c r="FQ338" s="1">
        <f t="shared" si="606"/>
        <v>0</v>
      </c>
      <c r="FS338" s="1">
        <f t="shared" si="607"/>
        <v>0</v>
      </c>
      <c r="FT338" s="1">
        <f t="shared" si="608"/>
        <v>0</v>
      </c>
      <c r="FU338" s="38">
        <f t="shared" si="609"/>
        <v>0</v>
      </c>
      <c r="FV338" s="38">
        <f t="shared" si="610"/>
        <v>0</v>
      </c>
      <c r="FW338" s="38">
        <f t="shared" si="611"/>
        <v>0</v>
      </c>
      <c r="FX338" s="38">
        <f t="shared" si="612"/>
        <v>0</v>
      </c>
      <c r="FY338" s="38">
        <f t="shared" si="613"/>
        <v>0</v>
      </c>
      <c r="FZ338" s="38">
        <f t="shared" si="614"/>
        <v>0</v>
      </c>
      <c r="GA338" s="38">
        <f t="shared" si="615"/>
        <v>0</v>
      </c>
      <c r="GB338" s="38">
        <f t="shared" si="616"/>
        <v>0</v>
      </c>
      <c r="GC338" s="38">
        <f t="shared" si="617"/>
        <v>0</v>
      </c>
      <c r="GD338" s="38">
        <f t="shared" si="618"/>
        <v>0</v>
      </c>
      <c r="GE338" s="38">
        <f t="shared" si="619"/>
        <v>0</v>
      </c>
      <c r="GF338" s="38">
        <f t="shared" si="620"/>
        <v>0</v>
      </c>
      <c r="GG338" s="38">
        <f t="shared" si="621"/>
        <v>0</v>
      </c>
      <c r="GH338" s="38">
        <f t="shared" si="622"/>
        <v>0</v>
      </c>
      <c r="GI338" s="38">
        <f t="shared" si="623"/>
        <v>0</v>
      </c>
      <c r="GJ338" s="38">
        <f t="shared" si="624"/>
        <v>0</v>
      </c>
      <c r="GL338" s="38">
        <f t="shared" si="625"/>
        <v>0</v>
      </c>
      <c r="GM338" s="38">
        <f t="shared" si="626"/>
        <v>0</v>
      </c>
      <c r="GN338" s="1" t="s">
        <v>2</v>
      </c>
      <c r="GO338" s="1">
        <f t="shared" si="634"/>
        <v>1.264</v>
      </c>
      <c r="GP338" s="13">
        <f t="shared" si="635"/>
        <v>0.62572784810126592</v>
      </c>
      <c r="GQ338" s="41">
        <f t="shared" si="636"/>
        <v>7.9092000000000011</v>
      </c>
      <c r="GR338" s="41">
        <f t="shared" si="637"/>
        <v>131.74929720818008</v>
      </c>
      <c r="GS338" s="14">
        <f t="shared" si="638"/>
        <v>104.23203893052222</v>
      </c>
      <c r="GT338" s="1">
        <f t="shared" si="627"/>
        <v>0</v>
      </c>
      <c r="GU338" s="1">
        <f t="shared" si="628"/>
        <v>6.829200000000001</v>
      </c>
      <c r="GV338" s="1">
        <f t="shared" si="629"/>
        <v>1.08</v>
      </c>
      <c r="GW338" s="37">
        <f t="shared" si="639"/>
        <v>0</v>
      </c>
      <c r="GX338" s="37"/>
      <c r="GY338" s="37"/>
      <c r="GZ338" s="37"/>
      <c r="HB338" s="1">
        <f t="shared" si="630"/>
        <v>0</v>
      </c>
      <c r="HC338" s="1">
        <f t="shared" si="631"/>
        <v>0</v>
      </c>
      <c r="HD338" s="37" t="s">
        <v>2</v>
      </c>
      <c r="HE338" s="1" t="s">
        <v>113</v>
      </c>
      <c r="HF338" s="1" t="s">
        <v>223</v>
      </c>
      <c r="HI338" s="1" t="s">
        <v>96</v>
      </c>
      <c r="HJ338" s="37" t="s">
        <v>2</v>
      </c>
      <c r="JH338" s="58" t="s">
        <v>2</v>
      </c>
    </row>
    <row r="339" spans="1:268" ht="16.25" customHeight="1" x14ac:dyDescent="0.2">
      <c r="A339" s="15" t="s">
        <v>718</v>
      </c>
      <c r="B339" s="1" t="s">
        <v>69</v>
      </c>
      <c r="F339" s="1" t="s">
        <v>719</v>
      </c>
      <c r="I339" s="1">
        <v>0</v>
      </c>
      <c r="AD339" s="1">
        <v>1.546</v>
      </c>
      <c r="AE339" s="13">
        <v>0.1</v>
      </c>
      <c r="AL339" s="13">
        <v>1.4</v>
      </c>
      <c r="AY339" s="1">
        <v>0.32200000000000001</v>
      </c>
      <c r="AZ339" s="1">
        <v>0.08</v>
      </c>
      <c r="BG339" s="13">
        <f>(0.86*12+1.4*228+1.12*59+0.52*22)/(12+228+59+22)</f>
        <v>1.2680373831775702</v>
      </c>
      <c r="BT339" s="1">
        <v>0</v>
      </c>
      <c r="CO339" s="1">
        <v>0</v>
      </c>
      <c r="DJ339" s="1" t="s">
        <v>96</v>
      </c>
      <c r="DL339" s="1">
        <f t="shared" si="632"/>
        <v>1.3772526966719367</v>
      </c>
      <c r="DM339" s="1">
        <f t="shared" si="633"/>
        <v>0</v>
      </c>
      <c r="DN339" s="1" t="s">
        <v>720</v>
      </c>
      <c r="DO339" s="1" t="s">
        <v>2</v>
      </c>
      <c r="DP339" s="38">
        <f t="shared" si="555"/>
        <v>1.8036000000000003E-3</v>
      </c>
      <c r="DQ339" s="38">
        <f t="shared" si="556"/>
        <v>0</v>
      </c>
      <c r="DR339" s="38">
        <f t="shared" si="557"/>
        <v>0</v>
      </c>
      <c r="DS339" s="38">
        <f t="shared" si="558"/>
        <v>0</v>
      </c>
      <c r="DT339" s="38">
        <f t="shared" si="559"/>
        <v>0</v>
      </c>
      <c r="DU339" s="38">
        <f t="shared" si="560"/>
        <v>0</v>
      </c>
      <c r="DV339" s="38">
        <f t="shared" si="561"/>
        <v>0</v>
      </c>
      <c r="DW339" s="38">
        <f t="shared" si="562"/>
        <v>2.5727080373831777E-2</v>
      </c>
      <c r="DX339" s="38">
        <f t="shared" si="563"/>
        <v>0</v>
      </c>
      <c r="DY339" s="38">
        <f t="shared" si="564"/>
        <v>0</v>
      </c>
      <c r="DZ339" s="38">
        <f t="shared" si="565"/>
        <v>0</v>
      </c>
      <c r="EA339" s="38">
        <f t="shared" si="566"/>
        <v>0</v>
      </c>
      <c r="EB339" s="38">
        <f t="shared" si="567"/>
        <v>0</v>
      </c>
      <c r="EC339" s="38">
        <f t="shared" si="568"/>
        <v>0</v>
      </c>
      <c r="ED339" s="38">
        <f t="shared" si="569"/>
        <v>0</v>
      </c>
      <c r="EE339" s="38">
        <f t="shared" si="570"/>
        <v>0</v>
      </c>
      <c r="EG339" s="38">
        <f t="shared" si="571"/>
        <v>0</v>
      </c>
      <c r="EH339" s="38">
        <f t="shared" si="572"/>
        <v>0</v>
      </c>
      <c r="EI339" s="38">
        <f t="shared" si="573"/>
        <v>11.769601017600001</v>
      </c>
      <c r="EJ339" s="38">
        <f t="shared" si="574"/>
        <v>0</v>
      </c>
      <c r="EK339" s="38">
        <f t="shared" si="575"/>
        <v>0</v>
      </c>
      <c r="EL339" s="38">
        <f t="shared" si="576"/>
        <v>0</v>
      </c>
      <c r="EM339" s="38">
        <f t="shared" si="577"/>
        <v>0</v>
      </c>
      <c r="EN339" s="38">
        <f t="shared" si="578"/>
        <v>0</v>
      </c>
      <c r="EO339" s="38">
        <f t="shared" si="579"/>
        <v>0</v>
      </c>
      <c r="EP339" s="38">
        <f t="shared" si="580"/>
        <v>337.38493202242995</v>
      </c>
      <c r="EQ339" s="38">
        <f t="shared" si="581"/>
        <v>0</v>
      </c>
      <c r="ER339" s="38">
        <f t="shared" si="582"/>
        <v>0</v>
      </c>
      <c r="ES339" s="38">
        <f t="shared" si="583"/>
        <v>0</v>
      </c>
      <c r="ET339" s="38">
        <f t="shared" si="584"/>
        <v>0</v>
      </c>
      <c r="EU339" s="38">
        <f t="shared" si="585"/>
        <v>0</v>
      </c>
      <c r="EV339" s="38">
        <f t="shared" si="586"/>
        <v>0</v>
      </c>
      <c r="EW339" s="38">
        <f t="shared" si="587"/>
        <v>0</v>
      </c>
      <c r="EX339" s="38">
        <f t="shared" si="588"/>
        <v>0</v>
      </c>
      <c r="EZ339" s="38">
        <f t="shared" si="589"/>
        <v>0</v>
      </c>
      <c r="FA339" s="38">
        <f t="shared" si="590"/>
        <v>0</v>
      </c>
      <c r="FB339" s="1">
        <f t="shared" si="591"/>
        <v>0</v>
      </c>
      <c r="FC339" s="1">
        <f t="shared" si="592"/>
        <v>0</v>
      </c>
      <c r="FD339" s="1">
        <f t="shared" si="593"/>
        <v>0</v>
      </c>
      <c r="FE339" s="1">
        <f t="shared" si="594"/>
        <v>0</v>
      </c>
      <c r="FF339" s="1">
        <f t="shared" si="595"/>
        <v>0</v>
      </c>
      <c r="FG339" s="1">
        <f t="shared" si="596"/>
        <v>0</v>
      </c>
      <c r="FH339" s="1">
        <f t="shared" si="597"/>
        <v>0</v>
      </c>
      <c r="FI339" s="1">
        <f t="shared" si="598"/>
        <v>0</v>
      </c>
      <c r="FJ339" s="1">
        <f t="shared" si="599"/>
        <v>0</v>
      </c>
      <c r="FK339" s="1">
        <f t="shared" si="600"/>
        <v>0</v>
      </c>
      <c r="FL339" s="1">
        <f t="shared" si="601"/>
        <v>0</v>
      </c>
      <c r="FM339" s="1">
        <f t="shared" si="602"/>
        <v>0</v>
      </c>
      <c r="FN339" s="1">
        <f t="shared" si="603"/>
        <v>0</v>
      </c>
      <c r="FO339" s="1">
        <f t="shared" si="604"/>
        <v>0</v>
      </c>
      <c r="FP339" s="1">
        <f t="shared" si="605"/>
        <v>0</v>
      </c>
      <c r="FQ339" s="1">
        <f t="shared" si="606"/>
        <v>0</v>
      </c>
      <c r="FS339" s="1">
        <f t="shared" si="607"/>
        <v>0</v>
      </c>
      <c r="FT339" s="1">
        <f t="shared" si="608"/>
        <v>0</v>
      </c>
      <c r="FU339" s="38">
        <f t="shared" si="609"/>
        <v>0</v>
      </c>
      <c r="FV339" s="38">
        <f t="shared" si="610"/>
        <v>0</v>
      </c>
      <c r="FW339" s="38">
        <f t="shared" si="611"/>
        <v>0</v>
      </c>
      <c r="FX339" s="38">
        <f t="shared" si="612"/>
        <v>0</v>
      </c>
      <c r="FY339" s="38">
        <f t="shared" si="613"/>
        <v>0</v>
      </c>
      <c r="FZ339" s="38">
        <f t="shared" si="614"/>
        <v>0</v>
      </c>
      <c r="GA339" s="38">
        <f t="shared" si="615"/>
        <v>0</v>
      </c>
      <c r="GB339" s="38">
        <f t="shared" si="616"/>
        <v>0</v>
      </c>
      <c r="GC339" s="38">
        <f t="shared" si="617"/>
        <v>0</v>
      </c>
      <c r="GD339" s="38">
        <f t="shared" si="618"/>
        <v>0</v>
      </c>
      <c r="GE339" s="38">
        <f t="shared" si="619"/>
        <v>0</v>
      </c>
      <c r="GF339" s="38">
        <f t="shared" si="620"/>
        <v>0</v>
      </c>
      <c r="GG339" s="38">
        <f t="shared" si="621"/>
        <v>0</v>
      </c>
      <c r="GH339" s="38">
        <f t="shared" si="622"/>
        <v>0</v>
      </c>
      <c r="GI339" s="38">
        <f t="shared" si="623"/>
        <v>0</v>
      </c>
      <c r="GJ339" s="38">
        <f t="shared" si="624"/>
        <v>0</v>
      </c>
      <c r="GL339" s="38">
        <f t="shared" si="625"/>
        <v>0</v>
      </c>
      <c r="GM339" s="38">
        <f t="shared" si="626"/>
        <v>0</v>
      </c>
      <c r="GN339" s="1" t="s">
        <v>2</v>
      </c>
      <c r="GO339" s="1">
        <f t="shared" si="634"/>
        <v>1.8680000000000001</v>
      </c>
      <c r="GP339" s="13">
        <f t="shared" si="635"/>
        <v>1.3772526966719367</v>
      </c>
      <c r="GQ339" s="41">
        <f t="shared" si="636"/>
        <v>25.727080373831779</v>
      </c>
      <c r="GR339" s="41">
        <f t="shared" si="637"/>
        <v>349.15453304002995</v>
      </c>
      <c r="GS339" s="14">
        <f t="shared" si="638"/>
        <v>186.91356158459845</v>
      </c>
      <c r="GT339" s="1">
        <f t="shared" si="627"/>
        <v>0</v>
      </c>
      <c r="GU339" s="1">
        <f t="shared" si="628"/>
        <v>21.644000000000002</v>
      </c>
      <c r="GV339" s="1">
        <f t="shared" si="629"/>
        <v>4.083080373831776</v>
      </c>
      <c r="GW339" s="37">
        <f t="shared" si="639"/>
        <v>0</v>
      </c>
      <c r="GX339" s="37"/>
      <c r="GY339" s="37"/>
      <c r="GZ339" s="37"/>
      <c r="HB339" s="1">
        <f t="shared" si="630"/>
        <v>0</v>
      </c>
      <c r="HC339" s="1">
        <f t="shared" si="631"/>
        <v>0</v>
      </c>
      <c r="HD339" s="37" t="s">
        <v>2</v>
      </c>
      <c r="HE339" s="1" t="s">
        <v>113</v>
      </c>
      <c r="HF339" s="1" t="s">
        <v>223</v>
      </c>
      <c r="HI339" s="1" t="s">
        <v>96</v>
      </c>
      <c r="HJ339" s="37" t="s">
        <v>2</v>
      </c>
      <c r="JH339" s="58" t="s">
        <v>2</v>
      </c>
    </row>
    <row r="340" spans="1:268" ht="16.25" customHeight="1" x14ac:dyDescent="0.2">
      <c r="A340" s="15" t="s">
        <v>721</v>
      </c>
      <c r="B340" s="1" t="s">
        <v>71</v>
      </c>
      <c r="F340" s="1" t="s">
        <v>719</v>
      </c>
      <c r="I340" s="1">
        <v>0</v>
      </c>
      <c r="AD340" s="1">
        <v>0</v>
      </c>
      <c r="AY340" s="2">
        <v>0.79249999999999998</v>
      </c>
      <c r="BG340" s="1">
        <v>0.81</v>
      </c>
      <c r="BT340" s="1">
        <v>0</v>
      </c>
      <c r="CO340" s="1">
        <v>0.872</v>
      </c>
      <c r="CW340" s="13">
        <v>0.7</v>
      </c>
      <c r="DJ340" s="1" t="s">
        <v>96</v>
      </c>
      <c r="DL340" s="1">
        <f t="shared" si="632"/>
        <v>0.81000000000000016</v>
      </c>
      <c r="DM340" s="1">
        <f t="shared" si="633"/>
        <v>0</v>
      </c>
      <c r="DN340" s="1" t="s">
        <v>704</v>
      </c>
      <c r="DO340" s="1" t="s">
        <v>2</v>
      </c>
      <c r="DP340" s="38">
        <f t="shared" si="555"/>
        <v>0</v>
      </c>
      <c r="DQ340" s="38">
        <f t="shared" si="556"/>
        <v>0</v>
      </c>
      <c r="DR340" s="38">
        <f t="shared" si="557"/>
        <v>0</v>
      </c>
      <c r="DS340" s="38">
        <f t="shared" si="558"/>
        <v>0</v>
      </c>
      <c r="DT340" s="38">
        <f t="shared" si="559"/>
        <v>0</v>
      </c>
      <c r="DU340" s="38">
        <f t="shared" si="560"/>
        <v>0</v>
      </c>
      <c r="DV340" s="38">
        <f t="shared" si="561"/>
        <v>0</v>
      </c>
      <c r="DW340" s="38">
        <f t="shared" si="562"/>
        <v>6.4192500000000005E-3</v>
      </c>
      <c r="DX340" s="38">
        <f t="shared" si="563"/>
        <v>0</v>
      </c>
      <c r="DY340" s="38">
        <f t="shared" si="564"/>
        <v>0</v>
      </c>
      <c r="DZ340" s="38">
        <f t="shared" si="565"/>
        <v>0</v>
      </c>
      <c r="EA340" s="38">
        <f t="shared" si="566"/>
        <v>0</v>
      </c>
      <c r="EB340" s="38">
        <f t="shared" si="567"/>
        <v>0</v>
      </c>
      <c r="EC340" s="38">
        <f t="shared" si="568"/>
        <v>0</v>
      </c>
      <c r="ED340" s="38">
        <f t="shared" si="569"/>
        <v>0</v>
      </c>
      <c r="EE340" s="38">
        <f t="shared" si="570"/>
        <v>0</v>
      </c>
      <c r="EG340" s="38">
        <f t="shared" si="571"/>
        <v>0</v>
      </c>
      <c r="EH340" s="38">
        <f t="shared" si="572"/>
        <v>0</v>
      </c>
      <c r="EI340" s="38">
        <f t="shared" si="573"/>
        <v>0</v>
      </c>
      <c r="EJ340" s="38">
        <f t="shared" si="574"/>
        <v>0</v>
      </c>
      <c r="EK340" s="38">
        <f t="shared" si="575"/>
        <v>0</v>
      </c>
      <c r="EL340" s="38">
        <f t="shared" si="576"/>
        <v>0</v>
      </c>
      <c r="EM340" s="38">
        <f t="shared" si="577"/>
        <v>0</v>
      </c>
      <c r="EN340" s="38">
        <f t="shared" si="578"/>
        <v>0</v>
      </c>
      <c r="EO340" s="38">
        <f t="shared" si="579"/>
        <v>0</v>
      </c>
      <c r="EP340" s="38">
        <f t="shared" si="580"/>
        <v>84.182044500000003</v>
      </c>
      <c r="EQ340" s="38">
        <f t="shared" si="581"/>
        <v>0</v>
      </c>
      <c r="ER340" s="38">
        <f t="shared" si="582"/>
        <v>0</v>
      </c>
      <c r="ES340" s="38">
        <f t="shared" si="583"/>
        <v>0</v>
      </c>
      <c r="ET340" s="38">
        <f t="shared" si="584"/>
        <v>0</v>
      </c>
      <c r="EU340" s="38">
        <f t="shared" si="585"/>
        <v>0</v>
      </c>
      <c r="EV340" s="38">
        <f t="shared" si="586"/>
        <v>0</v>
      </c>
      <c r="EW340" s="38">
        <f t="shared" si="587"/>
        <v>0</v>
      </c>
      <c r="EX340" s="38">
        <f t="shared" si="588"/>
        <v>0</v>
      </c>
      <c r="EZ340" s="38">
        <f t="shared" si="589"/>
        <v>0</v>
      </c>
      <c r="FA340" s="38">
        <f t="shared" si="590"/>
        <v>0</v>
      </c>
      <c r="FB340" s="1">
        <f t="shared" si="591"/>
        <v>0</v>
      </c>
      <c r="FC340" s="1">
        <f t="shared" si="592"/>
        <v>0</v>
      </c>
      <c r="FD340" s="1">
        <f t="shared" si="593"/>
        <v>0</v>
      </c>
      <c r="FE340" s="1">
        <f t="shared" si="594"/>
        <v>0</v>
      </c>
      <c r="FF340" s="1">
        <f t="shared" si="595"/>
        <v>0</v>
      </c>
      <c r="FG340" s="1">
        <f t="shared" si="596"/>
        <v>0</v>
      </c>
      <c r="FH340" s="1">
        <f t="shared" si="597"/>
        <v>0</v>
      </c>
      <c r="FI340" s="1">
        <f t="shared" si="598"/>
        <v>6.1039999999999992E-3</v>
      </c>
      <c r="FJ340" s="1">
        <f t="shared" si="599"/>
        <v>0</v>
      </c>
      <c r="FK340" s="1">
        <f t="shared" si="600"/>
        <v>0</v>
      </c>
      <c r="FL340" s="1">
        <f t="shared" si="601"/>
        <v>0</v>
      </c>
      <c r="FM340" s="1">
        <f t="shared" si="602"/>
        <v>0</v>
      </c>
      <c r="FN340" s="1">
        <f t="shared" si="603"/>
        <v>0</v>
      </c>
      <c r="FO340" s="1">
        <f t="shared" si="604"/>
        <v>0</v>
      </c>
      <c r="FP340" s="1">
        <f t="shared" si="605"/>
        <v>0</v>
      </c>
      <c r="FQ340" s="1">
        <f t="shared" si="606"/>
        <v>0</v>
      </c>
      <c r="FS340" s="1">
        <f t="shared" si="607"/>
        <v>0</v>
      </c>
      <c r="FT340" s="1">
        <f t="shared" si="608"/>
        <v>0</v>
      </c>
      <c r="FU340" s="38">
        <f t="shared" si="609"/>
        <v>0</v>
      </c>
      <c r="FV340" s="38">
        <f t="shared" si="610"/>
        <v>0</v>
      </c>
      <c r="FW340" s="38">
        <f t="shared" si="611"/>
        <v>0</v>
      </c>
      <c r="FX340" s="38">
        <f t="shared" si="612"/>
        <v>0</v>
      </c>
      <c r="FY340" s="38">
        <f t="shared" si="613"/>
        <v>0</v>
      </c>
      <c r="FZ340" s="38">
        <f t="shared" si="614"/>
        <v>0</v>
      </c>
      <c r="GA340" s="38">
        <f t="shared" si="615"/>
        <v>0</v>
      </c>
      <c r="GB340" s="38">
        <f t="shared" si="616"/>
        <v>80.047855999999996</v>
      </c>
      <c r="GC340" s="38">
        <f t="shared" si="617"/>
        <v>0</v>
      </c>
      <c r="GD340" s="38">
        <f t="shared" si="618"/>
        <v>0</v>
      </c>
      <c r="GE340" s="38">
        <f t="shared" si="619"/>
        <v>0</v>
      </c>
      <c r="GF340" s="38">
        <f t="shared" si="620"/>
        <v>0</v>
      </c>
      <c r="GG340" s="38">
        <f t="shared" si="621"/>
        <v>0</v>
      </c>
      <c r="GH340" s="38">
        <f t="shared" si="622"/>
        <v>0</v>
      </c>
      <c r="GI340" s="38">
        <f t="shared" si="623"/>
        <v>0</v>
      </c>
      <c r="GJ340" s="38">
        <f t="shared" si="624"/>
        <v>0</v>
      </c>
      <c r="GL340" s="38">
        <f t="shared" si="625"/>
        <v>0</v>
      </c>
      <c r="GM340" s="38">
        <f t="shared" si="626"/>
        <v>0</v>
      </c>
      <c r="GN340" s="1" t="s">
        <v>2</v>
      </c>
      <c r="GO340" s="2">
        <f t="shared" si="634"/>
        <v>0.79249999999999998</v>
      </c>
      <c r="GP340" s="1">
        <f t="shared" si="635"/>
        <v>0.81000000000000016</v>
      </c>
      <c r="GQ340" s="41">
        <f t="shared" si="636"/>
        <v>6.4192500000000017</v>
      </c>
      <c r="GR340" s="41">
        <f t="shared" si="637"/>
        <v>84.182044500000003</v>
      </c>
      <c r="GS340" s="14">
        <f t="shared" si="638"/>
        <v>106.22340000000001</v>
      </c>
      <c r="GT340" s="1">
        <f t="shared" si="627"/>
        <v>0</v>
      </c>
      <c r="GU340" s="1">
        <f t="shared" si="628"/>
        <v>0</v>
      </c>
      <c r="GV340" s="1">
        <f t="shared" si="629"/>
        <v>6.4192500000000008</v>
      </c>
      <c r="GW340" s="37">
        <f t="shared" si="639"/>
        <v>0.872</v>
      </c>
      <c r="GX340" s="44">
        <f>(BT340*CB340+CO340*CW340)/GW340</f>
        <v>0.7</v>
      </c>
      <c r="GY340" s="41">
        <f>1000*GW340*GX340/100</f>
        <v>6.1040000000000001</v>
      </c>
      <c r="GZ340" s="41">
        <f>SUM(FU340:GM340)</f>
        <v>80.047855999999996</v>
      </c>
      <c r="HA340" s="14">
        <f>GZ340/GW340</f>
        <v>91.798000000000002</v>
      </c>
      <c r="HB340" s="1">
        <f t="shared" si="630"/>
        <v>0</v>
      </c>
      <c r="HC340" s="1">
        <f t="shared" si="631"/>
        <v>6.1040000000000001</v>
      </c>
      <c r="HD340" s="37" t="s">
        <v>2</v>
      </c>
      <c r="HE340" s="1" t="s">
        <v>113</v>
      </c>
      <c r="HF340" s="1" t="s">
        <v>223</v>
      </c>
      <c r="HI340" s="1" t="s">
        <v>96</v>
      </c>
      <c r="HJ340" s="37" t="s">
        <v>2</v>
      </c>
      <c r="JH340" s="58" t="s">
        <v>2</v>
      </c>
    </row>
    <row r="341" spans="1:268" ht="16.25" customHeight="1" x14ac:dyDescent="0.2">
      <c r="A341" s="15" t="s">
        <v>722</v>
      </c>
      <c r="B341" s="1" t="s">
        <v>71</v>
      </c>
      <c r="F341" s="1" t="s">
        <v>719</v>
      </c>
      <c r="I341" s="1">
        <v>0.14799999999999999</v>
      </c>
      <c r="J341" s="1">
        <v>0.03</v>
      </c>
      <c r="Q341" s="1">
        <v>2.4300000000000002</v>
      </c>
      <c r="AD341" s="1">
        <v>0.45100000000000001</v>
      </c>
      <c r="AE341" s="1">
        <v>0.01</v>
      </c>
      <c r="AL341" s="1">
        <v>1.1599999999999999</v>
      </c>
      <c r="AY341" s="1">
        <v>0.73699999999999999</v>
      </c>
      <c r="AZ341" s="1">
        <v>0.03</v>
      </c>
      <c r="BG341" s="1">
        <v>1.57</v>
      </c>
      <c r="BT341" s="1">
        <v>6.2899999999999998E-2</v>
      </c>
      <c r="CB341" s="1">
        <v>1.35</v>
      </c>
      <c r="CO341" s="1">
        <v>0.19700000000000001</v>
      </c>
      <c r="CW341" s="1">
        <v>0.95</v>
      </c>
      <c r="DJ341" s="1" t="s">
        <v>96</v>
      </c>
      <c r="DL341" s="1">
        <f t="shared" si="632"/>
        <v>1.5268637724550898</v>
      </c>
      <c r="DM341" s="1">
        <f t="shared" si="633"/>
        <v>0</v>
      </c>
      <c r="DN341" s="1" t="s">
        <v>720</v>
      </c>
      <c r="DO341" s="1" t="s">
        <v>2</v>
      </c>
      <c r="DP341" s="38">
        <f t="shared" si="555"/>
        <v>3.1059999999999996E-4</v>
      </c>
      <c r="DQ341" s="38">
        <f t="shared" si="556"/>
        <v>0</v>
      </c>
      <c r="DR341" s="38">
        <f t="shared" si="557"/>
        <v>0</v>
      </c>
      <c r="DS341" s="38">
        <f t="shared" si="558"/>
        <v>0</v>
      </c>
      <c r="DT341" s="38">
        <f t="shared" si="559"/>
        <v>0</v>
      </c>
      <c r="DU341" s="38">
        <f t="shared" si="560"/>
        <v>0</v>
      </c>
      <c r="DV341" s="38">
        <f t="shared" si="561"/>
        <v>0</v>
      </c>
      <c r="DW341" s="38">
        <f t="shared" si="562"/>
        <v>2.0398899999999998E-2</v>
      </c>
      <c r="DX341" s="38">
        <f t="shared" si="563"/>
        <v>0</v>
      </c>
      <c r="DY341" s="38">
        <f t="shared" si="564"/>
        <v>0</v>
      </c>
      <c r="DZ341" s="38">
        <f t="shared" si="565"/>
        <v>0</v>
      </c>
      <c r="EA341" s="38">
        <f t="shared" si="566"/>
        <v>0</v>
      </c>
      <c r="EB341" s="38">
        <f t="shared" si="567"/>
        <v>0</v>
      </c>
      <c r="EC341" s="38">
        <f t="shared" si="568"/>
        <v>0</v>
      </c>
      <c r="ED341" s="38">
        <f t="shared" si="569"/>
        <v>0</v>
      </c>
      <c r="EE341" s="38">
        <f t="shared" si="570"/>
        <v>0</v>
      </c>
      <c r="EG341" s="38">
        <f t="shared" si="571"/>
        <v>0</v>
      </c>
      <c r="EH341" s="38">
        <f t="shared" si="572"/>
        <v>0</v>
      </c>
      <c r="EI341" s="38">
        <f t="shared" si="573"/>
        <v>2.0268563295999997</v>
      </c>
      <c r="EJ341" s="38">
        <f t="shared" si="574"/>
        <v>0</v>
      </c>
      <c r="EK341" s="38">
        <f t="shared" si="575"/>
        <v>0</v>
      </c>
      <c r="EL341" s="38">
        <f t="shared" si="576"/>
        <v>0</v>
      </c>
      <c r="EM341" s="38">
        <f t="shared" si="577"/>
        <v>0</v>
      </c>
      <c r="EN341" s="38">
        <f t="shared" si="578"/>
        <v>0</v>
      </c>
      <c r="EO341" s="38">
        <f t="shared" si="579"/>
        <v>0</v>
      </c>
      <c r="EP341" s="38">
        <f t="shared" si="580"/>
        <v>267.51117459999995</v>
      </c>
      <c r="EQ341" s="38">
        <f t="shared" si="581"/>
        <v>0</v>
      </c>
      <c r="ER341" s="38">
        <f t="shared" si="582"/>
        <v>0</v>
      </c>
      <c r="ES341" s="38">
        <f t="shared" si="583"/>
        <v>0</v>
      </c>
      <c r="ET341" s="38">
        <f t="shared" si="584"/>
        <v>0</v>
      </c>
      <c r="EU341" s="38">
        <f t="shared" si="585"/>
        <v>0</v>
      </c>
      <c r="EV341" s="38">
        <f t="shared" si="586"/>
        <v>0</v>
      </c>
      <c r="EW341" s="38">
        <f t="shared" si="587"/>
        <v>0</v>
      </c>
      <c r="EX341" s="38">
        <f t="shared" si="588"/>
        <v>0</v>
      </c>
      <c r="EZ341" s="38">
        <f t="shared" si="589"/>
        <v>0</v>
      </c>
      <c r="FA341" s="38">
        <f t="shared" si="590"/>
        <v>0</v>
      </c>
      <c r="FB341" s="1">
        <f t="shared" si="591"/>
        <v>0</v>
      </c>
      <c r="FC341" s="1">
        <f t="shared" si="592"/>
        <v>0</v>
      </c>
      <c r="FD341" s="1">
        <f t="shared" si="593"/>
        <v>0</v>
      </c>
      <c r="FE341" s="1">
        <f t="shared" si="594"/>
        <v>0</v>
      </c>
      <c r="FF341" s="1">
        <f t="shared" si="595"/>
        <v>0</v>
      </c>
      <c r="FG341" s="1">
        <f t="shared" si="596"/>
        <v>0</v>
      </c>
      <c r="FH341" s="1">
        <f t="shared" si="597"/>
        <v>0</v>
      </c>
      <c r="FI341" s="1">
        <f t="shared" si="598"/>
        <v>2.7206499999999998E-3</v>
      </c>
      <c r="FJ341" s="1">
        <f t="shared" si="599"/>
        <v>0</v>
      </c>
      <c r="FK341" s="1">
        <f t="shared" si="600"/>
        <v>0</v>
      </c>
      <c r="FL341" s="1">
        <f t="shared" si="601"/>
        <v>0</v>
      </c>
      <c r="FM341" s="1">
        <f t="shared" si="602"/>
        <v>0</v>
      </c>
      <c r="FN341" s="1">
        <f t="shared" si="603"/>
        <v>0</v>
      </c>
      <c r="FO341" s="1">
        <f t="shared" si="604"/>
        <v>0</v>
      </c>
      <c r="FP341" s="1">
        <f t="shared" si="605"/>
        <v>0</v>
      </c>
      <c r="FQ341" s="1">
        <f t="shared" si="606"/>
        <v>0</v>
      </c>
      <c r="FS341" s="1">
        <f t="shared" si="607"/>
        <v>0</v>
      </c>
      <c r="FT341" s="1">
        <f t="shared" si="608"/>
        <v>0</v>
      </c>
      <c r="FU341" s="38">
        <f t="shared" si="609"/>
        <v>0</v>
      </c>
      <c r="FV341" s="38">
        <f t="shared" si="610"/>
        <v>0</v>
      </c>
      <c r="FW341" s="38">
        <f t="shared" si="611"/>
        <v>0</v>
      </c>
      <c r="FX341" s="38">
        <f t="shared" si="612"/>
        <v>0</v>
      </c>
      <c r="FY341" s="38">
        <f t="shared" si="613"/>
        <v>0</v>
      </c>
      <c r="FZ341" s="38">
        <f t="shared" si="614"/>
        <v>0</v>
      </c>
      <c r="GA341" s="38">
        <f t="shared" si="615"/>
        <v>0</v>
      </c>
      <c r="GB341" s="38">
        <f t="shared" si="616"/>
        <v>35.678604099999994</v>
      </c>
      <c r="GC341" s="38">
        <f t="shared" si="617"/>
        <v>0</v>
      </c>
      <c r="GD341" s="38">
        <f t="shared" si="618"/>
        <v>0</v>
      </c>
      <c r="GE341" s="38">
        <f t="shared" si="619"/>
        <v>0</v>
      </c>
      <c r="GF341" s="38">
        <f t="shared" si="620"/>
        <v>0</v>
      </c>
      <c r="GG341" s="38">
        <f t="shared" si="621"/>
        <v>0</v>
      </c>
      <c r="GH341" s="38">
        <f t="shared" si="622"/>
        <v>0</v>
      </c>
      <c r="GI341" s="38">
        <f t="shared" si="623"/>
        <v>0</v>
      </c>
      <c r="GJ341" s="38">
        <f t="shared" si="624"/>
        <v>0</v>
      </c>
      <c r="GL341" s="38">
        <f t="shared" si="625"/>
        <v>0</v>
      </c>
      <c r="GM341" s="38">
        <f t="shared" si="626"/>
        <v>0</v>
      </c>
      <c r="GN341" s="1" t="s">
        <v>2</v>
      </c>
      <c r="GO341" s="1">
        <f t="shared" si="634"/>
        <v>1.3359999999999999</v>
      </c>
      <c r="GP341" s="13">
        <f t="shared" si="635"/>
        <v>1.5268637724550898</v>
      </c>
      <c r="GQ341" s="41">
        <f t="shared" si="636"/>
        <v>20.398899999999998</v>
      </c>
      <c r="GR341" s="41">
        <f t="shared" si="637"/>
        <v>269.53803092959993</v>
      </c>
      <c r="GS341" s="14">
        <f t="shared" si="638"/>
        <v>201.75002315089816</v>
      </c>
      <c r="GT341" s="1">
        <f t="shared" si="627"/>
        <v>3.5964000000000005</v>
      </c>
      <c r="GU341" s="1">
        <f t="shared" si="628"/>
        <v>5.2315999999999994</v>
      </c>
      <c r="GV341" s="1">
        <f t="shared" si="629"/>
        <v>11.5709</v>
      </c>
      <c r="GW341" s="46">
        <f t="shared" si="639"/>
        <v>0.25990000000000002</v>
      </c>
      <c r="GX341" s="44">
        <f>(BT341*CB341+CO341*CW341)/GW341</f>
        <v>1.0468064640246248</v>
      </c>
      <c r="GY341" s="41">
        <f>1000*GW341*GX341/100</f>
        <v>2.7206500000000005</v>
      </c>
      <c r="GZ341" s="41">
        <f>SUM(FU341:GM341)</f>
        <v>35.678604099999994</v>
      </c>
      <c r="HA341" s="14">
        <f>GZ341/GW341</f>
        <v>137.27819969218928</v>
      </c>
      <c r="HB341" s="1">
        <f t="shared" si="630"/>
        <v>0.84915000000000007</v>
      </c>
      <c r="HC341" s="1">
        <f t="shared" si="631"/>
        <v>1.8715000000000002</v>
      </c>
      <c r="HD341" s="37" t="s">
        <v>2</v>
      </c>
      <c r="HE341" s="1" t="s">
        <v>113</v>
      </c>
      <c r="HF341" s="1" t="s">
        <v>223</v>
      </c>
      <c r="HI341" s="1" t="s">
        <v>96</v>
      </c>
      <c r="HJ341" s="37" t="s">
        <v>2</v>
      </c>
      <c r="JH341" s="58" t="s">
        <v>2</v>
      </c>
    </row>
    <row r="342" spans="1:268" ht="16.25" customHeight="1" x14ac:dyDescent="0.2">
      <c r="A342" s="15" t="s">
        <v>927</v>
      </c>
      <c r="B342" s="1" t="s">
        <v>69</v>
      </c>
      <c r="F342" s="1" t="s">
        <v>928</v>
      </c>
      <c r="I342" s="1">
        <v>0</v>
      </c>
      <c r="AD342" s="1">
        <v>0</v>
      </c>
      <c r="AY342" s="1">
        <v>1.2669999999999999</v>
      </c>
      <c r="BG342" s="1">
        <v>0.43</v>
      </c>
      <c r="BH342" s="1">
        <v>0.03</v>
      </c>
      <c r="BT342" s="1">
        <v>0</v>
      </c>
      <c r="CO342" s="1">
        <v>0</v>
      </c>
      <c r="DJ342" s="1" t="s">
        <v>96</v>
      </c>
      <c r="DK342" s="1" t="s">
        <v>96</v>
      </c>
      <c r="DL342" s="1">
        <f t="shared" si="632"/>
        <v>0.42999999999999994</v>
      </c>
      <c r="DM342" s="1">
        <f t="shared" si="633"/>
        <v>0.03</v>
      </c>
      <c r="DN342" s="1" t="s">
        <v>929</v>
      </c>
      <c r="DO342" s="1" t="s">
        <v>2</v>
      </c>
      <c r="DP342" s="38">
        <f t="shared" si="555"/>
        <v>0</v>
      </c>
      <c r="DQ342" s="38">
        <f t="shared" si="556"/>
        <v>0</v>
      </c>
      <c r="DR342" s="38">
        <f t="shared" si="557"/>
        <v>0</v>
      </c>
      <c r="DS342" s="38">
        <f t="shared" si="558"/>
        <v>0</v>
      </c>
      <c r="DT342" s="38">
        <f t="shared" si="559"/>
        <v>0</v>
      </c>
      <c r="DU342" s="38">
        <f t="shared" si="560"/>
        <v>0</v>
      </c>
      <c r="DV342" s="38">
        <f t="shared" si="561"/>
        <v>0</v>
      </c>
      <c r="DW342" s="38">
        <f t="shared" si="562"/>
        <v>5.4480999999999991E-3</v>
      </c>
      <c r="DX342" s="38">
        <f t="shared" si="563"/>
        <v>3.8009999999999997E-4</v>
      </c>
      <c r="DY342" s="38">
        <f t="shared" si="564"/>
        <v>0</v>
      </c>
      <c r="DZ342" s="38">
        <f t="shared" si="565"/>
        <v>0</v>
      </c>
      <c r="EA342" s="38">
        <f t="shared" si="566"/>
        <v>0</v>
      </c>
      <c r="EB342" s="38">
        <f t="shared" si="567"/>
        <v>0</v>
      </c>
      <c r="EC342" s="38">
        <f t="shared" si="568"/>
        <v>0</v>
      </c>
      <c r="ED342" s="38">
        <f t="shared" si="569"/>
        <v>0</v>
      </c>
      <c r="EE342" s="38">
        <f t="shared" si="570"/>
        <v>0</v>
      </c>
      <c r="EG342" s="38">
        <f t="shared" si="571"/>
        <v>0</v>
      </c>
      <c r="EH342" s="38">
        <f t="shared" si="572"/>
        <v>0</v>
      </c>
      <c r="EI342" s="38">
        <f t="shared" si="573"/>
        <v>0</v>
      </c>
      <c r="EJ342" s="38">
        <f t="shared" si="574"/>
        <v>0</v>
      </c>
      <c r="EK342" s="38">
        <f t="shared" si="575"/>
        <v>0</v>
      </c>
      <c r="EL342" s="38">
        <f t="shared" si="576"/>
        <v>0</v>
      </c>
      <c r="EM342" s="38">
        <f t="shared" si="577"/>
        <v>0</v>
      </c>
      <c r="EN342" s="38">
        <f t="shared" si="578"/>
        <v>0</v>
      </c>
      <c r="EO342" s="38">
        <f t="shared" si="579"/>
        <v>0</v>
      </c>
      <c r="EP342" s="38">
        <f t="shared" si="580"/>
        <v>71.446383399999988</v>
      </c>
      <c r="EQ342" s="38">
        <f t="shared" si="581"/>
        <v>27.602681072399996</v>
      </c>
      <c r="ER342" s="38">
        <f t="shared" si="582"/>
        <v>0</v>
      </c>
      <c r="ES342" s="38">
        <f t="shared" si="583"/>
        <v>0</v>
      </c>
      <c r="ET342" s="38">
        <f t="shared" si="584"/>
        <v>0</v>
      </c>
      <c r="EU342" s="38">
        <f t="shared" si="585"/>
        <v>0</v>
      </c>
      <c r="EV342" s="38">
        <f t="shared" si="586"/>
        <v>0</v>
      </c>
      <c r="EW342" s="38">
        <f t="shared" si="587"/>
        <v>0</v>
      </c>
      <c r="EX342" s="38">
        <f t="shared" si="588"/>
        <v>0</v>
      </c>
      <c r="EZ342" s="38">
        <f t="shared" si="589"/>
        <v>0</v>
      </c>
      <c r="FA342" s="38">
        <f t="shared" si="590"/>
        <v>0</v>
      </c>
      <c r="FB342" s="1">
        <f t="shared" si="591"/>
        <v>0</v>
      </c>
      <c r="FC342" s="1">
        <f t="shared" si="592"/>
        <v>0</v>
      </c>
      <c r="FD342" s="1">
        <f t="shared" si="593"/>
        <v>0</v>
      </c>
      <c r="FE342" s="1">
        <f t="shared" si="594"/>
        <v>0</v>
      </c>
      <c r="FF342" s="1">
        <f t="shared" si="595"/>
        <v>0</v>
      </c>
      <c r="FG342" s="1">
        <f t="shared" si="596"/>
        <v>0</v>
      </c>
      <c r="FH342" s="1">
        <f t="shared" si="597"/>
        <v>0</v>
      </c>
      <c r="FI342" s="1">
        <f t="shared" si="598"/>
        <v>0</v>
      </c>
      <c r="FJ342" s="1">
        <f t="shared" si="599"/>
        <v>0</v>
      </c>
      <c r="FK342" s="1">
        <f t="shared" si="600"/>
        <v>0</v>
      </c>
      <c r="FL342" s="1">
        <f t="shared" si="601"/>
        <v>0</v>
      </c>
      <c r="FM342" s="1">
        <f t="shared" si="602"/>
        <v>0</v>
      </c>
      <c r="FN342" s="1">
        <f t="shared" si="603"/>
        <v>0</v>
      </c>
      <c r="FO342" s="1">
        <f t="shared" si="604"/>
        <v>0</v>
      </c>
      <c r="FP342" s="1">
        <f t="shared" si="605"/>
        <v>0</v>
      </c>
      <c r="FQ342" s="1">
        <f t="shared" si="606"/>
        <v>0</v>
      </c>
      <c r="FS342" s="1">
        <f t="shared" si="607"/>
        <v>0</v>
      </c>
      <c r="FT342" s="1">
        <f t="shared" si="608"/>
        <v>0</v>
      </c>
      <c r="FU342" s="38">
        <f t="shared" si="609"/>
        <v>0</v>
      </c>
      <c r="FV342" s="38">
        <f t="shared" si="610"/>
        <v>0</v>
      </c>
      <c r="FW342" s="38">
        <f t="shared" si="611"/>
        <v>0</v>
      </c>
      <c r="FX342" s="38">
        <f t="shared" si="612"/>
        <v>0</v>
      </c>
      <c r="FY342" s="38">
        <f t="shared" si="613"/>
        <v>0</v>
      </c>
      <c r="FZ342" s="38">
        <f t="shared" si="614"/>
        <v>0</v>
      </c>
      <c r="GA342" s="38">
        <f t="shared" si="615"/>
        <v>0</v>
      </c>
      <c r="GB342" s="38">
        <f t="shared" si="616"/>
        <v>0</v>
      </c>
      <c r="GC342" s="38">
        <f t="shared" si="617"/>
        <v>0</v>
      </c>
      <c r="GD342" s="38">
        <f t="shared" si="618"/>
        <v>0</v>
      </c>
      <c r="GE342" s="38">
        <f t="shared" si="619"/>
        <v>0</v>
      </c>
      <c r="GF342" s="38">
        <f t="shared" si="620"/>
        <v>0</v>
      </c>
      <c r="GG342" s="38">
        <f t="shared" si="621"/>
        <v>0</v>
      </c>
      <c r="GH342" s="38">
        <f t="shared" si="622"/>
        <v>0</v>
      </c>
      <c r="GI342" s="38">
        <f t="shared" si="623"/>
        <v>0</v>
      </c>
      <c r="GJ342" s="38">
        <f t="shared" si="624"/>
        <v>0</v>
      </c>
      <c r="GL342" s="38">
        <f t="shared" si="625"/>
        <v>0</v>
      </c>
      <c r="GM342" s="38">
        <f t="shared" si="626"/>
        <v>0</v>
      </c>
      <c r="GN342" s="1" t="s">
        <v>2</v>
      </c>
      <c r="GO342" s="1">
        <f t="shared" si="634"/>
        <v>1.2669999999999999</v>
      </c>
      <c r="GP342" s="1">
        <f t="shared" si="635"/>
        <v>0.42999999999999994</v>
      </c>
      <c r="GQ342" s="41">
        <f t="shared" si="636"/>
        <v>5.4480999999999993</v>
      </c>
      <c r="GR342" s="41">
        <f t="shared" si="637"/>
        <v>99.049064472399976</v>
      </c>
      <c r="GS342" s="14">
        <f t="shared" si="638"/>
        <v>78.176057199999988</v>
      </c>
      <c r="GT342" s="1">
        <f t="shared" si="627"/>
        <v>0</v>
      </c>
      <c r="GU342" s="1">
        <f t="shared" si="628"/>
        <v>0</v>
      </c>
      <c r="GV342" s="1">
        <f t="shared" si="629"/>
        <v>5.4480999999999993</v>
      </c>
      <c r="GW342" s="37">
        <f t="shared" si="639"/>
        <v>0</v>
      </c>
      <c r="GX342" s="37"/>
      <c r="GY342" s="37"/>
      <c r="GZ342" s="37"/>
      <c r="HB342" s="1">
        <f t="shared" si="630"/>
        <v>0</v>
      </c>
      <c r="HC342" s="1">
        <f t="shared" si="631"/>
        <v>0</v>
      </c>
      <c r="HD342" s="37" t="s">
        <v>2</v>
      </c>
      <c r="HE342" s="1" t="s">
        <v>113</v>
      </c>
      <c r="HF342" s="1" t="s">
        <v>223</v>
      </c>
      <c r="HI342" s="1" t="s">
        <v>96</v>
      </c>
      <c r="HJ342" s="37" t="s">
        <v>2</v>
      </c>
      <c r="JH342" s="58" t="s">
        <v>2</v>
      </c>
    </row>
    <row r="343" spans="1:268" ht="16.25" customHeight="1" x14ac:dyDescent="0.2">
      <c r="A343" s="15" t="s">
        <v>934</v>
      </c>
      <c r="B343" s="1" t="s">
        <v>69</v>
      </c>
      <c r="F343" s="1" t="s">
        <v>131</v>
      </c>
      <c r="I343" s="1">
        <v>0</v>
      </c>
      <c r="AD343" s="1">
        <v>0</v>
      </c>
      <c r="AY343" s="1">
        <v>0.5</v>
      </c>
      <c r="AZ343" s="1">
        <v>0.01</v>
      </c>
      <c r="BG343" s="1">
        <v>0.28999999999999998</v>
      </c>
      <c r="BH343" s="1">
        <v>0.05</v>
      </c>
      <c r="BT343" s="1">
        <v>0</v>
      </c>
      <c r="CO343" s="1">
        <v>0</v>
      </c>
      <c r="DJ343" s="1" t="s">
        <v>96</v>
      </c>
      <c r="DK343" s="1" t="s">
        <v>96</v>
      </c>
      <c r="DL343" s="1">
        <f t="shared" si="632"/>
        <v>0.28999999999999998</v>
      </c>
      <c r="DM343" s="1">
        <f t="shared" si="633"/>
        <v>0.05</v>
      </c>
      <c r="DN343" s="1" t="s">
        <v>935</v>
      </c>
      <c r="DO343" s="1" t="s">
        <v>2</v>
      </c>
      <c r="DP343" s="38">
        <f t="shared" si="555"/>
        <v>5.0000000000000002E-5</v>
      </c>
      <c r="DQ343" s="38">
        <f t="shared" si="556"/>
        <v>0</v>
      </c>
      <c r="DR343" s="38">
        <f t="shared" si="557"/>
        <v>0</v>
      </c>
      <c r="DS343" s="38">
        <f t="shared" si="558"/>
        <v>0</v>
      </c>
      <c r="DT343" s="38">
        <f t="shared" si="559"/>
        <v>0</v>
      </c>
      <c r="DU343" s="38">
        <f t="shared" si="560"/>
        <v>0</v>
      </c>
      <c r="DV343" s="38">
        <f t="shared" si="561"/>
        <v>0</v>
      </c>
      <c r="DW343" s="38">
        <f t="shared" si="562"/>
        <v>1.4499999999999999E-3</v>
      </c>
      <c r="DX343" s="38">
        <f t="shared" si="563"/>
        <v>2.5000000000000001E-4</v>
      </c>
      <c r="DY343" s="38">
        <f t="shared" si="564"/>
        <v>0</v>
      </c>
      <c r="DZ343" s="38">
        <f t="shared" si="565"/>
        <v>0</v>
      </c>
      <c r="EA343" s="38">
        <f t="shared" si="566"/>
        <v>0</v>
      </c>
      <c r="EB343" s="38">
        <f t="shared" si="567"/>
        <v>0</v>
      </c>
      <c r="EC343" s="38">
        <f t="shared" si="568"/>
        <v>0</v>
      </c>
      <c r="ED343" s="38">
        <f t="shared" si="569"/>
        <v>0</v>
      </c>
      <c r="EE343" s="38">
        <f t="shared" si="570"/>
        <v>0</v>
      </c>
      <c r="EG343" s="38">
        <f t="shared" si="571"/>
        <v>0</v>
      </c>
      <c r="EH343" s="38">
        <f t="shared" si="572"/>
        <v>0</v>
      </c>
      <c r="EI343" s="38">
        <f t="shared" si="573"/>
        <v>0.32628080000000004</v>
      </c>
      <c r="EJ343" s="38">
        <f t="shared" si="574"/>
        <v>0</v>
      </c>
      <c r="EK343" s="38">
        <f t="shared" si="575"/>
        <v>0</v>
      </c>
      <c r="EL343" s="38">
        <f t="shared" si="576"/>
        <v>0</v>
      </c>
      <c r="EM343" s="38">
        <f t="shared" si="577"/>
        <v>0</v>
      </c>
      <c r="EN343" s="38">
        <f t="shared" si="578"/>
        <v>0</v>
      </c>
      <c r="EO343" s="38">
        <f t="shared" si="579"/>
        <v>0</v>
      </c>
      <c r="EP343" s="38">
        <f t="shared" si="580"/>
        <v>19.0153</v>
      </c>
      <c r="EQ343" s="38">
        <f t="shared" si="581"/>
        <v>18.154881</v>
      </c>
      <c r="ER343" s="38">
        <f t="shared" si="582"/>
        <v>0</v>
      </c>
      <c r="ES343" s="38">
        <f t="shared" si="583"/>
        <v>0</v>
      </c>
      <c r="ET343" s="38">
        <f t="shared" si="584"/>
        <v>0</v>
      </c>
      <c r="EU343" s="38">
        <f t="shared" si="585"/>
        <v>0</v>
      </c>
      <c r="EV343" s="38">
        <f t="shared" si="586"/>
        <v>0</v>
      </c>
      <c r="EW343" s="38">
        <f t="shared" si="587"/>
        <v>0</v>
      </c>
      <c r="EX343" s="38">
        <f t="shared" si="588"/>
        <v>0</v>
      </c>
      <c r="EZ343" s="38">
        <f t="shared" si="589"/>
        <v>0</v>
      </c>
      <c r="FA343" s="38">
        <f t="shared" si="590"/>
        <v>0</v>
      </c>
      <c r="FB343" s="1">
        <f t="shared" si="591"/>
        <v>0</v>
      </c>
      <c r="FC343" s="1">
        <f t="shared" si="592"/>
        <v>0</v>
      </c>
      <c r="FD343" s="1">
        <f t="shared" si="593"/>
        <v>0</v>
      </c>
      <c r="FE343" s="1">
        <f t="shared" si="594"/>
        <v>0</v>
      </c>
      <c r="FF343" s="1">
        <f t="shared" si="595"/>
        <v>0</v>
      </c>
      <c r="FG343" s="1">
        <f t="shared" si="596"/>
        <v>0</v>
      </c>
      <c r="FH343" s="1">
        <f t="shared" si="597"/>
        <v>0</v>
      </c>
      <c r="FI343" s="1">
        <f t="shared" si="598"/>
        <v>0</v>
      </c>
      <c r="FJ343" s="1">
        <f t="shared" si="599"/>
        <v>0</v>
      </c>
      <c r="FK343" s="1">
        <f t="shared" si="600"/>
        <v>0</v>
      </c>
      <c r="FL343" s="1">
        <f t="shared" si="601"/>
        <v>0</v>
      </c>
      <c r="FM343" s="1">
        <f t="shared" si="602"/>
        <v>0</v>
      </c>
      <c r="FN343" s="1">
        <f t="shared" si="603"/>
        <v>0</v>
      </c>
      <c r="FO343" s="1">
        <f t="shared" si="604"/>
        <v>0</v>
      </c>
      <c r="FP343" s="1">
        <f t="shared" si="605"/>
        <v>0</v>
      </c>
      <c r="FQ343" s="1">
        <f t="shared" si="606"/>
        <v>0</v>
      </c>
      <c r="FS343" s="1">
        <f t="shared" si="607"/>
        <v>0</v>
      </c>
      <c r="FT343" s="1">
        <f t="shared" si="608"/>
        <v>0</v>
      </c>
      <c r="FU343" s="38">
        <f t="shared" si="609"/>
        <v>0</v>
      </c>
      <c r="FV343" s="38">
        <f t="shared" si="610"/>
        <v>0</v>
      </c>
      <c r="FW343" s="38">
        <f t="shared" si="611"/>
        <v>0</v>
      </c>
      <c r="FX343" s="38">
        <f t="shared" si="612"/>
        <v>0</v>
      </c>
      <c r="FY343" s="38">
        <f t="shared" si="613"/>
        <v>0</v>
      </c>
      <c r="FZ343" s="38">
        <f t="shared" si="614"/>
        <v>0</v>
      </c>
      <c r="GA343" s="38">
        <f t="shared" si="615"/>
        <v>0</v>
      </c>
      <c r="GB343" s="38">
        <f t="shared" si="616"/>
        <v>0</v>
      </c>
      <c r="GC343" s="38">
        <f t="shared" si="617"/>
        <v>0</v>
      </c>
      <c r="GD343" s="38">
        <f t="shared" si="618"/>
        <v>0</v>
      </c>
      <c r="GE343" s="38">
        <f t="shared" si="619"/>
        <v>0</v>
      </c>
      <c r="GF343" s="38">
        <f t="shared" si="620"/>
        <v>0</v>
      </c>
      <c r="GG343" s="38">
        <f t="shared" si="621"/>
        <v>0</v>
      </c>
      <c r="GH343" s="38">
        <f t="shared" si="622"/>
        <v>0</v>
      </c>
      <c r="GI343" s="38">
        <f t="shared" si="623"/>
        <v>0</v>
      </c>
      <c r="GJ343" s="38">
        <f t="shared" si="624"/>
        <v>0</v>
      </c>
      <c r="GL343" s="38">
        <f t="shared" si="625"/>
        <v>0</v>
      </c>
      <c r="GM343" s="38">
        <f t="shared" si="626"/>
        <v>0</v>
      </c>
      <c r="GN343" s="1" t="s">
        <v>2</v>
      </c>
      <c r="GO343" s="1">
        <f t="shared" si="634"/>
        <v>0.5</v>
      </c>
      <c r="GP343" s="1">
        <f t="shared" si="635"/>
        <v>0.28999999999999998</v>
      </c>
      <c r="GQ343" s="41">
        <f t="shared" si="636"/>
        <v>1.45</v>
      </c>
      <c r="GR343" s="41">
        <f t="shared" si="637"/>
        <v>37.496461799999999</v>
      </c>
      <c r="GS343" s="14">
        <f t="shared" si="638"/>
        <v>74.992923599999997</v>
      </c>
      <c r="GT343" s="1">
        <f t="shared" si="627"/>
        <v>0</v>
      </c>
      <c r="GU343" s="1">
        <f t="shared" si="628"/>
        <v>0</v>
      </c>
      <c r="GV343" s="1">
        <f t="shared" si="629"/>
        <v>1.45</v>
      </c>
      <c r="GW343" s="37">
        <f t="shared" si="639"/>
        <v>0</v>
      </c>
      <c r="GX343" s="37"/>
      <c r="GY343" s="37"/>
      <c r="GZ343" s="37"/>
      <c r="HB343" s="1">
        <f t="shared" si="630"/>
        <v>0</v>
      </c>
      <c r="HC343" s="1">
        <f t="shared" si="631"/>
        <v>0</v>
      </c>
      <c r="HD343" s="37" t="s">
        <v>2</v>
      </c>
      <c r="HE343" s="1" t="s">
        <v>113</v>
      </c>
      <c r="HF343" s="1" t="s">
        <v>223</v>
      </c>
      <c r="HI343" s="1" t="s">
        <v>96</v>
      </c>
      <c r="HJ343" s="37" t="s">
        <v>2</v>
      </c>
      <c r="JH343" s="58" t="s">
        <v>2</v>
      </c>
    </row>
    <row r="344" spans="1:268" ht="16.25" customHeight="1" x14ac:dyDescent="0.2">
      <c r="A344" s="15" t="s">
        <v>1300</v>
      </c>
      <c r="B344" s="1" t="s">
        <v>69</v>
      </c>
      <c r="F344" s="1" t="s">
        <v>131</v>
      </c>
      <c r="I344" s="1">
        <v>0</v>
      </c>
      <c r="AD344" s="1">
        <v>0</v>
      </c>
      <c r="AY344" s="1">
        <f>11.9+2.27+2.28+2.35+1.5</f>
        <v>20.3</v>
      </c>
      <c r="BG344" s="13">
        <f>(0.32*11.9+0.6*2.27+0.45*2.28+0.37*2.35+0.72*1.5)/AY344</f>
        <v>0.40125615763546796</v>
      </c>
      <c r="BT344" s="1">
        <v>0</v>
      </c>
      <c r="CO344" s="1">
        <v>0</v>
      </c>
      <c r="DJ344" s="1" t="s">
        <v>96</v>
      </c>
      <c r="DL344" s="1">
        <f t="shared" si="632"/>
        <v>0.40125615763546796</v>
      </c>
      <c r="DM344" s="1">
        <f t="shared" si="633"/>
        <v>0</v>
      </c>
      <c r="DN344" s="1" t="s">
        <v>1301</v>
      </c>
      <c r="DO344" s="1" t="s">
        <v>2</v>
      </c>
      <c r="DP344" s="38">
        <f t="shared" si="555"/>
        <v>0</v>
      </c>
      <c r="DQ344" s="38">
        <f t="shared" si="556"/>
        <v>0</v>
      </c>
      <c r="DR344" s="38">
        <f t="shared" si="557"/>
        <v>0</v>
      </c>
      <c r="DS344" s="38">
        <f t="shared" si="558"/>
        <v>0</v>
      </c>
      <c r="DT344" s="38">
        <f t="shared" si="559"/>
        <v>0</v>
      </c>
      <c r="DU344" s="38">
        <f t="shared" si="560"/>
        <v>0</v>
      </c>
      <c r="DV344" s="38">
        <f t="shared" si="561"/>
        <v>0</v>
      </c>
      <c r="DW344" s="38">
        <f t="shared" si="562"/>
        <v>8.1455E-2</v>
      </c>
      <c r="DX344" s="38">
        <f t="shared" si="563"/>
        <v>0</v>
      </c>
      <c r="DY344" s="38">
        <f t="shared" si="564"/>
        <v>0</v>
      </c>
      <c r="DZ344" s="38">
        <f t="shared" si="565"/>
        <v>0</v>
      </c>
      <c r="EA344" s="38">
        <f t="shared" si="566"/>
        <v>0</v>
      </c>
      <c r="EB344" s="38">
        <f t="shared" si="567"/>
        <v>0</v>
      </c>
      <c r="EC344" s="38">
        <f t="shared" si="568"/>
        <v>0</v>
      </c>
      <c r="ED344" s="38">
        <f t="shared" si="569"/>
        <v>0</v>
      </c>
      <c r="EE344" s="38">
        <f t="shared" si="570"/>
        <v>0</v>
      </c>
      <c r="EG344" s="38">
        <f t="shared" si="571"/>
        <v>0</v>
      </c>
      <c r="EH344" s="38">
        <f t="shared" si="572"/>
        <v>0</v>
      </c>
      <c r="EI344" s="38">
        <f t="shared" si="573"/>
        <v>0</v>
      </c>
      <c r="EJ344" s="38">
        <f t="shared" si="574"/>
        <v>0</v>
      </c>
      <c r="EK344" s="38">
        <f t="shared" si="575"/>
        <v>0</v>
      </c>
      <c r="EL344" s="38">
        <f t="shared" si="576"/>
        <v>0</v>
      </c>
      <c r="EM344" s="38">
        <f t="shared" si="577"/>
        <v>0</v>
      </c>
      <c r="EN344" s="38">
        <f t="shared" si="578"/>
        <v>0</v>
      </c>
      <c r="EO344" s="38">
        <f t="shared" si="579"/>
        <v>0</v>
      </c>
      <c r="EP344" s="38">
        <f t="shared" si="580"/>
        <v>1068.2008699999999</v>
      </c>
      <c r="EQ344" s="38">
        <f t="shared" si="581"/>
        <v>0</v>
      </c>
      <c r="ER344" s="38">
        <f t="shared" si="582"/>
        <v>0</v>
      </c>
      <c r="ES344" s="38">
        <f t="shared" si="583"/>
        <v>0</v>
      </c>
      <c r="ET344" s="38">
        <f t="shared" si="584"/>
        <v>0</v>
      </c>
      <c r="EU344" s="38">
        <f t="shared" si="585"/>
        <v>0</v>
      </c>
      <c r="EV344" s="38">
        <f t="shared" si="586"/>
        <v>0</v>
      </c>
      <c r="EW344" s="38">
        <f t="shared" si="587"/>
        <v>0</v>
      </c>
      <c r="EX344" s="38">
        <f t="shared" si="588"/>
        <v>0</v>
      </c>
      <c r="EZ344" s="38">
        <f t="shared" si="589"/>
        <v>0</v>
      </c>
      <c r="FA344" s="38">
        <f t="shared" si="590"/>
        <v>0</v>
      </c>
      <c r="FB344" s="1">
        <f t="shared" si="591"/>
        <v>0</v>
      </c>
      <c r="FC344" s="1">
        <f t="shared" si="592"/>
        <v>0</v>
      </c>
      <c r="FD344" s="1">
        <f t="shared" si="593"/>
        <v>0</v>
      </c>
      <c r="FE344" s="1">
        <f t="shared" si="594"/>
        <v>0</v>
      </c>
      <c r="FF344" s="1">
        <f t="shared" si="595"/>
        <v>0</v>
      </c>
      <c r="FG344" s="1">
        <f t="shared" si="596"/>
        <v>0</v>
      </c>
      <c r="FH344" s="1">
        <f t="shared" si="597"/>
        <v>0</v>
      </c>
      <c r="FI344" s="1">
        <f t="shared" si="598"/>
        <v>0</v>
      </c>
      <c r="FJ344" s="1">
        <f t="shared" si="599"/>
        <v>0</v>
      </c>
      <c r="FK344" s="1">
        <f t="shared" si="600"/>
        <v>0</v>
      </c>
      <c r="FL344" s="1">
        <f t="shared" si="601"/>
        <v>0</v>
      </c>
      <c r="FM344" s="1">
        <f t="shared" si="602"/>
        <v>0</v>
      </c>
      <c r="FN344" s="1">
        <f t="shared" si="603"/>
        <v>0</v>
      </c>
      <c r="FO344" s="1">
        <f t="shared" si="604"/>
        <v>0</v>
      </c>
      <c r="FP344" s="1">
        <f t="shared" si="605"/>
        <v>0</v>
      </c>
      <c r="FQ344" s="1">
        <f t="shared" si="606"/>
        <v>0</v>
      </c>
      <c r="FS344" s="1">
        <f t="shared" si="607"/>
        <v>0</v>
      </c>
      <c r="FT344" s="1">
        <f t="shared" si="608"/>
        <v>0</v>
      </c>
      <c r="FU344" s="38">
        <f t="shared" si="609"/>
        <v>0</v>
      </c>
      <c r="FV344" s="38">
        <f t="shared" si="610"/>
        <v>0</v>
      </c>
      <c r="FW344" s="38">
        <f t="shared" si="611"/>
        <v>0</v>
      </c>
      <c r="FX344" s="38">
        <f t="shared" si="612"/>
        <v>0</v>
      </c>
      <c r="FY344" s="38">
        <f t="shared" si="613"/>
        <v>0</v>
      </c>
      <c r="FZ344" s="38">
        <f t="shared" si="614"/>
        <v>0</v>
      </c>
      <c r="GA344" s="38">
        <f t="shared" si="615"/>
        <v>0</v>
      </c>
      <c r="GB344" s="38">
        <f t="shared" si="616"/>
        <v>0</v>
      </c>
      <c r="GC344" s="38">
        <f t="shared" si="617"/>
        <v>0</v>
      </c>
      <c r="GD344" s="38">
        <f t="shared" si="618"/>
        <v>0</v>
      </c>
      <c r="GE344" s="38">
        <f t="shared" si="619"/>
        <v>0</v>
      </c>
      <c r="GF344" s="38">
        <f t="shared" si="620"/>
        <v>0</v>
      </c>
      <c r="GG344" s="38">
        <f t="shared" si="621"/>
        <v>0</v>
      </c>
      <c r="GH344" s="38">
        <f t="shared" si="622"/>
        <v>0</v>
      </c>
      <c r="GI344" s="38">
        <f t="shared" si="623"/>
        <v>0</v>
      </c>
      <c r="GJ344" s="38">
        <f t="shared" si="624"/>
        <v>0</v>
      </c>
      <c r="GL344" s="38">
        <f t="shared" si="625"/>
        <v>0</v>
      </c>
      <c r="GM344" s="38">
        <f t="shared" si="626"/>
        <v>0</v>
      </c>
      <c r="GN344" s="1" t="s">
        <v>2</v>
      </c>
      <c r="GO344" s="1">
        <f t="shared" si="634"/>
        <v>20.3</v>
      </c>
      <c r="GP344" s="13">
        <f t="shared" si="635"/>
        <v>0.40125615763546796</v>
      </c>
      <c r="GQ344" s="41">
        <f t="shared" si="636"/>
        <v>81.454999999999998</v>
      </c>
      <c r="GR344" s="41">
        <f t="shared" si="637"/>
        <v>1068.2008699999999</v>
      </c>
      <c r="GS344" s="14">
        <f t="shared" si="638"/>
        <v>52.620732512315264</v>
      </c>
      <c r="GT344" s="1">
        <f t="shared" si="627"/>
        <v>0</v>
      </c>
      <c r="GU344" s="1">
        <f t="shared" si="628"/>
        <v>0</v>
      </c>
      <c r="GV344" s="1">
        <f t="shared" si="629"/>
        <v>81.454999999999998</v>
      </c>
      <c r="GW344" s="37">
        <f t="shared" si="639"/>
        <v>0</v>
      </c>
      <c r="GX344" s="37"/>
      <c r="GY344" s="37"/>
      <c r="GZ344" s="37"/>
      <c r="HB344" s="1">
        <f t="shared" si="630"/>
        <v>0</v>
      </c>
      <c r="HC344" s="1">
        <f t="shared" si="631"/>
        <v>0</v>
      </c>
      <c r="HD344" s="37" t="s">
        <v>2</v>
      </c>
      <c r="HE344" s="1" t="s">
        <v>113</v>
      </c>
      <c r="HF344" s="1" t="s">
        <v>223</v>
      </c>
      <c r="HH344" s="1" t="s">
        <v>1276</v>
      </c>
      <c r="HI344" s="1" t="s">
        <v>96</v>
      </c>
      <c r="HJ344" s="37" t="s">
        <v>2</v>
      </c>
      <c r="JH344" s="58" t="s">
        <v>2</v>
      </c>
    </row>
    <row r="345" spans="1:268" ht="16.25" customHeight="1" x14ac:dyDescent="0.2">
      <c r="A345" s="15" t="s">
        <v>1006</v>
      </c>
      <c r="B345" s="1" t="s">
        <v>620</v>
      </c>
      <c r="F345" s="1" t="s">
        <v>1007</v>
      </c>
      <c r="I345" s="1">
        <v>3.55</v>
      </c>
      <c r="Q345" s="1">
        <v>0.96</v>
      </c>
      <c r="AD345" s="1">
        <v>37.627000000000002</v>
      </c>
      <c r="AL345" s="1">
        <v>0.56999999999999995</v>
      </c>
      <c r="AY345" s="1">
        <v>10.55</v>
      </c>
      <c r="BG345" s="1">
        <v>0.62</v>
      </c>
      <c r="BT345" s="1">
        <v>1.72</v>
      </c>
      <c r="CB345" s="1">
        <v>1.07</v>
      </c>
      <c r="CO345" s="1">
        <v>0.69</v>
      </c>
      <c r="CP345" s="1">
        <v>1.08</v>
      </c>
      <c r="DJ345" s="1" t="s">
        <v>96</v>
      </c>
      <c r="DL345" s="1">
        <f t="shared" si="632"/>
        <v>0.60696328803139554</v>
      </c>
      <c r="DM345" s="1">
        <f t="shared" si="633"/>
        <v>0</v>
      </c>
      <c r="DN345" s="1" t="s">
        <v>164</v>
      </c>
      <c r="DO345" s="1" t="s">
        <v>2</v>
      </c>
      <c r="DP345" s="38">
        <f t="shared" si="555"/>
        <v>0</v>
      </c>
      <c r="DQ345" s="38">
        <f t="shared" si="556"/>
        <v>0</v>
      </c>
      <c r="DR345" s="38">
        <f t="shared" si="557"/>
        <v>0</v>
      </c>
      <c r="DS345" s="38">
        <f t="shared" si="558"/>
        <v>0</v>
      </c>
      <c r="DT345" s="38">
        <f t="shared" si="559"/>
        <v>0</v>
      </c>
      <c r="DU345" s="38">
        <f t="shared" si="560"/>
        <v>0</v>
      </c>
      <c r="DV345" s="38">
        <f t="shared" si="561"/>
        <v>0</v>
      </c>
      <c r="DW345" s="38">
        <f t="shared" si="562"/>
        <v>0.31396390000000002</v>
      </c>
      <c r="DX345" s="38">
        <f t="shared" si="563"/>
        <v>0</v>
      </c>
      <c r="DY345" s="38">
        <f t="shared" si="564"/>
        <v>0</v>
      </c>
      <c r="DZ345" s="38">
        <f t="shared" si="565"/>
        <v>0</v>
      </c>
      <c r="EA345" s="38">
        <f t="shared" si="566"/>
        <v>0</v>
      </c>
      <c r="EB345" s="38">
        <f t="shared" si="567"/>
        <v>0</v>
      </c>
      <c r="EC345" s="38">
        <f t="shared" si="568"/>
        <v>0</v>
      </c>
      <c r="ED345" s="38">
        <f t="shared" si="569"/>
        <v>0</v>
      </c>
      <c r="EE345" s="38">
        <f t="shared" si="570"/>
        <v>0</v>
      </c>
      <c r="EG345" s="38">
        <f t="shared" si="571"/>
        <v>0</v>
      </c>
      <c r="EH345" s="38">
        <f t="shared" si="572"/>
        <v>0</v>
      </c>
      <c r="EI345" s="38">
        <f t="shared" si="573"/>
        <v>0</v>
      </c>
      <c r="EJ345" s="38">
        <f t="shared" si="574"/>
        <v>0</v>
      </c>
      <c r="EK345" s="38">
        <f t="shared" si="575"/>
        <v>0</v>
      </c>
      <c r="EL345" s="38">
        <f t="shared" si="576"/>
        <v>0</v>
      </c>
      <c r="EM345" s="38">
        <f t="shared" si="577"/>
        <v>0</v>
      </c>
      <c r="EN345" s="38">
        <f t="shared" si="578"/>
        <v>0</v>
      </c>
      <c r="EO345" s="38">
        <f t="shared" si="579"/>
        <v>0</v>
      </c>
      <c r="EP345" s="38">
        <f t="shared" si="580"/>
        <v>4117.3225846000005</v>
      </c>
      <c r="EQ345" s="38">
        <f t="shared" si="581"/>
        <v>0</v>
      </c>
      <c r="ER345" s="38">
        <f t="shared" si="582"/>
        <v>0</v>
      </c>
      <c r="ES345" s="38">
        <f t="shared" si="583"/>
        <v>0</v>
      </c>
      <c r="ET345" s="38">
        <f t="shared" si="584"/>
        <v>0</v>
      </c>
      <c r="EU345" s="38">
        <f t="shared" si="585"/>
        <v>0</v>
      </c>
      <c r="EV345" s="38">
        <f t="shared" si="586"/>
        <v>0</v>
      </c>
      <c r="EW345" s="38">
        <f t="shared" si="587"/>
        <v>0</v>
      </c>
      <c r="EX345" s="38">
        <f t="shared" si="588"/>
        <v>0</v>
      </c>
      <c r="EZ345" s="38">
        <f t="shared" si="589"/>
        <v>0</v>
      </c>
      <c r="FA345" s="38">
        <f t="shared" si="590"/>
        <v>0</v>
      </c>
      <c r="FB345" s="1">
        <f t="shared" si="591"/>
        <v>7.4519999999999994E-3</v>
      </c>
      <c r="FC345" s="1">
        <f t="shared" si="592"/>
        <v>0</v>
      </c>
      <c r="FD345" s="1">
        <f t="shared" si="593"/>
        <v>0</v>
      </c>
      <c r="FE345" s="1">
        <f t="shared" si="594"/>
        <v>0</v>
      </c>
      <c r="FF345" s="1">
        <f t="shared" si="595"/>
        <v>0</v>
      </c>
      <c r="FG345" s="1">
        <f t="shared" si="596"/>
        <v>0</v>
      </c>
      <c r="FH345" s="1">
        <f t="shared" si="597"/>
        <v>0</v>
      </c>
      <c r="FI345" s="1">
        <f t="shared" si="598"/>
        <v>1.8404E-2</v>
      </c>
      <c r="FJ345" s="1">
        <f t="shared" si="599"/>
        <v>0</v>
      </c>
      <c r="FK345" s="1">
        <f t="shared" si="600"/>
        <v>0</v>
      </c>
      <c r="FL345" s="1">
        <f t="shared" si="601"/>
        <v>0</v>
      </c>
      <c r="FM345" s="1">
        <f t="shared" si="602"/>
        <v>0</v>
      </c>
      <c r="FN345" s="1">
        <f t="shared" si="603"/>
        <v>0</v>
      </c>
      <c r="FO345" s="1">
        <f t="shared" si="604"/>
        <v>0</v>
      </c>
      <c r="FP345" s="1">
        <f t="shared" si="605"/>
        <v>0</v>
      </c>
      <c r="FQ345" s="1">
        <f t="shared" si="606"/>
        <v>0</v>
      </c>
      <c r="FS345" s="1">
        <f t="shared" si="607"/>
        <v>0</v>
      </c>
      <c r="FT345" s="1">
        <f t="shared" si="608"/>
        <v>0</v>
      </c>
      <c r="FU345" s="38">
        <f t="shared" si="609"/>
        <v>48.628890431999999</v>
      </c>
      <c r="FV345" s="38">
        <f t="shared" si="610"/>
        <v>0</v>
      </c>
      <c r="FW345" s="38">
        <f t="shared" si="611"/>
        <v>0</v>
      </c>
      <c r="FX345" s="38">
        <f t="shared" si="612"/>
        <v>0</v>
      </c>
      <c r="FY345" s="38">
        <f t="shared" si="613"/>
        <v>0</v>
      </c>
      <c r="FZ345" s="38">
        <f t="shared" si="614"/>
        <v>0</v>
      </c>
      <c r="GA345" s="38">
        <f t="shared" si="615"/>
        <v>0</v>
      </c>
      <c r="GB345" s="38">
        <f t="shared" si="616"/>
        <v>241.350056</v>
      </c>
      <c r="GC345" s="38">
        <f t="shared" si="617"/>
        <v>0</v>
      </c>
      <c r="GD345" s="38">
        <f t="shared" si="618"/>
        <v>0</v>
      </c>
      <c r="GE345" s="38">
        <f t="shared" si="619"/>
        <v>0</v>
      </c>
      <c r="GF345" s="38">
        <f t="shared" si="620"/>
        <v>0</v>
      </c>
      <c r="GG345" s="38">
        <f t="shared" si="621"/>
        <v>0</v>
      </c>
      <c r="GH345" s="38">
        <f t="shared" si="622"/>
        <v>0</v>
      </c>
      <c r="GI345" s="38">
        <f t="shared" si="623"/>
        <v>0</v>
      </c>
      <c r="GJ345" s="38">
        <f t="shared" si="624"/>
        <v>0</v>
      </c>
      <c r="GL345" s="38">
        <f t="shared" si="625"/>
        <v>0</v>
      </c>
      <c r="GM345" s="38">
        <f t="shared" si="626"/>
        <v>0</v>
      </c>
      <c r="GN345" s="1" t="s">
        <v>2</v>
      </c>
      <c r="GO345" s="13">
        <f t="shared" si="634"/>
        <v>51.727000000000004</v>
      </c>
      <c r="GP345" s="13">
        <f t="shared" si="635"/>
        <v>0.60696328803139554</v>
      </c>
      <c r="GQ345" s="41">
        <f t="shared" si="636"/>
        <v>313.96390000000002</v>
      </c>
      <c r="GR345" s="41">
        <f t="shared" si="637"/>
        <v>4117.3225846000005</v>
      </c>
      <c r="GS345" s="14">
        <f t="shared" si="638"/>
        <v>79.597165592437221</v>
      </c>
      <c r="GT345" s="1">
        <f t="shared" si="627"/>
        <v>34.08</v>
      </c>
      <c r="GU345" s="1">
        <f t="shared" si="628"/>
        <v>214.47389999999999</v>
      </c>
      <c r="GV345" s="1">
        <f t="shared" si="629"/>
        <v>65.41</v>
      </c>
      <c r="GW345" s="37">
        <f t="shared" si="639"/>
        <v>2.41</v>
      </c>
      <c r="GX345" s="44">
        <f>(BT345*CB345+CO345*CW345)/GW345</f>
        <v>0.76365145228215769</v>
      </c>
      <c r="GY345" s="41">
        <f>1000*GW345*GX345/100</f>
        <v>18.404</v>
      </c>
      <c r="GZ345" s="41">
        <f>SUM(FU345:GM345)</f>
        <v>289.97894643199999</v>
      </c>
      <c r="HA345" s="14">
        <f>GZ345/GW345</f>
        <v>120.32321428713692</v>
      </c>
      <c r="HB345" s="1">
        <f t="shared" si="630"/>
        <v>18.404</v>
      </c>
      <c r="HC345" s="1">
        <f t="shared" si="631"/>
        <v>0</v>
      </c>
      <c r="HD345" s="37" t="s">
        <v>2</v>
      </c>
      <c r="HE345" s="1" t="s">
        <v>113</v>
      </c>
      <c r="HF345" s="1" t="s">
        <v>223</v>
      </c>
      <c r="HI345" s="1" t="s">
        <v>96</v>
      </c>
      <c r="HJ345" s="37" t="s">
        <v>2</v>
      </c>
      <c r="JH345" s="58" t="s">
        <v>2</v>
      </c>
    </row>
    <row r="346" spans="1:268" ht="16.25" customHeight="1" x14ac:dyDescent="0.2">
      <c r="A346" s="15" t="s">
        <v>786</v>
      </c>
      <c r="B346" s="1" t="s">
        <v>69</v>
      </c>
      <c r="F346" s="1" t="s">
        <v>787</v>
      </c>
      <c r="I346" s="1">
        <v>0</v>
      </c>
      <c r="AD346" s="1">
        <v>0</v>
      </c>
      <c r="AY346" s="1">
        <v>3.19</v>
      </c>
      <c r="BG346" s="1">
        <v>0.92</v>
      </c>
      <c r="BT346" s="1">
        <v>0</v>
      </c>
      <c r="CO346" s="1">
        <v>0</v>
      </c>
      <c r="DJ346" s="1" t="s">
        <v>163</v>
      </c>
      <c r="DL346" s="1">
        <f t="shared" si="632"/>
        <v>0.92</v>
      </c>
      <c r="DM346" s="1">
        <f t="shared" si="633"/>
        <v>0</v>
      </c>
      <c r="DN346" s="1" t="s">
        <v>716</v>
      </c>
      <c r="DO346" s="1" t="s">
        <v>2</v>
      </c>
      <c r="DP346" s="38">
        <f t="shared" si="555"/>
        <v>0</v>
      </c>
      <c r="DQ346" s="38">
        <f t="shared" si="556"/>
        <v>0</v>
      </c>
      <c r="DR346" s="38">
        <f t="shared" si="557"/>
        <v>0</v>
      </c>
      <c r="DS346" s="38">
        <f t="shared" si="558"/>
        <v>0</v>
      </c>
      <c r="DT346" s="38">
        <f t="shared" si="559"/>
        <v>0</v>
      </c>
      <c r="DU346" s="38">
        <f t="shared" si="560"/>
        <v>0</v>
      </c>
      <c r="DV346" s="38">
        <f t="shared" si="561"/>
        <v>0</v>
      </c>
      <c r="DW346" s="38">
        <f t="shared" si="562"/>
        <v>2.9347999999999999E-2</v>
      </c>
      <c r="DX346" s="38">
        <f t="shared" si="563"/>
        <v>0</v>
      </c>
      <c r="DY346" s="38">
        <f t="shared" si="564"/>
        <v>0</v>
      </c>
      <c r="DZ346" s="38">
        <f t="shared" si="565"/>
        <v>0</v>
      </c>
      <c r="EA346" s="38">
        <f t="shared" si="566"/>
        <v>0</v>
      </c>
      <c r="EB346" s="38">
        <f t="shared" si="567"/>
        <v>0</v>
      </c>
      <c r="EC346" s="38">
        <f t="shared" si="568"/>
        <v>0</v>
      </c>
      <c r="ED346" s="38">
        <f t="shared" si="569"/>
        <v>0</v>
      </c>
      <c r="EE346" s="38">
        <f t="shared" si="570"/>
        <v>0</v>
      </c>
      <c r="EG346" s="38">
        <f t="shared" si="571"/>
        <v>0</v>
      </c>
      <c r="EH346" s="38">
        <f t="shared" si="572"/>
        <v>0</v>
      </c>
      <c r="EI346" s="38">
        <f t="shared" si="573"/>
        <v>0</v>
      </c>
      <c r="EJ346" s="38">
        <f t="shared" si="574"/>
        <v>0</v>
      </c>
      <c r="EK346" s="38">
        <f t="shared" si="575"/>
        <v>0</v>
      </c>
      <c r="EL346" s="38">
        <f t="shared" si="576"/>
        <v>0</v>
      </c>
      <c r="EM346" s="38">
        <f t="shared" si="577"/>
        <v>0</v>
      </c>
      <c r="EN346" s="38">
        <f t="shared" si="578"/>
        <v>0</v>
      </c>
      <c r="EO346" s="38">
        <f t="shared" si="579"/>
        <v>0</v>
      </c>
      <c r="EP346" s="38">
        <f t="shared" si="580"/>
        <v>384.86967199999998</v>
      </c>
      <c r="EQ346" s="38">
        <f t="shared" si="581"/>
        <v>0</v>
      </c>
      <c r="ER346" s="38">
        <f t="shared" si="582"/>
        <v>0</v>
      </c>
      <c r="ES346" s="38">
        <f t="shared" si="583"/>
        <v>0</v>
      </c>
      <c r="ET346" s="38">
        <f t="shared" si="584"/>
        <v>0</v>
      </c>
      <c r="EU346" s="38">
        <f t="shared" si="585"/>
        <v>0</v>
      </c>
      <c r="EV346" s="38">
        <f t="shared" si="586"/>
        <v>0</v>
      </c>
      <c r="EW346" s="38">
        <f t="shared" si="587"/>
        <v>0</v>
      </c>
      <c r="EX346" s="38">
        <f t="shared" si="588"/>
        <v>0</v>
      </c>
      <c r="EZ346" s="38">
        <f t="shared" si="589"/>
        <v>0</v>
      </c>
      <c r="FA346" s="38">
        <f t="shared" si="590"/>
        <v>0</v>
      </c>
      <c r="FB346" s="1">
        <f t="shared" si="591"/>
        <v>0</v>
      </c>
      <c r="FC346" s="1">
        <f t="shared" si="592"/>
        <v>0</v>
      </c>
      <c r="FD346" s="1">
        <f t="shared" si="593"/>
        <v>0</v>
      </c>
      <c r="FE346" s="1">
        <f t="shared" si="594"/>
        <v>0</v>
      </c>
      <c r="FF346" s="1">
        <f t="shared" si="595"/>
        <v>0</v>
      </c>
      <c r="FG346" s="1">
        <f t="shared" si="596"/>
        <v>0</v>
      </c>
      <c r="FH346" s="1">
        <f t="shared" si="597"/>
        <v>0</v>
      </c>
      <c r="FI346" s="1">
        <f t="shared" si="598"/>
        <v>0</v>
      </c>
      <c r="FJ346" s="1">
        <f t="shared" si="599"/>
        <v>0</v>
      </c>
      <c r="FK346" s="1">
        <f t="shared" si="600"/>
        <v>0</v>
      </c>
      <c r="FL346" s="1">
        <f t="shared" si="601"/>
        <v>0</v>
      </c>
      <c r="FM346" s="1">
        <f t="shared" si="602"/>
        <v>0</v>
      </c>
      <c r="FN346" s="1">
        <f t="shared" si="603"/>
        <v>0</v>
      </c>
      <c r="FO346" s="1">
        <f t="shared" si="604"/>
        <v>0</v>
      </c>
      <c r="FP346" s="1">
        <f t="shared" si="605"/>
        <v>0</v>
      </c>
      <c r="FQ346" s="1">
        <f t="shared" si="606"/>
        <v>0</v>
      </c>
      <c r="FS346" s="1">
        <f t="shared" si="607"/>
        <v>0</v>
      </c>
      <c r="FT346" s="1">
        <f t="shared" si="608"/>
        <v>0</v>
      </c>
      <c r="FU346" s="38">
        <f t="shared" si="609"/>
        <v>0</v>
      </c>
      <c r="FV346" s="38">
        <f t="shared" si="610"/>
        <v>0</v>
      </c>
      <c r="FW346" s="38">
        <f t="shared" si="611"/>
        <v>0</v>
      </c>
      <c r="FX346" s="38">
        <f t="shared" si="612"/>
        <v>0</v>
      </c>
      <c r="FY346" s="38">
        <f t="shared" si="613"/>
        <v>0</v>
      </c>
      <c r="FZ346" s="38">
        <f t="shared" si="614"/>
        <v>0</v>
      </c>
      <c r="GA346" s="38">
        <f t="shared" si="615"/>
        <v>0</v>
      </c>
      <c r="GB346" s="38">
        <f t="shared" si="616"/>
        <v>0</v>
      </c>
      <c r="GC346" s="38">
        <f t="shared" si="617"/>
        <v>0</v>
      </c>
      <c r="GD346" s="38">
        <f t="shared" si="618"/>
        <v>0</v>
      </c>
      <c r="GE346" s="38">
        <f t="shared" si="619"/>
        <v>0</v>
      </c>
      <c r="GF346" s="38">
        <f t="shared" si="620"/>
        <v>0</v>
      </c>
      <c r="GG346" s="38">
        <f t="shared" si="621"/>
        <v>0</v>
      </c>
      <c r="GH346" s="38">
        <f t="shared" si="622"/>
        <v>0</v>
      </c>
      <c r="GI346" s="38">
        <f t="shared" si="623"/>
        <v>0</v>
      </c>
      <c r="GJ346" s="38">
        <f t="shared" si="624"/>
        <v>0</v>
      </c>
      <c r="GL346" s="38">
        <f t="shared" si="625"/>
        <v>0</v>
      </c>
      <c r="GM346" s="38">
        <f t="shared" si="626"/>
        <v>0</v>
      </c>
      <c r="GN346" s="1" t="s">
        <v>2</v>
      </c>
      <c r="GO346" s="1">
        <f t="shared" si="634"/>
        <v>3.19</v>
      </c>
      <c r="GP346" s="1">
        <f t="shared" si="635"/>
        <v>0.92</v>
      </c>
      <c r="GQ346" s="41">
        <f t="shared" si="636"/>
        <v>29.348000000000003</v>
      </c>
      <c r="GR346" s="41">
        <f t="shared" si="637"/>
        <v>384.86967199999998</v>
      </c>
      <c r="GS346" s="14">
        <f t="shared" si="638"/>
        <v>120.64879999999999</v>
      </c>
      <c r="GT346" s="1">
        <f t="shared" si="627"/>
        <v>0</v>
      </c>
      <c r="GU346" s="1">
        <f t="shared" si="628"/>
        <v>0</v>
      </c>
      <c r="GV346" s="1">
        <f t="shared" si="629"/>
        <v>29.348000000000003</v>
      </c>
      <c r="GW346" s="37">
        <f t="shared" si="639"/>
        <v>0</v>
      </c>
      <c r="GX346" s="37"/>
      <c r="GY346" s="37"/>
      <c r="GZ346" s="37"/>
      <c r="HB346" s="1">
        <f t="shared" si="630"/>
        <v>0</v>
      </c>
      <c r="HC346" s="1">
        <f t="shared" si="631"/>
        <v>0</v>
      </c>
      <c r="HD346" s="37" t="s">
        <v>2</v>
      </c>
      <c r="HE346" s="1" t="s">
        <v>113</v>
      </c>
      <c r="HF346" s="1" t="s">
        <v>223</v>
      </c>
      <c r="HG346" s="1" t="s">
        <v>223</v>
      </c>
      <c r="HI346" s="1" t="s">
        <v>163</v>
      </c>
      <c r="HJ346" s="37" t="s">
        <v>2</v>
      </c>
      <c r="JH346" s="58" t="s">
        <v>2</v>
      </c>
    </row>
    <row r="347" spans="1:268" ht="16.25" customHeight="1" x14ac:dyDescent="0.2">
      <c r="A347" s="15" t="s">
        <v>715</v>
      </c>
      <c r="B347" s="1" t="s">
        <v>69</v>
      </c>
      <c r="F347" s="1" t="s">
        <v>676</v>
      </c>
      <c r="I347" s="1">
        <v>0</v>
      </c>
      <c r="AD347" s="1">
        <v>0</v>
      </c>
      <c r="AY347" s="1">
        <v>0.2</v>
      </c>
      <c r="BG347" s="1">
        <v>0.85</v>
      </c>
      <c r="BT347" s="1">
        <v>0</v>
      </c>
      <c r="CO347" s="1">
        <v>0</v>
      </c>
      <c r="DJ347" s="1" t="s">
        <v>163</v>
      </c>
      <c r="DL347" s="1">
        <f t="shared" si="632"/>
        <v>0.85</v>
      </c>
      <c r="DM347" s="1">
        <f t="shared" si="633"/>
        <v>0</v>
      </c>
      <c r="DN347" s="1" t="s">
        <v>716</v>
      </c>
      <c r="DO347" s="1" t="s">
        <v>2</v>
      </c>
      <c r="DP347" s="38">
        <f t="shared" si="555"/>
        <v>0</v>
      </c>
      <c r="DQ347" s="38">
        <f t="shared" si="556"/>
        <v>0</v>
      </c>
      <c r="DR347" s="38">
        <f t="shared" si="557"/>
        <v>0</v>
      </c>
      <c r="DS347" s="38">
        <f t="shared" si="558"/>
        <v>0</v>
      </c>
      <c r="DT347" s="38">
        <f t="shared" si="559"/>
        <v>0</v>
      </c>
      <c r="DU347" s="38">
        <f t="shared" si="560"/>
        <v>0</v>
      </c>
      <c r="DV347" s="38">
        <f t="shared" si="561"/>
        <v>0</v>
      </c>
      <c r="DW347" s="38">
        <f t="shared" si="562"/>
        <v>1.7000000000000001E-3</v>
      </c>
      <c r="DX347" s="38">
        <f t="shared" si="563"/>
        <v>0</v>
      </c>
      <c r="DY347" s="38">
        <f t="shared" si="564"/>
        <v>0</v>
      </c>
      <c r="DZ347" s="38">
        <f t="shared" si="565"/>
        <v>0</v>
      </c>
      <c r="EA347" s="38">
        <f t="shared" si="566"/>
        <v>0</v>
      </c>
      <c r="EB347" s="38">
        <f t="shared" si="567"/>
        <v>0</v>
      </c>
      <c r="EC347" s="38">
        <f t="shared" si="568"/>
        <v>0</v>
      </c>
      <c r="ED347" s="38">
        <f t="shared" si="569"/>
        <v>0</v>
      </c>
      <c r="EE347" s="38">
        <f t="shared" si="570"/>
        <v>0</v>
      </c>
      <c r="EG347" s="38">
        <f t="shared" si="571"/>
        <v>0</v>
      </c>
      <c r="EH347" s="38">
        <f t="shared" si="572"/>
        <v>0</v>
      </c>
      <c r="EI347" s="38">
        <f t="shared" si="573"/>
        <v>0</v>
      </c>
      <c r="EJ347" s="38">
        <f t="shared" si="574"/>
        <v>0</v>
      </c>
      <c r="EK347" s="38">
        <f t="shared" si="575"/>
        <v>0</v>
      </c>
      <c r="EL347" s="38">
        <f t="shared" si="576"/>
        <v>0</v>
      </c>
      <c r="EM347" s="38">
        <f t="shared" si="577"/>
        <v>0</v>
      </c>
      <c r="EN347" s="38">
        <f t="shared" si="578"/>
        <v>0</v>
      </c>
      <c r="EO347" s="38">
        <f t="shared" si="579"/>
        <v>0</v>
      </c>
      <c r="EP347" s="38">
        <f t="shared" si="580"/>
        <v>22.293800000000001</v>
      </c>
      <c r="EQ347" s="38">
        <f t="shared" si="581"/>
        <v>0</v>
      </c>
      <c r="ER347" s="38">
        <f t="shared" si="582"/>
        <v>0</v>
      </c>
      <c r="ES347" s="38">
        <f t="shared" si="583"/>
        <v>0</v>
      </c>
      <c r="ET347" s="38">
        <f t="shared" si="584"/>
        <v>0</v>
      </c>
      <c r="EU347" s="38">
        <f t="shared" si="585"/>
        <v>0</v>
      </c>
      <c r="EV347" s="38">
        <f t="shared" si="586"/>
        <v>0</v>
      </c>
      <c r="EW347" s="38">
        <f t="shared" si="587"/>
        <v>0</v>
      </c>
      <c r="EX347" s="38">
        <f t="shared" si="588"/>
        <v>0</v>
      </c>
      <c r="EZ347" s="38">
        <f t="shared" si="589"/>
        <v>0</v>
      </c>
      <c r="FA347" s="38">
        <f t="shared" si="590"/>
        <v>0</v>
      </c>
      <c r="FB347" s="1">
        <f t="shared" si="591"/>
        <v>0</v>
      </c>
      <c r="FC347" s="1">
        <f t="shared" si="592"/>
        <v>0</v>
      </c>
      <c r="FD347" s="1">
        <f t="shared" si="593"/>
        <v>0</v>
      </c>
      <c r="FE347" s="1">
        <f t="shared" si="594"/>
        <v>0</v>
      </c>
      <c r="FF347" s="1">
        <f t="shared" si="595"/>
        <v>0</v>
      </c>
      <c r="FG347" s="1">
        <f t="shared" si="596"/>
        <v>0</v>
      </c>
      <c r="FH347" s="1">
        <f t="shared" si="597"/>
        <v>0</v>
      </c>
      <c r="FI347" s="1">
        <f t="shared" si="598"/>
        <v>0</v>
      </c>
      <c r="FJ347" s="1">
        <f t="shared" si="599"/>
        <v>0</v>
      </c>
      <c r="FK347" s="1">
        <f t="shared" si="600"/>
        <v>0</v>
      </c>
      <c r="FL347" s="1">
        <f t="shared" si="601"/>
        <v>0</v>
      </c>
      <c r="FM347" s="1">
        <f t="shared" si="602"/>
        <v>0</v>
      </c>
      <c r="FN347" s="1">
        <f t="shared" si="603"/>
        <v>0</v>
      </c>
      <c r="FO347" s="1">
        <f t="shared" si="604"/>
        <v>0</v>
      </c>
      <c r="FP347" s="1">
        <f t="shared" si="605"/>
        <v>0</v>
      </c>
      <c r="FQ347" s="1">
        <f t="shared" si="606"/>
        <v>0</v>
      </c>
      <c r="FS347" s="1">
        <f t="shared" si="607"/>
        <v>0</v>
      </c>
      <c r="FT347" s="1">
        <f t="shared" si="608"/>
        <v>0</v>
      </c>
      <c r="FU347" s="38">
        <f t="shared" si="609"/>
        <v>0</v>
      </c>
      <c r="FV347" s="38">
        <f t="shared" si="610"/>
        <v>0</v>
      </c>
      <c r="FW347" s="38">
        <f t="shared" si="611"/>
        <v>0</v>
      </c>
      <c r="FX347" s="38">
        <f t="shared" si="612"/>
        <v>0</v>
      </c>
      <c r="FY347" s="38">
        <f t="shared" si="613"/>
        <v>0</v>
      </c>
      <c r="FZ347" s="38">
        <f t="shared" si="614"/>
        <v>0</v>
      </c>
      <c r="GA347" s="38">
        <f t="shared" si="615"/>
        <v>0</v>
      </c>
      <c r="GB347" s="38">
        <f t="shared" si="616"/>
        <v>0</v>
      </c>
      <c r="GC347" s="38">
        <f t="shared" si="617"/>
        <v>0</v>
      </c>
      <c r="GD347" s="38">
        <f t="shared" si="618"/>
        <v>0</v>
      </c>
      <c r="GE347" s="38">
        <f t="shared" si="619"/>
        <v>0</v>
      </c>
      <c r="GF347" s="38">
        <f t="shared" si="620"/>
        <v>0</v>
      </c>
      <c r="GG347" s="38">
        <f t="shared" si="621"/>
        <v>0</v>
      </c>
      <c r="GH347" s="38">
        <f t="shared" si="622"/>
        <v>0</v>
      </c>
      <c r="GI347" s="38">
        <f t="shared" si="623"/>
        <v>0</v>
      </c>
      <c r="GJ347" s="38">
        <f t="shared" si="624"/>
        <v>0</v>
      </c>
      <c r="GL347" s="38">
        <f t="shared" si="625"/>
        <v>0</v>
      </c>
      <c r="GM347" s="38">
        <f t="shared" si="626"/>
        <v>0</v>
      </c>
      <c r="GN347" s="1" t="s">
        <v>2</v>
      </c>
      <c r="GO347" s="1">
        <f t="shared" si="634"/>
        <v>0.2</v>
      </c>
      <c r="GP347" s="1">
        <f t="shared" si="635"/>
        <v>0.85</v>
      </c>
      <c r="GQ347" s="41">
        <f t="shared" si="636"/>
        <v>1.7</v>
      </c>
      <c r="GR347" s="41">
        <f t="shared" si="637"/>
        <v>22.293800000000001</v>
      </c>
      <c r="GS347" s="14">
        <f t="shared" si="638"/>
        <v>111.46899999999999</v>
      </c>
      <c r="GT347" s="1">
        <f t="shared" si="627"/>
        <v>0</v>
      </c>
      <c r="GU347" s="1">
        <f t="shared" si="628"/>
        <v>0</v>
      </c>
      <c r="GV347" s="1">
        <f t="shared" si="629"/>
        <v>1.7</v>
      </c>
      <c r="GW347" s="37">
        <f t="shared" si="639"/>
        <v>0</v>
      </c>
      <c r="GX347" s="37"/>
      <c r="GY347" s="37"/>
      <c r="GZ347" s="37"/>
      <c r="HB347" s="1">
        <f t="shared" si="630"/>
        <v>0</v>
      </c>
      <c r="HC347" s="1">
        <f t="shared" si="631"/>
        <v>0</v>
      </c>
      <c r="HD347" s="37" t="s">
        <v>2</v>
      </c>
      <c r="HE347" s="1" t="s">
        <v>113</v>
      </c>
      <c r="HF347" s="1" t="s">
        <v>223</v>
      </c>
      <c r="HI347" s="1" t="s">
        <v>163</v>
      </c>
      <c r="HJ347" s="37" t="s">
        <v>2</v>
      </c>
      <c r="JH347" s="58" t="s">
        <v>2</v>
      </c>
    </row>
    <row r="348" spans="1:268" ht="16.25" customHeight="1" x14ac:dyDescent="0.2">
      <c r="A348" s="15" t="s">
        <v>823</v>
      </c>
      <c r="B348" s="1" t="s">
        <v>69</v>
      </c>
      <c r="F348" s="1" t="s">
        <v>131</v>
      </c>
      <c r="I348" s="1">
        <v>0</v>
      </c>
      <c r="AD348" s="1">
        <v>0</v>
      </c>
      <c r="AY348" s="1">
        <v>0.3</v>
      </c>
      <c r="AZ348" s="1">
        <v>0.59</v>
      </c>
      <c r="BF348" s="1">
        <v>0.7</v>
      </c>
      <c r="BG348" s="1">
        <v>0.49</v>
      </c>
      <c r="BT348" s="1">
        <v>0</v>
      </c>
      <c r="CO348" s="1">
        <v>0</v>
      </c>
      <c r="DJ348" s="1" t="s">
        <v>163</v>
      </c>
      <c r="DL348" s="1">
        <f t="shared" si="632"/>
        <v>0.49</v>
      </c>
      <c r="DM348" s="1">
        <f t="shared" si="633"/>
        <v>0</v>
      </c>
      <c r="DN348" s="1" t="s">
        <v>824</v>
      </c>
      <c r="DO348" s="1" t="s">
        <v>2</v>
      </c>
      <c r="DP348" s="38">
        <f t="shared" si="555"/>
        <v>1.7699999999999999E-3</v>
      </c>
      <c r="DQ348" s="38">
        <f t="shared" si="556"/>
        <v>0</v>
      </c>
      <c r="DR348" s="38">
        <f t="shared" si="557"/>
        <v>0</v>
      </c>
      <c r="DS348" s="38">
        <f t="shared" si="558"/>
        <v>0</v>
      </c>
      <c r="DT348" s="38">
        <f t="shared" si="559"/>
        <v>0</v>
      </c>
      <c r="DU348" s="38">
        <f t="shared" si="560"/>
        <v>0</v>
      </c>
      <c r="DV348" s="38">
        <f t="shared" si="561"/>
        <v>2.0999999999999999E-3</v>
      </c>
      <c r="DW348" s="38">
        <f t="shared" si="562"/>
        <v>1.47E-3</v>
      </c>
      <c r="DX348" s="38">
        <f t="shared" si="563"/>
        <v>0</v>
      </c>
      <c r="DY348" s="38">
        <f t="shared" si="564"/>
        <v>0</v>
      </c>
      <c r="DZ348" s="38">
        <f t="shared" si="565"/>
        <v>0</v>
      </c>
      <c r="EA348" s="38">
        <f t="shared" si="566"/>
        <v>0</v>
      </c>
      <c r="EB348" s="38">
        <f t="shared" si="567"/>
        <v>0</v>
      </c>
      <c r="EC348" s="38">
        <f t="shared" si="568"/>
        <v>0</v>
      </c>
      <c r="ED348" s="38">
        <f t="shared" si="569"/>
        <v>0</v>
      </c>
      <c r="EE348" s="38">
        <f t="shared" si="570"/>
        <v>0</v>
      </c>
      <c r="EG348" s="38">
        <f t="shared" si="571"/>
        <v>0</v>
      </c>
      <c r="EH348" s="38">
        <f t="shared" si="572"/>
        <v>0</v>
      </c>
      <c r="EI348" s="38">
        <f t="shared" si="573"/>
        <v>11.550340319999998</v>
      </c>
      <c r="EJ348" s="38">
        <f t="shared" si="574"/>
        <v>0</v>
      </c>
      <c r="EK348" s="38">
        <f t="shared" si="575"/>
        <v>0</v>
      </c>
      <c r="EL348" s="38">
        <f t="shared" si="576"/>
        <v>0</v>
      </c>
      <c r="EM348" s="38">
        <f t="shared" si="577"/>
        <v>0</v>
      </c>
      <c r="EN348" s="38">
        <f t="shared" si="578"/>
        <v>0</v>
      </c>
      <c r="EO348" s="38">
        <f t="shared" si="579"/>
        <v>6.1435588199999991</v>
      </c>
      <c r="EP348" s="38">
        <f t="shared" si="580"/>
        <v>19.27758</v>
      </c>
      <c r="EQ348" s="38">
        <f t="shared" si="581"/>
        <v>0</v>
      </c>
      <c r="ER348" s="38">
        <f t="shared" si="582"/>
        <v>0</v>
      </c>
      <c r="ES348" s="38">
        <f t="shared" si="583"/>
        <v>0</v>
      </c>
      <c r="ET348" s="38">
        <f t="shared" si="584"/>
        <v>0</v>
      </c>
      <c r="EU348" s="38">
        <f t="shared" si="585"/>
        <v>0</v>
      </c>
      <c r="EV348" s="38">
        <f t="shared" si="586"/>
        <v>0</v>
      </c>
      <c r="EW348" s="38">
        <f t="shared" si="587"/>
        <v>0</v>
      </c>
      <c r="EX348" s="38">
        <f t="shared" si="588"/>
        <v>0</v>
      </c>
      <c r="EZ348" s="38">
        <f t="shared" si="589"/>
        <v>0</v>
      </c>
      <c r="FA348" s="38">
        <f t="shared" si="590"/>
        <v>0</v>
      </c>
      <c r="FB348" s="1">
        <f t="shared" si="591"/>
        <v>0</v>
      </c>
      <c r="FC348" s="1">
        <f t="shared" si="592"/>
        <v>0</v>
      </c>
      <c r="FD348" s="1">
        <f t="shared" si="593"/>
        <v>0</v>
      </c>
      <c r="FE348" s="1">
        <f t="shared" si="594"/>
        <v>0</v>
      </c>
      <c r="FF348" s="1">
        <f t="shared" si="595"/>
        <v>0</v>
      </c>
      <c r="FG348" s="1">
        <f t="shared" si="596"/>
        <v>0</v>
      </c>
      <c r="FH348" s="1">
        <f t="shared" si="597"/>
        <v>0</v>
      </c>
      <c r="FI348" s="1">
        <f t="shared" si="598"/>
        <v>0</v>
      </c>
      <c r="FJ348" s="1">
        <f t="shared" si="599"/>
        <v>0</v>
      </c>
      <c r="FK348" s="1">
        <f t="shared" si="600"/>
        <v>0</v>
      </c>
      <c r="FL348" s="1">
        <f t="shared" si="601"/>
        <v>0</v>
      </c>
      <c r="FM348" s="1">
        <f t="shared" si="602"/>
        <v>0</v>
      </c>
      <c r="FN348" s="1">
        <f t="shared" si="603"/>
        <v>0</v>
      </c>
      <c r="FO348" s="1">
        <f t="shared" si="604"/>
        <v>0</v>
      </c>
      <c r="FP348" s="1">
        <f t="shared" si="605"/>
        <v>0</v>
      </c>
      <c r="FQ348" s="1">
        <f t="shared" si="606"/>
        <v>0</v>
      </c>
      <c r="FS348" s="1">
        <f t="shared" si="607"/>
        <v>0</v>
      </c>
      <c r="FT348" s="1">
        <f t="shared" si="608"/>
        <v>0</v>
      </c>
      <c r="FU348" s="38">
        <f t="shared" si="609"/>
        <v>0</v>
      </c>
      <c r="FV348" s="38">
        <f t="shared" si="610"/>
        <v>0</v>
      </c>
      <c r="FW348" s="38">
        <f t="shared" si="611"/>
        <v>0</v>
      </c>
      <c r="FX348" s="38">
        <f t="shared" si="612"/>
        <v>0</v>
      </c>
      <c r="FY348" s="38">
        <f t="shared" si="613"/>
        <v>0</v>
      </c>
      <c r="FZ348" s="38">
        <f t="shared" si="614"/>
        <v>0</v>
      </c>
      <c r="GA348" s="38">
        <f t="shared" si="615"/>
        <v>0</v>
      </c>
      <c r="GB348" s="38">
        <f t="shared" si="616"/>
        <v>0</v>
      </c>
      <c r="GC348" s="38">
        <f t="shared" si="617"/>
        <v>0</v>
      </c>
      <c r="GD348" s="38">
        <f t="shared" si="618"/>
        <v>0</v>
      </c>
      <c r="GE348" s="38">
        <f t="shared" si="619"/>
        <v>0</v>
      </c>
      <c r="GF348" s="38">
        <f t="shared" si="620"/>
        <v>0</v>
      </c>
      <c r="GG348" s="38">
        <f t="shared" si="621"/>
        <v>0</v>
      </c>
      <c r="GH348" s="38">
        <f t="shared" si="622"/>
        <v>0</v>
      </c>
      <c r="GI348" s="38">
        <f t="shared" si="623"/>
        <v>0</v>
      </c>
      <c r="GJ348" s="38">
        <f t="shared" si="624"/>
        <v>0</v>
      </c>
      <c r="GL348" s="38">
        <f t="shared" si="625"/>
        <v>0</v>
      </c>
      <c r="GM348" s="38">
        <f t="shared" si="626"/>
        <v>0</v>
      </c>
      <c r="GN348" s="1" t="s">
        <v>2</v>
      </c>
      <c r="GO348" s="1">
        <f t="shared" si="634"/>
        <v>0.3</v>
      </c>
      <c r="GP348" s="1">
        <f t="shared" si="635"/>
        <v>0.49</v>
      </c>
      <c r="GQ348" s="41">
        <f t="shared" si="636"/>
        <v>1.47</v>
      </c>
      <c r="GR348" s="41">
        <f t="shared" si="637"/>
        <v>36.97147914</v>
      </c>
      <c r="GS348" s="14">
        <f t="shared" si="638"/>
        <v>123.2382638</v>
      </c>
      <c r="GT348" s="1">
        <f t="shared" si="627"/>
        <v>0</v>
      </c>
      <c r="GU348" s="1">
        <f t="shared" si="628"/>
        <v>0</v>
      </c>
      <c r="GV348" s="1">
        <f t="shared" si="629"/>
        <v>1.47</v>
      </c>
      <c r="GW348" s="37">
        <f t="shared" si="639"/>
        <v>0</v>
      </c>
      <c r="GX348" s="37"/>
      <c r="GY348" s="37"/>
      <c r="GZ348" s="37"/>
      <c r="HB348" s="1">
        <f t="shared" si="630"/>
        <v>0</v>
      </c>
      <c r="HC348" s="1">
        <f t="shared" si="631"/>
        <v>0</v>
      </c>
      <c r="HD348" s="37" t="s">
        <v>2</v>
      </c>
      <c r="HE348" s="1" t="s">
        <v>113</v>
      </c>
      <c r="HF348" s="1" t="s">
        <v>825</v>
      </c>
      <c r="HI348" s="1" t="s">
        <v>163</v>
      </c>
      <c r="HJ348" s="37" t="s">
        <v>2</v>
      </c>
      <c r="JH348" s="58" t="s">
        <v>2</v>
      </c>
    </row>
    <row r="349" spans="1:268" ht="16.25" customHeight="1" x14ac:dyDescent="0.2">
      <c r="A349" s="15" t="s">
        <v>826</v>
      </c>
      <c r="B349" s="1" t="s">
        <v>69</v>
      </c>
      <c r="F349" s="1" t="s">
        <v>131</v>
      </c>
      <c r="I349" s="1">
        <v>0</v>
      </c>
      <c r="AD349" s="1">
        <v>0</v>
      </c>
      <c r="AY349" s="12">
        <v>1125</v>
      </c>
      <c r="BG349" s="1">
        <v>0.4</v>
      </c>
      <c r="BT349" s="1">
        <v>0</v>
      </c>
      <c r="CO349" s="1">
        <v>0</v>
      </c>
      <c r="DJ349" s="1" t="s">
        <v>163</v>
      </c>
      <c r="DL349" s="1">
        <f t="shared" si="632"/>
        <v>0.4</v>
      </c>
      <c r="DM349" s="1">
        <f t="shared" si="633"/>
        <v>0</v>
      </c>
      <c r="DN349" s="1" t="s">
        <v>824</v>
      </c>
      <c r="DO349" s="1" t="s">
        <v>2</v>
      </c>
      <c r="DP349" s="38">
        <f t="shared" si="555"/>
        <v>0</v>
      </c>
      <c r="DQ349" s="38">
        <f t="shared" si="556"/>
        <v>0</v>
      </c>
      <c r="DR349" s="38">
        <f t="shared" si="557"/>
        <v>0</v>
      </c>
      <c r="DS349" s="38">
        <f t="shared" si="558"/>
        <v>0</v>
      </c>
      <c r="DT349" s="38">
        <f t="shared" si="559"/>
        <v>0</v>
      </c>
      <c r="DU349" s="38">
        <f t="shared" si="560"/>
        <v>0</v>
      </c>
      <c r="DV349" s="38">
        <f t="shared" si="561"/>
        <v>0</v>
      </c>
      <c r="DW349" s="38">
        <f t="shared" si="562"/>
        <v>4.5</v>
      </c>
      <c r="DX349" s="38">
        <f t="shared" si="563"/>
        <v>0</v>
      </c>
      <c r="DY349" s="38">
        <f t="shared" si="564"/>
        <v>0</v>
      </c>
      <c r="DZ349" s="38">
        <f t="shared" si="565"/>
        <v>0</v>
      </c>
      <c r="EA349" s="38">
        <f t="shared" si="566"/>
        <v>0</v>
      </c>
      <c r="EB349" s="38">
        <f t="shared" si="567"/>
        <v>0</v>
      </c>
      <c r="EC349" s="38">
        <f t="shared" si="568"/>
        <v>0</v>
      </c>
      <c r="ED349" s="38">
        <f t="shared" si="569"/>
        <v>0</v>
      </c>
      <c r="EE349" s="38">
        <f t="shared" si="570"/>
        <v>0</v>
      </c>
      <c r="EG349" s="38">
        <f t="shared" si="571"/>
        <v>0</v>
      </c>
      <c r="EH349" s="38">
        <f t="shared" si="572"/>
        <v>0</v>
      </c>
      <c r="EI349" s="38">
        <f t="shared" si="573"/>
        <v>0</v>
      </c>
      <c r="EJ349" s="38">
        <f t="shared" si="574"/>
        <v>0</v>
      </c>
      <c r="EK349" s="38">
        <f t="shared" si="575"/>
        <v>0</v>
      </c>
      <c r="EL349" s="38">
        <f t="shared" si="576"/>
        <v>0</v>
      </c>
      <c r="EM349" s="38">
        <f t="shared" si="577"/>
        <v>0</v>
      </c>
      <c r="EN349" s="38">
        <f t="shared" si="578"/>
        <v>0</v>
      </c>
      <c r="EO349" s="38">
        <f t="shared" si="579"/>
        <v>0</v>
      </c>
      <c r="EP349" s="38">
        <f t="shared" si="580"/>
        <v>59013</v>
      </c>
      <c r="EQ349" s="38">
        <f t="shared" si="581"/>
        <v>0</v>
      </c>
      <c r="ER349" s="38">
        <f t="shared" si="582"/>
        <v>0</v>
      </c>
      <c r="ES349" s="38">
        <f t="shared" si="583"/>
        <v>0</v>
      </c>
      <c r="ET349" s="38">
        <f t="shared" si="584"/>
        <v>0</v>
      </c>
      <c r="EU349" s="38">
        <f t="shared" si="585"/>
        <v>0</v>
      </c>
      <c r="EV349" s="38">
        <f t="shared" si="586"/>
        <v>0</v>
      </c>
      <c r="EW349" s="38">
        <f t="shared" si="587"/>
        <v>0</v>
      </c>
      <c r="EX349" s="38">
        <f t="shared" si="588"/>
        <v>0</v>
      </c>
      <c r="EZ349" s="38">
        <f t="shared" si="589"/>
        <v>0</v>
      </c>
      <c r="FA349" s="38">
        <f t="shared" si="590"/>
        <v>0</v>
      </c>
      <c r="FB349" s="1">
        <f t="shared" si="591"/>
        <v>0</v>
      </c>
      <c r="FC349" s="1">
        <f t="shared" si="592"/>
        <v>0</v>
      </c>
      <c r="FD349" s="1">
        <f t="shared" si="593"/>
        <v>0</v>
      </c>
      <c r="FE349" s="1">
        <f t="shared" si="594"/>
        <v>0</v>
      </c>
      <c r="FF349" s="1">
        <f t="shared" si="595"/>
        <v>0</v>
      </c>
      <c r="FG349" s="1">
        <f t="shared" si="596"/>
        <v>0</v>
      </c>
      <c r="FH349" s="1">
        <f t="shared" si="597"/>
        <v>0</v>
      </c>
      <c r="FI349" s="1">
        <f t="shared" si="598"/>
        <v>0</v>
      </c>
      <c r="FJ349" s="1">
        <f t="shared" si="599"/>
        <v>0</v>
      </c>
      <c r="FK349" s="1">
        <f t="shared" si="600"/>
        <v>0</v>
      </c>
      <c r="FL349" s="1">
        <f t="shared" si="601"/>
        <v>0</v>
      </c>
      <c r="FM349" s="1">
        <f t="shared" si="602"/>
        <v>0</v>
      </c>
      <c r="FN349" s="1">
        <f t="shared" si="603"/>
        <v>0</v>
      </c>
      <c r="FO349" s="1">
        <f t="shared" si="604"/>
        <v>0</v>
      </c>
      <c r="FP349" s="1">
        <f t="shared" si="605"/>
        <v>0</v>
      </c>
      <c r="FQ349" s="1">
        <f t="shared" si="606"/>
        <v>0</v>
      </c>
      <c r="FS349" s="1">
        <f t="shared" si="607"/>
        <v>0</v>
      </c>
      <c r="FT349" s="1">
        <f t="shared" si="608"/>
        <v>0</v>
      </c>
      <c r="FU349" s="38">
        <f t="shared" si="609"/>
        <v>0</v>
      </c>
      <c r="FV349" s="38">
        <f t="shared" si="610"/>
        <v>0</v>
      </c>
      <c r="FW349" s="38">
        <f t="shared" si="611"/>
        <v>0</v>
      </c>
      <c r="FX349" s="38">
        <f t="shared" si="612"/>
        <v>0</v>
      </c>
      <c r="FY349" s="38">
        <f t="shared" si="613"/>
        <v>0</v>
      </c>
      <c r="FZ349" s="38">
        <f t="shared" si="614"/>
        <v>0</v>
      </c>
      <c r="GA349" s="38">
        <f t="shared" si="615"/>
        <v>0</v>
      </c>
      <c r="GB349" s="38">
        <f t="shared" si="616"/>
        <v>0</v>
      </c>
      <c r="GC349" s="38">
        <f t="shared" si="617"/>
        <v>0</v>
      </c>
      <c r="GD349" s="38">
        <f t="shared" si="618"/>
        <v>0</v>
      </c>
      <c r="GE349" s="38">
        <f t="shared" si="619"/>
        <v>0</v>
      </c>
      <c r="GF349" s="38">
        <f t="shared" si="620"/>
        <v>0</v>
      </c>
      <c r="GG349" s="38">
        <f t="shared" si="621"/>
        <v>0</v>
      </c>
      <c r="GH349" s="38">
        <f t="shared" si="622"/>
        <v>0</v>
      </c>
      <c r="GI349" s="38">
        <f t="shared" si="623"/>
        <v>0</v>
      </c>
      <c r="GJ349" s="38">
        <f t="shared" si="624"/>
        <v>0</v>
      </c>
      <c r="GL349" s="38">
        <f t="shared" si="625"/>
        <v>0</v>
      </c>
      <c r="GM349" s="38">
        <f t="shared" si="626"/>
        <v>0</v>
      </c>
      <c r="GN349" s="1" t="s">
        <v>2</v>
      </c>
      <c r="GO349" s="12">
        <f t="shared" si="634"/>
        <v>1125</v>
      </c>
      <c r="GP349" s="1">
        <f t="shared" si="635"/>
        <v>0.4</v>
      </c>
      <c r="GQ349" s="43">
        <f t="shared" si="636"/>
        <v>4500</v>
      </c>
      <c r="GR349" s="41">
        <f t="shared" si="637"/>
        <v>59013</v>
      </c>
      <c r="GS349" s="14">
        <f t="shared" si="638"/>
        <v>52.456000000000003</v>
      </c>
      <c r="GT349" s="1">
        <f t="shared" si="627"/>
        <v>0</v>
      </c>
      <c r="GU349" s="1">
        <f t="shared" si="628"/>
        <v>0</v>
      </c>
      <c r="GV349" s="1">
        <f t="shared" si="629"/>
        <v>4500</v>
      </c>
      <c r="GW349" s="37">
        <f t="shared" si="639"/>
        <v>0</v>
      </c>
      <c r="GX349" s="37"/>
      <c r="GY349" s="37"/>
      <c r="GZ349" s="37"/>
      <c r="HB349" s="1">
        <f t="shared" si="630"/>
        <v>0</v>
      </c>
      <c r="HC349" s="1">
        <f t="shared" si="631"/>
        <v>0</v>
      </c>
      <c r="HD349" s="37" t="s">
        <v>2</v>
      </c>
      <c r="HE349" s="1" t="s">
        <v>113</v>
      </c>
      <c r="HF349" s="1" t="s">
        <v>825</v>
      </c>
      <c r="HI349" s="1" t="s">
        <v>163</v>
      </c>
      <c r="HJ349" s="37" t="s">
        <v>2</v>
      </c>
      <c r="JH349" s="58" t="s">
        <v>2</v>
      </c>
    </row>
    <row r="350" spans="1:268" ht="16.25" customHeight="1" x14ac:dyDescent="0.2">
      <c r="A350" s="29" t="s">
        <v>829</v>
      </c>
      <c r="B350" s="1" t="s">
        <v>69</v>
      </c>
      <c r="F350" s="1" t="s">
        <v>131</v>
      </c>
      <c r="I350" s="1">
        <v>0</v>
      </c>
      <c r="AD350" s="1">
        <v>0</v>
      </c>
      <c r="AY350" s="1">
        <v>4.2</v>
      </c>
      <c r="BG350" s="1">
        <v>0.38</v>
      </c>
      <c r="BT350" s="1">
        <v>0</v>
      </c>
      <c r="CO350" s="1">
        <v>0</v>
      </c>
      <c r="DJ350" s="1" t="s">
        <v>163</v>
      </c>
      <c r="DL350" s="1">
        <f t="shared" si="632"/>
        <v>0.38</v>
      </c>
      <c r="DM350" s="1">
        <f t="shared" si="633"/>
        <v>0</v>
      </c>
      <c r="DN350" s="1" t="s">
        <v>815</v>
      </c>
      <c r="DO350" s="1" t="s">
        <v>2</v>
      </c>
      <c r="DP350" s="38">
        <f t="shared" si="555"/>
        <v>0</v>
      </c>
      <c r="DQ350" s="38">
        <f t="shared" si="556"/>
        <v>0</v>
      </c>
      <c r="DR350" s="38">
        <f t="shared" si="557"/>
        <v>0</v>
      </c>
      <c r="DS350" s="38">
        <f t="shared" si="558"/>
        <v>0</v>
      </c>
      <c r="DT350" s="38">
        <f t="shared" si="559"/>
        <v>0</v>
      </c>
      <c r="DU350" s="38">
        <f t="shared" si="560"/>
        <v>0</v>
      </c>
      <c r="DV350" s="38">
        <f t="shared" si="561"/>
        <v>0</v>
      </c>
      <c r="DW350" s="38">
        <f t="shared" si="562"/>
        <v>1.5960000000000002E-2</v>
      </c>
      <c r="DX350" s="38">
        <f t="shared" si="563"/>
        <v>0</v>
      </c>
      <c r="DY350" s="38">
        <f t="shared" si="564"/>
        <v>0</v>
      </c>
      <c r="DZ350" s="38">
        <f t="shared" si="565"/>
        <v>0</v>
      </c>
      <c r="EA350" s="38">
        <f t="shared" si="566"/>
        <v>0</v>
      </c>
      <c r="EB350" s="38">
        <f t="shared" si="567"/>
        <v>0</v>
      </c>
      <c r="EC350" s="38">
        <f t="shared" si="568"/>
        <v>0</v>
      </c>
      <c r="ED350" s="38">
        <f t="shared" si="569"/>
        <v>0</v>
      </c>
      <c r="EE350" s="38">
        <f t="shared" si="570"/>
        <v>0</v>
      </c>
      <c r="EG350" s="38">
        <f t="shared" si="571"/>
        <v>0</v>
      </c>
      <c r="EH350" s="38">
        <f t="shared" si="572"/>
        <v>0</v>
      </c>
      <c r="EI350" s="38">
        <f t="shared" si="573"/>
        <v>0</v>
      </c>
      <c r="EJ350" s="38">
        <f t="shared" si="574"/>
        <v>0</v>
      </c>
      <c r="EK350" s="38">
        <f t="shared" si="575"/>
        <v>0</v>
      </c>
      <c r="EL350" s="38">
        <f t="shared" si="576"/>
        <v>0</v>
      </c>
      <c r="EM350" s="38">
        <f t="shared" si="577"/>
        <v>0</v>
      </c>
      <c r="EN350" s="38">
        <f t="shared" si="578"/>
        <v>0</v>
      </c>
      <c r="EO350" s="38">
        <f t="shared" si="579"/>
        <v>0</v>
      </c>
      <c r="EP350" s="38">
        <f t="shared" si="580"/>
        <v>209.29944000000003</v>
      </c>
      <c r="EQ350" s="38">
        <f t="shared" si="581"/>
        <v>0</v>
      </c>
      <c r="ER350" s="38">
        <f t="shared" si="582"/>
        <v>0</v>
      </c>
      <c r="ES350" s="38">
        <f t="shared" si="583"/>
        <v>0</v>
      </c>
      <c r="ET350" s="38">
        <f t="shared" si="584"/>
        <v>0</v>
      </c>
      <c r="EU350" s="38">
        <f t="shared" si="585"/>
        <v>0</v>
      </c>
      <c r="EV350" s="38">
        <f t="shared" si="586"/>
        <v>0</v>
      </c>
      <c r="EW350" s="38">
        <f t="shared" si="587"/>
        <v>0</v>
      </c>
      <c r="EX350" s="38">
        <f t="shared" si="588"/>
        <v>0</v>
      </c>
      <c r="EZ350" s="38">
        <f t="shared" si="589"/>
        <v>0</v>
      </c>
      <c r="FA350" s="38">
        <f t="shared" si="590"/>
        <v>0</v>
      </c>
      <c r="FB350" s="1">
        <f t="shared" si="591"/>
        <v>0</v>
      </c>
      <c r="FC350" s="1">
        <f t="shared" si="592"/>
        <v>0</v>
      </c>
      <c r="FD350" s="1">
        <f t="shared" si="593"/>
        <v>0</v>
      </c>
      <c r="FE350" s="1">
        <f t="shared" si="594"/>
        <v>0</v>
      </c>
      <c r="FF350" s="1">
        <f t="shared" si="595"/>
        <v>0</v>
      </c>
      <c r="FG350" s="1">
        <f t="shared" si="596"/>
        <v>0</v>
      </c>
      <c r="FH350" s="1">
        <f t="shared" si="597"/>
        <v>0</v>
      </c>
      <c r="FI350" s="1">
        <f t="shared" si="598"/>
        <v>0</v>
      </c>
      <c r="FJ350" s="1">
        <f t="shared" si="599"/>
        <v>0</v>
      </c>
      <c r="FK350" s="1">
        <f t="shared" si="600"/>
        <v>0</v>
      </c>
      <c r="FL350" s="1">
        <f t="shared" si="601"/>
        <v>0</v>
      </c>
      <c r="FM350" s="1">
        <f t="shared" si="602"/>
        <v>0</v>
      </c>
      <c r="FN350" s="1">
        <f t="shared" si="603"/>
        <v>0</v>
      </c>
      <c r="FO350" s="1">
        <f t="shared" si="604"/>
        <v>0</v>
      </c>
      <c r="FP350" s="1">
        <f t="shared" si="605"/>
        <v>0</v>
      </c>
      <c r="FQ350" s="1">
        <f t="shared" si="606"/>
        <v>0</v>
      </c>
      <c r="FS350" s="1">
        <f t="shared" si="607"/>
        <v>0</v>
      </c>
      <c r="FT350" s="1">
        <f t="shared" si="608"/>
        <v>0</v>
      </c>
      <c r="FU350" s="38">
        <f t="shared" si="609"/>
        <v>0</v>
      </c>
      <c r="FV350" s="38">
        <f t="shared" si="610"/>
        <v>0</v>
      </c>
      <c r="FW350" s="38">
        <f t="shared" si="611"/>
        <v>0</v>
      </c>
      <c r="FX350" s="38">
        <f t="shared" si="612"/>
        <v>0</v>
      </c>
      <c r="FY350" s="38">
        <f t="shared" si="613"/>
        <v>0</v>
      </c>
      <c r="FZ350" s="38">
        <f t="shared" si="614"/>
        <v>0</v>
      </c>
      <c r="GA350" s="38">
        <f t="shared" si="615"/>
        <v>0</v>
      </c>
      <c r="GB350" s="38">
        <f t="shared" si="616"/>
        <v>0</v>
      </c>
      <c r="GC350" s="38">
        <f t="shared" si="617"/>
        <v>0</v>
      </c>
      <c r="GD350" s="38">
        <f t="shared" si="618"/>
        <v>0</v>
      </c>
      <c r="GE350" s="38">
        <f t="shared" si="619"/>
        <v>0</v>
      </c>
      <c r="GF350" s="38">
        <f t="shared" si="620"/>
        <v>0</v>
      </c>
      <c r="GG350" s="38">
        <f t="shared" si="621"/>
        <v>0</v>
      </c>
      <c r="GH350" s="38">
        <f t="shared" si="622"/>
        <v>0</v>
      </c>
      <c r="GI350" s="38">
        <f t="shared" si="623"/>
        <v>0</v>
      </c>
      <c r="GJ350" s="38">
        <f t="shared" si="624"/>
        <v>0</v>
      </c>
      <c r="GL350" s="38">
        <f t="shared" si="625"/>
        <v>0</v>
      </c>
      <c r="GM350" s="38">
        <f t="shared" si="626"/>
        <v>0</v>
      </c>
      <c r="GN350" s="1" t="s">
        <v>2</v>
      </c>
      <c r="GO350" s="1">
        <f t="shared" si="634"/>
        <v>4.2</v>
      </c>
      <c r="GP350" s="1">
        <f t="shared" si="635"/>
        <v>0.38</v>
      </c>
      <c r="GQ350" s="41">
        <f t="shared" si="636"/>
        <v>15.96</v>
      </c>
      <c r="GR350" s="41">
        <f t="shared" si="637"/>
        <v>209.29944000000003</v>
      </c>
      <c r="GS350" s="14">
        <f t="shared" si="638"/>
        <v>49.833200000000005</v>
      </c>
      <c r="GT350" s="1">
        <f t="shared" si="627"/>
        <v>0</v>
      </c>
      <c r="GU350" s="1">
        <f t="shared" si="628"/>
        <v>0</v>
      </c>
      <c r="GV350" s="1">
        <f t="shared" si="629"/>
        <v>15.96</v>
      </c>
      <c r="GW350" s="37">
        <f t="shared" si="639"/>
        <v>0</v>
      </c>
      <c r="GX350" s="37"/>
      <c r="GY350" s="37"/>
      <c r="GZ350" s="37"/>
      <c r="HB350" s="1">
        <f t="shared" si="630"/>
        <v>0</v>
      </c>
      <c r="HC350" s="1">
        <f t="shared" si="631"/>
        <v>0</v>
      </c>
      <c r="HD350" s="37" t="s">
        <v>2</v>
      </c>
      <c r="HE350" s="1" t="s">
        <v>113</v>
      </c>
      <c r="HF350" s="1" t="s">
        <v>825</v>
      </c>
      <c r="HI350" s="1" t="s">
        <v>163</v>
      </c>
      <c r="HJ350" s="37" t="s">
        <v>2</v>
      </c>
      <c r="JH350" s="58" t="s">
        <v>2</v>
      </c>
    </row>
    <row r="351" spans="1:268" ht="16.25" customHeight="1" x14ac:dyDescent="0.2">
      <c r="A351" s="15" t="s">
        <v>845</v>
      </c>
      <c r="B351" s="1" t="s">
        <v>69</v>
      </c>
      <c r="F351" s="1" t="s">
        <v>131</v>
      </c>
      <c r="I351" s="1">
        <v>0</v>
      </c>
      <c r="AD351" s="1">
        <v>0</v>
      </c>
      <c r="AY351" s="1">
        <v>10.35</v>
      </c>
      <c r="AZ351" s="1">
        <v>0.42</v>
      </c>
      <c r="BG351" s="1">
        <v>0.74</v>
      </c>
      <c r="BT351" s="1">
        <v>0</v>
      </c>
      <c r="CO351" s="1">
        <v>0</v>
      </c>
      <c r="DJ351" s="1" t="s">
        <v>163</v>
      </c>
      <c r="DL351" s="1">
        <f t="shared" si="632"/>
        <v>0.74</v>
      </c>
      <c r="DM351" s="1">
        <f t="shared" si="633"/>
        <v>0</v>
      </c>
      <c r="DN351" s="1" t="s">
        <v>815</v>
      </c>
      <c r="DO351" s="1" t="s">
        <v>2</v>
      </c>
      <c r="DP351" s="38">
        <f t="shared" ref="DP351:DP413" si="640">(J351*$I351+AE351*$AD351+AZ351*$AY351)/100</f>
        <v>4.3469999999999995E-2</v>
      </c>
      <c r="DQ351" s="38">
        <f t="shared" ref="DQ351:DQ413" si="641">K351*$I351+AF351*$AD351+BA351*$AY351</f>
        <v>0</v>
      </c>
      <c r="DR351" s="38">
        <f t="shared" ref="DR351:DR413" si="642">L351*$I351+AG351*$AD351+BB351*$AY351</f>
        <v>0</v>
      </c>
      <c r="DS351" s="38">
        <f t="shared" ref="DS351:DS413" si="643">(M351*$I351+AH351*$AD351+BC351*$AY351)/100</f>
        <v>0</v>
      </c>
      <c r="DT351" s="38">
        <f t="shared" ref="DT351:DT413" si="644">(N351*$I351+AI351*$AD351+BD351*$AY351)/100</f>
        <v>0</v>
      </c>
      <c r="DU351" s="38">
        <f t="shared" ref="DU351:DU413" si="645">(O351*$I351+AJ351*$AD351+BE351*$AY351)/100</f>
        <v>0</v>
      </c>
      <c r="DV351" s="38">
        <f t="shared" ref="DV351:DV413" si="646">(P351*$I351+AK351*$AD351+BF351*$AY351)/100</f>
        <v>0</v>
      </c>
      <c r="DW351" s="38">
        <f t="shared" ref="DW351:DW413" si="647">(Q351*$I351+AL351*$AD351+BG351*$AY351)/100</f>
        <v>7.6589999999999991E-2</v>
      </c>
      <c r="DX351" s="38">
        <f t="shared" ref="DX351:DX413" si="648">(R351*$I351+AM351*$AD351+BH351*$AY351)/100</f>
        <v>0</v>
      </c>
      <c r="DY351" s="38">
        <f t="shared" ref="DY351:DY413" si="649">S351*$I351+AN351*$AD351+BI351*$AY351</f>
        <v>0</v>
      </c>
      <c r="DZ351" s="38">
        <f t="shared" ref="DZ351:DZ413" si="650">T351*$I351+AO351*$AD351+BJ351*$AY351</f>
        <v>0</v>
      </c>
      <c r="EA351" s="38">
        <f t="shared" ref="EA351:EA413" si="651">U351*$I351+AP351*$AD351+BK351*$AY351</f>
        <v>0</v>
      </c>
      <c r="EB351" s="38">
        <f t="shared" ref="EB351:EB413" si="652">V351*$I351+AQ351*$AD351+BL351*$AY351</f>
        <v>0</v>
      </c>
      <c r="EC351" s="38">
        <f t="shared" ref="EC351:EC413" si="653">W351*$I351+AR351*$AD351+BM351*$AY351</f>
        <v>0</v>
      </c>
      <c r="ED351" s="38">
        <f t="shared" ref="ED351:ED413" si="654">(X351*$I351+AS351*$AD351+BN351*$AY351)/100</f>
        <v>0</v>
      </c>
      <c r="EE351" s="38">
        <f t="shared" ref="EE351:EE413" si="655">(Y351*$I351+AT351*$AD351+BO351*$AY351)/100</f>
        <v>0</v>
      </c>
      <c r="EG351" s="38">
        <f t="shared" ref="EG351:EG413" si="656">AA351*$I351+AV351*$AD351+BQ351*$AY351</f>
        <v>0</v>
      </c>
      <c r="EH351" s="38">
        <f t="shared" ref="EH351:EH413" si="657">(AB351*$I351+AW351*$AD351+BR351*$AY351)/100</f>
        <v>0</v>
      </c>
      <c r="EI351" s="38">
        <f t="shared" ref="EI351:EI413" si="658">EI$1*DP351</f>
        <v>283.66852751999994</v>
      </c>
      <c r="EJ351" s="38">
        <f t="shared" ref="EJ351:EJ413" si="659">EJ$1*DQ351/1000000</f>
        <v>0</v>
      </c>
      <c r="EK351" s="38">
        <f t="shared" ref="EK351:EK413" si="660">EK$1*DR351/1000000</f>
        <v>0</v>
      </c>
      <c r="EL351" s="38">
        <f t="shared" ref="EL351:EL413" si="661">EL$1*DS351</f>
        <v>0</v>
      </c>
      <c r="EM351" s="38">
        <f t="shared" ref="EM351:EM413" si="662">EM$1*DT351</f>
        <v>0</v>
      </c>
      <c r="EN351" s="38">
        <f t="shared" ref="EN351:EN413" si="663">EN$1*DU351</f>
        <v>0</v>
      </c>
      <c r="EO351" s="38">
        <f t="shared" ref="EO351:EO413" si="664">EO$1*DV351</f>
        <v>0</v>
      </c>
      <c r="EP351" s="38">
        <f t="shared" ref="EP351:EP413" si="665">EP$1*DW351</f>
        <v>1004.4012599999999</v>
      </c>
      <c r="EQ351" s="38">
        <f t="shared" ref="EQ351:EQ413" si="666">EQ$1*DX351</f>
        <v>0</v>
      </c>
      <c r="ER351" s="38">
        <f t="shared" ref="ER351:ER413" si="667">ER$1*DY351/1000000</f>
        <v>0</v>
      </c>
      <c r="ES351" s="38">
        <f t="shared" ref="ES351:ES413" si="668">ES$1*DZ351/1000000</f>
        <v>0</v>
      </c>
      <c r="ET351" s="38">
        <f t="shared" ref="ET351:ET413" si="669">ET$1*EA351/1000000</f>
        <v>0</v>
      </c>
      <c r="EU351" s="38">
        <f t="shared" ref="EU351:EU413" si="670">EU$1*EB351/1000000</f>
        <v>0</v>
      </c>
      <c r="EV351" s="38">
        <f t="shared" ref="EV351:EV413" si="671">EV$1*EC351/1000000</f>
        <v>0</v>
      </c>
      <c r="EW351" s="38">
        <f t="shared" ref="EW351:EW413" si="672">EW$1*ED351</f>
        <v>0</v>
      </c>
      <c r="EX351" s="38">
        <f t="shared" ref="EX351:EX413" si="673">EX$1*EE351</f>
        <v>0</v>
      </c>
      <c r="EZ351" s="38">
        <f t="shared" ref="EZ351:EZ413" si="674">EZ$1*EG351/1000000</f>
        <v>0</v>
      </c>
      <c r="FA351" s="38">
        <f t="shared" ref="FA351:FA413" si="675">FA$1*EH351</f>
        <v>0</v>
      </c>
      <c r="FB351" s="1">
        <f t="shared" ref="FB351:FB413" si="676">(BU351*$BT351+CP351*$CO351)/100</f>
        <v>0</v>
      </c>
      <c r="FC351" s="1">
        <f t="shared" ref="FC351:FC413" si="677">BV351*$BT351+CQ351*$CO351</f>
        <v>0</v>
      </c>
      <c r="FD351" s="1">
        <f t="shared" ref="FD351:FD413" si="678">BW351*$BT351+CR351*$CO351</f>
        <v>0</v>
      </c>
      <c r="FE351" s="1">
        <f t="shared" ref="FE351:FE413" si="679">(BX351*$BT351+CS351*$CO351)/100</f>
        <v>0</v>
      </c>
      <c r="FF351" s="1">
        <f t="shared" ref="FF351:FF413" si="680">(BY351*$BT351+CT351*$CO351)/100</f>
        <v>0</v>
      </c>
      <c r="FG351" s="1">
        <f t="shared" ref="FG351:FG413" si="681">(BZ351*$BT351+CU351*$CO351)/100</f>
        <v>0</v>
      </c>
      <c r="FH351" s="1">
        <f t="shared" ref="FH351:FH413" si="682">(CA351*$BT351+CV351*$CO351)/100</f>
        <v>0</v>
      </c>
      <c r="FI351" s="1">
        <f t="shared" ref="FI351:FI413" si="683">(CB351*$BT351+CW351*$CO351)/100</f>
        <v>0</v>
      </c>
      <c r="FJ351" s="1">
        <f t="shared" ref="FJ351:FJ413" si="684">(CC351*$BT351+CX351*$CO351)/100</f>
        <v>0</v>
      </c>
      <c r="FK351" s="1">
        <f t="shared" ref="FK351:FK413" si="685">CD351*$BT351+CY351*$CO351</f>
        <v>0</v>
      </c>
      <c r="FL351" s="1">
        <f t="shared" ref="FL351:FL413" si="686">CE351*$BT351+CZ351*$CO351</f>
        <v>0</v>
      </c>
      <c r="FM351" s="1">
        <f t="shared" ref="FM351:FM413" si="687">CF351*$BT351+DA351*$CO351</f>
        <v>0</v>
      </c>
      <c r="FN351" s="1">
        <f t="shared" ref="FN351:FN413" si="688">CG351*$BT351+DB351*$CO351</f>
        <v>0</v>
      </c>
      <c r="FO351" s="1">
        <f t="shared" ref="FO351:FO413" si="689">CH351*$BT351+DC351*$CO351</f>
        <v>0</v>
      </c>
      <c r="FP351" s="1">
        <f t="shared" ref="FP351:FP413" si="690">(CI351*$BT351+DD351*$CO351)/100</f>
        <v>0</v>
      </c>
      <c r="FQ351" s="1">
        <f t="shared" ref="FQ351:FQ413" si="691">(CJ351*$BT351+DE351*$CO351)/100</f>
        <v>0</v>
      </c>
      <c r="FS351" s="1">
        <f t="shared" ref="FS351:FS413" si="692">CL351*$BT351+DG351*$CO351</f>
        <v>0</v>
      </c>
      <c r="FT351" s="1">
        <f t="shared" ref="FT351:FT413" si="693">(CM351*$BT351+DH351*$CO351)/100</f>
        <v>0</v>
      </c>
      <c r="FU351" s="38">
        <f t="shared" ref="FU351:FU413" si="694">FU$1*FB351</f>
        <v>0</v>
      </c>
      <c r="FV351" s="38">
        <f t="shared" ref="FV351:FV413" si="695">FV$1*FC351/1000000</f>
        <v>0</v>
      </c>
      <c r="FW351" s="38">
        <f t="shared" ref="FW351:FW413" si="696">FW$1*FD351/1000000</f>
        <v>0</v>
      </c>
      <c r="FX351" s="38">
        <f t="shared" ref="FX351:FX413" si="697">FX$1*FE351</f>
        <v>0</v>
      </c>
      <c r="FY351" s="38">
        <f t="shared" ref="FY351:FY413" si="698">FY$1*FF351</f>
        <v>0</v>
      </c>
      <c r="FZ351" s="38">
        <f t="shared" ref="FZ351:FZ413" si="699">FZ$1*FG351</f>
        <v>0</v>
      </c>
      <c r="GA351" s="38">
        <f t="shared" ref="GA351:GA413" si="700">GA$1*FH351</f>
        <v>0</v>
      </c>
      <c r="GB351" s="38">
        <f t="shared" ref="GB351:GB413" si="701">GB$1*FI351</f>
        <v>0</v>
      </c>
      <c r="GC351" s="38">
        <f t="shared" ref="GC351:GC413" si="702">GC$1*FJ351</f>
        <v>0</v>
      </c>
      <c r="GD351" s="38">
        <f t="shared" ref="GD351:GD413" si="703">GD$1*FK351/1000000</f>
        <v>0</v>
      </c>
      <c r="GE351" s="38">
        <f t="shared" ref="GE351:GE413" si="704">GE$1*FL351/1000000</f>
        <v>0</v>
      </c>
      <c r="GF351" s="38">
        <f t="shared" ref="GF351:GF413" si="705">GF$1*FM351/1000000</f>
        <v>0</v>
      </c>
      <c r="GG351" s="38">
        <f t="shared" ref="GG351:GG413" si="706">GG$1*FN351/1000000</f>
        <v>0</v>
      </c>
      <c r="GH351" s="38">
        <f t="shared" ref="GH351:GH413" si="707">GH$1*FO351/1000000</f>
        <v>0</v>
      </c>
      <c r="GI351" s="38">
        <f t="shared" ref="GI351:GI413" si="708">GI$1*FP351</f>
        <v>0</v>
      </c>
      <c r="GJ351" s="38">
        <f t="shared" ref="GJ351:GJ413" si="709">GJ$1*FQ351</f>
        <v>0</v>
      </c>
      <c r="GL351" s="38">
        <f t="shared" ref="GL351:GL413" si="710">GL$1*FS351/1000000</f>
        <v>0</v>
      </c>
      <c r="GM351" s="38">
        <f t="shared" ref="GM351:GM413" si="711">GM$1*FT351</f>
        <v>0</v>
      </c>
      <c r="GN351" s="1" t="s">
        <v>2</v>
      </c>
      <c r="GO351" s="1">
        <f t="shared" si="634"/>
        <v>10.35</v>
      </c>
      <c r="GP351" s="1">
        <f t="shared" si="635"/>
        <v>0.74</v>
      </c>
      <c r="GQ351" s="41">
        <f t="shared" si="636"/>
        <v>76.59</v>
      </c>
      <c r="GR351" s="41">
        <f t="shared" si="637"/>
        <v>1288.0697875199999</v>
      </c>
      <c r="GS351" s="14">
        <f t="shared" si="638"/>
        <v>124.45118719999999</v>
      </c>
      <c r="GT351" s="1">
        <f t="shared" ref="GT351:GT413" si="712">1000*(Q351*$I351)/100</f>
        <v>0</v>
      </c>
      <c r="GU351" s="1">
        <f t="shared" ref="GU351:GU413" si="713">1000*(AL351*$AD351)/100</f>
        <v>0</v>
      </c>
      <c r="GV351" s="1">
        <f t="shared" ref="GV351:GV413" si="714">1000*(BG351*$AY351)/100</f>
        <v>76.59</v>
      </c>
      <c r="GW351" s="37">
        <f t="shared" si="639"/>
        <v>0</v>
      </c>
      <c r="GX351" s="37"/>
      <c r="GY351" s="37"/>
      <c r="GZ351" s="37"/>
      <c r="HB351" s="1">
        <f t="shared" ref="HB351:HB413" si="715">1000*(CB351*$BT351)/100</f>
        <v>0</v>
      </c>
      <c r="HC351" s="1">
        <f t="shared" ref="HC351:HC413" si="716">1000*(CW351*$CO351)/100</f>
        <v>0</v>
      </c>
      <c r="HD351" s="37" t="s">
        <v>2</v>
      </c>
      <c r="HE351" s="1" t="s">
        <v>113</v>
      </c>
      <c r="HF351" s="1" t="s">
        <v>825</v>
      </c>
      <c r="HI351" s="1" t="s">
        <v>163</v>
      </c>
      <c r="HJ351" s="37" t="s">
        <v>2</v>
      </c>
      <c r="JH351" s="58" t="s">
        <v>2</v>
      </c>
    </row>
    <row r="352" spans="1:268" ht="16.25" customHeight="1" x14ac:dyDescent="0.2">
      <c r="A352" s="15" t="s">
        <v>846</v>
      </c>
      <c r="B352" s="1" t="s">
        <v>69</v>
      </c>
      <c r="F352" s="1" t="s">
        <v>131</v>
      </c>
      <c r="I352" s="1">
        <v>0</v>
      </c>
      <c r="AD352" s="1">
        <v>0</v>
      </c>
      <c r="AY352" s="1">
        <v>2.2000000000000002</v>
      </c>
      <c r="BG352" s="1">
        <v>0.59</v>
      </c>
      <c r="BT352" s="1">
        <v>0</v>
      </c>
      <c r="CO352" s="1">
        <v>0</v>
      </c>
      <c r="DJ352" s="1" t="s">
        <v>163</v>
      </c>
      <c r="DL352" s="1">
        <f t="shared" si="632"/>
        <v>0.59</v>
      </c>
      <c r="DM352" s="1">
        <f t="shared" si="633"/>
        <v>0</v>
      </c>
      <c r="DN352" s="1" t="s">
        <v>815</v>
      </c>
      <c r="DO352" s="1" t="s">
        <v>2</v>
      </c>
      <c r="DP352" s="38">
        <f t="shared" si="640"/>
        <v>0</v>
      </c>
      <c r="DQ352" s="38">
        <f t="shared" si="641"/>
        <v>0</v>
      </c>
      <c r="DR352" s="38">
        <f t="shared" si="642"/>
        <v>0</v>
      </c>
      <c r="DS352" s="38">
        <f t="shared" si="643"/>
        <v>0</v>
      </c>
      <c r="DT352" s="38">
        <f t="shared" si="644"/>
        <v>0</v>
      </c>
      <c r="DU352" s="38">
        <f t="shared" si="645"/>
        <v>0</v>
      </c>
      <c r="DV352" s="38">
        <f t="shared" si="646"/>
        <v>0</v>
      </c>
      <c r="DW352" s="38">
        <f t="shared" si="647"/>
        <v>1.298E-2</v>
      </c>
      <c r="DX352" s="38">
        <f t="shared" si="648"/>
        <v>0</v>
      </c>
      <c r="DY352" s="38">
        <f t="shared" si="649"/>
        <v>0</v>
      </c>
      <c r="DZ352" s="38">
        <f t="shared" si="650"/>
        <v>0</v>
      </c>
      <c r="EA352" s="38">
        <f t="shared" si="651"/>
        <v>0</v>
      </c>
      <c r="EB352" s="38">
        <f t="shared" si="652"/>
        <v>0</v>
      </c>
      <c r="EC352" s="38">
        <f t="shared" si="653"/>
        <v>0</v>
      </c>
      <c r="ED352" s="38">
        <f t="shared" si="654"/>
        <v>0</v>
      </c>
      <c r="EE352" s="38">
        <f t="shared" si="655"/>
        <v>0</v>
      </c>
      <c r="EG352" s="38">
        <f t="shared" si="656"/>
        <v>0</v>
      </c>
      <c r="EH352" s="38">
        <f t="shared" si="657"/>
        <v>0</v>
      </c>
      <c r="EI352" s="38">
        <f t="shared" si="658"/>
        <v>0</v>
      </c>
      <c r="EJ352" s="38">
        <f t="shared" si="659"/>
        <v>0</v>
      </c>
      <c r="EK352" s="38">
        <f t="shared" si="660"/>
        <v>0</v>
      </c>
      <c r="EL352" s="38">
        <f t="shared" si="661"/>
        <v>0</v>
      </c>
      <c r="EM352" s="38">
        <f t="shared" si="662"/>
        <v>0</v>
      </c>
      <c r="EN352" s="38">
        <f t="shared" si="663"/>
        <v>0</v>
      </c>
      <c r="EO352" s="38">
        <f t="shared" si="664"/>
        <v>0</v>
      </c>
      <c r="EP352" s="38">
        <f t="shared" si="665"/>
        <v>170.21972</v>
      </c>
      <c r="EQ352" s="38">
        <f t="shared" si="666"/>
        <v>0</v>
      </c>
      <c r="ER352" s="38">
        <f t="shared" si="667"/>
        <v>0</v>
      </c>
      <c r="ES352" s="38">
        <f t="shared" si="668"/>
        <v>0</v>
      </c>
      <c r="ET352" s="38">
        <f t="shared" si="669"/>
        <v>0</v>
      </c>
      <c r="EU352" s="38">
        <f t="shared" si="670"/>
        <v>0</v>
      </c>
      <c r="EV352" s="38">
        <f t="shared" si="671"/>
        <v>0</v>
      </c>
      <c r="EW352" s="38">
        <f t="shared" si="672"/>
        <v>0</v>
      </c>
      <c r="EX352" s="38">
        <f t="shared" si="673"/>
        <v>0</v>
      </c>
      <c r="EZ352" s="38">
        <f t="shared" si="674"/>
        <v>0</v>
      </c>
      <c r="FA352" s="38">
        <f t="shared" si="675"/>
        <v>0</v>
      </c>
      <c r="FB352" s="1">
        <f t="shared" si="676"/>
        <v>0</v>
      </c>
      <c r="FC352" s="1">
        <f t="shared" si="677"/>
        <v>0</v>
      </c>
      <c r="FD352" s="1">
        <f t="shared" si="678"/>
        <v>0</v>
      </c>
      <c r="FE352" s="1">
        <f t="shared" si="679"/>
        <v>0</v>
      </c>
      <c r="FF352" s="1">
        <f t="shared" si="680"/>
        <v>0</v>
      </c>
      <c r="FG352" s="1">
        <f t="shared" si="681"/>
        <v>0</v>
      </c>
      <c r="FH352" s="1">
        <f t="shared" si="682"/>
        <v>0</v>
      </c>
      <c r="FI352" s="1">
        <f t="shared" si="683"/>
        <v>0</v>
      </c>
      <c r="FJ352" s="1">
        <f t="shared" si="684"/>
        <v>0</v>
      </c>
      <c r="FK352" s="1">
        <f t="shared" si="685"/>
        <v>0</v>
      </c>
      <c r="FL352" s="1">
        <f t="shared" si="686"/>
        <v>0</v>
      </c>
      <c r="FM352" s="1">
        <f t="shared" si="687"/>
        <v>0</v>
      </c>
      <c r="FN352" s="1">
        <f t="shared" si="688"/>
        <v>0</v>
      </c>
      <c r="FO352" s="1">
        <f t="shared" si="689"/>
        <v>0</v>
      </c>
      <c r="FP352" s="1">
        <f t="shared" si="690"/>
        <v>0</v>
      </c>
      <c r="FQ352" s="1">
        <f t="shared" si="691"/>
        <v>0</v>
      </c>
      <c r="FS352" s="1">
        <f t="shared" si="692"/>
        <v>0</v>
      </c>
      <c r="FT352" s="1">
        <f t="shared" si="693"/>
        <v>0</v>
      </c>
      <c r="FU352" s="38">
        <f t="shared" si="694"/>
        <v>0</v>
      </c>
      <c r="FV352" s="38">
        <f t="shared" si="695"/>
        <v>0</v>
      </c>
      <c r="FW352" s="38">
        <f t="shared" si="696"/>
        <v>0</v>
      </c>
      <c r="FX352" s="38">
        <f t="shared" si="697"/>
        <v>0</v>
      </c>
      <c r="FY352" s="38">
        <f t="shared" si="698"/>
        <v>0</v>
      </c>
      <c r="FZ352" s="38">
        <f t="shared" si="699"/>
        <v>0</v>
      </c>
      <c r="GA352" s="38">
        <f t="shared" si="700"/>
        <v>0</v>
      </c>
      <c r="GB352" s="38">
        <f t="shared" si="701"/>
        <v>0</v>
      </c>
      <c r="GC352" s="38">
        <f t="shared" si="702"/>
        <v>0</v>
      </c>
      <c r="GD352" s="38">
        <f t="shared" si="703"/>
        <v>0</v>
      </c>
      <c r="GE352" s="38">
        <f t="shared" si="704"/>
        <v>0</v>
      </c>
      <c r="GF352" s="38">
        <f t="shared" si="705"/>
        <v>0</v>
      </c>
      <c r="GG352" s="38">
        <f t="shared" si="706"/>
        <v>0</v>
      </c>
      <c r="GH352" s="38">
        <f t="shared" si="707"/>
        <v>0</v>
      </c>
      <c r="GI352" s="38">
        <f t="shared" si="708"/>
        <v>0</v>
      </c>
      <c r="GJ352" s="38">
        <f t="shared" si="709"/>
        <v>0</v>
      </c>
      <c r="GL352" s="38">
        <f t="shared" si="710"/>
        <v>0</v>
      </c>
      <c r="GM352" s="38">
        <f t="shared" si="711"/>
        <v>0</v>
      </c>
      <c r="GN352" s="1" t="s">
        <v>2</v>
      </c>
      <c r="GO352" s="1">
        <f t="shared" si="634"/>
        <v>2.2000000000000002</v>
      </c>
      <c r="GP352" s="1">
        <f t="shared" si="635"/>
        <v>0.59</v>
      </c>
      <c r="GQ352" s="41">
        <f t="shared" si="636"/>
        <v>12.98</v>
      </c>
      <c r="GR352" s="41">
        <f t="shared" si="637"/>
        <v>170.21972</v>
      </c>
      <c r="GS352" s="14">
        <f t="shared" si="638"/>
        <v>77.372599999999991</v>
      </c>
      <c r="GT352" s="1">
        <f t="shared" si="712"/>
        <v>0</v>
      </c>
      <c r="GU352" s="1">
        <f t="shared" si="713"/>
        <v>0</v>
      </c>
      <c r="GV352" s="1">
        <f t="shared" si="714"/>
        <v>12.98</v>
      </c>
      <c r="GW352" s="37">
        <f t="shared" si="639"/>
        <v>0</v>
      </c>
      <c r="GX352" s="37"/>
      <c r="GY352" s="37"/>
      <c r="GZ352" s="37"/>
      <c r="HB352" s="1">
        <f t="shared" si="715"/>
        <v>0</v>
      </c>
      <c r="HC352" s="1">
        <f t="shared" si="716"/>
        <v>0</v>
      </c>
      <c r="HD352" s="37" t="s">
        <v>2</v>
      </c>
      <c r="HE352" s="1" t="s">
        <v>113</v>
      </c>
      <c r="HF352" s="1" t="s">
        <v>825</v>
      </c>
      <c r="HI352" s="1" t="s">
        <v>163</v>
      </c>
      <c r="HJ352" s="37" t="s">
        <v>2</v>
      </c>
      <c r="JH352" s="58" t="s">
        <v>2</v>
      </c>
    </row>
    <row r="353" spans="1:268" ht="16.25" customHeight="1" x14ac:dyDescent="0.2">
      <c r="A353" s="29" t="s">
        <v>864</v>
      </c>
      <c r="B353" s="1" t="s">
        <v>69</v>
      </c>
      <c r="F353" s="1" t="s">
        <v>131</v>
      </c>
      <c r="I353" s="1">
        <v>0</v>
      </c>
      <c r="AD353" s="1">
        <v>0</v>
      </c>
      <c r="AY353" s="1">
        <v>5.26</v>
      </c>
      <c r="BG353" s="1">
        <v>0.38</v>
      </c>
      <c r="BT353" s="1">
        <v>0</v>
      </c>
      <c r="CO353" s="1">
        <v>0</v>
      </c>
      <c r="DJ353" s="1" t="s">
        <v>163</v>
      </c>
      <c r="DL353" s="1">
        <f t="shared" si="632"/>
        <v>0.38</v>
      </c>
      <c r="DM353" s="1">
        <f t="shared" si="633"/>
        <v>0</v>
      </c>
      <c r="DN353" s="1" t="s">
        <v>815</v>
      </c>
      <c r="DO353" s="1" t="s">
        <v>2</v>
      </c>
      <c r="DP353" s="38">
        <f t="shared" si="640"/>
        <v>0</v>
      </c>
      <c r="DQ353" s="38">
        <f t="shared" si="641"/>
        <v>0</v>
      </c>
      <c r="DR353" s="38">
        <f t="shared" si="642"/>
        <v>0</v>
      </c>
      <c r="DS353" s="38">
        <f t="shared" si="643"/>
        <v>0</v>
      </c>
      <c r="DT353" s="38">
        <f t="shared" si="644"/>
        <v>0</v>
      </c>
      <c r="DU353" s="38">
        <f t="shared" si="645"/>
        <v>0</v>
      </c>
      <c r="DV353" s="38">
        <f t="shared" si="646"/>
        <v>0</v>
      </c>
      <c r="DW353" s="38">
        <f t="shared" si="647"/>
        <v>1.9987999999999999E-2</v>
      </c>
      <c r="DX353" s="38">
        <f t="shared" si="648"/>
        <v>0</v>
      </c>
      <c r="DY353" s="38">
        <f t="shared" si="649"/>
        <v>0</v>
      </c>
      <c r="DZ353" s="38">
        <f t="shared" si="650"/>
        <v>0</v>
      </c>
      <c r="EA353" s="38">
        <f t="shared" si="651"/>
        <v>0</v>
      </c>
      <c r="EB353" s="38">
        <f t="shared" si="652"/>
        <v>0</v>
      </c>
      <c r="EC353" s="38">
        <f t="shared" si="653"/>
        <v>0</v>
      </c>
      <c r="ED353" s="38">
        <f t="shared" si="654"/>
        <v>0</v>
      </c>
      <c r="EE353" s="38">
        <f t="shared" si="655"/>
        <v>0</v>
      </c>
      <c r="EG353" s="38">
        <f t="shared" si="656"/>
        <v>0</v>
      </c>
      <c r="EH353" s="38">
        <f t="shared" si="657"/>
        <v>0</v>
      </c>
      <c r="EI353" s="38">
        <f t="shared" si="658"/>
        <v>0</v>
      </c>
      <c r="EJ353" s="38">
        <f t="shared" si="659"/>
        <v>0</v>
      </c>
      <c r="EK353" s="38">
        <f t="shared" si="660"/>
        <v>0</v>
      </c>
      <c r="EL353" s="38">
        <f t="shared" si="661"/>
        <v>0</v>
      </c>
      <c r="EM353" s="38">
        <f t="shared" si="662"/>
        <v>0</v>
      </c>
      <c r="EN353" s="38">
        <f t="shared" si="663"/>
        <v>0</v>
      </c>
      <c r="EO353" s="38">
        <f t="shared" si="664"/>
        <v>0</v>
      </c>
      <c r="EP353" s="38">
        <f t="shared" si="665"/>
        <v>262.12263200000001</v>
      </c>
      <c r="EQ353" s="38">
        <f t="shared" si="666"/>
        <v>0</v>
      </c>
      <c r="ER353" s="38">
        <f t="shared" si="667"/>
        <v>0</v>
      </c>
      <c r="ES353" s="38">
        <f t="shared" si="668"/>
        <v>0</v>
      </c>
      <c r="ET353" s="38">
        <f t="shared" si="669"/>
        <v>0</v>
      </c>
      <c r="EU353" s="38">
        <f t="shared" si="670"/>
        <v>0</v>
      </c>
      <c r="EV353" s="38">
        <f t="shared" si="671"/>
        <v>0</v>
      </c>
      <c r="EW353" s="38">
        <f t="shared" si="672"/>
        <v>0</v>
      </c>
      <c r="EX353" s="38">
        <f t="shared" si="673"/>
        <v>0</v>
      </c>
      <c r="EZ353" s="38">
        <f t="shared" si="674"/>
        <v>0</v>
      </c>
      <c r="FA353" s="38">
        <f t="shared" si="675"/>
        <v>0</v>
      </c>
      <c r="FB353" s="1">
        <f t="shared" si="676"/>
        <v>0</v>
      </c>
      <c r="FC353" s="1">
        <f t="shared" si="677"/>
        <v>0</v>
      </c>
      <c r="FD353" s="1">
        <f t="shared" si="678"/>
        <v>0</v>
      </c>
      <c r="FE353" s="1">
        <f t="shared" si="679"/>
        <v>0</v>
      </c>
      <c r="FF353" s="1">
        <f t="shared" si="680"/>
        <v>0</v>
      </c>
      <c r="FG353" s="1">
        <f t="shared" si="681"/>
        <v>0</v>
      </c>
      <c r="FH353" s="1">
        <f t="shared" si="682"/>
        <v>0</v>
      </c>
      <c r="FI353" s="1">
        <f t="shared" si="683"/>
        <v>0</v>
      </c>
      <c r="FJ353" s="1">
        <f t="shared" si="684"/>
        <v>0</v>
      </c>
      <c r="FK353" s="1">
        <f t="shared" si="685"/>
        <v>0</v>
      </c>
      <c r="FL353" s="1">
        <f t="shared" si="686"/>
        <v>0</v>
      </c>
      <c r="FM353" s="1">
        <f t="shared" si="687"/>
        <v>0</v>
      </c>
      <c r="FN353" s="1">
        <f t="shared" si="688"/>
        <v>0</v>
      </c>
      <c r="FO353" s="1">
        <f t="shared" si="689"/>
        <v>0</v>
      </c>
      <c r="FP353" s="1">
        <f t="shared" si="690"/>
        <v>0</v>
      </c>
      <c r="FQ353" s="1">
        <f t="shared" si="691"/>
        <v>0</v>
      </c>
      <c r="FS353" s="1">
        <f t="shared" si="692"/>
        <v>0</v>
      </c>
      <c r="FT353" s="1">
        <f t="shared" si="693"/>
        <v>0</v>
      </c>
      <c r="FU353" s="38">
        <f t="shared" si="694"/>
        <v>0</v>
      </c>
      <c r="FV353" s="38">
        <f t="shared" si="695"/>
        <v>0</v>
      </c>
      <c r="FW353" s="38">
        <f t="shared" si="696"/>
        <v>0</v>
      </c>
      <c r="FX353" s="38">
        <f t="shared" si="697"/>
        <v>0</v>
      </c>
      <c r="FY353" s="38">
        <f t="shared" si="698"/>
        <v>0</v>
      </c>
      <c r="FZ353" s="38">
        <f t="shared" si="699"/>
        <v>0</v>
      </c>
      <c r="GA353" s="38">
        <f t="shared" si="700"/>
        <v>0</v>
      </c>
      <c r="GB353" s="38">
        <f t="shared" si="701"/>
        <v>0</v>
      </c>
      <c r="GC353" s="38">
        <f t="shared" si="702"/>
        <v>0</v>
      </c>
      <c r="GD353" s="38">
        <f t="shared" si="703"/>
        <v>0</v>
      </c>
      <c r="GE353" s="38">
        <f t="shared" si="704"/>
        <v>0</v>
      </c>
      <c r="GF353" s="38">
        <f t="shared" si="705"/>
        <v>0</v>
      </c>
      <c r="GG353" s="38">
        <f t="shared" si="706"/>
        <v>0</v>
      </c>
      <c r="GH353" s="38">
        <f t="shared" si="707"/>
        <v>0</v>
      </c>
      <c r="GI353" s="38">
        <f t="shared" si="708"/>
        <v>0</v>
      </c>
      <c r="GJ353" s="38">
        <f t="shared" si="709"/>
        <v>0</v>
      </c>
      <c r="GL353" s="38">
        <f t="shared" si="710"/>
        <v>0</v>
      </c>
      <c r="GM353" s="38">
        <f t="shared" si="711"/>
        <v>0</v>
      </c>
      <c r="GN353" s="1" t="s">
        <v>2</v>
      </c>
      <c r="GO353" s="1">
        <f t="shared" si="634"/>
        <v>5.26</v>
      </c>
      <c r="GP353" s="1">
        <f t="shared" si="635"/>
        <v>0.38</v>
      </c>
      <c r="GQ353" s="41">
        <f t="shared" si="636"/>
        <v>19.988</v>
      </c>
      <c r="GR353" s="41">
        <f t="shared" si="637"/>
        <v>262.12263200000001</v>
      </c>
      <c r="GS353" s="14">
        <f t="shared" si="638"/>
        <v>49.833200000000005</v>
      </c>
      <c r="GT353" s="1">
        <f t="shared" si="712"/>
        <v>0</v>
      </c>
      <c r="GU353" s="1">
        <f t="shared" si="713"/>
        <v>0</v>
      </c>
      <c r="GV353" s="1">
        <f t="shared" si="714"/>
        <v>19.988</v>
      </c>
      <c r="GW353" s="37">
        <f t="shared" si="639"/>
        <v>0</v>
      </c>
      <c r="GX353" s="37"/>
      <c r="GY353" s="37"/>
      <c r="GZ353" s="37"/>
      <c r="HB353" s="1">
        <f t="shared" si="715"/>
        <v>0</v>
      </c>
      <c r="HC353" s="1">
        <f t="shared" si="716"/>
        <v>0</v>
      </c>
      <c r="HD353" s="37" t="s">
        <v>2</v>
      </c>
      <c r="HE353" s="1" t="s">
        <v>113</v>
      </c>
      <c r="HF353" s="1" t="s">
        <v>825</v>
      </c>
      <c r="HI353" s="1" t="s">
        <v>163</v>
      </c>
      <c r="HJ353" s="37" t="s">
        <v>2</v>
      </c>
      <c r="JH353" s="58" t="s">
        <v>2</v>
      </c>
    </row>
    <row r="354" spans="1:268" ht="16.25" customHeight="1" x14ac:dyDescent="0.2">
      <c r="A354" s="29" t="s">
        <v>868</v>
      </c>
      <c r="B354" s="1" t="s">
        <v>69</v>
      </c>
      <c r="F354" s="1" t="s">
        <v>131</v>
      </c>
      <c r="I354" s="1">
        <v>0</v>
      </c>
      <c r="AD354" s="1">
        <v>0</v>
      </c>
      <c r="AY354" s="1">
        <v>8</v>
      </c>
      <c r="BG354" s="1">
        <v>0.35</v>
      </c>
      <c r="BT354" s="1">
        <v>0</v>
      </c>
      <c r="CO354" s="1">
        <v>0</v>
      </c>
      <c r="DJ354" s="1" t="s">
        <v>163</v>
      </c>
      <c r="DL354" s="1">
        <f t="shared" si="632"/>
        <v>0.35</v>
      </c>
      <c r="DM354" s="1">
        <f t="shared" si="633"/>
        <v>0</v>
      </c>
      <c r="DN354" s="1" t="s">
        <v>815</v>
      </c>
      <c r="DO354" s="1" t="s">
        <v>2</v>
      </c>
      <c r="DP354" s="38">
        <f t="shared" si="640"/>
        <v>0</v>
      </c>
      <c r="DQ354" s="38">
        <f t="shared" si="641"/>
        <v>0</v>
      </c>
      <c r="DR354" s="38">
        <f t="shared" si="642"/>
        <v>0</v>
      </c>
      <c r="DS354" s="38">
        <f t="shared" si="643"/>
        <v>0</v>
      </c>
      <c r="DT354" s="38">
        <f t="shared" si="644"/>
        <v>0</v>
      </c>
      <c r="DU354" s="38">
        <f t="shared" si="645"/>
        <v>0</v>
      </c>
      <c r="DV354" s="38">
        <f t="shared" si="646"/>
        <v>0</v>
      </c>
      <c r="DW354" s="38">
        <f t="shared" si="647"/>
        <v>2.7999999999999997E-2</v>
      </c>
      <c r="DX354" s="38">
        <f t="shared" si="648"/>
        <v>0</v>
      </c>
      <c r="DY354" s="38">
        <f t="shared" si="649"/>
        <v>0</v>
      </c>
      <c r="DZ354" s="38">
        <f t="shared" si="650"/>
        <v>0</v>
      </c>
      <c r="EA354" s="38">
        <f t="shared" si="651"/>
        <v>0</v>
      </c>
      <c r="EB354" s="38">
        <f t="shared" si="652"/>
        <v>0</v>
      </c>
      <c r="EC354" s="38">
        <f t="shared" si="653"/>
        <v>0</v>
      </c>
      <c r="ED354" s="38">
        <f t="shared" si="654"/>
        <v>0</v>
      </c>
      <c r="EE354" s="38">
        <f t="shared" si="655"/>
        <v>0</v>
      </c>
      <c r="EG354" s="38">
        <f t="shared" si="656"/>
        <v>0</v>
      </c>
      <c r="EH354" s="38">
        <f t="shared" si="657"/>
        <v>0</v>
      </c>
      <c r="EI354" s="38">
        <f t="shared" si="658"/>
        <v>0</v>
      </c>
      <c r="EJ354" s="38">
        <f t="shared" si="659"/>
        <v>0</v>
      </c>
      <c r="EK354" s="38">
        <f t="shared" si="660"/>
        <v>0</v>
      </c>
      <c r="EL354" s="38">
        <f t="shared" si="661"/>
        <v>0</v>
      </c>
      <c r="EM354" s="38">
        <f t="shared" si="662"/>
        <v>0</v>
      </c>
      <c r="EN354" s="38">
        <f t="shared" si="663"/>
        <v>0</v>
      </c>
      <c r="EO354" s="38">
        <f t="shared" si="664"/>
        <v>0</v>
      </c>
      <c r="EP354" s="38">
        <f t="shared" si="665"/>
        <v>367.19199999999995</v>
      </c>
      <c r="EQ354" s="38">
        <f t="shared" si="666"/>
        <v>0</v>
      </c>
      <c r="ER354" s="38">
        <f t="shared" si="667"/>
        <v>0</v>
      </c>
      <c r="ES354" s="38">
        <f t="shared" si="668"/>
        <v>0</v>
      </c>
      <c r="ET354" s="38">
        <f t="shared" si="669"/>
        <v>0</v>
      </c>
      <c r="EU354" s="38">
        <f t="shared" si="670"/>
        <v>0</v>
      </c>
      <c r="EV354" s="38">
        <f t="shared" si="671"/>
        <v>0</v>
      </c>
      <c r="EW354" s="38">
        <f t="shared" si="672"/>
        <v>0</v>
      </c>
      <c r="EX354" s="38">
        <f t="shared" si="673"/>
        <v>0</v>
      </c>
      <c r="EZ354" s="38">
        <f t="shared" si="674"/>
        <v>0</v>
      </c>
      <c r="FA354" s="38">
        <f t="shared" si="675"/>
        <v>0</v>
      </c>
      <c r="FB354" s="1">
        <f t="shared" si="676"/>
        <v>0</v>
      </c>
      <c r="FC354" s="1">
        <f t="shared" si="677"/>
        <v>0</v>
      </c>
      <c r="FD354" s="1">
        <f t="shared" si="678"/>
        <v>0</v>
      </c>
      <c r="FE354" s="1">
        <f t="shared" si="679"/>
        <v>0</v>
      </c>
      <c r="FF354" s="1">
        <f t="shared" si="680"/>
        <v>0</v>
      </c>
      <c r="FG354" s="1">
        <f t="shared" si="681"/>
        <v>0</v>
      </c>
      <c r="FH354" s="1">
        <f t="shared" si="682"/>
        <v>0</v>
      </c>
      <c r="FI354" s="1">
        <f t="shared" si="683"/>
        <v>0</v>
      </c>
      <c r="FJ354" s="1">
        <f t="shared" si="684"/>
        <v>0</v>
      </c>
      <c r="FK354" s="1">
        <f t="shared" si="685"/>
        <v>0</v>
      </c>
      <c r="FL354" s="1">
        <f t="shared" si="686"/>
        <v>0</v>
      </c>
      <c r="FM354" s="1">
        <f t="shared" si="687"/>
        <v>0</v>
      </c>
      <c r="FN354" s="1">
        <f t="shared" si="688"/>
        <v>0</v>
      </c>
      <c r="FO354" s="1">
        <f t="shared" si="689"/>
        <v>0</v>
      </c>
      <c r="FP354" s="1">
        <f t="shared" si="690"/>
        <v>0</v>
      </c>
      <c r="FQ354" s="1">
        <f t="shared" si="691"/>
        <v>0</v>
      </c>
      <c r="FS354" s="1">
        <f t="shared" si="692"/>
        <v>0</v>
      </c>
      <c r="FT354" s="1">
        <f t="shared" si="693"/>
        <v>0</v>
      </c>
      <c r="FU354" s="38">
        <f t="shared" si="694"/>
        <v>0</v>
      </c>
      <c r="FV354" s="38">
        <f t="shared" si="695"/>
        <v>0</v>
      </c>
      <c r="FW354" s="38">
        <f t="shared" si="696"/>
        <v>0</v>
      </c>
      <c r="FX354" s="38">
        <f t="shared" si="697"/>
        <v>0</v>
      </c>
      <c r="FY354" s="38">
        <f t="shared" si="698"/>
        <v>0</v>
      </c>
      <c r="FZ354" s="38">
        <f t="shared" si="699"/>
        <v>0</v>
      </c>
      <c r="GA354" s="38">
        <f t="shared" si="700"/>
        <v>0</v>
      </c>
      <c r="GB354" s="38">
        <f t="shared" si="701"/>
        <v>0</v>
      </c>
      <c r="GC354" s="38">
        <f t="shared" si="702"/>
        <v>0</v>
      </c>
      <c r="GD354" s="38">
        <f t="shared" si="703"/>
        <v>0</v>
      </c>
      <c r="GE354" s="38">
        <f t="shared" si="704"/>
        <v>0</v>
      </c>
      <c r="GF354" s="38">
        <f t="shared" si="705"/>
        <v>0</v>
      </c>
      <c r="GG354" s="38">
        <f t="shared" si="706"/>
        <v>0</v>
      </c>
      <c r="GH354" s="38">
        <f t="shared" si="707"/>
        <v>0</v>
      </c>
      <c r="GI354" s="38">
        <f t="shared" si="708"/>
        <v>0</v>
      </c>
      <c r="GJ354" s="38">
        <f t="shared" si="709"/>
        <v>0</v>
      </c>
      <c r="GL354" s="38">
        <f t="shared" si="710"/>
        <v>0</v>
      </c>
      <c r="GM354" s="38">
        <f t="shared" si="711"/>
        <v>0</v>
      </c>
      <c r="GN354" s="1" t="s">
        <v>2</v>
      </c>
      <c r="GO354" s="1">
        <f t="shared" si="634"/>
        <v>8</v>
      </c>
      <c r="GP354" s="1">
        <f t="shared" si="635"/>
        <v>0.35</v>
      </c>
      <c r="GQ354" s="41">
        <f t="shared" si="636"/>
        <v>28</v>
      </c>
      <c r="GR354" s="41">
        <f t="shared" si="637"/>
        <v>367.19199999999995</v>
      </c>
      <c r="GS354" s="14">
        <f t="shared" si="638"/>
        <v>45.898999999999994</v>
      </c>
      <c r="GT354" s="1">
        <f t="shared" si="712"/>
        <v>0</v>
      </c>
      <c r="GU354" s="1">
        <f t="shared" si="713"/>
        <v>0</v>
      </c>
      <c r="GV354" s="1">
        <f t="shared" si="714"/>
        <v>28</v>
      </c>
      <c r="GW354" s="37">
        <f t="shared" si="639"/>
        <v>0</v>
      </c>
      <c r="GX354" s="37"/>
      <c r="GY354" s="37"/>
      <c r="GZ354" s="37"/>
      <c r="HB354" s="1">
        <f t="shared" si="715"/>
        <v>0</v>
      </c>
      <c r="HC354" s="1">
        <f t="shared" si="716"/>
        <v>0</v>
      </c>
      <c r="HD354" s="37" t="s">
        <v>2</v>
      </c>
      <c r="HE354" s="1" t="s">
        <v>113</v>
      </c>
      <c r="HF354" s="1" t="s">
        <v>825</v>
      </c>
      <c r="HI354" s="1" t="s">
        <v>163</v>
      </c>
      <c r="HJ354" s="37" t="s">
        <v>2</v>
      </c>
      <c r="JH354" s="58" t="s">
        <v>2</v>
      </c>
    </row>
    <row r="355" spans="1:268" ht="16.25" customHeight="1" x14ac:dyDescent="0.2">
      <c r="A355" s="29" t="s">
        <v>879</v>
      </c>
      <c r="B355" s="1" t="s">
        <v>69</v>
      </c>
      <c r="F355" s="1" t="s">
        <v>131</v>
      </c>
      <c r="I355" s="1">
        <v>0</v>
      </c>
      <c r="AD355" s="1">
        <v>0</v>
      </c>
      <c r="AY355" s="1">
        <v>4.12</v>
      </c>
      <c r="BG355" s="1">
        <v>0.34</v>
      </c>
      <c r="BT355" s="1">
        <v>0</v>
      </c>
      <c r="CO355" s="1">
        <v>0</v>
      </c>
      <c r="DJ355" s="1" t="s">
        <v>163</v>
      </c>
      <c r="DL355" s="1">
        <f t="shared" si="632"/>
        <v>0.34</v>
      </c>
      <c r="DM355" s="1">
        <f t="shared" si="633"/>
        <v>0</v>
      </c>
      <c r="DN355" s="1" t="s">
        <v>815</v>
      </c>
      <c r="DO355" s="1" t="s">
        <v>2</v>
      </c>
      <c r="DP355" s="38">
        <f t="shared" si="640"/>
        <v>0</v>
      </c>
      <c r="DQ355" s="38">
        <f t="shared" si="641"/>
        <v>0</v>
      </c>
      <c r="DR355" s="38">
        <f t="shared" si="642"/>
        <v>0</v>
      </c>
      <c r="DS355" s="38">
        <f t="shared" si="643"/>
        <v>0</v>
      </c>
      <c r="DT355" s="38">
        <f t="shared" si="644"/>
        <v>0</v>
      </c>
      <c r="DU355" s="38">
        <f t="shared" si="645"/>
        <v>0</v>
      </c>
      <c r="DV355" s="38">
        <f t="shared" si="646"/>
        <v>0</v>
      </c>
      <c r="DW355" s="38">
        <f t="shared" si="647"/>
        <v>1.4008E-2</v>
      </c>
      <c r="DX355" s="38">
        <f t="shared" si="648"/>
        <v>0</v>
      </c>
      <c r="DY355" s="38">
        <f t="shared" si="649"/>
        <v>0</v>
      </c>
      <c r="DZ355" s="38">
        <f t="shared" si="650"/>
        <v>0</v>
      </c>
      <c r="EA355" s="38">
        <f t="shared" si="651"/>
        <v>0</v>
      </c>
      <c r="EB355" s="38">
        <f t="shared" si="652"/>
        <v>0</v>
      </c>
      <c r="EC355" s="38">
        <f t="shared" si="653"/>
        <v>0</v>
      </c>
      <c r="ED355" s="38">
        <f t="shared" si="654"/>
        <v>0</v>
      </c>
      <c r="EE355" s="38">
        <f t="shared" si="655"/>
        <v>0</v>
      </c>
      <c r="EG355" s="38">
        <f t="shared" si="656"/>
        <v>0</v>
      </c>
      <c r="EH355" s="38">
        <f t="shared" si="657"/>
        <v>0</v>
      </c>
      <c r="EI355" s="38">
        <f t="shared" si="658"/>
        <v>0</v>
      </c>
      <c r="EJ355" s="38">
        <f t="shared" si="659"/>
        <v>0</v>
      </c>
      <c r="EK355" s="38">
        <f t="shared" si="660"/>
        <v>0</v>
      </c>
      <c r="EL355" s="38">
        <f t="shared" si="661"/>
        <v>0</v>
      </c>
      <c r="EM355" s="38">
        <f t="shared" si="662"/>
        <v>0</v>
      </c>
      <c r="EN355" s="38">
        <f t="shared" si="663"/>
        <v>0</v>
      </c>
      <c r="EO355" s="38">
        <f t="shared" si="664"/>
        <v>0</v>
      </c>
      <c r="EP355" s="38">
        <f t="shared" si="665"/>
        <v>183.70091199999999</v>
      </c>
      <c r="EQ355" s="38">
        <f t="shared" si="666"/>
        <v>0</v>
      </c>
      <c r="ER355" s="38">
        <f t="shared" si="667"/>
        <v>0</v>
      </c>
      <c r="ES355" s="38">
        <f t="shared" si="668"/>
        <v>0</v>
      </c>
      <c r="ET355" s="38">
        <f t="shared" si="669"/>
        <v>0</v>
      </c>
      <c r="EU355" s="38">
        <f t="shared" si="670"/>
        <v>0</v>
      </c>
      <c r="EV355" s="38">
        <f t="shared" si="671"/>
        <v>0</v>
      </c>
      <c r="EW355" s="38">
        <f t="shared" si="672"/>
        <v>0</v>
      </c>
      <c r="EX355" s="38">
        <f t="shared" si="673"/>
        <v>0</v>
      </c>
      <c r="EZ355" s="38">
        <f t="shared" si="674"/>
        <v>0</v>
      </c>
      <c r="FA355" s="38">
        <f t="shared" si="675"/>
        <v>0</v>
      </c>
      <c r="FB355" s="1">
        <f t="shared" si="676"/>
        <v>0</v>
      </c>
      <c r="FC355" s="1">
        <f t="shared" si="677"/>
        <v>0</v>
      </c>
      <c r="FD355" s="1">
        <f t="shared" si="678"/>
        <v>0</v>
      </c>
      <c r="FE355" s="1">
        <f t="shared" si="679"/>
        <v>0</v>
      </c>
      <c r="FF355" s="1">
        <f t="shared" si="680"/>
        <v>0</v>
      </c>
      <c r="FG355" s="1">
        <f t="shared" si="681"/>
        <v>0</v>
      </c>
      <c r="FH355" s="1">
        <f t="shared" si="682"/>
        <v>0</v>
      </c>
      <c r="FI355" s="1">
        <f t="shared" si="683"/>
        <v>0</v>
      </c>
      <c r="FJ355" s="1">
        <f t="shared" si="684"/>
        <v>0</v>
      </c>
      <c r="FK355" s="1">
        <f t="shared" si="685"/>
        <v>0</v>
      </c>
      <c r="FL355" s="1">
        <f t="shared" si="686"/>
        <v>0</v>
      </c>
      <c r="FM355" s="1">
        <f t="shared" si="687"/>
        <v>0</v>
      </c>
      <c r="FN355" s="1">
        <f t="shared" si="688"/>
        <v>0</v>
      </c>
      <c r="FO355" s="1">
        <f t="shared" si="689"/>
        <v>0</v>
      </c>
      <c r="FP355" s="1">
        <f t="shared" si="690"/>
        <v>0</v>
      </c>
      <c r="FQ355" s="1">
        <f t="shared" si="691"/>
        <v>0</v>
      </c>
      <c r="FS355" s="1">
        <f t="shared" si="692"/>
        <v>0</v>
      </c>
      <c r="FT355" s="1">
        <f t="shared" si="693"/>
        <v>0</v>
      </c>
      <c r="FU355" s="38">
        <f t="shared" si="694"/>
        <v>0</v>
      </c>
      <c r="FV355" s="38">
        <f t="shared" si="695"/>
        <v>0</v>
      </c>
      <c r="FW355" s="38">
        <f t="shared" si="696"/>
        <v>0</v>
      </c>
      <c r="FX355" s="38">
        <f t="shared" si="697"/>
        <v>0</v>
      </c>
      <c r="FY355" s="38">
        <f t="shared" si="698"/>
        <v>0</v>
      </c>
      <c r="FZ355" s="38">
        <f t="shared" si="699"/>
        <v>0</v>
      </c>
      <c r="GA355" s="38">
        <f t="shared" si="700"/>
        <v>0</v>
      </c>
      <c r="GB355" s="38">
        <f t="shared" si="701"/>
        <v>0</v>
      </c>
      <c r="GC355" s="38">
        <f t="shared" si="702"/>
        <v>0</v>
      </c>
      <c r="GD355" s="38">
        <f t="shared" si="703"/>
        <v>0</v>
      </c>
      <c r="GE355" s="38">
        <f t="shared" si="704"/>
        <v>0</v>
      </c>
      <c r="GF355" s="38">
        <f t="shared" si="705"/>
        <v>0</v>
      </c>
      <c r="GG355" s="38">
        <f t="shared" si="706"/>
        <v>0</v>
      </c>
      <c r="GH355" s="38">
        <f t="shared" si="707"/>
        <v>0</v>
      </c>
      <c r="GI355" s="38">
        <f t="shared" si="708"/>
        <v>0</v>
      </c>
      <c r="GJ355" s="38">
        <f t="shared" si="709"/>
        <v>0</v>
      </c>
      <c r="GL355" s="38">
        <f t="shared" si="710"/>
        <v>0</v>
      </c>
      <c r="GM355" s="38">
        <f t="shared" si="711"/>
        <v>0</v>
      </c>
      <c r="GN355" s="1" t="s">
        <v>2</v>
      </c>
      <c r="GO355" s="1">
        <f t="shared" si="634"/>
        <v>4.12</v>
      </c>
      <c r="GP355" s="1">
        <f t="shared" si="635"/>
        <v>0.34</v>
      </c>
      <c r="GQ355" s="41">
        <f t="shared" si="636"/>
        <v>14.008000000000003</v>
      </c>
      <c r="GR355" s="41">
        <f t="shared" si="637"/>
        <v>183.70091199999999</v>
      </c>
      <c r="GS355" s="14">
        <f t="shared" si="638"/>
        <v>44.587599999999995</v>
      </c>
      <c r="GT355" s="1">
        <f t="shared" si="712"/>
        <v>0</v>
      </c>
      <c r="GU355" s="1">
        <f t="shared" si="713"/>
        <v>0</v>
      </c>
      <c r="GV355" s="1">
        <f t="shared" si="714"/>
        <v>14.007999999999999</v>
      </c>
      <c r="GW355" s="37">
        <f t="shared" si="639"/>
        <v>0</v>
      </c>
      <c r="GX355" s="37"/>
      <c r="GY355" s="37"/>
      <c r="GZ355" s="37"/>
      <c r="HB355" s="1">
        <f t="shared" si="715"/>
        <v>0</v>
      </c>
      <c r="HC355" s="1">
        <f t="shared" si="716"/>
        <v>0</v>
      </c>
      <c r="HD355" s="37" t="s">
        <v>2</v>
      </c>
      <c r="HE355" s="1" t="s">
        <v>113</v>
      </c>
      <c r="HF355" s="1" t="s">
        <v>825</v>
      </c>
      <c r="HI355" s="1" t="s">
        <v>163</v>
      </c>
      <c r="HJ355" s="37" t="s">
        <v>2</v>
      </c>
      <c r="JH355" s="58" t="s">
        <v>2</v>
      </c>
    </row>
    <row r="356" spans="1:268" ht="16.25" customHeight="1" x14ac:dyDescent="0.2">
      <c r="A356" s="15" t="s">
        <v>880</v>
      </c>
      <c r="B356" s="1" t="s">
        <v>69</v>
      </c>
      <c r="F356" s="1" t="s">
        <v>131</v>
      </c>
      <c r="I356" s="1">
        <v>0</v>
      </c>
      <c r="AD356" s="1">
        <v>0</v>
      </c>
      <c r="AY356" s="1">
        <v>3.0760000000000001</v>
      </c>
      <c r="BG356" s="1">
        <v>0.52</v>
      </c>
      <c r="BT356" s="1">
        <v>0</v>
      </c>
      <c r="CO356" s="1">
        <v>0</v>
      </c>
      <c r="DJ356" s="1" t="s">
        <v>163</v>
      </c>
      <c r="DL356" s="1">
        <f t="shared" si="632"/>
        <v>0.52</v>
      </c>
      <c r="DM356" s="1">
        <f t="shared" si="633"/>
        <v>0</v>
      </c>
      <c r="DN356" s="1" t="s">
        <v>815</v>
      </c>
      <c r="DO356" s="1" t="s">
        <v>2</v>
      </c>
      <c r="DP356" s="38">
        <f t="shared" si="640"/>
        <v>0</v>
      </c>
      <c r="DQ356" s="38">
        <f t="shared" si="641"/>
        <v>0</v>
      </c>
      <c r="DR356" s="38">
        <f t="shared" si="642"/>
        <v>0</v>
      </c>
      <c r="DS356" s="38">
        <f t="shared" si="643"/>
        <v>0</v>
      </c>
      <c r="DT356" s="38">
        <f t="shared" si="644"/>
        <v>0</v>
      </c>
      <c r="DU356" s="38">
        <f t="shared" si="645"/>
        <v>0</v>
      </c>
      <c r="DV356" s="38">
        <f t="shared" si="646"/>
        <v>0</v>
      </c>
      <c r="DW356" s="38">
        <f t="shared" si="647"/>
        <v>1.5995200000000001E-2</v>
      </c>
      <c r="DX356" s="38">
        <f t="shared" si="648"/>
        <v>0</v>
      </c>
      <c r="DY356" s="38">
        <f t="shared" si="649"/>
        <v>0</v>
      </c>
      <c r="DZ356" s="38">
        <f t="shared" si="650"/>
        <v>0</v>
      </c>
      <c r="EA356" s="38">
        <f t="shared" si="651"/>
        <v>0</v>
      </c>
      <c r="EB356" s="38">
        <f t="shared" si="652"/>
        <v>0</v>
      </c>
      <c r="EC356" s="38">
        <f t="shared" si="653"/>
        <v>0</v>
      </c>
      <c r="ED356" s="38">
        <f t="shared" si="654"/>
        <v>0</v>
      </c>
      <c r="EE356" s="38">
        <f t="shared" si="655"/>
        <v>0</v>
      </c>
      <c r="EG356" s="38">
        <f t="shared" si="656"/>
        <v>0</v>
      </c>
      <c r="EH356" s="38">
        <f t="shared" si="657"/>
        <v>0</v>
      </c>
      <c r="EI356" s="38">
        <f t="shared" si="658"/>
        <v>0</v>
      </c>
      <c r="EJ356" s="38">
        <f t="shared" si="659"/>
        <v>0</v>
      </c>
      <c r="EK356" s="38">
        <f t="shared" si="660"/>
        <v>0</v>
      </c>
      <c r="EL356" s="38">
        <f t="shared" si="661"/>
        <v>0</v>
      </c>
      <c r="EM356" s="38">
        <f t="shared" si="662"/>
        <v>0</v>
      </c>
      <c r="EN356" s="38">
        <f t="shared" si="663"/>
        <v>0</v>
      </c>
      <c r="EO356" s="38">
        <f t="shared" si="664"/>
        <v>0</v>
      </c>
      <c r="EP356" s="38">
        <f t="shared" si="665"/>
        <v>209.76105280000002</v>
      </c>
      <c r="EQ356" s="38">
        <f t="shared" si="666"/>
        <v>0</v>
      </c>
      <c r="ER356" s="38">
        <f t="shared" si="667"/>
        <v>0</v>
      </c>
      <c r="ES356" s="38">
        <f t="shared" si="668"/>
        <v>0</v>
      </c>
      <c r="ET356" s="38">
        <f t="shared" si="669"/>
        <v>0</v>
      </c>
      <c r="EU356" s="38">
        <f t="shared" si="670"/>
        <v>0</v>
      </c>
      <c r="EV356" s="38">
        <f t="shared" si="671"/>
        <v>0</v>
      </c>
      <c r="EW356" s="38">
        <f t="shared" si="672"/>
        <v>0</v>
      </c>
      <c r="EX356" s="38">
        <f t="shared" si="673"/>
        <v>0</v>
      </c>
      <c r="EZ356" s="38">
        <f t="shared" si="674"/>
        <v>0</v>
      </c>
      <c r="FA356" s="38">
        <f t="shared" si="675"/>
        <v>0</v>
      </c>
      <c r="FB356" s="1">
        <f t="shared" si="676"/>
        <v>0</v>
      </c>
      <c r="FC356" s="1">
        <f t="shared" si="677"/>
        <v>0</v>
      </c>
      <c r="FD356" s="1">
        <f t="shared" si="678"/>
        <v>0</v>
      </c>
      <c r="FE356" s="1">
        <f t="shared" si="679"/>
        <v>0</v>
      </c>
      <c r="FF356" s="1">
        <f t="shared" si="680"/>
        <v>0</v>
      </c>
      <c r="FG356" s="1">
        <f t="shared" si="681"/>
        <v>0</v>
      </c>
      <c r="FH356" s="1">
        <f t="shared" si="682"/>
        <v>0</v>
      </c>
      <c r="FI356" s="1">
        <f t="shared" si="683"/>
        <v>0</v>
      </c>
      <c r="FJ356" s="1">
        <f t="shared" si="684"/>
        <v>0</v>
      </c>
      <c r="FK356" s="1">
        <f t="shared" si="685"/>
        <v>0</v>
      </c>
      <c r="FL356" s="1">
        <f t="shared" si="686"/>
        <v>0</v>
      </c>
      <c r="FM356" s="1">
        <f t="shared" si="687"/>
        <v>0</v>
      </c>
      <c r="FN356" s="1">
        <f t="shared" si="688"/>
        <v>0</v>
      </c>
      <c r="FO356" s="1">
        <f t="shared" si="689"/>
        <v>0</v>
      </c>
      <c r="FP356" s="1">
        <f t="shared" si="690"/>
        <v>0</v>
      </c>
      <c r="FQ356" s="1">
        <f t="shared" si="691"/>
        <v>0</v>
      </c>
      <c r="FS356" s="1">
        <f t="shared" si="692"/>
        <v>0</v>
      </c>
      <c r="FT356" s="1">
        <f t="shared" si="693"/>
        <v>0</v>
      </c>
      <c r="FU356" s="38">
        <f t="shared" si="694"/>
        <v>0</v>
      </c>
      <c r="FV356" s="38">
        <f t="shared" si="695"/>
        <v>0</v>
      </c>
      <c r="FW356" s="38">
        <f t="shared" si="696"/>
        <v>0</v>
      </c>
      <c r="FX356" s="38">
        <f t="shared" si="697"/>
        <v>0</v>
      </c>
      <c r="FY356" s="38">
        <f t="shared" si="698"/>
        <v>0</v>
      </c>
      <c r="FZ356" s="38">
        <f t="shared" si="699"/>
        <v>0</v>
      </c>
      <c r="GA356" s="38">
        <f t="shared" si="700"/>
        <v>0</v>
      </c>
      <c r="GB356" s="38">
        <f t="shared" si="701"/>
        <v>0</v>
      </c>
      <c r="GC356" s="38">
        <f t="shared" si="702"/>
        <v>0</v>
      </c>
      <c r="GD356" s="38">
        <f t="shared" si="703"/>
        <v>0</v>
      </c>
      <c r="GE356" s="38">
        <f t="shared" si="704"/>
        <v>0</v>
      </c>
      <c r="GF356" s="38">
        <f t="shared" si="705"/>
        <v>0</v>
      </c>
      <c r="GG356" s="38">
        <f t="shared" si="706"/>
        <v>0</v>
      </c>
      <c r="GH356" s="38">
        <f t="shared" si="707"/>
        <v>0</v>
      </c>
      <c r="GI356" s="38">
        <f t="shared" si="708"/>
        <v>0</v>
      </c>
      <c r="GJ356" s="38">
        <f t="shared" si="709"/>
        <v>0</v>
      </c>
      <c r="GL356" s="38">
        <f t="shared" si="710"/>
        <v>0</v>
      </c>
      <c r="GM356" s="38">
        <f t="shared" si="711"/>
        <v>0</v>
      </c>
      <c r="GN356" s="1" t="s">
        <v>2</v>
      </c>
      <c r="GO356" s="1">
        <f t="shared" si="634"/>
        <v>3.0760000000000001</v>
      </c>
      <c r="GP356" s="1">
        <f t="shared" si="635"/>
        <v>0.52</v>
      </c>
      <c r="GQ356" s="41">
        <f t="shared" si="636"/>
        <v>15.995200000000001</v>
      </c>
      <c r="GR356" s="41">
        <f t="shared" si="637"/>
        <v>209.76105280000002</v>
      </c>
      <c r="GS356" s="14">
        <f t="shared" si="638"/>
        <v>68.192800000000005</v>
      </c>
      <c r="GT356" s="1">
        <f t="shared" si="712"/>
        <v>0</v>
      </c>
      <c r="GU356" s="1">
        <f t="shared" si="713"/>
        <v>0</v>
      </c>
      <c r="GV356" s="1">
        <f t="shared" si="714"/>
        <v>15.995200000000001</v>
      </c>
      <c r="GW356" s="37">
        <f t="shared" si="639"/>
        <v>0</v>
      </c>
      <c r="GX356" s="37"/>
      <c r="GY356" s="37"/>
      <c r="GZ356" s="37"/>
      <c r="HB356" s="1">
        <f t="shared" si="715"/>
        <v>0</v>
      </c>
      <c r="HC356" s="1">
        <f t="shared" si="716"/>
        <v>0</v>
      </c>
      <c r="HD356" s="37" t="s">
        <v>2</v>
      </c>
      <c r="HE356" s="1" t="s">
        <v>113</v>
      </c>
      <c r="HF356" s="1" t="s">
        <v>825</v>
      </c>
      <c r="HI356" s="1" t="s">
        <v>163</v>
      </c>
      <c r="HJ356" s="37" t="s">
        <v>2</v>
      </c>
      <c r="JH356" s="58" t="s">
        <v>2</v>
      </c>
    </row>
    <row r="357" spans="1:268" ht="16.25" customHeight="1" x14ac:dyDescent="0.2">
      <c r="A357" s="15" t="s">
        <v>766</v>
      </c>
      <c r="B357" s="1" t="s">
        <v>64</v>
      </c>
      <c r="C357" s="27">
        <f>46+(34+(51.72/60))/60</f>
        <v>46.58103333333333</v>
      </c>
      <c r="D357" s="27">
        <f>-80-(47+(59.46/60))/60</f>
        <v>-80.799850000000006</v>
      </c>
      <c r="F357" s="1" t="s">
        <v>81</v>
      </c>
      <c r="I357" s="1">
        <v>5.68</v>
      </c>
      <c r="J357" s="1">
        <v>1.49</v>
      </c>
      <c r="Q357" s="1">
        <v>1.59</v>
      </c>
      <c r="R357" s="1">
        <v>0.04</v>
      </c>
      <c r="S357" s="1">
        <v>0.87</v>
      </c>
      <c r="T357" s="1">
        <v>0.83</v>
      </c>
      <c r="AD357" s="1">
        <v>23.25</v>
      </c>
      <c r="AE357" s="13">
        <v>2.5</v>
      </c>
      <c r="AL357" s="13">
        <v>2.1</v>
      </c>
      <c r="AM357" s="1">
        <v>0.05</v>
      </c>
      <c r="AN357" s="1">
        <v>0.91</v>
      </c>
      <c r="AO357" s="1">
        <v>1.07</v>
      </c>
      <c r="AY357" s="1">
        <v>25</v>
      </c>
      <c r="AZ357" s="1">
        <v>2.6</v>
      </c>
      <c r="BG357" s="1">
        <v>0.9</v>
      </c>
      <c r="BH357" s="1">
        <v>0.03</v>
      </c>
      <c r="BI357" s="14">
        <v>1</v>
      </c>
      <c r="BJ357" s="1">
        <v>1.2</v>
      </c>
      <c r="BT357" s="1">
        <v>5.74</v>
      </c>
      <c r="BU357" s="1">
        <v>1.17</v>
      </c>
      <c r="CB357" s="1">
        <v>1.26</v>
      </c>
      <c r="CC357" s="1">
        <v>0.03</v>
      </c>
      <c r="CD357" s="1">
        <v>0.66</v>
      </c>
      <c r="CE357" s="1">
        <v>0.62</v>
      </c>
      <c r="CO357" s="1">
        <v>15.03</v>
      </c>
      <c r="CP357" s="1">
        <v>0.98</v>
      </c>
      <c r="CW357" s="1">
        <v>2.06</v>
      </c>
      <c r="CX357" s="1">
        <v>0.05</v>
      </c>
      <c r="CY357" s="1">
        <v>0.37</v>
      </c>
      <c r="CZ357" s="1">
        <v>0.42</v>
      </c>
      <c r="DJ357" s="1" t="s">
        <v>96</v>
      </c>
      <c r="DK357" s="1" t="s">
        <v>96</v>
      </c>
      <c r="DL357" s="1">
        <f t="shared" si="632"/>
        <v>1.4900092712775821</v>
      </c>
      <c r="DM357" s="1">
        <f t="shared" si="633"/>
        <v>3.9675505284628231E-2</v>
      </c>
      <c r="DN357" s="1" t="s">
        <v>73</v>
      </c>
      <c r="DO357" s="1" t="s">
        <v>2</v>
      </c>
      <c r="DP357" s="38">
        <f t="shared" si="640"/>
        <v>1.315882</v>
      </c>
      <c r="DQ357" s="38">
        <f t="shared" si="641"/>
        <v>0</v>
      </c>
      <c r="DR357" s="38">
        <f t="shared" si="642"/>
        <v>0</v>
      </c>
      <c r="DS357" s="38">
        <f t="shared" si="643"/>
        <v>0</v>
      </c>
      <c r="DT357" s="38">
        <f t="shared" si="644"/>
        <v>0</v>
      </c>
      <c r="DU357" s="38">
        <f t="shared" si="645"/>
        <v>0</v>
      </c>
      <c r="DV357" s="38">
        <f t="shared" si="646"/>
        <v>0</v>
      </c>
      <c r="DW357" s="38">
        <f t="shared" si="647"/>
        <v>0.803562</v>
      </c>
      <c r="DX357" s="38">
        <f t="shared" si="648"/>
        <v>2.1397000000000003E-2</v>
      </c>
      <c r="DY357" s="38">
        <f t="shared" si="649"/>
        <v>51.0991</v>
      </c>
      <c r="DZ357" s="38">
        <f t="shared" si="650"/>
        <v>59.591900000000003</v>
      </c>
      <c r="EA357" s="38">
        <f t="shared" si="651"/>
        <v>0</v>
      </c>
      <c r="EB357" s="38">
        <f t="shared" si="652"/>
        <v>0</v>
      </c>
      <c r="EC357" s="38">
        <f t="shared" si="653"/>
        <v>0</v>
      </c>
      <c r="ED357" s="38">
        <f t="shared" si="654"/>
        <v>0</v>
      </c>
      <c r="EE357" s="38">
        <f t="shared" si="655"/>
        <v>0</v>
      </c>
      <c r="EG357" s="38">
        <f t="shared" si="656"/>
        <v>0</v>
      </c>
      <c r="EH357" s="38">
        <f t="shared" si="657"/>
        <v>0</v>
      </c>
      <c r="EI357" s="38">
        <f t="shared" si="658"/>
        <v>8586.9406333120005</v>
      </c>
      <c r="EJ357" s="38">
        <f t="shared" si="659"/>
        <v>0</v>
      </c>
      <c r="EK357" s="38">
        <f t="shared" si="660"/>
        <v>0</v>
      </c>
      <c r="EL357" s="38">
        <f t="shared" si="661"/>
        <v>0</v>
      </c>
      <c r="EM357" s="38">
        <f t="shared" si="662"/>
        <v>0</v>
      </c>
      <c r="EN357" s="38">
        <f t="shared" si="663"/>
        <v>0</v>
      </c>
      <c r="EO357" s="38">
        <f t="shared" si="664"/>
        <v>0</v>
      </c>
      <c r="EP357" s="38">
        <f t="shared" si="665"/>
        <v>10537.912068</v>
      </c>
      <c r="EQ357" s="38">
        <f t="shared" si="666"/>
        <v>1553.8399550280001</v>
      </c>
      <c r="ER357" s="38">
        <f t="shared" si="667"/>
        <v>1450.2614664308678</v>
      </c>
      <c r="ES357" s="38">
        <f t="shared" si="668"/>
        <v>1985.9431806109326</v>
      </c>
      <c r="ET357" s="38">
        <f t="shared" si="669"/>
        <v>0</v>
      </c>
      <c r="EU357" s="38">
        <f t="shared" si="670"/>
        <v>0</v>
      </c>
      <c r="EV357" s="38">
        <f t="shared" si="671"/>
        <v>0</v>
      </c>
      <c r="EW357" s="38">
        <f t="shared" si="672"/>
        <v>0</v>
      </c>
      <c r="EX357" s="38">
        <f t="shared" si="673"/>
        <v>0</v>
      </c>
      <c r="EZ357" s="38">
        <f t="shared" si="674"/>
        <v>0</v>
      </c>
      <c r="FA357" s="38">
        <f t="shared" si="675"/>
        <v>0</v>
      </c>
      <c r="FB357" s="1">
        <f t="shared" si="676"/>
        <v>0.214452</v>
      </c>
      <c r="FC357" s="1">
        <f t="shared" si="677"/>
        <v>0</v>
      </c>
      <c r="FD357" s="1">
        <f t="shared" si="678"/>
        <v>0</v>
      </c>
      <c r="FE357" s="1">
        <f t="shared" si="679"/>
        <v>0</v>
      </c>
      <c r="FF357" s="1">
        <f t="shared" si="680"/>
        <v>0</v>
      </c>
      <c r="FG357" s="1">
        <f t="shared" si="681"/>
        <v>0</v>
      </c>
      <c r="FH357" s="1">
        <f t="shared" si="682"/>
        <v>0</v>
      </c>
      <c r="FI357" s="1">
        <f t="shared" si="683"/>
        <v>0.381942</v>
      </c>
      <c r="FJ357" s="1">
        <f t="shared" si="684"/>
        <v>9.2370000000000004E-3</v>
      </c>
      <c r="FK357" s="1">
        <f t="shared" si="685"/>
        <v>9.349499999999999</v>
      </c>
      <c r="FL357" s="1">
        <f t="shared" si="686"/>
        <v>9.8713999999999995</v>
      </c>
      <c r="FM357" s="1">
        <f t="shared" si="687"/>
        <v>0</v>
      </c>
      <c r="FN357" s="1">
        <f t="shared" si="688"/>
        <v>0</v>
      </c>
      <c r="FO357" s="1">
        <f t="shared" si="689"/>
        <v>0</v>
      </c>
      <c r="FP357" s="1">
        <f t="shared" si="690"/>
        <v>0</v>
      </c>
      <c r="FQ357" s="1">
        <f t="shared" si="691"/>
        <v>0</v>
      </c>
      <c r="FS357" s="1">
        <f t="shared" si="692"/>
        <v>0</v>
      </c>
      <c r="FT357" s="1">
        <f t="shared" si="693"/>
        <v>0</v>
      </c>
      <c r="FU357" s="38">
        <f t="shared" si="694"/>
        <v>1399.4314024319999</v>
      </c>
      <c r="FV357" s="38">
        <f t="shared" si="695"/>
        <v>0</v>
      </c>
      <c r="FW357" s="38">
        <f t="shared" si="696"/>
        <v>0</v>
      </c>
      <c r="FX357" s="38">
        <f t="shared" si="697"/>
        <v>0</v>
      </c>
      <c r="FY357" s="38">
        <f t="shared" si="698"/>
        <v>0</v>
      </c>
      <c r="FZ357" s="38">
        <f t="shared" si="699"/>
        <v>0</v>
      </c>
      <c r="GA357" s="38">
        <f t="shared" si="700"/>
        <v>0</v>
      </c>
      <c r="GB357" s="38">
        <f t="shared" si="701"/>
        <v>5008.7873879999997</v>
      </c>
      <c r="GC357" s="38">
        <f t="shared" si="702"/>
        <v>670.786543188</v>
      </c>
      <c r="GD357" s="38">
        <f t="shared" si="703"/>
        <v>265.35143633440504</v>
      </c>
      <c r="GE357" s="38">
        <f t="shared" si="704"/>
        <v>328.97154668810288</v>
      </c>
      <c r="GF357" s="38">
        <f t="shared" si="705"/>
        <v>0</v>
      </c>
      <c r="GG357" s="38">
        <f t="shared" si="706"/>
        <v>0</v>
      </c>
      <c r="GH357" s="38">
        <f t="shared" si="707"/>
        <v>0</v>
      </c>
      <c r="GI357" s="38">
        <f t="shared" si="708"/>
        <v>0</v>
      </c>
      <c r="GJ357" s="38">
        <f t="shared" si="709"/>
        <v>0</v>
      </c>
      <c r="GL357" s="38">
        <f t="shared" si="710"/>
        <v>0</v>
      </c>
      <c r="GM357" s="38">
        <f t="shared" si="711"/>
        <v>0</v>
      </c>
      <c r="GN357" s="1" t="s">
        <v>2</v>
      </c>
      <c r="GO357" s="1">
        <f t="shared" si="634"/>
        <v>53.93</v>
      </c>
      <c r="GP357" s="13">
        <f t="shared" si="635"/>
        <v>1.4900092712775821</v>
      </c>
      <c r="GQ357" s="41">
        <f t="shared" si="636"/>
        <v>803.56200000000001</v>
      </c>
      <c r="GR357" s="41">
        <f t="shared" si="637"/>
        <v>24114.8973033818</v>
      </c>
      <c r="GS357" s="14">
        <f t="shared" si="638"/>
        <v>447.15181352460229</v>
      </c>
      <c r="GT357" s="1">
        <f t="shared" si="712"/>
        <v>90.312000000000012</v>
      </c>
      <c r="GU357" s="1">
        <f t="shared" si="713"/>
        <v>488.25</v>
      </c>
      <c r="GV357" s="1">
        <f t="shared" si="714"/>
        <v>225</v>
      </c>
      <c r="GW357" s="37">
        <f t="shared" si="639"/>
        <v>20.77</v>
      </c>
      <c r="GX357" s="44">
        <f>(BT357*CB357+CO357*CW357)/GW357</f>
        <v>1.8389118921521426</v>
      </c>
      <c r="GY357" s="41">
        <f>1000*GW357*GX357/100</f>
        <v>381.94200000000006</v>
      </c>
      <c r="GZ357" s="41">
        <f>SUM(FU357:GM357)</f>
        <v>7673.3283166425072</v>
      </c>
      <c r="HA357" s="14">
        <f>GZ357/GW357</f>
        <v>369.44286550999072</v>
      </c>
      <c r="HB357" s="1">
        <f t="shared" si="715"/>
        <v>72.324000000000012</v>
      </c>
      <c r="HC357" s="1">
        <f t="shared" si="716"/>
        <v>309.61799999999999</v>
      </c>
      <c r="HD357" s="37" t="s">
        <v>2</v>
      </c>
      <c r="HE357" s="1" t="s">
        <v>113</v>
      </c>
      <c r="HF357" s="1" t="s">
        <v>671</v>
      </c>
      <c r="HG357" s="1" t="s">
        <v>672</v>
      </c>
      <c r="HI357" s="1" t="s">
        <v>96</v>
      </c>
      <c r="HJ357" s="37" t="s">
        <v>2</v>
      </c>
      <c r="JH357" s="58" t="s">
        <v>2</v>
      </c>
    </row>
    <row r="358" spans="1:268" ht="16.25" customHeight="1" x14ac:dyDescent="0.2">
      <c r="A358" s="15" t="s">
        <v>767</v>
      </c>
      <c r="B358" s="1" t="s">
        <v>64</v>
      </c>
      <c r="C358" s="27">
        <f>46+(29+(32.28/60))/60</f>
        <v>46.4923</v>
      </c>
      <c r="D358" s="27">
        <f>-81-(4+(3.93/60))/60</f>
        <v>-81.06775833333333</v>
      </c>
      <c r="F358" s="1" t="s">
        <v>466</v>
      </c>
      <c r="I358" s="1">
        <v>20.9</v>
      </c>
      <c r="J358" s="1">
        <v>2.4300000000000002</v>
      </c>
      <c r="K358" s="1">
        <v>0.6</v>
      </c>
      <c r="Q358" s="1">
        <v>1.65</v>
      </c>
      <c r="R358" s="1">
        <v>0.04</v>
      </c>
      <c r="S358" s="1">
        <v>1.3</v>
      </c>
      <c r="T358" s="1">
        <v>1.5</v>
      </c>
      <c r="AD358" s="1">
        <v>40.799999999999997</v>
      </c>
      <c r="AE358" s="1">
        <v>1.44</v>
      </c>
      <c r="AF358" s="1">
        <v>0.4</v>
      </c>
      <c r="AL358" s="1">
        <v>1.27</v>
      </c>
      <c r="AM358" s="1">
        <v>0.02</v>
      </c>
      <c r="AN358" s="1">
        <v>1.2</v>
      </c>
      <c r="AO358" s="1">
        <v>1.5</v>
      </c>
      <c r="AY358" s="1">
        <v>0</v>
      </c>
      <c r="BT358" s="1">
        <v>20.9</v>
      </c>
      <c r="BU358" s="1">
        <v>2.4300000000000002</v>
      </c>
      <c r="BV358" s="1">
        <v>0.6</v>
      </c>
      <c r="CB358" s="1">
        <v>1.65</v>
      </c>
      <c r="CC358" s="1">
        <v>0.04</v>
      </c>
      <c r="CD358" s="1">
        <v>1.3</v>
      </c>
      <c r="CE358" s="1">
        <v>1.5</v>
      </c>
      <c r="CO358" s="1">
        <v>40.799999999999997</v>
      </c>
      <c r="CP358" s="1">
        <v>1.44</v>
      </c>
      <c r="CQ358" s="1">
        <v>0.4</v>
      </c>
      <c r="CW358" s="1">
        <v>1.27</v>
      </c>
      <c r="CX358" s="1">
        <v>0.02</v>
      </c>
      <c r="CY358" s="1">
        <v>1.2</v>
      </c>
      <c r="CZ358" s="1">
        <v>1.5</v>
      </c>
      <c r="DJ358" s="1" t="s">
        <v>96</v>
      </c>
      <c r="DK358" s="1" t="s">
        <v>96</v>
      </c>
      <c r="DL358" s="1">
        <f t="shared" si="632"/>
        <v>1.3987196110210696</v>
      </c>
      <c r="DM358" s="1">
        <f t="shared" si="633"/>
        <v>2.6774716369529983E-2</v>
      </c>
      <c r="DN358" s="1" t="s">
        <v>606</v>
      </c>
      <c r="DO358" s="1" t="s">
        <v>2</v>
      </c>
      <c r="DP358" s="38">
        <f t="shared" si="640"/>
        <v>1.0953899999999999</v>
      </c>
      <c r="DQ358" s="38">
        <f t="shared" si="641"/>
        <v>28.86</v>
      </c>
      <c r="DR358" s="38">
        <f t="shared" si="642"/>
        <v>0</v>
      </c>
      <c r="DS358" s="38">
        <f t="shared" si="643"/>
        <v>0</v>
      </c>
      <c r="DT358" s="38">
        <f t="shared" si="644"/>
        <v>0</v>
      </c>
      <c r="DU358" s="38">
        <f t="shared" si="645"/>
        <v>0</v>
      </c>
      <c r="DV358" s="38">
        <f t="shared" si="646"/>
        <v>0</v>
      </c>
      <c r="DW358" s="38">
        <f t="shared" si="647"/>
        <v>0.86300999999999983</v>
      </c>
      <c r="DX358" s="38">
        <f t="shared" si="648"/>
        <v>1.652E-2</v>
      </c>
      <c r="DY358" s="38">
        <f t="shared" si="649"/>
        <v>76.13</v>
      </c>
      <c r="DZ358" s="38">
        <f t="shared" si="650"/>
        <v>92.55</v>
      </c>
      <c r="EA358" s="38">
        <f t="shared" si="651"/>
        <v>0</v>
      </c>
      <c r="EB358" s="38">
        <f t="shared" si="652"/>
        <v>0</v>
      </c>
      <c r="EC358" s="38">
        <f t="shared" si="653"/>
        <v>0</v>
      </c>
      <c r="ED358" s="38">
        <f t="shared" si="654"/>
        <v>0</v>
      </c>
      <c r="EE358" s="38">
        <f t="shared" si="655"/>
        <v>0</v>
      </c>
      <c r="EG358" s="38">
        <f t="shared" si="656"/>
        <v>0</v>
      </c>
      <c r="EH358" s="38">
        <f t="shared" si="657"/>
        <v>0</v>
      </c>
      <c r="EI358" s="38">
        <f t="shared" si="658"/>
        <v>7148.0945102399992</v>
      </c>
      <c r="EJ358" s="38">
        <f t="shared" si="659"/>
        <v>1180.3832797427651</v>
      </c>
      <c r="EK358" s="38">
        <f t="shared" si="660"/>
        <v>0</v>
      </c>
      <c r="EL358" s="38">
        <f t="shared" si="661"/>
        <v>0</v>
      </c>
      <c r="EM358" s="38">
        <f t="shared" si="662"/>
        <v>0</v>
      </c>
      <c r="EN358" s="38">
        <f t="shared" si="663"/>
        <v>0</v>
      </c>
      <c r="EO358" s="38">
        <f t="shared" si="664"/>
        <v>0</v>
      </c>
      <c r="EP358" s="38">
        <f t="shared" si="665"/>
        <v>11317.513139999997</v>
      </c>
      <c r="EQ358" s="38">
        <f t="shared" si="666"/>
        <v>1199.6745364799999</v>
      </c>
      <c r="ER358" s="38">
        <f t="shared" si="667"/>
        <v>2160.6722122186488</v>
      </c>
      <c r="ES358" s="38">
        <f t="shared" si="668"/>
        <v>3084.2957073954981</v>
      </c>
      <c r="ET358" s="38">
        <f t="shared" si="669"/>
        <v>0</v>
      </c>
      <c r="EU358" s="38">
        <f t="shared" si="670"/>
        <v>0</v>
      </c>
      <c r="EV358" s="38">
        <f t="shared" si="671"/>
        <v>0</v>
      </c>
      <c r="EW358" s="38">
        <f t="shared" si="672"/>
        <v>0</v>
      </c>
      <c r="EX358" s="38">
        <f t="shared" si="673"/>
        <v>0</v>
      </c>
      <c r="EZ358" s="38">
        <f t="shared" si="674"/>
        <v>0</v>
      </c>
      <c r="FA358" s="38">
        <f t="shared" si="675"/>
        <v>0</v>
      </c>
      <c r="FB358" s="1">
        <f t="shared" si="676"/>
        <v>1.0953899999999999</v>
      </c>
      <c r="FC358" s="1">
        <f t="shared" si="677"/>
        <v>28.86</v>
      </c>
      <c r="FD358" s="1">
        <f t="shared" si="678"/>
        <v>0</v>
      </c>
      <c r="FE358" s="1">
        <f t="shared" si="679"/>
        <v>0</v>
      </c>
      <c r="FF358" s="1">
        <f t="shared" si="680"/>
        <v>0</v>
      </c>
      <c r="FG358" s="1">
        <f t="shared" si="681"/>
        <v>0</v>
      </c>
      <c r="FH358" s="1">
        <f t="shared" si="682"/>
        <v>0</v>
      </c>
      <c r="FI358" s="1">
        <f t="shared" si="683"/>
        <v>0.86300999999999983</v>
      </c>
      <c r="FJ358" s="1">
        <f t="shared" si="684"/>
        <v>1.652E-2</v>
      </c>
      <c r="FK358" s="1">
        <f t="shared" si="685"/>
        <v>76.13</v>
      </c>
      <c r="FL358" s="1">
        <f t="shared" si="686"/>
        <v>92.55</v>
      </c>
      <c r="FM358" s="1">
        <f t="shared" si="687"/>
        <v>0</v>
      </c>
      <c r="FN358" s="1">
        <f t="shared" si="688"/>
        <v>0</v>
      </c>
      <c r="FO358" s="1">
        <f t="shared" si="689"/>
        <v>0</v>
      </c>
      <c r="FP358" s="1">
        <f t="shared" si="690"/>
        <v>0</v>
      </c>
      <c r="FQ358" s="1">
        <f t="shared" si="691"/>
        <v>0</v>
      </c>
      <c r="FS358" s="1">
        <f t="shared" si="692"/>
        <v>0</v>
      </c>
      <c r="FT358" s="1">
        <f t="shared" si="693"/>
        <v>0</v>
      </c>
      <c r="FU358" s="38">
        <f t="shared" si="694"/>
        <v>7148.0945102399992</v>
      </c>
      <c r="FV358" s="38">
        <f t="shared" si="695"/>
        <v>1180.3832797427651</v>
      </c>
      <c r="FW358" s="38">
        <f t="shared" si="696"/>
        <v>0</v>
      </c>
      <c r="FX358" s="38">
        <f t="shared" si="697"/>
        <v>0</v>
      </c>
      <c r="FY358" s="38">
        <f t="shared" si="698"/>
        <v>0</v>
      </c>
      <c r="FZ358" s="38">
        <f t="shared" si="699"/>
        <v>0</v>
      </c>
      <c r="GA358" s="38">
        <f t="shared" si="700"/>
        <v>0</v>
      </c>
      <c r="GB358" s="38">
        <f t="shared" si="701"/>
        <v>11317.513139999997</v>
      </c>
      <c r="GC358" s="38">
        <f t="shared" si="702"/>
        <v>1199.6745364799999</v>
      </c>
      <c r="GD358" s="38">
        <f t="shared" si="703"/>
        <v>2160.6722122186488</v>
      </c>
      <c r="GE358" s="38">
        <f t="shared" si="704"/>
        <v>3084.2957073954981</v>
      </c>
      <c r="GF358" s="38">
        <f t="shared" si="705"/>
        <v>0</v>
      </c>
      <c r="GG358" s="38">
        <f t="shared" si="706"/>
        <v>0</v>
      </c>
      <c r="GH358" s="38">
        <f t="shared" si="707"/>
        <v>0</v>
      </c>
      <c r="GI358" s="38">
        <f t="shared" si="708"/>
        <v>0</v>
      </c>
      <c r="GJ358" s="38">
        <f t="shared" si="709"/>
        <v>0</v>
      </c>
      <c r="GL358" s="38">
        <f t="shared" si="710"/>
        <v>0</v>
      </c>
      <c r="GM358" s="38">
        <f t="shared" si="711"/>
        <v>0</v>
      </c>
      <c r="GN358" s="1" t="s">
        <v>2</v>
      </c>
      <c r="GO358" s="1">
        <f t="shared" si="634"/>
        <v>61.699999999999996</v>
      </c>
      <c r="GP358" s="13">
        <f t="shared" si="635"/>
        <v>1.3987196110210696</v>
      </c>
      <c r="GQ358" s="41">
        <f t="shared" si="636"/>
        <v>863.00999999999988</v>
      </c>
      <c r="GR358" s="41">
        <f t="shared" si="637"/>
        <v>26090.633386076908</v>
      </c>
      <c r="GS358" s="14">
        <f t="shared" si="638"/>
        <v>422.86277773220274</v>
      </c>
      <c r="GT358" s="1">
        <f t="shared" si="712"/>
        <v>344.84999999999991</v>
      </c>
      <c r="GU358" s="1">
        <f t="shared" si="713"/>
        <v>518.16</v>
      </c>
      <c r="GV358" s="1">
        <f t="shared" si="714"/>
        <v>0</v>
      </c>
      <c r="GW358" s="37">
        <f t="shared" si="639"/>
        <v>61.699999999999996</v>
      </c>
      <c r="GX358" s="44">
        <f>(BT358*CB358+CO358*CW358)/GW358</f>
        <v>1.3987196110210696</v>
      </c>
      <c r="GY358" s="41">
        <f>1000*GW358*GX358/100</f>
        <v>863.00999999999988</v>
      </c>
      <c r="GZ358" s="41">
        <f>SUM(FU358:GM358)</f>
        <v>26090.633386076908</v>
      </c>
      <c r="HA358" s="14">
        <f>GZ358/GW358</f>
        <v>422.86277773220274</v>
      </c>
      <c r="HB358" s="1">
        <f t="shared" si="715"/>
        <v>344.84999999999991</v>
      </c>
      <c r="HC358" s="1">
        <f t="shared" si="716"/>
        <v>518.16</v>
      </c>
      <c r="HD358" s="37" t="s">
        <v>2</v>
      </c>
      <c r="HE358" s="1" t="s">
        <v>113</v>
      </c>
      <c r="HF358" s="1" t="s">
        <v>671</v>
      </c>
      <c r="HG358" s="1" t="s">
        <v>672</v>
      </c>
      <c r="HI358" s="1" t="s">
        <v>96</v>
      </c>
      <c r="HJ358" s="37" t="s">
        <v>2</v>
      </c>
      <c r="JH358" s="58" t="s">
        <v>2</v>
      </c>
    </row>
    <row r="359" spans="1:268" ht="16.25" customHeight="1" x14ac:dyDescent="0.2">
      <c r="A359" s="15" t="s">
        <v>770</v>
      </c>
      <c r="B359" s="1" t="s">
        <v>71</v>
      </c>
      <c r="C359" s="27">
        <f>46+(25+(25.67/60))/60</f>
        <v>46.42379722222222</v>
      </c>
      <c r="D359" s="27">
        <f>-81-(23+(15.04/60))/60</f>
        <v>-81.38751111111111</v>
      </c>
      <c r="F359" s="1" t="s">
        <v>695</v>
      </c>
      <c r="I359" s="1">
        <v>0</v>
      </c>
      <c r="AD359" s="2">
        <f>8.98+1.365965-0.11057-0.245903-0.248532</f>
        <v>9.7409599999999994</v>
      </c>
      <c r="AE359" s="13">
        <f>(0.34*8.98+1.39*1.365965-1.29*0.11057-1.33*0.245903-1.41*0.248532)/AD359</f>
        <v>0.42416506586619801</v>
      </c>
      <c r="AL359" s="13">
        <f>(0.5*8.98+2.21*1.365965-2.06*0.11057-2.37*0.245903-2.45*0.248532)/AD359</f>
        <v>0.62512472487311321</v>
      </c>
      <c r="AM359" s="2">
        <f>(0.012*8.98+0.083*1.365965-0.083*0.11057-0.083*0.245903-0.083*0.248532)/AD359</f>
        <v>1.7546492337510881E-2</v>
      </c>
      <c r="AY359" s="1">
        <v>2.57</v>
      </c>
      <c r="AZ359" s="1">
        <v>0.5</v>
      </c>
      <c r="BG359" s="1">
        <v>0.7</v>
      </c>
      <c r="BH359" s="1">
        <v>0.02</v>
      </c>
      <c r="BT359" s="2">
        <f>1.365965-0.11057-0.245903-0.248532</f>
        <v>0.76096000000000008</v>
      </c>
      <c r="BU359" s="13">
        <f>(1.39*1.365965-1.29*0.11057-1.33*0.245903-1.41*0.248532)/BT359</f>
        <v>1.4173871688393607</v>
      </c>
      <c r="CB359" s="13">
        <f>(2.21*1.365965-2.06*0.11057-2.37*0.245903-2.45*0.248532)/BT359</f>
        <v>2.1017069753994959</v>
      </c>
      <c r="CC359" s="1">
        <v>8.3000000000000004E-2</v>
      </c>
      <c r="CO359" s="1">
        <v>0</v>
      </c>
      <c r="DJ359" s="1" t="s">
        <v>96</v>
      </c>
      <c r="DK359" s="1" t="s">
        <v>96</v>
      </c>
      <c r="DL359" s="1">
        <f t="shared" si="632"/>
        <v>0.64075546829816687</v>
      </c>
      <c r="DM359" s="1">
        <f t="shared" si="633"/>
        <v>1.8058679420613826E-2</v>
      </c>
      <c r="DN359" s="1" t="s">
        <v>771</v>
      </c>
      <c r="DO359" s="1" t="s">
        <v>2</v>
      </c>
      <c r="DP359" s="38">
        <f t="shared" si="640"/>
        <v>5.41677494E-2</v>
      </c>
      <c r="DQ359" s="38">
        <f t="shared" si="641"/>
        <v>0</v>
      </c>
      <c r="DR359" s="38">
        <f t="shared" si="642"/>
        <v>0</v>
      </c>
      <c r="DS359" s="38">
        <f t="shared" si="643"/>
        <v>0</v>
      </c>
      <c r="DT359" s="38">
        <f t="shared" si="644"/>
        <v>0</v>
      </c>
      <c r="DU359" s="38">
        <f t="shared" si="645"/>
        <v>0</v>
      </c>
      <c r="DV359" s="38">
        <f t="shared" si="646"/>
        <v>0</v>
      </c>
      <c r="DW359" s="38">
        <f t="shared" si="647"/>
        <v>7.8883149400000005E-2</v>
      </c>
      <c r="DX359" s="38">
        <f t="shared" si="648"/>
        <v>2.2231968E-3</v>
      </c>
      <c r="DY359" s="38">
        <f t="shared" si="649"/>
        <v>0</v>
      </c>
      <c r="DZ359" s="38">
        <f t="shared" si="650"/>
        <v>0</v>
      </c>
      <c r="EA359" s="38">
        <f t="shared" si="651"/>
        <v>0</v>
      </c>
      <c r="EB359" s="38">
        <f t="shared" si="652"/>
        <v>0</v>
      </c>
      <c r="EC359" s="38">
        <f t="shared" si="653"/>
        <v>0</v>
      </c>
      <c r="ED359" s="38">
        <f t="shared" si="654"/>
        <v>0</v>
      </c>
      <c r="EE359" s="38">
        <f t="shared" si="655"/>
        <v>0</v>
      </c>
      <c r="EG359" s="38">
        <f t="shared" si="656"/>
        <v>0</v>
      </c>
      <c r="EH359" s="38">
        <f t="shared" si="657"/>
        <v>0</v>
      </c>
      <c r="EI359" s="38">
        <f t="shared" si="658"/>
        <v>353.47793216863039</v>
      </c>
      <c r="EJ359" s="38">
        <f t="shared" si="659"/>
        <v>0</v>
      </c>
      <c r="EK359" s="38">
        <f t="shared" si="660"/>
        <v>0</v>
      </c>
      <c r="EL359" s="38">
        <f t="shared" si="661"/>
        <v>0</v>
      </c>
      <c r="EM359" s="38">
        <f t="shared" si="662"/>
        <v>0</v>
      </c>
      <c r="EN359" s="38">
        <f t="shared" si="663"/>
        <v>0</v>
      </c>
      <c r="EO359" s="38">
        <f t="shared" si="664"/>
        <v>0</v>
      </c>
      <c r="EP359" s="38">
        <f t="shared" si="665"/>
        <v>1034.4736212316</v>
      </c>
      <c r="EQ359" s="38">
        <f t="shared" si="666"/>
        <v>161.44749337432319</v>
      </c>
      <c r="ER359" s="38">
        <f t="shared" si="667"/>
        <v>0</v>
      </c>
      <c r="ES359" s="38">
        <f t="shared" si="668"/>
        <v>0</v>
      </c>
      <c r="ET359" s="38">
        <f t="shared" si="669"/>
        <v>0</v>
      </c>
      <c r="EU359" s="38">
        <f t="shared" si="670"/>
        <v>0</v>
      </c>
      <c r="EV359" s="38">
        <f t="shared" si="671"/>
        <v>0</v>
      </c>
      <c r="EW359" s="38">
        <f t="shared" si="672"/>
        <v>0</v>
      </c>
      <c r="EX359" s="38">
        <f t="shared" si="673"/>
        <v>0</v>
      </c>
      <c r="EZ359" s="38">
        <f t="shared" si="674"/>
        <v>0</v>
      </c>
      <c r="FA359" s="38">
        <f t="shared" si="675"/>
        <v>0</v>
      </c>
      <c r="FB359" s="1">
        <f t="shared" si="676"/>
        <v>1.0785749399999999E-2</v>
      </c>
      <c r="FC359" s="1">
        <f t="shared" si="677"/>
        <v>0</v>
      </c>
      <c r="FD359" s="1">
        <f t="shared" si="678"/>
        <v>0</v>
      </c>
      <c r="FE359" s="1">
        <f t="shared" si="679"/>
        <v>0</v>
      </c>
      <c r="FF359" s="1">
        <f t="shared" si="680"/>
        <v>0</v>
      </c>
      <c r="FG359" s="1">
        <f t="shared" si="681"/>
        <v>0</v>
      </c>
      <c r="FH359" s="1">
        <f t="shared" si="682"/>
        <v>0</v>
      </c>
      <c r="FI359" s="1">
        <f t="shared" si="683"/>
        <v>1.5993149400000007E-2</v>
      </c>
      <c r="FJ359" s="1">
        <f t="shared" si="684"/>
        <v>6.3159680000000006E-4</v>
      </c>
      <c r="FK359" s="1">
        <f t="shared" si="685"/>
        <v>0</v>
      </c>
      <c r="FL359" s="1">
        <f t="shared" si="686"/>
        <v>0</v>
      </c>
      <c r="FM359" s="1">
        <f t="shared" si="687"/>
        <v>0</v>
      </c>
      <c r="FN359" s="1">
        <f t="shared" si="688"/>
        <v>0</v>
      </c>
      <c r="FO359" s="1">
        <f t="shared" si="689"/>
        <v>0</v>
      </c>
      <c r="FP359" s="1">
        <f t="shared" si="690"/>
        <v>0</v>
      </c>
      <c r="FQ359" s="1">
        <f t="shared" si="691"/>
        <v>0</v>
      </c>
      <c r="FS359" s="1">
        <f t="shared" si="692"/>
        <v>0</v>
      </c>
      <c r="FT359" s="1">
        <f t="shared" si="693"/>
        <v>0</v>
      </c>
      <c r="FU359" s="38">
        <f t="shared" si="694"/>
        <v>70.38365885663039</v>
      </c>
      <c r="FV359" s="38">
        <f t="shared" si="695"/>
        <v>0</v>
      </c>
      <c r="FW359" s="38">
        <f t="shared" si="696"/>
        <v>0</v>
      </c>
      <c r="FX359" s="38">
        <f t="shared" si="697"/>
        <v>0</v>
      </c>
      <c r="FY359" s="38">
        <f t="shared" si="698"/>
        <v>0</v>
      </c>
      <c r="FZ359" s="38">
        <f t="shared" si="699"/>
        <v>0</v>
      </c>
      <c r="GA359" s="38">
        <f t="shared" si="700"/>
        <v>0</v>
      </c>
      <c r="GB359" s="38">
        <f t="shared" si="701"/>
        <v>209.7341612316001</v>
      </c>
      <c r="GC359" s="38">
        <f t="shared" si="702"/>
        <v>45.866258975923195</v>
      </c>
      <c r="GD359" s="38">
        <f t="shared" si="703"/>
        <v>0</v>
      </c>
      <c r="GE359" s="38">
        <f t="shared" si="704"/>
        <v>0</v>
      </c>
      <c r="GF359" s="38">
        <f t="shared" si="705"/>
        <v>0</v>
      </c>
      <c r="GG359" s="38">
        <f t="shared" si="706"/>
        <v>0</v>
      </c>
      <c r="GH359" s="38">
        <f t="shared" si="707"/>
        <v>0</v>
      </c>
      <c r="GI359" s="38">
        <f t="shared" si="708"/>
        <v>0</v>
      </c>
      <c r="GJ359" s="38">
        <f t="shared" si="709"/>
        <v>0</v>
      </c>
      <c r="GL359" s="38">
        <f t="shared" si="710"/>
        <v>0</v>
      </c>
      <c r="GM359" s="38">
        <f t="shared" si="711"/>
        <v>0</v>
      </c>
      <c r="GN359" s="1" t="s">
        <v>2</v>
      </c>
      <c r="GO359" s="13">
        <f t="shared" si="634"/>
        <v>12.31096</v>
      </c>
      <c r="GP359" s="13">
        <f t="shared" si="635"/>
        <v>0.64075546829816687</v>
      </c>
      <c r="GQ359" s="41">
        <f t="shared" si="636"/>
        <v>78.883149400000008</v>
      </c>
      <c r="GR359" s="41">
        <f t="shared" si="637"/>
        <v>1549.3990467745534</v>
      </c>
      <c r="GS359" s="14">
        <f t="shared" si="638"/>
        <v>125.85525797943893</v>
      </c>
      <c r="GT359" s="1">
        <f t="shared" si="712"/>
        <v>0</v>
      </c>
      <c r="GU359" s="1">
        <f t="shared" si="713"/>
        <v>60.893149399999999</v>
      </c>
      <c r="GV359" s="1">
        <f t="shared" si="714"/>
        <v>17.989999999999998</v>
      </c>
      <c r="GW359" s="46">
        <f t="shared" si="639"/>
        <v>0.76096000000000008</v>
      </c>
      <c r="GX359" s="44">
        <f>(BT359*CB359+CO359*CW359)/GW359</f>
        <v>2.1017069753994959</v>
      </c>
      <c r="GY359" s="41">
        <f>1000*GW359*GX359/100</f>
        <v>15.993149400000004</v>
      </c>
      <c r="GZ359" s="41">
        <f>SUM(FU359:GM359)</f>
        <v>325.98407906415366</v>
      </c>
      <c r="HA359" s="14">
        <f>GZ359/GW359</f>
        <v>428.38530154561818</v>
      </c>
      <c r="HB359" s="1">
        <f t="shared" si="715"/>
        <v>15.993149400000007</v>
      </c>
      <c r="HC359" s="1">
        <f t="shared" si="716"/>
        <v>0</v>
      </c>
      <c r="HD359" s="37" t="s">
        <v>2</v>
      </c>
      <c r="HE359" s="1" t="s">
        <v>113</v>
      </c>
      <c r="HF359" s="1" t="s">
        <v>671</v>
      </c>
      <c r="HG359" s="1" t="s">
        <v>672</v>
      </c>
      <c r="HI359" s="1" t="s">
        <v>96</v>
      </c>
      <c r="HJ359" s="37" t="s">
        <v>2</v>
      </c>
      <c r="JH359" s="58" t="s">
        <v>2</v>
      </c>
    </row>
    <row r="360" spans="1:268" ht="16.25" customHeight="1" x14ac:dyDescent="0.2">
      <c r="A360" s="15" t="s">
        <v>772</v>
      </c>
      <c r="B360" s="1" t="s">
        <v>69</v>
      </c>
      <c r="C360" s="27">
        <f>46+(48+(18/60))/60</f>
        <v>46.805</v>
      </c>
      <c r="D360" s="27">
        <f>-80-(52+(41.03/60))/60</f>
        <v>-80.878063888888889</v>
      </c>
      <c r="F360" s="1" t="s">
        <v>773</v>
      </c>
      <c r="I360" s="1">
        <v>0</v>
      </c>
      <c r="AD360" s="1">
        <v>0.26400000000000001</v>
      </c>
      <c r="AE360" s="13">
        <v>0.7</v>
      </c>
      <c r="AF360" s="1">
        <v>0.23</v>
      </c>
      <c r="AL360" s="1">
        <v>0.65</v>
      </c>
      <c r="AM360" s="1">
        <v>0.03</v>
      </c>
      <c r="AN360" s="1">
        <v>0.62</v>
      </c>
      <c r="AO360" s="13">
        <v>8</v>
      </c>
      <c r="AY360" s="1">
        <v>8.6999999999999994E-2</v>
      </c>
      <c r="AZ360" s="1">
        <v>0.7</v>
      </c>
      <c r="BA360" s="1">
        <v>0.6</v>
      </c>
      <c r="BG360" s="1">
        <v>0.4</v>
      </c>
      <c r="BH360" s="1">
        <v>0.02</v>
      </c>
      <c r="BI360" s="1">
        <v>1.2</v>
      </c>
      <c r="BJ360" s="1">
        <v>1.1000000000000001</v>
      </c>
      <c r="BT360" s="1">
        <v>0</v>
      </c>
      <c r="CO360" s="1">
        <v>0</v>
      </c>
      <c r="DJ360" s="1" t="s">
        <v>96</v>
      </c>
      <c r="DK360" s="1" t="s">
        <v>96</v>
      </c>
      <c r="DL360" s="1">
        <f t="shared" si="632"/>
        <v>0.58803418803418805</v>
      </c>
      <c r="DM360" s="1">
        <f t="shared" si="633"/>
        <v>2.7521367521367524E-2</v>
      </c>
      <c r="DN360" s="1" t="s">
        <v>185</v>
      </c>
      <c r="DO360" s="1" t="s">
        <v>2</v>
      </c>
      <c r="DP360" s="38">
        <f t="shared" si="640"/>
        <v>2.4569999999999995E-3</v>
      </c>
      <c r="DQ360" s="38">
        <f t="shared" si="641"/>
        <v>0.11291999999999999</v>
      </c>
      <c r="DR360" s="38">
        <f t="shared" si="642"/>
        <v>0</v>
      </c>
      <c r="DS360" s="38">
        <f t="shared" si="643"/>
        <v>0</v>
      </c>
      <c r="DT360" s="38">
        <f t="shared" si="644"/>
        <v>0</v>
      </c>
      <c r="DU360" s="38">
        <f t="shared" si="645"/>
        <v>0</v>
      </c>
      <c r="DV360" s="38">
        <f t="shared" si="646"/>
        <v>0</v>
      </c>
      <c r="DW360" s="38">
        <f t="shared" si="647"/>
        <v>2.0639999999999999E-3</v>
      </c>
      <c r="DX360" s="38">
        <f t="shared" si="648"/>
        <v>9.6600000000000003E-5</v>
      </c>
      <c r="DY360" s="38">
        <f t="shared" si="649"/>
        <v>0.26807999999999998</v>
      </c>
      <c r="DZ360" s="38">
        <f t="shared" si="650"/>
        <v>2.2077</v>
      </c>
      <c r="EA360" s="38">
        <f t="shared" si="651"/>
        <v>0</v>
      </c>
      <c r="EB360" s="38">
        <f t="shared" si="652"/>
        <v>0</v>
      </c>
      <c r="EC360" s="38">
        <f t="shared" si="653"/>
        <v>0</v>
      </c>
      <c r="ED360" s="38">
        <f t="shared" si="654"/>
        <v>0</v>
      </c>
      <c r="EE360" s="38">
        <f t="shared" si="655"/>
        <v>0</v>
      </c>
      <c r="EG360" s="38">
        <f t="shared" si="656"/>
        <v>0</v>
      </c>
      <c r="EH360" s="38">
        <f t="shared" si="657"/>
        <v>0</v>
      </c>
      <c r="EI360" s="38">
        <f t="shared" si="658"/>
        <v>16.033438511999996</v>
      </c>
      <c r="EJ360" s="38">
        <f t="shared" si="659"/>
        <v>4.6184643086816717</v>
      </c>
      <c r="EK360" s="38">
        <f t="shared" si="660"/>
        <v>0</v>
      </c>
      <c r="EL360" s="38">
        <f t="shared" si="661"/>
        <v>0</v>
      </c>
      <c r="EM360" s="38">
        <f t="shared" si="662"/>
        <v>0</v>
      </c>
      <c r="EN360" s="38">
        <f t="shared" si="663"/>
        <v>0</v>
      </c>
      <c r="EO360" s="38">
        <f t="shared" si="664"/>
        <v>0</v>
      </c>
      <c r="EP360" s="38">
        <f t="shared" si="665"/>
        <v>27.067295999999999</v>
      </c>
      <c r="EQ360" s="38">
        <f t="shared" si="666"/>
        <v>7.0150460183999996</v>
      </c>
      <c r="ER360" s="38">
        <f t="shared" si="667"/>
        <v>7.6084724372990333</v>
      </c>
      <c r="ES360" s="38">
        <f t="shared" si="668"/>
        <v>73.573199710610936</v>
      </c>
      <c r="ET360" s="38">
        <f t="shared" si="669"/>
        <v>0</v>
      </c>
      <c r="EU360" s="38">
        <f t="shared" si="670"/>
        <v>0</v>
      </c>
      <c r="EV360" s="38">
        <f t="shared" si="671"/>
        <v>0</v>
      </c>
      <c r="EW360" s="38">
        <f t="shared" si="672"/>
        <v>0</v>
      </c>
      <c r="EX360" s="38">
        <f t="shared" si="673"/>
        <v>0</v>
      </c>
      <c r="EZ360" s="38">
        <f t="shared" si="674"/>
        <v>0</v>
      </c>
      <c r="FA360" s="38">
        <f t="shared" si="675"/>
        <v>0</v>
      </c>
      <c r="FB360" s="1">
        <f t="shared" si="676"/>
        <v>0</v>
      </c>
      <c r="FC360" s="1">
        <f t="shared" si="677"/>
        <v>0</v>
      </c>
      <c r="FD360" s="1">
        <f t="shared" si="678"/>
        <v>0</v>
      </c>
      <c r="FE360" s="1">
        <f t="shared" si="679"/>
        <v>0</v>
      </c>
      <c r="FF360" s="1">
        <f t="shared" si="680"/>
        <v>0</v>
      </c>
      <c r="FG360" s="1">
        <f t="shared" si="681"/>
        <v>0</v>
      </c>
      <c r="FH360" s="1">
        <f t="shared" si="682"/>
        <v>0</v>
      </c>
      <c r="FI360" s="1">
        <f t="shared" si="683"/>
        <v>0</v>
      </c>
      <c r="FJ360" s="1">
        <f t="shared" si="684"/>
        <v>0</v>
      </c>
      <c r="FK360" s="1">
        <f t="shared" si="685"/>
        <v>0</v>
      </c>
      <c r="FL360" s="1">
        <f t="shared" si="686"/>
        <v>0</v>
      </c>
      <c r="FM360" s="1">
        <f t="shared" si="687"/>
        <v>0</v>
      </c>
      <c r="FN360" s="1">
        <f t="shared" si="688"/>
        <v>0</v>
      </c>
      <c r="FO360" s="1">
        <f t="shared" si="689"/>
        <v>0</v>
      </c>
      <c r="FP360" s="1">
        <f t="shared" si="690"/>
        <v>0</v>
      </c>
      <c r="FQ360" s="1">
        <f t="shared" si="691"/>
        <v>0</v>
      </c>
      <c r="FS360" s="1">
        <f t="shared" si="692"/>
        <v>0</v>
      </c>
      <c r="FT360" s="1">
        <f t="shared" si="693"/>
        <v>0</v>
      </c>
      <c r="FU360" s="38">
        <f t="shared" si="694"/>
        <v>0</v>
      </c>
      <c r="FV360" s="38">
        <f t="shared" si="695"/>
        <v>0</v>
      </c>
      <c r="FW360" s="38">
        <f t="shared" si="696"/>
        <v>0</v>
      </c>
      <c r="FX360" s="38">
        <f t="shared" si="697"/>
        <v>0</v>
      </c>
      <c r="FY360" s="38">
        <f t="shared" si="698"/>
        <v>0</v>
      </c>
      <c r="FZ360" s="38">
        <f t="shared" si="699"/>
        <v>0</v>
      </c>
      <c r="GA360" s="38">
        <f t="shared" si="700"/>
        <v>0</v>
      </c>
      <c r="GB360" s="38">
        <f t="shared" si="701"/>
        <v>0</v>
      </c>
      <c r="GC360" s="38">
        <f t="shared" si="702"/>
        <v>0</v>
      </c>
      <c r="GD360" s="38">
        <f t="shared" si="703"/>
        <v>0</v>
      </c>
      <c r="GE360" s="38">
        <f t="shared" si="704"/>
        <v>0</v>
      </c>
      <c r="GF360" s="38">
        <f t="shared" si="705"/>
        <v>0</v>
      </c>
      <c r="GG360" s="38">
        <f t="shared" si="706"/>
        <v>0</v>
      </c>
      <c r="GH360" s="38">
        <f t="shared" si="707"/>
        <v>0</v>
      </c>
      <c r="GI360" s="38">
        <f t="shared" si="708"/>
        <v>0</v>
      </c>
      <c r="GJ360" s="38">
        <f t="shared" si="709"/>
        <v>0</v>
      </c>
      <c r="GL360" s="38">
        <f t="shared" si="710"/>
        <v>0</v>
      </c>
      <c r="GM360" s="38">
        <f t="shared" si="711"/>
        <v>0</v>
      </c>
      <c r="GN360" s="1" t="s">
        <v>2</v>
      </c>
      <c r="GO360" s="1">
        <f t="shared" si="634"/>
        <v>0.35099999999999998</v>
      </c>
      <c r="GP360" s="13">
        <f t="shared" si="635"/>
        <v>0.58803418803418805</v>
      </c>
      <c r="GQ360" s="41">
        <f t="shared" si="636"/>
        <v>2.0640000000000001</v>
      </c>
      <c r="GR360" s="41">
        <f t="shared" si="637"/>
        <v>135.91591698699165</v>
      </c>
      <c r="GS360" s="14">
        <f t="shared" si="638"/>
        <v>387.22483472077397</v>
      </c>
      <c r="GT360" s="1">
        <f t="shared" si="712"/>
        <v>0</v>
      </c>
      <c r="GU360" s="1">
        <f t="shared" si="713"/>
        <v>1.716</v>
      </c>
      <c r="GV360" s="1">
        <f t="shared" si="714"/>
        <v>0.34799999999999998</v>
      </c>
      <c r="GW360" s="37">
        <f t="shared" si="639"/>
        <v>0</v>
      </c>
      <c r="GX360" s="37"/>
      <c r="GY360" s="37"/>
      <c r="GZ360" s="37"/>
      <c r="HB360" s="1">
        <f t="shared" si="715"/>
        <v>0</v>
      </c>
      <c r="HC360" s="1">
        <f t="shared" si="716"/>
        <v>0</v>
      </c>
      <c r="HD360" s="37" t="s">
        <v>2</v>
      </c>
      <c r="HE360" s="1" t="s">
        <v>113</v>
      </c>
      <c r="HF360" s="1" t="s">
        <v>671</v>
      </c>
      <c r="HG360" s="1" t="s">
        <v>672</v>
      </c>
      <c r="HI360" s="1" t="s">
        <v>96</v>
      </c>
      <c r="HJ360" s="37" t="s">
        <v>2</v>
      </c>
      <c r="JH360" s="58" t="s">
        <v>2</v>
      </c>
    </row>
    <row r="361" spans="1:268" ht="16.25" customHeight="1" x14ac:dyDescent="0.2">
      <c r="A361" s="15" t="s">
        <v>774</v>
      </c>
      <c r="B361" s="1" t="s">
        <v>71</v>
      </c>
      <c r="C361" s="27">
        <f>46+(46+(41.16/60))/60</f>
        <v>46.778100000000002</v>
      </c>
      <c r="D361" s="27">
        <f>-80-(52+(32.52/60))/60</f>
        <v>-80.875699999999995</v>
      </c>
      <c r="F361" s="1" t="s">
        <v>775</v>
      </c>
      <c r="I361" s="1">
        <v>0.42</v>
      </c>
      <c r="J361" s="1">
        <v>4.26</v>
      </c>
      <c r="K361" s="1">
        <v>0.69</v>
      </c>
      <c r="Q361" s="1">
        <v>0.36</v>
      </c>
      <c r="S361" s="13">
        <f>0.4*3.43</f>
        <v>1.3720000000000001</v>
      </c>
      <c r="T361" s="13">
        <f>0.6*3.43</f>
        <v>2.0579999999999998</v>
      </c>
      <c r="AD361" s="13">
        <f>6.06+0.64</f>
        <v>6.6999999999999993</v>
      </c>
      <c r="AE361" s="13">
        <f>(0.21*6.06+4.51*0.64)/AD361</f>
        <v>0.62074626865671645</v>
      </c>
      <c r="AF361" s="13">
        <f>(0*6.06+0.75*0.64)/AD361</f>
        <v>7.1641791044776124E-2</v>
      </c>
      <c r="AL361" s="13">
        <f>(0.75*6.06+0.39*0.64)/AD361</f>
        <v>0.7156119402985075</v>
      </c>
      <c r="AN361" s="13">
        <f>0.4*((0*6.06+3.44*0.64)/(6.06+0.64))</f>
        <v>0.13143880597014929</v>
      </c>
      <c r="AO361" s="13">
        <f>0.6*((0*6.06+3.44*0.64)/(6.06+0.64))</f>
        <v>0.1971582089552239</v>
      </c>
      <c r="AY361" s="1">
        <v>0.32</v>
      </c>
      <c r="AZ361" s="1">
        <v>3.44</v>
      </c>
      <c r="BA361" s="1">
        <v>0.52</v>
      </c>
      <c r="BG361" s="1">
        <v>0.32</v>
      </c>
      <c r="BI361" s="13">
        <f>0.4*2.78</f>
        <v>1.1119999999999999</v>
      </c>
      <c r="BJ361" s="13">
        <f>0.6*2.78</f>
        <v>1.6679999999999999</v>
      </c>
      <c r="BT361" s="1">
        <v>0</v>
      </c>
      <c r="CO361" s="1">
        <v>0</v>
      </c>
      <c r="DJ361" s="1" t="s">
        <v>96</v>
      </c>
      <c r="DL361" s="1">
        <f t="shared" si="632"/>
        <v>0.67852150537634415</v>
      </c>
      <c r="DM361" s="1">
        <f t="shared" si="633"/>
        <v>0</v>
      </c>
      <c r="DN361" s="1" t="s">
        <v>776</v>
      </c>
      <c r="DO361" s="1" t="s">
        <v>2</v>
      </c>
      <c r="DP361" s="38">
        <f t="shared" si="640"/>
        <v>7.0489999999999997E-2</v>
      </c>
      <c r="DQ361" s="38">
        <f t="shared" si="641"/>
        <v>0.93619999999999992</v>
      </c>
      <c r="DR361" s="38">
        <f t="shared" si="642"/>
        <v>0</v>
      </c>
      <c r="DS361" s="38">
        <f t="shared" si="643"/>
        <v>0</v>
      </c>
      <c r="DT361" s="38">
        <f t="shared" si="644"/>
        <v>0</v>
      </c>
      <c r="DU361" s="38">
        <f t="shared" si="645"/>
        <v>0</v>
      </c>
      <c r="DV361" s="38">
        <f t="shared" si="646"/>
        <v>0</v>
      </c>
      <c r="DW361" s="38">
        <f t="shared" si="647"/>
        <v>5.0482000000000006E-2</v>
      </c>
      <c r="DX361" s="38">
        <f t="shared" si="648"/>
        <v>0</v>
      </c>
      <c r="DY361" s="38">
        <f t="shared" si="649"/>
        <v>1.8127199999999999</v>
      </c>
      <c r="DZ361" s="38">
        <f t="shared" si="650"/>
        <v>2.7190799999999999</v>
      </c>
      <c r="EA361" s="38">
        <f t="shared" si="651"/>
        <v>0</v>
      </c>
      <c r="EB361" s="38">
        <f t="shared" si="652"/>
        <v>0</v>
      </c>
      <c r="EC361" s="38">
        <f t="shared" si="653"/>
        <v>0</v>
      </c>
      <c r="ED361" s="38">
        <f t="shared" si="654"/>
        <v>0</v>
      </c>
      <c r="EE361" s="38">
        <f t="shared" si="655"/>
        <v>0</v>
      </c>
      <c r="EG361" s="38">
        <f t="shared" si="656"/>
        <v>0</v>
      </c>
      <c r="EH361" s="38">
        <f t="shared" si="657"/>
        <v>0</v>
      </c>
      <c r="EI361" s="38">
        <f t="shared" si="658"/>
        <v>459.99067184</v>
      </c>
      <c r="EJ361" s="38">
        <f t="shared" si="659"/>
        <v>38.290881028938898</v>
      </c>
      <c r="EK361" s="38">
        <f t="shared" si="660"/>
        <v>0</v>
      </c>
      <c r="EL361" s="38">
        <f t="shared" si="661"/>
        <v>0</v>
      </c>
      <c r="EM361" s="38">
        <f t="shared" si="662"/>
        <v>0</v>
      </c>
      <c r="EN361" s="38">
        <f t="shared" si="663"/>
        <v>0</v>
      </c>
      <c r="EO361" s="38">
        <f t="shared" si="664"/>
        <v>0</v>
      </c>
      <c r="EP361" s="38">
        <f t="shared" si="665"/>
        <v>662.02094800000009</v>
      </c>
      <c r="EQ361" s="38">
        <f t="shared" si="666"/>
        <v>0</v>
      </c>
      <c r="ER361" s="38">
        <f t="shared" si="667"/>
        <v>51.447441646302238</v>
      </c>
      <c r="ES361" s="38">
        <f t="shared" si="668"/>
        <v>90.615308180064304</v>
      </c>
      <c r="ET361" s="38">
        <f t="shared" si="669"/>
        <v>0</v>
      </c>
      <c r="EU361" s="38">
        <f t="shared" si="670"/>
        <v>0</v>
      </c>
      <c r="EV361" s="38">
        <f t="shared" si="671"/>
        <v>0</v>
      </c>
      <c r="EW361" s="38">
        <f t="shared" si="672"/>
        <v>0</v>
      </c>
      <c r="EX361" s="38">
        <f t="shared" si="673"/>
        <v>0</v>
      </c>
      <c r="EZ361" s="38">
        <f t="shared" si="674"/>
        <v>0</v>
      </c>
      <c r="FA361" s="38">
        <f t="shared" si="675"/>
        <v>0</v>
      </c>
      <c r="FB361" s="1">
        <f t="shared" si="676"/>
        <v>0</v>
      </c>
      <c r="FC361" s="1">
        <f t="shared" si="677"/>
        <v>0</v>
      </c>
      <c r="FD361" s="1">
        <f t="shared" si="678"/>
        <v>0</v>
      </c>
      <c r="FE361" s="1">
        <f t="shared" si="679"/>
        <v>0</v>
      </c>
      <c r="FF361" s="1">
        <f t="shared" si="680"/>
        <v>0</v>
      </c>
      <c r="FG361" s="1">
        <f t="shared" si="681"/>
        <v>0</v>
      </c>
      <c r="FH361" s="1">
        <f t="shared" si="682"/>
        <v>0</v>
      </c>
      <c r="FI361" s="1">
        <f t="shared" si="683"/>
        <v>0</v>
      </c>
      <c r="FJ361" s="1">
        <f t="shared" si="684"/>
        <v>0</v>
      </c>
      <c r="FK361" s="1">
        <f t="shared" si="685"/>
        <v>0</v>
      </c>
      <c r="FL361" s="1">
        <f t="shared" si="686"/>
        <v>0</v>
      </c>
      <c r="FM361" s="1">
        <f t="shared" si="687"/>
        <v>0</v>
      </c>
      <c r="FN361" s="1">
        <f t="shared" si="688"/>
        <v>0</v>
      </c>
      <c r="FO361" s="1">
        <f t="shared" si="689"/>
        <v>0</v>
      </c>
      <c r="FP361" s="1">
        <f t="shared" si="690"/>
        <v>0</v>
      </c>
      <c r="FQ361" s="1">
        <f t="shared" si="691"/>
        <v>0</v>
      </c>
      <c r="FS361" s="1">
        <f t="shared" si="692"/>
        <v>0</v>
      </c>
      <c r="FT361" s="1">
        <f t="shared" si="693"/>
        <v>0</v>
      </c>
      <c r="FU361" s="38">
        <f t="shared" si="694"/>
        <v>0</v>
      </c>
      <c r="FV361" s="38">
        <f t="shared" si="695"/>
        <v>0</v>
      </c>
      <c r="FW361" s="38">
        <f t="shared" si="696"/>
        <v>0</v>
      </c>
      <c r="FX361" s="38">
        <f t="shared" si="697"/>
        <v>0</v>
      </c>
      <c r="FY361" s="38">
        <f t="shared" si="698"/>
        <v>0</v>
      </c>
      <c r="FZ361" s="38">
        <f t="shared" si="699"/>
        <v>0</v>
      </c>
      <c r="GA361" s="38">
        <f t="shared" si="700"/>
        <v>0</v>
      </c>
      <c r="GB361" s="38">
        <f t="shared" si="701"/>
        <v>0</v>
      </c>
      <c r="GC361" s="38">
        <f t="shared" si="702"/>
        <v>0</v>
      </c>
      <c r="GD361" s="38">
        <f t="shared" si="703"/>
        <v>0</v>
      </c>
      <c r="GE361" s="38">
        <f t="shared" si="704"/>
        <v>0</v>
      </c>
      <c r="GF361" s="38">
        <f t="shared" si="705"/>
        <v>0</v>
      </c>
      <c r="GG361" s="38">
        <f t="shared" si="706"/>
        <v>0</v>
      </c>
      <c r="GH361" s="38">
        <f t="shared" si="707"/>
        <v>0</v>
      </c>
      <c r="GI361" s="38">
        <f t="shared" si="708"/>
        <v>0</v>
      </c>
      <c r="GJ361" s="38">
        <f t="shared" si="709"/>
        <v>0</v>
      </c>
      <c r="GL361" s="38">
        <f t="shared" si="710"/>
        <v>0</v>
      </c>
      <c r="GM361" s="38">
        <f t="shared" si="711"/>
        <v>0</v>
      </c>
      <c r="GN361" s="1" t="s">
        <v>2</v>
      </c>
      <c r="GO361" s="1">
        <f t="shared" si="634"/>
        <v>7.4399999999999995</v>
      </c>
      <c r="GP361" s="13">
        <f t="shared" si="635"/>
        <v>0.67852150537634415</v>
      </c>
      <c r="GQ361" s="41">
        <f t="shared" si="636"/>
        <v>50.481999999999999</v>
      </c>
      <c r="GR361" s="41">
        <f t="shared" si="637"/>
        <v>1302.3652506953056</v>
      </c>
      <c r="GS361" s="14">
        <f t="shared" si="638"/>
        <v>175.04909283539055</v>
      </c>
      <c r="GT361" s="1">
        <f t="shared" si="712"/>
        <v>1.5119999999999998</v>
      </c>
      <c r="GU361" s="1">
        <f t="shared" si="713"/>
        <v>47.946000000000005</v>
      </c>
      <c r="GV361" s="1">
        <f t="shared" si="714"/>
        <v>1.024</v>
      </c>
      <c r="GW361" s="37">
        <f t="shared" si="639"/>
        <v>0</v>
      </c>
      <c r="GX361" s="37"/>
      <c r="GY361" s="37"/>
      <c r="GZ361" s="37"/>
      <c r="HB361" s="1">
        <f t="shared" si="715"/>
        <v>0</v>
      </c>
      <c r="HC361" s="1">
        <f t="shared" si="716"/>
        <v>0</v>
      </c>
      <c r="HD361" s="37" t="s">
        <v>2</v>
      </c>
      <c r="HE361" s="1" t="s">
        <v>113</v>
      </c>
      <c r="HF361" s="1" t="s">
        <v>671</v>
      </c>
      <c r="HG361" s="1" t="s">
        <v>672</v>
      </c>
      <c r="HI361" s="1" t="s">
        <v>96</v>
      </c>
      <c r="HJ361" s="37" t="s">
        <v>2</v>
      </c>
      <c r="JH361" s="58" t="s">
        <v>2</v>
      </c>
    </row>
    <row r="362" spans="1:268" ht="16.25" customHeight="1" x14ac:dyDescent="0.2">
      <c r="A362" s="15" t="s">
        <v>777</v>
      </c>
      <c r="B362" s="1" t="s">
        <v>69</v>
      </c>
      <c r="C362" s="27">
        <f>46+(25+(25.67/60))/60</f>
        <v>46.42379722222222</v>
      </c>
      <c r="D362" s="27">
        <f>-81-(23+(15.04/60))/60</f>
        <v>-81.38751111111111</v>
      </c>
      <c r="F362" s="1" t="s">
        <v>742</v>
      </c>
      <c r="I362" s="1">
        <v>0</v>
      </c>
      <c r="AD362" s="1">
        <v>0.18</v>
      </c>
      <c r="AE362" s="1">
        <v>0.78</v>
      </c>
      <c r="AL362" s="1">
        <v>2.3199999999999998</v>
      </c>
      <c r="AY362" s="1">
        <v>0.04</v>
      </c>
      <c r="AZ362" s="13">
        <v>0.8</v>
      </c>
      <c r="BG362" s="1">
        <v>2.93</v>
      </c>
      <c r="BT362" s="1">
        <v>0</v>
      </c>
      <c r="CO362" s="1">
        <v>0</v>
      </c>
      <c r="DJ362" s="1" t="s">
        <v>96</v>
      </c>
      <c r="DL362" s="1">
        <f t="shared" si="632"/>
        <v>2.4309090909090907</v>
      </c>
      <c r="DM362" s="1">
        <f t="shared" si="633"/>
        <v>0</v>
      </c>
      <c r="DN362" s="1" t="s">
        <v>769</v>
      </c>
      <c r="DO362" s="1" t="s">
        <v>2</v>
      </c>
      <c r="DP362" s="38">
        <f t="shared" si="640"/>
        <v>1.7240000000000001E-3</v>
      </c>
      <c r="DQ362" s="38">
        <f t="shared" si="641"/>
        <v>0</v>
      </c>
      <c r="DR362" s="38">
        <f t="shared" si="642"/>
        <v>0</v>
      </c>
      <c r="DS362" s="38">
        <f t="shared" si="643"/>
        <v>0</v>
      </c>
      <c r="DT362" s="38">
        <f t="shared" si="644"/>
        <v>0</v>
      </c>
      <c r="DU362" s="38">
        <f t="shared" si="645"/>
        <v>0</v>
      </c>
      <c r="DV362" s="38">
        <f t="shared" si="646"/>
        <v>0</v>
      </c>
      <c r="DW362" s="38">
        <f t="shared" si="647"/>
        <v>5.3479999999999995E-3</v>
      </c>
      <c r="DX362" s="38">
        <f t="shared" si="648"/>
        <v>0</v>
      </c>
      <c r="DY362" s="38">
        <f t="shared" si="649"/>
        <v>0</v>
      </c>
      <c r="DZ362" s="38">
        <f t="shared" si="650"/>
        <v>0</v>
      </c>
      <c r="EA362" s="38">
        <f t="shared" si="651"/>
        <v>0</v>
      </c>
      <c r="EB362" s="38">
        <f t="shared" si="652"/>
        <v>0</v>
      </c>
      <c r="EC362" s="38">
        <f t="shared" si="653"/>
        <v>0</v>
      </c>
      <c r="ED362" s="38">
        <f t="shared" si="654"/>
        <v>0</v>
      </c>
      <c r="EE362" s="38">
        <f t="shared" si="655"/>
        <v>0</v>
      </c>
      <c r="EG362" s="38">
        <f t="shared" si="656"/>
        <v>0</v>
      </c>
      <c r="EH362" s="38">
        <f t="shared" si="657"/>
        <v>0</v>
      </c>
      <c r="EI362" s="38">
        <f t="shared" si="658"/>
        <v>11.250161984</v>
      </c>
      <c r="EJ362" s="38">
        <f t="shared" si="659"/>
        <v>0</v>
      </c>
      <c r="EK362" s="38">
        <f t="shared" si="660"/>
        <v>0</v>
      </c>
      <c r="EL362" s="38">
        <f t="shared" si="661"/>
        <v>0</v>
      </c>
      <c r="EM362" s="38">
        <f t="shared" si="662"/>
        <v>0</v>
      </c>
      <c r="EN362" s="38">
        <f t="shared" si="663"/>
        <v>0</v>
      </c>
      <c r="EO362" s="38">
        <f t="shared" si="664"/>
        <v>0</v>
      </c>
      <c r="EP362" s="38">
        <f t="shared" si="665"/>
        <v>70.13367199999999</v>
      </c>
      <c r="EQ362" s="38">
        <f t="shared" si="666"/>
        <v>0</v>
      </c>
      <c r="ER362" s="38">
        <f t="shared" si="667"/>
        <v>0</v>
      </c>
      <c r="ES362" s="38">
        <f t="shared" si="668"/>
        <v>0</v>
      </c>
      <c r="ET362" s="38">
        <f t="shared" si="669"/>
        <v>0</v>
      </c>
      <c r="EU362" s="38">
        <f t="shared" si="670"/>
        <v>0</v>
      </c>
      <c r="EV362" s="38">
        <f t="shared" si="671"/>
        <v>0</v>
      </c>
      <c r="EW362" s="38">
        <f t="shared" si="672"/>
        <v>0</v>
      </c>
      <c r="EX362" s="38">
        <f t="shared" si="673"/>
        <v>0</v>
      </c>
      <c r="EZ362" s="38">
        <f t="shared" si="674"/>
        <v>0</v>
      </c>
      <c r="FA362" s="38">
        <f t="shared" si="675"/>
        <v>0</v>
      </c>
      <c r="FB362" s="1">
        <f t="shared" si="676"/>
        <v>0</v>
      </c>
      <c r="FC362" s="1">
        <f t="shared" si="677"/>
        <v>0</v>
      </c>
      <c r="FD362" s="1">
        <f t="shared" si="678"/>
        <v>0</v>
      </c>
      <c r="FE362" s="1">
        <f t="shared" si="679"/>
        <v>0</v>
      </c>
      <c r="FF362" s="1">
        <f t="shared" si="680"/>
        <v>0</v>
      </c>
      <c r="FG362" s="1">
        <f t="shared" si="681"/>
        <v>0</v>
      </c>
      <c r="FH362" s="1">
        <f t="shared" si="682"/>
        <v>0</v>
      </c>
      <c r="FI362" s="1">
        <f t="shared" si="683"/>
        <v>0</v>
      </c>
      <c r="FJ362" s="1">
        <f t="shared" si="684"/>
        <v>0</v>
      </c>
      <c r="FK362" s="1">
        <f t="shared" si="685"/>
        <v>0</v>
      </c>
      <c r="FL362" s="1">
        <f t="shared" si="686"/>
        <v>0</v>
      </c>
      <c r="FM362" s="1">
        <f t="shared" si="687"/>
        <v>0</v>
      </c>
      <c r="FN362" s="1">
        <f t="shared" si="688"/>
        <v>0</v>
      </c>
      <c r="FO362" s="1">
        <f t="shared" si="689"/>
        <v>0</v>
      </c>
      <c r="FP362" s="1">
        <f t="shared" si="690"/>
        <v>0</v>
      </c>
      <c r="FQ362" s="1">
        <f t="shared" si="691"/>
        <v>0</v>
      </c>
      <c r="FS362" s="1">
        <f t="shared" si="692"/>
        <v>0</v>
      </c>
      <c r="FT362" s="1">
        <f t="shared" si="693"/>
        <v>0</v>
      </c>
      <c r="FU362" s="38">
        <f t="shared" si="694"/>
        <v>0</v>
      </c>
      <c r="FV362" s="38">
        <f t="shared" si="695"/>
        <v>0</v>
      </c>
      <c r="FW362" s="38">
        <f t="shared" si="696"/>
        <v>0</v>
      </c>
      <c r="FX362" s="38">
        <f t="shared" si="697"/>
        <v>0</v>
      </c>
      <c r="FY362" s="38">
        <f t="shared" si="698"/>
        <v>0</v>
      </c>
      <c r="FZ362" s="38">
        <f t="shared" si="699"/>
        <v>0</v>
      </c>
      <c r="GA362" s="38">
        <f t="shared" si="700"/>
        <v>0</v>
      </c>
      <c r="GB362" s="38">
        <f t="shared" si="701"/>
        <v>0</v>
      </c>
      <c r="GC362" s="38">
        <f t="shared" si="702"/>
        <v>0</v>
      </c>
      <c r="GD362" s="38">
        <f t="shared" si="703"/>
        <v>0</v>
      </c>
      <c r="GE362" s="38">
        <f t="shared" si="704"/>
        <v>0</v>
      </c>
      <c r="GF362" s="38">
        <f t="shared" si="705"/>
        <v>0</v>
      </c>
      <c r="GG362" s="38">
        <f t="shared" si="706"/>
        <v>0</v>
      </c>
      <c r="GH362" s="38">
        <f t="shared" si="707"/>
        <v>0</v>
      </c>
      <c r="GI362" s="38">
        <f t="shared" si="708"/>
        <v>0</v>
      </c>
      <c r="GJ362" s="38">
        <f t="shared" si="709"/>
        <v>0</v>
      </c>
      <c r="GL362" s="38">
        <f t="shared" si="710"/>
        <v>0</v>
      </c>
      <c r="GM362" s="38">
        <f t="shared" si="711"/>
        <v>0</v>
      </c>
      <c r="GN362" s="1" t="s">
        <v>2</v>
      </c>
      <c r="GO362" s="1">
        <f t="shared" si="634"/>
        <v>0.22</v>
      </c>
      <c r="GP362" s="13">
        <f t="shared" si="635"/>
        <v>2.4309090909090907</v>
      </c>
      <c r="GQ362" s="41">
        <f t="shared" si="636"/>
        <v>5.3479999999999999</v>
      </c>
      <c r="GR362" s="41">
        <f t="shared" si="637"/>
        <v>81.383833983999992</v>
      </c>
      <c r="GS362" s="14">
        <f t="shared" si="638"/>
        <v>369.92651810909086</v>
      </c>
      <c r="GT362" s="1">
        <f t="shared" si="712"/>
        <v>0</v>
      </c>
      <c r="GU362" s="1">
        <f t="shared" si="713"/>
        <v>4.1759999999999993</v>
      </c>
      <c r="GV362" s="1">
        <f t="shared" si="714"/>
        <v>1.1720000000000002</v>
      </c>
      <c r="GW362" s="37">
        <f t="shared" si="639"/>
        <v>0</v>
      </c>
      <c r="GX362" s="37"/>
      <c r="GY362" s="37"/>
      <c r="GZ362" s="37"/>
      <c r="HB362" s="1">
        <f t="shared" si="715"/>
        <v>0</v>
      </c>
      <c r="HC362" s="1">
        <f t="shared" si="716"/>
        <v>0</v>
      </c>
      <c r="HD362" s="37" t="s">
        <v>2</v>
      </c>
      <c r="HE362" s="1" t="s">
        <v>113</v>
      </c>
      <c r="HF362" s="1" t="s">
        <v>671</v>
      </c>
      <c r="HG362" s="1" t="s">
        <v>672</v>
      </c>
      <c r="HI362" s="1" t="s">
        <v>96</v>
      </c>
      <c r="HJ362" s="37" t="s">
        <v>2</v>
      </c>
      <c r="JH362" s="58" t="s">
        <v>2</v>
      </c>
    </row>
    <row r="363" spans="1:268" ht="16.25" customHeight="1" x14ac:dyDescent="0.2">
      <c r="A363" s="15" t="s">
        <v>778</v>
      </c>
      <c r="B363" s="1" t="s">
        <v>69</v>
      </c>
      <c r="C363" s="27">
        <f>46+(44+(27.74/60))/60</f>
        <v>46.741038888888887</v>
      </c>
      <c r="D363" s="27">
        <f>-81-(7+(57.94/60))/60</f>
        <v>-81.132761111111108</v>
      </c>
      <c r="F363" s="1" t="s">
        <v>779</v>
      </c>
      <c r="I363" s="1">
        <v>0</v>
      </c>
      <c r="AD363" s="1">
        <v>1.56</v>
      </c>
      <c r="AE363" s="1">
        <v>0.46</v>
      </c>
      <c r="AL363" s="1">
        <v>0.94</v>
      </c>
      <c r="AY363" s="1">
        <v>0.8</v>
      </c>
      <c r="AZ363" s="1">
        <v>0.56999999999999995</v>
      </c>
      <c r="BG363" s="1">
        <v>1.17</v>
      </c>
      <c r="BT363" s="1">
        <v>0</v>
      </c>
      <c r="CO363" s="1">
        <v>0</v>
      </c>
      <c r="DJ363" s="1" t="s">
        <v>96</v>
      </c>
      <c r="DL363" s="1">
        <f t="shared" si="632"/>
        <v>1.0179661016949151</v>
      </c>
      <c r="DM363" s="1">
        <f t="shared" si="633"/>
        <v>0</v>
      </c>
      <c r="DN363" s="1" t="s">
        <v>780</v>
      </c>
      <c r="DO363" s="1" t="s">
        <v>2</v>
      </c>
      <c r="DP363" s="38">
        <f t="shared" si="640"/>
        <v>1.1736E-2</v>
      </c>
      <c r="DQ363" s="38">
        <f t="shared" si="641"/>
        <v>0</v>
      </c>
      <c r="DR363" s="38">
        <f t="shared" si="642"/>
        <v>0</v>
      </c>
      <c r="DS363" s="38">
        <f t="shared" si="643"/>
        <v>0</v>
      </c>
      <c r="DT363" s="38">
        <f t="shared" si="644"/>
        <v>0</v>
      </c>
      <c r="DU363" s="38">
        <f t="shared" si="645"/>
        <v>0</v>
      </c>
      <c r="DV363" s="38">
        <f t="shared" si="646"/>
        <v>0</v>
      </c>
      <c r="DW363" s="38">
        <f t="shared" si="647"/>
        <v>2.4024E-2</v>
      </c>
      <c r="DX363" s="38">
        <f t="shared" si="648"/>
        <v>0</v>
      </c>
      <c r="DY363" s="38">
        <f t="shared" si="649"/>
        <v>0</v>
      </c>
      <c r="DZ363" s="38">
        <f t="shared" si="650"/>
        <v>0</v>
      </c>
      <c r="EA363" s="38">
        <f t="shared" si="651"/>
        <v>0</v>
      </c>
      <c r="EB363" s="38">
        <f t="shared" si="652"/>
        <v>0</v>
      </c>
      <c r="EC363" s="38">
        <f t="shared" si="653"/>
        <v>0</v>
      </c>
      <c r="ED363" s="38">
        <f t="shared" si="654"/>
        <v>0</v>
      </c>
      <c r="EE363" s="38">
        <f t="shared" si="655"/>
        <v>0</v>
      </c>
      <c r="EG363" s="38">
        <f t="shared" si="656"/>
        <v>0</v>
      </c>
      <c r="EH363" s="38">
        <f t="shared" si="657"/>
        <v>0</v>
      </c>
      <c r="EI363" s="38">
        <f t="shared" si="658"/>
        <v>76.584629375999995</v>
      </c>
      <c r="EJ363" s="38">
        <f t="shared" si="659"/>
        <v>0</v>
      </c>
      <c r="EK363" s="38">
        <f t="shared" si="660"/>
        <v>0</v>
      </c>
      <c r="EL363" s="38">
        <f t="shared" si="661"/>
        <v>0</v>
      </c>
      <c r="EM363" s="38">
        <f t="shared" si="662"/>
        <v>0</v>
      </c>
      <c r="EN363" s="38">
        <f t="shared" si="663"/>
        <v>0</v>
      </c>
      <c r="EO363" s="38">
        <f t="shared" si="664"/>
        <v>0</v>
      </c>
      <c r="EP363" s="38">
        <f t="shared" si="665"/>
        <v>315.05073600000003</v>
      </c>
      <c r="EQ363" s="38">
        <f t="shared" si="666"/>
        <v>0</v>
      </c>
      <c r="ER363" s="38">
        <f t="shared" si="667"/>
        <v>0</v>
      </c>
      <c r="ES363" s="38">
        <f t="shared" si="668"/>
        <v>0</v>
      </c>
      <c r="ET363" s="38">
        <f t="shared" si="669"/>
        <v>0</v>
      </c>
      <c r="EU363" s="38">
        <f t="shared" si="670"/>
        <v>0</v>
      </c>
      <c r="EV363" s="38">
        <f t="shared" si="671"/>
        <v>0</v>
      </c>
      <c r="EW363" s="38">
        <f t="shared" si="672"/>
        <v>0</v>
      </c>
      <c r="EX363" s="38">
        <f t="shared" si="673"/>
        <v>0</v>
      </c>
      <c r="EZ363" s="38">
        <f t="shared" si="674"/>
        <v>0</v>
      </c>
      <c r="FA363" s="38">
        <f t="shared" si="675"/>
        <v>0</v>
      </c>
      <c r="FB363" s="1">
        <f t="shared" si="676"/>
        <v>0</v>
      </c>
      <c r="FC363" s="1">
        <f t="shared" si="677"/>
        <v>0</v>
      </c>
      <c r="FD363" s="1">
        <f t="shared" si="678"/>
        <v>0</v>
      </c>
      <c r="FE363" s="1">
        <f t="shared" si="679"/>
        <v>0</v>
      </c>
      <c r="FF363" s="1">
        <f t="shared" si="680"/>
        <v>0</v>
      </c>
      <c r="FG363" s="1">
        <f t="shared" si="681"/>
        <v>0</v>
      </c>
      <c r="FH363" s="1">
        <f t="shared" si="682"/>
        <v>0</v>
      </c>
      <c r="FI363" s="1">
        <f t="shared" si="683"/>
        <v>0</v>
      </c>
      <c r="FJ363" s="1">
        <f t="shared" si="684"/>
        <v>0</v>
      </c>
      <c r="FK363" s="1">
        <f t="shared" si="685"/>
        <v>0</v>
      </c>
      <c r="FL363" s="1">
        <f t="shared" si="686"/>
        <v>0</v>
      </c>
      <c r="FM363" s="1">
        <f t="shared" si="687"/>
        <v>0</v>
      </c>
      <c r="FN363" s="1">
        <f t="shared" si="688"/>
        <v>0</v>
      </c>
      <c r="FO363" s="1">
        <f t="shared" si="689"/>
        <v>0</v>
      </c>
      <c r="FP363" s="1">
        <f t="shared" si="690"/>
        <v>0</v>
      </c>
      <c r="FQ363" s="1">
        <f t="shared" si="691"/>
        <v>0</v>
      </c>
      <c r="FS363" s="1">
        <f t="shared" si="692"/>
        <v>0</v>
      </c>
      <c r="FT363" s="1">
        <f t="shared" si="693"/>
        <v>0</v>
      </c>
      <c r="FU363" s="38">
        <f t="shared" si="694"/>
        <v>0</v>
      </c>
      <c r="FV363" s="38">
        <f t="shared" si="695"/>
        <v>0</v>
      </c>
      <c r="FW363" s="38">
        <f t="shared" si="696"/>
        <v>0</v>
      </c>
      <c r="FX363" s="38">
        <f t="shared" si="697"/>
        <v>0</v>
      </c>
      <c r="FY363" s="38">
        <f t="shared" si="698"/>
        <v>0</v>
      </c>
      <c r="FZ363" s="38">
        <f t="shared" si="699"/>
        <v>0</v>
      </c>
      <c r="GA363" s="38">
        <f t="shared" si="700"/>
        <v>0</v>
      </c>
      <c r="GB363" s="38">
        <f t="shared" si="701"/>
        <v>0</v>
      </c>
      <c r="GC363" s="38">
        <f t="shared" si="702"/>
        <v>0</v>
      </c>
      <c r="GD363" s="38">
        <f t="shared" si="703"/>
        <v>0</v>
      </c>
      <c r="GE363" s="38">
        <f t="shared" si="704"/>
        <v>0</v>
      </c>
      <c r="GF363" s="38">
        <f t="shared" si="705"/>
        <v>0</v>
      </c>
      <c r="GG363" s="38">
        <f t="shared" si="706"/>
        <v>0</v>
      </c>
      <c r="GH363" s="38">
        <f t="shared" si="707"/>
        <v>0</v>
      </c>
      <c r="GI363" s="38">
        <f t="shared" si="708"/>
        <v>0</v>
      </c>
      <c r="GJ363" s="38">
        <f t="shared" si="709"/>
        <v>0</v>
      </c>
      <c r="GL363" s="38">
        <f t="shared" si="710"/>
        <v>0</v>
      </c>
      <c r="GM363" s="38">
        <f t="shared" si="711"/>
        <v>0</v>
      </c>
      <c r="GN363" s="1" t="s">
        <v>2</v>
      </c>
      <c r="GO363" s="1">
        <f t="shared" si="634"/>
        <v>2.3600000000000003</v>
      </c>
      <c r="GP363" s="13">
        <f t="shared" si="635"/>
        <v>1.0179661016949151</v>
      </c>
      <c r="GQ363" s="41">
        <f t="shared" si="636"/>
        <v>24.024000000000001</v>
      </c>
      <c r="GR363" s="41">
        <f t="shared" si="637"/>
        <v>391.63536537600004</v>
      </c>
      <c r="GS363" s="14">
        <f t="shared" si="638"/>
        <v>165.94718871864407</v>
      </c>
      <c r="GT363" s="1">
        <f t="shared" si="712"/>
        <v>0</v>
      </c>
      <c r="GU363" s="1">
        <f t="shared" si="713"/>
        <v>14.663999999999998</v>
      </c>
      <c r="GV363" s="1">
        <f t="shared" si="714"/>
        <v>9.36</v>
      </c>
      <c r="GW363" s="37">
        <f t="shared" si="639"/>
        <v>0</v>
      </c>
      <c r="GX363" s="37"/>
      <c r="GY363" s="37"/>
      <c r="GZ363" s="37"/>
      <c r="HB363" s="1">
        <f t="shared" si="715"/>
        <v>0</v>
      </c>
      <c r="HC363" s="1">
        <f t="shared" si="716"/>
        <v>0</v>
      </c>
      <c r="HD363" s="37" t="s">
        <v>2</v>
      </c>
      <c r="HE363" s="1" t="s">
        <v>113</v>
      </c>
      <c r="HF363" s="1" t="s">
        <v>671</v>
      </c>
      <c r="HG363" s="1" t="s">
        <v>672</v>
      </c>
      <c r="HI363" s="1" t="s">
        <v>96</v>
      </c>
      <c r="HJ363" s="37" t="s">
        <v>2</v>
      </c>
      <c r="JH363" s="58" t="s">
        <v>2</v>
      </c>
    </row>
    <row r="364" spans="1:268" ht="16.25" customHeight="1" x14ac:dyDescent="0.2">
      <c r="A364" s="15" t="s">
        <v>781</v>
      </c>
      <c r="B364" s="1" t="s">
        <v>71</v>
      </c>
      <c r="C364" s="27">
        <f>46+(25+(25.67/60))/60</f>
        <v>46.42379722222222</v>
      </c>
      <c r="D364" s="27">
        <f>-81-(23+(15.04/60))/60</f>
        <v>-81.38751111111111</v>
      </c>
      <c r="F364" s="1" t="s">
        <v>775</v>
      </c>
      <c r="I364" s="1">
        <v>0</v>
      </c>
      <c r="AD364" s="1">
        <v>0</v>
      </c>
      <c r="AY364" s="1">
        <v>14.2</v>
      </c>
      <c r="AZ364" s="1">
        <v>2.5</v>
      </c>
      <c r="BA364" s="14">
        <f>0.03*31.1/0.9072</f>
        <v>1.0284391534391535</v>
      </c>
      <c r="BB364" s="14">
        <f>0.4*31.1/0.9072</f>
        <v>13.71252204585538</v>
      </c>
      <c r="BG364" s="1">
        <v>2.5</v>
      </c>
      <c r="BH364" s="1">
        <v>0.05</v>
      </c>
      <c r="BI364" s="14">
        <f>0.08*31.1/0.9072</f>
        <v>2.742504409171076</v>
      </c>
      <c r="BJ364" s="14">
        <f>0.12*31.1/0.9072</f>
        <v>4.1137566137566139</v>
      </c>
      <c r="BT364" s="1">
        <v>0</v>
      </c>
      <c r="CO364" s="1">
        <v>0</v>
      </c>
      <c r="DJ364" s="1" t="s">
        <v>96</v>
      </c>
      <c r="DK364" s="1" t="s">
        <v>96</v>
      </c>
      <c r="DL364" s="1">
        <f t="shared" si="632"/>
        <v>2.5</v>
      </c>
      <c r="DM364" s="1">
        <f t="shared" si="633"/>
        <v>0.05</v>
      </c>
      <c r="DN364" s="1" t="s">
        <v>782</v>
      </c>
      <c r="DO364" s="1" t="s">
        <v>2</v>
      </c>
      <c r="DP364" s="38">
        <f t="shared" si="640"/>
        <v>0.35499999999999998</v>
      </c>
      <c r="DQ364" s="38">
        <f t="shared" si="641"/>
        <v>14.60383597883598</v>
      </c>
      <c r="DR364" s="38">
        <f t="shared" si="642"/>
        <v>194.71781305114638</v>
      </c>
      <c r="DS364" s="38">
        <f t="shared" si="643"/>
        <v>0</v>
      </c>
      <c r="DT364" s="38">
        <f t="shared" si="644"/>
        <v>0</v>
      </c>
      <c r="DU364" s="38">
        <f t="shared" si="645"/>
        <v>0</v>
      </c>
      <c r="DV364" s="38">
        <f t="shared" si="646"/>
        <v>0</v>
      </c>
      <c r="DW364" s="38">
        <f t="shared" si="647"/>
        <v>0.35499999999999998</v>
      </c>
      <c r="DX364" s="38">
        <f t="shared" si="648"/>
        <v>7.0999999999999995E-3</v>
      </c>
      <c r="DY364" s="38">
        <f t="shared" si="649"/>
        <v>38.943562610229279</v>
      </c>
      <c r="DZ364" s="38">
        <f t="shared" si="650"/>
        <v>58.415343915343918</v>
      </c>
      <c r="EA364" s="38">
        <f t="shared" si="651"/>
        <v>0</v>
      </c>
      <c r="EB364" s="38">
        <f t="shared" si="652"/>
        <v>0</v>
      </c>
      <c r="EC364" s="38">
        <f t="shared" si="653"/>
        <v>0</v>
      </c>
      <c r="ED364" s="38">
        <f t="shared" si="654"/>
        <v>0</v>
      </c>
      <c r="EE364" s="38">
        <f t="shared" si="655"/>
        <v>0</v>
      </c>
      <c r="EG364" s="38">
        <f t="shared" si="656"/>
        <v>0</v>
      </c>
      <c r="EH364" s="38">
        <f t="shared" si="657"/>
        <v>0</v>
      </c>
      <c r="EI364" s="38">
        <f t="shared" si="658"/>
        <v>2316.5936799999999</v>
      </c>
      <c r="EJ364" s="38">
        <f t="shared" si="659"/>
        <v>597.30158730158723</v>
      </c>
      <c r="EK364" s="38">
        <f t="shared" si="660"/>
        <v>98.611111111111086</v>
      </c>
      <c r="EL364" s="38">
        <f t="shared" si="661"/>
        <v>0</v>
      </c>
      <c r="EM364" s="38">
        <f t="shared" si="662"/>
        <v>0</v>
      </c>
      <c r="EN364" s="38">
        <f t="shared" si="663"/>
        <v>0</v>
      </c>
      <c r="EO364" s="38">
        <f t="shared" si="664"/>
        <v>0</v>
      </c>
      <c r="EP364" s="38">
        <f t="shared" si="665"/>
        <v>4655.4699999999993</v>
      </c>
      <c r="EQ364" s="38">
        <f t="shared" si="666"/>
        <v>515.59862039999985</v>
      </c>
      <c r="ER364" s="38">
        <f t="shared" si="667"/>
        <v>1105.2708994708994</v>
      </c>
      <c r="ES364" s="38">
        <f t="shared" si="668"/>
        <v>1946.7335978835981</v>
      </c>
      <c r="ET364" s="38">
        <f t="shared" si="669"/>
        <v>0</v>
      </c>
      <c r="EU364" s="38">
        <f t="shared" si="670"/>
        <v>0</v>
      </c>
      <c r="EV364" s="38">
        <f t="shared" si="671"/>
        <v>0</v>
      </c>
      <c r="EW364" s="38">
        <f t="shared" si="672"/>
        <v>0</v>
      </c>
      <c r="EX364" s="38">
        <f t="shared" si="673"/>
        <v>0</v>
      </c>
      <c r="EZ364" s="38">
        <f t="shared" si="674"/>
        <v>0</v>
      </c>
      <c r="FA364" s="38">
        <f t="shared" si="675"/>
        <v>0</v>
      </c>
      <c r="FB364" s="1">
        <f t="shared" si="676"/>
        <v>0</v>
      </c>
      <c r="FC364" s="1">
        <f t="shared" si="677"/>
        <v>0</v>
      </c>
      <c r="FD364" s="1">
        <f t="shared" si="678"/>
        <v>0</v>
      </c>
      <c r="FE364" s="1">
        <f t="shared" si="679"/>
        <v>0</v>
      </c>
      <c r="FF364" s="1">
        <f t="shared" si="680"/>
        <v>0</v>
      </c>
      <c r="FG364" s="1">
        <f t="shared" si="681"/>
        <v>0</v>
      </c>
      <c r="FH364" s="1">
        <f t="shared" si="682"/>
        <v>0</v>
      </c>
      <c r="FI364" s="1">
        <f t="shared" si="683"/>
        <v>0</v>
      </c>
      <c r="FJ364" s="1">
        <f t="shared" si="684"/>
        <v>0</v>
      </c>
      <c r="FK364" s="1">
        <f t="shared" si="685"/>
        <v>0</v>
      </c>
      <c r="FL364" s="1">
        <f t="shared" si="686"/>
        <v>0</v>
      </c>
      <c r="FM364" s="1">
        <f t="shared" si="687"/>
        <v>0</v>
      </c>
      <c r="FN364" s="1">
        <f t="shared" si="688"/>
        <v>0</v>
      </c>
      <c r="FO364" s="1">
        <f t="shared" si="689"/>
        <v>0</v>
      </c>
      <c r="FP364" s="1">
        <f t="shared" si="690"/>
        <v>0</v>
      </c>
      <c r="FQ364" s="1">
        <f t="shared" si="691"/>
        <v>0</v>
      </c>
      <c r="FS364" s="1">
        <f t="shared" si="692"/>
        <v>0</v>
      </c>
      <c r="FT364" s="1">
        <f t="shared" si="693"/>
        <v>0</v>
      </c>
      <c r="FU364" s="38">
        <f t="shared" si="694"/>
        <v>0</v>
      </c>
      <c r="FV364" s="38">
        <f t="shared" si="695"/>
        <v>0</v>
      </c>
      <c r="FW364" s="38">
        <f t="shared" si="696"/>
        <v>0</v>
      </c>
      <c r="FX364" s="38">
        <f t="shared" si="697"/>
        <v>0</v>
      </c>
      <c r="FY364" s="38">
        <f t="shared" si="698"/>
        <v>0</v>
      </c>
      <c r="FZ364" s="38">
        <f t="shared" si="699"/>
        <v>0</v>
      </c>
      <c r="GA364" s="38">
        <f t="shared" si="700"/>
        <v>0</v>
      </c>
      <c r="GB364" s="38">
        <f t="shared" si="701"/>
        <v>0</v>
      </c>
      <c r="GC364" s="38">
        <f t="shared" si="702"/>
        <v>0</v>
      </c>
      <c r="GD364" s="38">
        <f t="shared" si="703"/>
        <v>0</v>
      </c>
      <c r="GE364" s="38">
        <f t="shared" si="704"/>
        <v>0</v>
      </c>
      <c r="GF364" s="38">
        <f t="shared" si="705"/>
        <v>0</v>
      </c>
      <c r="GG364" s="38">
        <f t="shared" si="706"/>
        <v>0</v>
      </c>
      <c r="GH364" s="38">
        <f t="shared" si="707"/>
        <v>0</v>
      </c>
      <c r="GI364" s="38">
        <f t="shared" si="708"/>
        <v>0</v>
      </c>
      <c r="GJ364" s="38">
        <f t="shared" si="709"/>
        <v>0</v>
      </c>
      <c r="GL364" s="38">
        <f t="shared" si="710"/>
        <v>0</v>
      </c>
      <c r="GM364" s="38">
        <f t="shared" si="711"/>
        <v>0</v>
      </c>
      <c r="GN364" s="1" t="s">
        <v>2</v>
      </c>
      <c r="GO364" s="1">
        <f t="shared" si="634"/>
        <v>14.2</v>
      </c>
      <c r="GP364" s="1">
        <f t="shared" si="635"/>
        <v>2.5</v>
      </c>
      <c r="GQ364" s="41">
        <f t="shared" si="636"/>
        <v>355</v>
      </c>
      <c r="GR364" s="41">
        <f t="shared" si="637"/>
        <v>11235.579496167196</v>
      </c>
      <c r="GS364" s="14">
        <f t="shared" si="638"/>
        <v>791.2379926878308</v>
      </c>
      <c r="GT364" s="1">
        <f t="shared" si="712"/>
        <v>0</v>
      </c>
      <c r="GU364" s="1">
        <f t="shared" si="713"/>
        <v>0</v>
      </c>
      <c r="GV364" s="1">
        <f t="shared" si="714"/>
        <v>355</v>
      </c>
      <c r="GW364" s="37">
        <f t="shared" si="639"/>
        <v>0</v>
      </c>
      <c r="GX364" s="37"/>
      <c r="GY364" s="37"/>
      <c r="GZ364" s="37"/>
      <c r="HB364" s="1">
        <f t="shared" si="715"/>
        <v>0</v>
      </c>
      <c r="HC364" s="1">
        <f t="shared" si="716"/>
        <v>0</v>
      </c>
      <c r="HD364" s="37" t="s">
        <v>2</v>
      </c>
      <c r="HE364" s="1" t="s">
        <v>113</v>
      </c>
      <c r="HF364" s="1" t="s">
        <v>671</v>
      </c>
      <c r="HG364" s="1" t="s">
        <v>672</v>
      </c>
      <c r="HI364" s="1" t="s">
        <v>96</v>
      </c>
      <c r="HJ364" s="37" t="s">
        <v>2</v>
      </c>
      <c r="JH364" s="58" t="s">
        <v>2</v>
      </c>
    </row>
    <row r="365" spans="1:268" ht="16.25" customHeight="1" x14ac:dyDescent="0.2">
      <c r="A365" s="15" t="s">
        <v>783</v>
      </c>
      <c r="B365" s="1" t="s">
        <v>69</v>
      </c>
      <c r="C365" s="27">
        <f>46+(34+(1.28/60))/60</f>
        <v>46.567022222222221</v>
      </c>
      <c r="D365" s="27">
        <f>-80-(53+(52.29/60))/60</f>
        <v>-80.897858333333332</v>
      </c>
      <c r="F365" s="1" t="s">
        <v>775</v>
      </c>
      <c r="I365" s="1">
        <v>0</v>
      </c>
      <c r="AD365" s="1">
        <v>0.56000000000000005</v>
      </c>
      <c r="AE365" s="1">
        <v>0.49</v>
      </c>
      <c r="AL365" s="1">
        <v>1.17</v>
      </c>
      <c r="AY365" s="1">
        <v>1.59</v>
      </c>
      <c r="AZ365" s="1">
        <v>0.97</v>
      </c>
      <c r="BG365" s="1">
        <v>1.27</v>
      </c>
      <c r="BT365" s="1">
        <v>0</v>
      </c>
      <c r="CO365" s="1">
        <v>0</v>
      </c>
      <c r="DJ365" s="1" t="s">
        <v>96</v>
      </c>
      <c r="DL365" s="1">
        <f t="shared" si="632"/>
        <v>1.2439534883720929</v>
      </c>
      <c r="DM365" s="1">
        <f t="shared" si="633"/>
        <v>0</v>
      </c>
      <c r="DN365" s="1" t="s">
        <v>776</v>
      </c>
      <c r="DO365" s="1" t="s">
        <v>2</v>
      </c>
      <c r="DP365" s="38">
        <f t="shared" si="640"/>
        <v>1.8166999999999999E-2</v>
      </c>
      <c r="DQ365" s="38">
        <f t="shared" si="641"/>
        <v>0</v>
      </c>
      <c r="DR365" s="38">
        <f t="shared" si="642"/>
        <v>0</v>
      </c>
      <c r="DS365" s="38">
        <f t="shared" si="643"/>
        <v>0</v>
      </c>
      <c r="DT365" s="38">
        <f t="shared" si="644"/>
        <v>0</v>
      </c>
      <c r="DU365" s="38">
        <f t="shared" si="645"/>
        <v>0</v>
      </c>
      <c r="DV365" s="38">
        <f t="shared" si="646"/>
        <v>0</v>
      </c>
      <c r="DW365" s="38">
        <f t="shared" si="647"/>
        <v>2.6745000000000001E-2</v>
      </c>
      <c r="DX365" s="38">
        <f t="shared" si="648"/>
        <v>0</v>
      </c>
      <c r="DY365" s="38">
        <f t="shared" si="649"/>
        <v>0</v>
      </c>
      <c r="DZ365" s="38">
        <f t="shared" si="650"/>
        <v>0</v>
      </c>
      <c r="EA365" s="38">
        <f t="shared" si="651"/>
        <v>0</v>
      </c>
      <c r="EB365" s="38">
        <f t="shared" si="652"/>
        <v>0</v>
      </c>
      <c r="EC365" s="38">
        <f t="shared" si="653"/>
        <v>0</v>
      </c>
      <c r="ED365" s="38">
        <f t="shared" si="654"/>
        <v>0</v>
      </c>
      <c r="EE365" s="38">
        <f t="shared" si="655"/>
        <v>0</v>
      </c>
      <c r="EG365" s="38">
        <f t="shared" si="656"/>
        <v>0</v>
      </c>
      <c r="EH365" s="38">
        <f t="shared" si="657"/>
        <v>0</v>
      </c>
      <c r="EI365" s="38">
        <f t="shared" si="658"/>
        <v>118.55086587199999</v>
      </c>
      <c r="EJ365" s="38">
        <f t="shared" si="659"/>
        <v>0</v>
      </c>
      <c r="EK365" s="38">
        <f t="shared" si="660"/>
        <v>0</v>
      </c>
      <c r="EL365" s="38">
        <f t="shared" si="661"/>
        <v>0</v>
      </c>
      <c r="EM365" s="38">
        <f t="shared" si="662"/>
        <v>0</v>
      </c>
      <c r="EN365" s="38">
        <f t="shared" si="663"/>
        <v>0</v>
      </c>
      <c r="EO365" s="38">
        <f t="shared" si="664"/>
        <v>0</v>
      </c>
      <c r="EP365" s="38">
        <f t="shared" si="665"/>
        <v>350.73393000000004</v>
      </c>
      <c r="EQ365" s="38">
        <f t="shared" si="666"/>
        <v>0</v>
      </c>
      <c r="ER365" s="38">
        <f t="shared" si="667"/>
        <v>0</v>
      </c>
      <c r="ES365" s="38">
        <f t="shared" si="668"/>
        <v>0</v>
      </c>
      <c r="ET365" s="38">
        <f t="shared" si="669"/>
        <v>0</v>
      </c>
      <c r="EU365" s="38">
        <f t="shared" si="670"/>
        <v>0</v>
      </c>
      <c r="EV365" s="38">
        <f t="shared" si="671"/>
        <v>0</v>
      </c>
      <c r="EW365" s="38">
        <f t="shared" si="672"/>
        <v>0</v>
      </c>
      <c r="EX365" s="38">
        <f t="shared" si="673"/>
        <v>0</v>
      </c>
      <c r="EZ365" s="38">
        <f t="shared" si="674"/>
        <v>0</v>
      </c>
      <c r="FA365" s="38">
        <f t="shared" si="675"/>
        <v>0</v>
      </c>
      <c r="FB365" s="1">
        <f t="shared" si="676"/>
        <v>0</v>
      </c>
      <c r="FC365" s="1">
        <f t="shared" si="677"/>
        <v>0</v>
      </c>
      <c r="FD365" s="1">
        <f t="shared" si="678"/>
        <v>0</v>
      </c>
      <c r="FE365" s="1">
        <f t="shared" si="679"/>
        <v>0</v>
      </c>
      <c r="FF365" s="1">
        <f t="shared" si="680"/>
        <v>0</v>
      </c>
      <c r="FG365" s="1">
        <f t="shared" si="681"/>
        <v>0</v>
      </c>
      <c r="FH365" s="1">
        <f t="shared" si="682"/>
        <v>0</v>
      </c>
      <c r="FI365" s="1">
        <f t="shared" si="683"/>
        <v>0</v>
      </c>
      <c r="FJ365" s="1">
        <f t="shared" si="684"/>
        <v>0</v>
      </c>
      <c r="FK365" s="1">
        <f t="shared" si="685"/>
        <v>0</v>
      </c>
      <c r="FL365" s="1">
        <f t="shared" si="686"/>
        <v>0</v>
      </c>
      <c r="FM365" s="1">
        <f t="shared" si="687"/>
        <v>0</v>
      </c>
      <c r="FN365" s="1">
        <f t="shared" si="688"/>
        <v>0</v>
      </c>
      <c r="FO365" s="1">
        <f t="shared" si="689"/>
        <v>0</v>
      </c>
      <c r="FP365" s="1">
        <f t="shared" si="690"/>
        <v>0</v>
      </c>
      <c r="FQ365" s="1">
        <f t="shared" si="691"/>
        <v>0</v>
      </c>
      <c r="FS365" s="1">
        <f t="shared" si="692"/>
        <v>0</v>
      </c>
      <c r="FT365" s="1">
        <f t="shared" si="693"/>
        <v>0</v>
      </c>
      <c r="FU365" s="38">
        <f t="shared" si="694"/>
        <v>0</v>
      </c>
      <c r="FV365" s="38">
        <f t="shared" si="695"/>
        <v>0</v>
      </c>
      <c r="FW365" s="38">
        <f t="shared" si="696"/>
        <v>0</v>
      </c>
      <c r="FX365" s="38">
        <f t="shared" si="697"/>
        <v>0</v>
      </c>
      <c r="FY365" s="38">
        <f t="shared" si="698"/>
        <v>0</v>
      </c>
      <c r="FZ365" s="38">
        <f t="shared" si="699"/>
        <v>0</v>
      </c>
      <c r="GA365" s="38">
        <f t="shared" si="700"/>
        <v>0</v>
      </c>
      <c r="GB365" s="38">
        <f t="shared" si="701"/>
        <v>0</v>
      </c>
      <c r="GC365" s="38">
        <f t="shared" si="702"/>
        <v>0</v>
      </c>
      <c r="GD365" s="38">
        <f t="shared" si="703"/>
        <v>0</v>
      </c>
      <c r="GE365" s="38">
        <f t="shared" si="704"/>
        <v>0</v>
      </c>
      <c r="GF365" s="38">
        <f t="shared" si="705"/>
        <v>0</v>
      </c>
      <c r="GG365" s="38">
        <f t="shared" si="706"/>
        <v>0</v>
      </c>
      <c r="GH365" s="38">
        <f t="shared" si="707"/>
        <v>0</v>
      </c>
      <c r="GI365" s="38">
        <f t="shared" si="708"/>
        <v>0</v>
      </c>
      <c r="GJ365" s="38">
        <f t="shared" si="709"/>
        <v>0</v>
      </c>
      <c r="GL365" s="38">
        <f t="shared" si="710"/>
        <v>0</v>
      </c>
      <c r="GM365" s="38">
        <f t="shared" si="711"/>
        <v>0</v>
      </c>
      <c r="GN365" s="1" t="s">
        <v>2</v>
      </c>
      <c r="GO365" s="1">
        <f t="shared" si="634"/>
        <v>2.1500000000000004</v>
      </c>
      <c r="GP365" s="13">
        <f t="shared" si="635"/>
        <v>1.2439534883720929</v>
      </c>
      <c r="GQ365" s="41">
        <f t="shared" si="636"/>
        <v>26.745000000000001</v>
      </c>
      <c r="GR365" s="41">
        <f t="shared" si="637"/>
        <v>469.28479587200002</v>
      </c>
      <c r="GS365" s="14">
        <f t="shared" si="638"/>
        <v>218.27199807999997</v>
      </c>
      <c r="GT365" s="1">
        <f t="shared" si="712"/>
        <v>0</v>
      </c>
      <c r="GU365" s="1">
        <f t="shared" si="713"/>
        <v>6.5520000000000005</v>
      </c>
      <c r="GV365" s="1">
        <f t="shared" si="714"/>
        <v>20.193000000000005</v>
      </c>
      <c r="GW365" s="37">
        <f t="shared" si="639"/>
        <v>0</v>
      </c>
      <c r="GX365" s="37"/>
      <c r="GY365" s="37"/>
      <c r="GZ365" s="37"/>
      <c r="HB365" s="1">
        <f t="shared" si="715"/>
        <v>0</v>
      </c>
      <c r="HC365" s="1">
        <f t="shared" si="716"/>
        <v>0</v>
      </c>
      <c r="HD365" s="37" t="s">
        <v>2</v>
      </c>
      <c r="HE365" s="1" t="s">
        <v>113</v>
      </c>
      <c r="HF365" s="1" t="s">
        <v>671</v>
      </c>
      <c r="HG365" s="1" t="s">
        <v>672</v>
      </c>
      <c r="HI365" s="1" t="s">
        <v>96</v>
      </c>
      <c r="HJ365" s="37" t="s">
        <v>2</v>
      </c>
      <c r="JH365" s="58" t="s">
        <v>2</v>
      </c>
    </row>
    <row r="366" spans="1:268" ht="16.25" customHeight="1" x14ac:dyDescent="0.2">
      <c r="A366" s="15" t="s">
        <v>784</v>
      </c>
      <c r="B366" s="1" t="s">
        <v>69</v>
      </c>
      <c r="C366" s="27">
        <f>46+(25+(4.7/60))/60</f>
        <v>46.417972222222225</v>
      </c>
      <c r="D366" s="27">
        <f>-81-(18+(46.3/60))/60</f>
        <v>-81.312861111111104</v>
      </c>
      <c r="F366" s="1" t="s">
        <v>785</v>
      </c>
      <c r="I366" s="1">
        <v>0</v>
      </c>
      <c r="AD366" s="1">
        <v>8.5500000000000007</v>
      </c>
      <c r="AE366" s="1">
        <v>0.31</v>
      </c>
      <c r="AF366" s="1">
        <v>0.03</v>
      </c>
      <c r="AL366" s="1">
        <v>0.45</v>
      </c>
      <c r="AM366" s="1">
        <v>0.01</v>
      </c>
      <c r="AN366" s="1">
        <v>7.0000000000000007E-2</v>
      </c>
      <c r="AO366" s="1">
        <v>0.02</v>
      </c>
      <c r="AY366" s="14">
        <v>2</v>
      </c>
      <c r="AZ366" s="13">
        <v>0.3</v>
      </c>
      <c r="BA366" s="1">
        <v>0.04</v>
      </c>
      <c r="BG366" s="1">
        <v>0.38</v>
      </c>
      <c r="BH366" s="1">
        <v>0.01</v>
      </c>
      <c r="BI366" s="1">
        <v>0.09</v>
      </c>
      <c r="BJ366" s="1">
        <v>0.03</v>
      </c>
      <c r="BT366" s="1">
        <v>0</v>
      </c>
      <c r="CO366" s="1">
        <v>0</v>
      </c>
      <c r="DJ366" s="1" t="s">
        <v>96</v>
      </c>
      <c r="DK366" s="1" t="s">
        <v>96</v>
      </c>
      <c r="DL366" s="1">
        <f t="shared" si="632"/>
        <v>0.43672985781990525</v>
      </c>
      <c r="DM366" s="1">
        <f t="shared" si="633"/>
        <v>0.01</v>
      </c>
      <c r="DN366" s="1" t="s">
        <v>692</v>
      </c>
      <c r="DO366" s="1" t="s">
        <v>2</v>
      </c>
      <c r="DP366" s="38">
        <f t="shared" si="640"/>
        <v>3.2504999999999999E-2</v>
      </c>
      <c r="DQ366" s="38">
        <f t="shared" si="641"/>
        <v>0.33650000000000002</v>
      </c>
      <c r="DR366" s="38">
        <f t="shared" si="642"/>
        <v>0</v>
      </c>
      <c r="DS366" s="38">
        <f t="shared" si="643"/>
        <v>0</v>
      </c>
      <c r="DT366" s="38">
        <f t="shared" si="644"/>
        <v>0</v>
      </c>
      <c r="DU366" s="38">
        <f t="shared" si="645"/>
        <v>0</v>
      </c>
      <c r="DV366" s="38">
        <f t="shared" si="646"/>
        <v>0</v>
      </c>
      <c r="DW366" s="38">
        <f t="shared" si="647"/>
        <v>4.6075000000000005E-2</v>
      </c>
      <c r="DX366" s="38">
        <f t="shared" si="648"/>
        <v>1.0550000000000002E-3</v>
      </c>
      <c r="DY366" s="38">
        <f t="shared" si="649"/>
        <v>0.77850000000000019</v>
      </c>
      <c r="DZ366" s="38">
        <f t="shared" si="650"/>
        <v>0.23100000000000001</v>
      </c>
      <c r="EA366" s="38">
        <f t="shared" si="651"/>
        <v>0</v>
      </c>
      <c r="EB366" s="38">
        <f t="shared" si="652"/>
        <v>0</v>
      </c>
      <c r="EC366" s="38">
        <f t="shared" si="653"/>
        <v>0</v>
      </c>
      <c r="ED366" s="38">
        <f t="shared" si="654"/>
        <v>0</v>
      </c>
      <c r="EE366" s="38">
        <f t="shared" si="655"/>
        <v>0</v>
      </c>
      <c r="EG366" s="38">
        <f t="shared" si="656"/>
        <v>0</v>
      </c>
      <c r="EH366" s="38">
        <f t="shared" si="657"/>
        <v>0</v>
      </c>
      <c r="EI366" s="38">
        <f t="shared" si="658"/>
        <v>212.11514807999998</v>
      </c>
      <c r="EJ366" s="38">
        <f t="shared" si="659"/>
        <v>13.762958199356914</v>
      </c>
      <c r="EK366" s="38">
        <f t="shared" si="660"/>
        <v>0</v>
      </c>
      <c r="EL366" s="38">
        <f t="shared" si="661"/>
        <v>0</v>
      </c>
      <c r="EM366" s="38">
        <f t="shared" si="662"/>
        <v>0</v>
      </c>
      <c r="EN366" s="38">
        <f t="shared" si="663"/>
        <v>0</v>
      </c>
      <c r="EO366" s="38">
        <f t="shared" si="664"/>
        <v>0</v>
      </c>
      <c r="EP366" s="38">
        <f t="shared" si="665"/>
        <v>604.22755000000006</v>
      </c>
      <c r="EQ366" s="38">
        <f t="shared" si="666"/>
        <v>76.613597819999995</v>
      </c>
      <c r="ER366" s="38">
        <f t="shared" si="667"/>
        <v>22.094881350482318</v>
      </c>
      <c r="ES366" s="38">
        <f t="shared" si="668"/>
        <v>7.6982421221864961</v>
      </c>
      <c r="ET366" s="38">
        <f t="shared" si="669"/>
        <v>0</v>
      </c>
      <c r="EU366" s="38">
        <f t="shared" si="670"/>
        <v>0</v>
      </c>
      <c r="EV366" s="38">
        <f t="shared" si="671"/>
        <v>0</v>
      </c>
      <c r="EW366" s="38">
        <f t="shared" si="672"/>
        <v>0</v>
      </c>
      <c r="EX366" s="38">
        <f t="shared" si="673"/>
        <v>0</v>
      </c>
      <c r="EZ366" s="38">
        <f t="shared" si="674"/>
        <v>0</v>
      </c>
      <c r="FA366" s="38">
        <f t="shared" si="675"/>
        <v>0</v>
      </c>
      <c r="FB366" s="1">
        <f t="shared" si="676"/>
        <v>0</v>
      </c>
      <c r="FC366" s="1">
        <f t="shared" si="677"/>
        <v>0</v>
      </c>
      <c r="FD366" s="1">
        <f t="shared" si="678"/>
        <v>0</v>
      </c>
      <c r="FE366" s="1">
        <f t="shared" si="679"/>
        <v>0</v>
      </c>
      <c r="FF366" s="1">
        <f t="shared" si="680"/>
        <v>0</v>
      </c>
      <c r="FG366" s="1">
        <f t="shared" si="681"/>
        <v>0</v>
      </c>
      <c r="FH366" s="1">
        <f t="shared" si="682"/>
        <v>0</v>
      </c>
      <c r="FI366" s="1">
        <f t="shared" si="683"/>
        <v>0</v>
      </c>
      <c r="FJ366" s="1">
        <f t="shared" si="684"/>
        <v>0</v>
      </c>
      <c r="FK366" s="1">
        <f t="shared" si="685"/>
        <v>0</v>
      </c>
      <c r="FL366" s="1">
        <f t="shared" si="686"/>
        <v>0</v>
      </c>
      <c r="FM366" s="1">
        <f t="shared" si="687"/>
        <v>0</v>
      </c>
      <c r="FN366" s="1">
        <f t="shared" si="688"/>
        <v>0</v>
      </c>
      <c r="FO366" s="1">
        <f t="shared" si="689"/>
        <v>0</v>
      </c>
      <c r="FP366" s="1">
        <f t="shared" si="690"/>
        <v>0</v>
      </c>
      <c r="FQ366" s="1">
        <f t="shared" si="691"/>
        <v>0</v>
      </c>
      <c r="FS366" s="1">
        <f t="shared" si="692"/>
        <v>0</v>
      </c>
      <c r="FT366" s="1">
        <f t="shared" si="693"/>
        <v>0</v>
      </c>
      <c r="FU366" s="38">
        <f t="shared" si="694"/>
        <v>0</v>
      </c>
      <c r="FV366" s="38">
        <f t="shared" si="695"/>
        <v>0</v>
      </c>
      <c r="FW366" s="38">
        <f t="shared" si="696"/>
        <v>0</v>
      </c>
      <c r="FX366" s="38">
        <f t="shared" si="697"/>
        <v>0</v>
      </c>
      <c r="FY366" s="38">
        <f t="shared" si="698"/>
        <v>0</v>
      </c>
      <c r="FZ366" s="38">
        <f t="shared" si="699"/>
        <v>0</v>
      </c>
      <c r="GA366" s="38">
        <f t="shared" si="700"/>
        <v>0</v>
      </c>
      <c r="GB366" s="38">
        <f t="shared" si="701"/>
        <v>0</v>
      </c>
      <c r="GC366" s="38">
        <f t="shared" si="702"/>
        <v>0</v>
      </c>
      <c r="GD366" s="38">
        <f t="shared" si="703"/>
        <v>0</v>
      </c>
      <c r="GE366" s="38">
        <f t="shared" si="704"/>
        <v>0</v>
      </c>
      <c r="GF366" s="38">
        <f t="shared" si="705"/>
        <v>0</v>
      </c>
      <c r="GG366" s="38">
        <f t="shared" si="706"/>
        <v>0</v>
      </c>
      <c r="GH366" s="38">
        <f t="shared" si="707"/>
        <v>0</v>
      </c>
      <c r="GI366" s="38">
        <f t="shared" si="708"/>
        <v>0</v>
      </c>
      <c r="GJ366" s="38">
        <f t="shared" si="709"/>
        <v>0</v>
      </c>
      <c r="GL366" s="38">
        <f t="shared" si="710"/>
        <v>0</v>
      </c>
      <c r="GM366" s="38">
        <f t="shared" si="711"/>
        <v>0</v>
      </c>
      <c r="GN366" s="1" t="s">
        <v>2</v>
      </c>
      <c r="GO366" s="1">
        <f t="shared" si="634"/>
        <v>10.55</v>
      </c>
      <c r="GP366" s="13">
        <f t="shared" si="635"/>
        <v>0.43672985781990525</v>
      </c>
      <c r="GQ366" s="41">
        <f t="shared" si="636"/>
        <v>46.075000000000003</v>
      </c>
      <c r="GR366" s="41">
        <f t="shared" si="637"/>
        <v>936.51237757202568</v>
      </c>
      <c r="GS366" s="14">
        <f t="shared" si="638"/>
        <v>88.768945741424233</v>
      </c>
      <c r="GT366" s="1">
        <f t="shared" si="712"/>
        <v>0</v>
      </c>
      <c r="GU366" s="1">
        <f t="shared" si="713"/>
        <v>38.475000000000001</v>
      </c>
      <c r="GV366" s="1">
        <f t="shared" si="714"/>
        <v>7.6</v>
      </c>
      <c r="GW366" s="37">
        <f t="shared" si="639"/>
        <v>0</v>
      </c>
      <c r="GX366" s="37"/>
      <c r="GY366" s="37"/>
      <c r="GZ366" s="37"/>
      <c r="HB366" s="1">
        <f t="shared" si="715"/>
        <v>0</v>
      </c>
      <c r="HC366" s="1">
        <f t="shared" si="716"/>
        <v>0</v>
      </c>
      <c r="HD366" s="37" t="s">
        <v>2</v>
      </c>
      <c r="HE366" s="1" t="s">
        <v>113</v>
      </c>
      <c r="HF366" s="1" t="s">
        <v>671</v>
      </c>
      <c r="HG366" s="1" t="s">
        <v>672</v>
      </c>
      <c r="HI366" s="1" t="s">
        <v>96</v>
      </c>
      <c r="HJ366" s="37" t="s">
        <v>2</v>
      </c>
      <c r="JH366" s="58" t="s">
        <v>2</v>
      </c>
    </row>
    <row r="367" spans="1:268" ht="16.25" customHeight="1" x14ac:dyDescent="0.2">
      <c r="A367" s="15" t="s">
        <v>668</v>
      </c>
      <c r="B367" s="1" t="s">
        <v>69</v>
      </c>
      <c r="F367" s="1" t="s">
        <v>669</v>
      </c>
      <c r="I367" s="1">
        <v>0</v>
      </c>
      <c r="AD367" s="1">
        <v>0.57499999999999996</v>
      </c>
      <c r="AE367" s="1">
        <v>0.56999999999999995</v>
      </c>
      <c r="AF367" s="1">
        <v>0.94</v>
      </c>
      <c r="AL367" s="13">
        <v>0.4</v>
      </c>
      <c r="AM367" s="1">
        <v>0.01</v>
      </c>
      <c r="AN367" s="13">
        <v>3.1</v>
      </c>
      <c r="AO367" s="1">
        <v>2.23</v>
      </c>
      <c r="AY367" s="1">
        <v>0.38200000000000001</v>
      </c>
      <c r="AZ367" s="1">
        <v>0.61</v>
      </c>
      <c r="BA367" s="1">
        <v>1.32</v>
      </c>
      <c r="BG367" s="1">
        <v>0.51</v>
      </c>
      <c r="BH367" s="1">
        <v>0.02</v>
      </c>
      <c r="BI367" s="1">
        <v>3.66</v>
      </c>
      <c r="BJ367" s="1">
        <v>4.49</v>
      </c>
      <c r="BT367" s="1">
        <v>0</v>
      </c>
      <c r="CO367" s="1">
        <v>0</v>
      </c>
      <c r="DJ367" s="1" t="s">
        <v>96</v>
      </c>
      <c r="DK367" s="1" t="s">
        <v>96</v>
      </c>
      <c r="DL367" s="1">
        <f t="shared" si="632"/>
        <v>0.4439080459770115</v>
      </c>
      <c r="DM367" s="1">
        <f t="shared" si="633"/>
        <v>1.3991640543364681E-2</v>
      </c>
      <c r="DN367" s="1" t="s">
        <v>670</v>
      </c>
      <c r="DO367" s="1" t="s">
        <v>2</v>
      </c>
      <c r="DP367" s="38">
        <f t="shared" si="640"/>
        <v>5.6077000000000002E-3</v>
      </c>
      <c r="DQ367" s="38">
        <f t="shared" si="641"/>
        <v>1.04474</v>
      </c>
      <c r="DR367" s="38">
        <f t="shared" si="642"/>
        <v>0</v>
      </c>
      <c r="DS367" s="38">
        <f t="shared" si="643"/>
        <v>0</v>
      </c>
      <c r="DT367" s="38">
        <f t="shared" si="644"/>
        <v>0</v>
      </c>
      <c r="DU367" s="38">
        <f t="shared" si="645"/>
        <v>0</v>
      </c>
      <c r="DV367" s="38">
        <f t="shared" si="646"/>
        <v>0</v>
      </c>
      <c r="DW367" s="38">
        <f t="shared" si="647"/>
        <v>4.2481999999999997E-3</v>
      </c>
      <c r="DX367" s="38">
        <f t="shared" si="648"/>
        <v>1.339E-4</v>
      </c>
      <c r="DY367" s="38">
        <f t="shared" si="649"/>
        <v>3.1806200000000002</v>
      </c>
      <c r="DZ367" s="38">
        <f t="shared" si="650"/>
        <v>2.99743</v>
      </c>
      <c r="EA367" s="38">
        <f t="shared" si="651"/>
        <v>0</v>
      </c>
      <c r="EB367" s="38">
        <f t="shared" si="652"/>
        <v>0</v>
      </c>
      <c r="EC367" s="38">
        <f t="shared" si="653"/>
        <v>0</v>
      </c>
      <c r="ED367" s="38">
        <f t="shared" si="654"/>
        <v>0</v>
      </c>
      <c r="EE367" s="38">
        <f t="shared" si="655"/>
        <v>0</v>
      </c>
      <c r="EG367" s="38">
        <f t="shared" si="656"/>
        <v>0</v>
      </c>
      <c r="EH367" s="38">
        <f t="shared" si="657"/>
        <v>0</v>
      </c>
      <c r="EI367" s="38">
        <f t="shared" si="658"/>
        <v>36.5936968432</v>
      </c>
      <c r="EJ367" s="38">
        <f t="shared" si="659"/>
        <v>42.730201929260446</v>
      </c>
      <c r="EK367" s="38">
        <f t="shared" si="660"/>
        <v>0</v>
      </c>
      <c r="EL367" s="38">
        <f t="shared" si="661"/>
        <v>0</v>
      </c>
      <c r="EM367" s="38">
        <f t="shared" si="662"/>
        <v>0</v>
      </c>
      <c r="EN367" s="38">
        <f t="shared" si="663"/>
        <v>0</v>
      </c>
      <c r="EO367" s="38">
        <f t="shared" si="664"/>
        <v>0</v>
      </c>
      <c r="EP367" s="38">
        <f t="shared" si="665"/>
        <v>55.710894799999998</v>
      </c>
      <c r="EQ367" s="38">
        <f t="shared" si="666"/>
        <v>9.7237542635999983</v>
      </c>
      <c r="ER367" s="38">
        <f t="shared" si="667"/>
        <v>90.270290971061087</v>
      </c>
      <c r="ES367" s="38">
        <f t="shared" si="668"/>
        <v>99.891523308681684</v>
      </c>
      <c r="ET367" s="38">
        <f t="shared" si="669"/>
        <v>0</v>
      </c>
      <c r="EU367" s="38">
        <f t="shared" si="670"/>
        <v>0</v>
      </c>
      <c r="EV367" s="38">
        <f t="shared" si="671"/>
        <v>0</v>
      </c>
      <c r="EW367" s="38">
        <f t="shared" si="672"/>
        <v>0</v>
      </c>
      <c r="EX367" s="38">
        <f t="shared" si="673"/>
        <v>0</v>
      </c>
      <c r="EZ367" s="38">
        <f t="shared" si="674"/>
        <v>0</v>
      </c>
      <c r="FA367" s="38">
        <f t="shared" si="675"/>
        <v>0</v>
      </c>
      <c r="FB367" s="1">
        <f t="shared" si="676"/>
        <v>0</v>
      </c>
      <c r="FC367" s="1">
        <f t="shared" si="677"/>
        <v>0</v>
      </c>
      <c r="FD367" s="1">
        <f t="shared" si="678"/>
        <v>0</v>
      </c>
      <c r="FE367" s="1">
        <f t="shared" si="679"/>
        <v>0</v>
      </c>
      <c r="FF367" s="1">
        <f t="shared" si="680"/>
        <v>0</v>
      </c>
      <c r="FG367" s="1">
        <f t="shared" si="681"/>
        <v>0</v>
      </c>
      <c r="FH367" s="1">
        <f t="shared" si="682"/>
        <v>0</v>
      </c>
      <c r="FI367" s="1">
        <f t="shared" si="683"/>
        <v>0</v>
      </c>
      <c r="FJ367" s="1">
        <f t="shared" si="684"/>
        <v>0</v>
      </c>
      <c r="FK367" s="1">
        <f t="shared" si="685"/>
        <v>0</v>
      </c>
      <c r="FL367" s="1">
        <f t="shared" si="686"/>
        <v>0</v>
      </c>
      <c r="FM367" s="1">
        <f t="shared" si="687"/>
        <v>0</v>
      </c>
      <c r="FN367" s="1">
        <f t="shared" si="688"/>
        <v>0</v>
      </c>
      <c r="FO367" s="1">
        <f t="shared" si="689"/>
        <v>0</v>
      </c>
      <c r="FP367" s="1">
        <f t="shared" si="690"/>
        <v>0</v>
      </c>
      <c r="FQ367" s="1">
        <f t="shared" si="691"/>
        <v>0</v>
      </c>
      <c r="FS367" s="1">
        <f t="shared" si="692"/>
        <v>0</v>
      </c>
      <c r="FT367" s="1">
        <f t="shared" si="693"/>
        <v>0</v>
      </c>
      <c r="FU367" s="38">
        <f t="shared" si="694"/>
        <v>0</v>
      </c>
      <c r="FV367" s="38">
        <f t="shared" si="695"/>
        <v>0</v>
      </c>
      <c r="FW367" s="38">
        <f t="shared" si="696"/>
        <v>0</v>
      </c>
      <c r="FX367" s="38">
        <f t="shared" si="697"/>
        <v>0</v>
      </c>
      <c r="FY367" s="38">
        <f t="shared" si="698"/>
        <v>0</v>
      </c>
      <c r="FZ367" s="38">
        <f t="shared" si="699"/>
        <v>0</v>
      </c>
      <c r="GA367" s="38">
        <f t="shared" si="700"/>
        <v>0</v>
      </c>
      <c r="GB367" s="38">
        <f t="shared" si="701"/>
        <v>0</v>
      </c>
      <c r="GC367" s="38">
        <f t="shared" si="702"/>
        <v>0</v>
      </c>
      <c r="GD367" s="38">
        <f t="shared" si="703"/>
        <v>0</v>
      </c>
      <c r="GE367" s="38">
        <f t="shared" si="704"/>
        <v>0</v>
      </c>
      <c r="GF367" s="38">
        <f t="shared" si="705"/>
        <v>0</v>
      </c>
      <c r="GG367" s="38">
        <f t="shared" si="706"/>
        <v>0</v>
      </c>
      <c r="GH367" s="38">
        <f t="shared" si="707"/>
        <v>0</v>
      </c>
      <c r="GI367" s="38">
        <f t="shared" si="708"/>
        <v>0</v>
      </c>
      <c r="GJ367" s="38">
        <f t="shared" si="709"/>
        <v>0</v>
      </c>
      <c r="GL367" s="38">
        <f t="shared" si="710"/>
        <v>0</v>
      </c>
      <c r="GM367" s="38">
        <f t="shared" si="711"/>
        <v>0</v>
      </c>
      <c r="GN367" s="1" t="s">
        <v>2</v>
      </c>
      <c r="GO367" s="1">
        <f t="shared" si="634"/>
        <v>0.95699999999999996</v>
      </c>
      <c r="GP367" s="13">
        <f t="shared" si="635"/>
        <v>0.4439080459770115</v>
      </c>
      <c r="GQ367" s="41">
        <f t="shared" si="636"/>
        <v>4.2481999999999998</v>
      </c>
      <c r="GR367" s="41">
        <f t="shared" si="637"/>
        <v>334.92036211580319</v>
      </c>
      <c r="GS367" s="14">
        <f t="shared" si="638"/>
        <v>349.96903042403676</v>
      </c>
      <c r="GT367" s="1">
        <f t="shared" si="712"/>
        <v>0</v>
      </c>
      <c r="GU367" s="1">
        <f t="shared" si="713"/>
        <v>2.2999999999999998</v>
      </c>
      <c r="GV367" s="1">
        <f t="shared" si="714"/>
        <v>1.9481999999999999</v>
      </c>
      <c r="GW367" s="37">
        <f t="shared" si="639"/>
        <v>0</v>
      </c>
      <c r="GX367" s="37"/>
      <c r="GY367" s="37"/>
      <c r="GZ367" s="37"/>
      <c r="HB367" s="1">
        <f t="shared" si="715"/>
        <v>0</v>
      </c>
      <c r="HC367" s="1">
        <f t="shared" si="716"/>
        <v>0</v>
      </c>
      <c r="HD367" s="37" t="s">
        <v>2</v>
      </c>
      <c r="HE367" s="1" t="s">
        <v>113</v>
      </c>
      <c r="HF367" s="1" t="s">
        <v>671</v>
      </c>
      <c r="HG367" s="1" t="s">
        <v>672</v>
      </c>
      <c r="HI367" s="1" t="s">
        <v>96</v>
      </c>
      <c r="HJ367" s="37" t="s">
        <v>2</v>
      </c>
      <c r="JH367" s="58" t="s">
        <v>2</v>
      </c>
    </row>
    <row r="368" spans="1:268" ht="16.25" customHeight="1" x14ac:dyDescent="0.2">
      <c r="A368" s="15" t="s">
        <v>727</v>
      </c>
      <c r="B368" s="1" t="s">
        <v>69</v>
      </c>
      <c r="F368" s="1" t="s">
        <v>728</v>
      </c>
      <c r="I368" s="1">
        <v>0</v>
      </c>
      <c r="AD368" s="1">
        <v>14.082000000000001</v>
      </c>
      <c r="AE368" s="1">
        <v>0.08</v>
      </c>
      <c r="AL368" s="1">
        <v>0.35</v>
      </c>
      <c r="AM368" s="1">
        <v>1.6E-2</v>
      </c>
      <c r="AY368" s="1">
        <v>43.973999999999997</v>
      </c>
      <c r="AZ368" s="1">
        <v>0.08</v>
      </c>
      <c r="BG368" s="1">
        <v>0.31</v>
      </c>
      <c r="BH368" s="1">
        <v>1.4999999999999999E-2</v>
      </c>
      <c r="BT368" s="1">
        <v>0</v>
      </c>
      <c r="CO368" s="1">
        <v>0</v>
      </c>
      <c r="DJ368" s="1" t="s">
        <v>96</v>
      </c>
      <c r="DK368" s="1" t="s">
        <v>96</v>
      </c>
      <c r="DL368" s="1">
        <f t="shared" si="632"/>
        <v>0.31970235634559735</v>
      </c>
      <c r="DM368" s="1">
        <f t="shared" si="633"/>
        <v>1.5242558908639934E-2</v>
      </c>
      <c r="DN368" s="1" t="s">
        <v>729</v>
      </c>
      <c r="DO368" s="1" t="s">
        <v>2</v>
      </c>
      <c r="DP368" s="38">
        <f t="shared" si="640"/>
        <v>4.6444799999999994E-2</v>
      </c>
      <c r="DQ368" s="38">
        <f t="shared" si="641"/>
        <v>0</v>
      </c>
      <c r="DR368" s="38">
        <f t="shared" si="642"/>
        <v>0</v>
      </c>
      <c r="DS368" s="38">
        <f t="shared" si="643"/>
        <v>0</v>
      </c>
      <c r="DT368" s="38">
        <f t="shared" si="644"/>
        <v>0</v>
      </c>
      <c r="DU368" s="38">
        <f t="shared" si="645"/>
        <v>0</v>
      </c>
      <c r="DV368" s="38">
        <f t="shared" si="646"/>
        <v>0</v>
      </c>
      <c r="DW368" s="38">
        <f t="shared" si="647"/>
        <v>0.1856064</v>
      </c>
      <c r="DX368" s="38">
        <f t="shared" si="648"/>
        <v>8.8492199999999997E-3</v>
      </c>
      <c r="DY368" s="38">
        <f t="shared" si="649"/>
        <v>0</v>
      </c>
      <c r="DZ368" s="38">
        <f t="shared" si="650"/>
        <v>0</v>
      </c>
      <c r="EA368" s="38">
        <f t="shared" si="651"/>
        <v>0</v>
      </c>
      <c r="EB368" s="38">
        <f t="shared" si="652"/>
        <v>0</v>
      </c>
      <c r="EC368" s="38">
        <f t="shared" si="653"/>
        <v>0</v>
      </c>
      <c r="ED368" s="38">
        <f t="shared" si="654"/>
        <v>0</v>
      </c>
      <c r="EE368" s="38">
        <f t="shared" si="655"/>
        <v>0</v>
      </c>
      <c r="EG368" s="38">
        <f t="shared" si="656"/>
        <v>0</v>
      </c>
      <c r="EH368" s="38">
        <f t="shared" si="657"/>
        <v>0</v>
      </c>
      <c r="EI368" s="38">
        <f t="shared" si="658"/>
        <v>303.08092999679997</v>
      </c>
      <c r="EJ368" s="38">
        <f t="shared" si="659"/>
        <v>0</v>
      </c>
      <c r="EK368" s="38">
        <f t="shared" si="660"/>
        <v>0</v>
      </c>
      <c r="EL368" s="38">
        <f t="shared" si="661"/>
        <v>0</v>
      </c>
      <c r="EM368" s="38">
        <f t="shared" si="662"/>
        <v>0</v>
      </c>
      <c r="EN368" s="38">
        <f t="shared" si="663"/>
        <v>0</v>
      </c>
      <c r="EO368" s="38">
        <f t="shared" si="664"/>
        <v>0</v>
      </c>
      <c r="EP368" s="38">
        <f t="shared" si="665"/>
        <v>2434.0423295999999</v>
      </c>
      <c r="EQ368" s="38">
        <f t="shared" si="666"/>
        <v>642.62614417127986</v>
      </c>
      <c r="ER368" s="38">
        <f t="shared" si="667"/>
        <v>0</v>
      </c>
      <c r="ES368" s="38">
        <f t="shared" si="668"/>
        <v>0</v>
      </c>
      <c r="ET368" s="38">
        <f t="shared" si="669"/>
        <v>0</v>
      </c>
      <c r="EU368" s="38">
        <f t="shared" si="670"/>
        <v>0</v>
      </c>
      <c r="EV368" s="38">
        <f t="shared" si="671"/>
        <v>0</v>
      </c>
      <c r="EW368" s="38">
        <f t="shared" si="672"/>
        <v>0</v>
      </c>
      <c r="EX368" s="38">
        <f t="shared" si="673"/>
        <v>0</v>
      </c>
      <c r="EZ368" s="38">
        <f t="shared" si="674"/>
        <v>0</v>
      </c>
      <c r="FA368" s="38">
        <f t="shared" si="675"/>
        <v>0</v>
      </c>
      <c r="FB368" s="1">
        <f t="shared" si="676"/>
        <v>0</v>
      </c>
      <c r="FC368" s="1">
        <f t="shared" si="677"/>
        <v>0</v>
      </c>
      <c r="FD368" s="1">
        <f t="shared" si="678"/>
        <v>0</v>
      </c>
      <c r="FE368" s="1">
        <f t="shared" si="679"/>
        <v>0</v>
      </c>
      <c r="FF368" s="1">
        <f t="shared" si="680"/>
        <v>0</v>
      </c>
      <c r="FG368" s="1">
        <f t="shared" si="681"/>
        <v>0</v>
      </c>
      <c r="FH368" s="1">
        <f t="shared" si="682"/>
        <v>0</v>
      </c>
      <c r="FI368" s="1">
        <f t="shared" si="683"/>
        <v>0</v>
      </c>
      <c r="FJ368" s="1">
        <f t="shared" si="684"/>
        <v>0</v>
      </c>
      <c r="FK368" s="1">
        <f t="shared" si="685"/>
        <v>0</v>
      </c>
      <c r="FL368" s="1">
        <f t="shared" si="686"/>
        <v>0</v>
      </c>
      <c r="FM368" s="1">
        <f t="shared" si="687"/>
        <v>0</v>
      </c>
      <c r="FN368" s="1">
        <f t="shared" si="688"/>
        <v>0</v>
      </c>
      <c r="FO368" s="1">
        <f t="shared" si="689"/>
        <v>0</v>
      </c>
      <c r="FP368" s="1">
        <f t="shared" si="690"/>
        <v>0</v>
      </c>
      <c r="FQ368" s="1">
        <f t="shared" si="691"/>
        <v>0</v>
      </c>
      <c r="FS368" s="1">
        <f t="shared" si="692"/>
        <v>0</v>
      </c>
      <c r="FT368" s="1">
        <f t="shared" si="693"/>
        <v>0</v>
      </c>
      <c r="FU368" s="38">
        <f t="shared" si="694"/>
        <v>0</v>
      </c>
      <c r="FV368" s="38">
        <f t="shared" si="695"/>
        <v>0</v>
      </c>
      <c r="FW368" s="38">
        <f t="shared" si="696"/>
        <v>0</v>
      </c>
      <c r="FX368" s="38">
        <f t="shared" si="697"/>
        <v>0</v>
      </c>
      <c r="FY368" s="38">
        <f t="shared" si="698"/>
        <v>0</v>
      </c>
      <c r="FZ368" s="38">
        <f t="shared" si="699"/>
        <v>0</v>
      </c>
      <c r="GA368" s="38">
        <f t="shared" si="700"/>
        <v>0</v>
      </c>
      <c r="GB368" s="38">
        <f t="shared" si="701"/>
        <v>0</v>
      </c>
      <c r="GC368" s="38">
        <f t="shared" si="702"/>
        <v>0</v>
      </c>
      <c r="GD368" s="38">
        <f t="shared" si="703"/>
        <v>0</v>
      </c>
      <c r="GE368" s="38">
        <f t="shared" si="704"/>
        <v>0</v>
      </c>
      <c r="GF368" s="38">
        <f t="shared" si="705"/>
        <v>0</v>
      </c>
      <c r="GG368" s="38">
        <f t="shared" si="706"/>
        <v>0</v>
      </c>
      <c r="GH368" s="38">
        <f t="shared" si="707"/>
        <v>0</v>
      </c>
      <c r="GI368" s="38">
        <f t="shared" si="708"/>
        <v>0</v>
      </c>
      <c r="GJ368" s="38">
        <f t="shared" si="709"/>
        <v>0</v>
      </c>
      <c r="GL368" s="38">
        <f t="shared" si="710"/>
        <v>0</v>
      </c>
      <c r="GM368" s="38">
        <f t="shared" si="711"/>
        <v>0</v>
      </c>
      <c r="GN368" s="1" t="s">
        <v>2</v>
      </c>
      <c r="GO368" s="13">
        <f t="shared" si="634"/>
        <v>58.055999999999997</v>
      </c>
      <c r="GP368" s="13">
        <f t="shared" si="635"/>
        <v>0.31970235634559735</v>
      </c>
      <c r="GQ368" s="41">
        <f t="shared" si="636"/>
        <v>185.60640000000001</v>
      </c>
      <c r="GR368" s="41">
        <f t="shared" si="637"/>
        <v>3379.7494037680799</v>
      </c>
      <c r="GS368" s="14">
        <f t="shared" si="638"/>
        <v>58.215333536035551</v>
      </c>
      <c r="GT368" s="1">
        <f t="shared" si="712"/>
        <v>0</v>
      </c>
      <c r="GU368" s="1">
        <f t="shared" si="713"/>
        <v>49.286999999999999</v>
      </c>
      <c r="GV368" s="1">
        <f t="shared" si="714"/>
        <v>136.31939999999997</v>
      </c>
      <c r="GW368" s="37">
        <f t="shared" si="639"/>
        <v>0</v>
      </c>
      <c r="GX368" s="37"/>
      <c r="GY368" s="37"/>
      <c r="GZ368" s="37"/>
      <c r="HB368" s="1">
        <f t="shared" si="715"/>
        <v>0</v>
      </c>
      <c r="HC368" s="1">
        <f t="shared" si="716"/>
        <v>0</v>
      </c>
      <c r="HD368" s="37" t="s">
        <v>2</v>
      </c>
      <c r="HE368" s="1" t="s">
        <v>113</v>
      </c>
      <c r="HF368" s="1" t="s">
        <v>671</v>
      </c>
      <c r="HI368" s="1" t="s">
        <v>96</v>
      </c>
      <c r="HJ368" s="37" t="s">
        <v>2</v>
      </c>
      <c r="JH368" s="58" t="s">
        <v>2</v>
      </c>
    </row>
    <row r="369" spans="1:268" ht="16.25" customHeight="1" x14ac:dyDescent="0.2">
      <c r="A369" s="15" t="s">
        <v>768</v>
      </c>
      <c r="B369" s="1" t="s">
        <v>69</v>
      </c>
      <c r="C369" s="27">
        <f>46+(23+(51.34/60))/60</f>
        <v>46.397594444444444</v>
      </c>
      <c r="D369" s="27">
        <f>-81-(25+(36.92/60))/60</f>
        <v>-81.426922222222217</v>
      </c>
      <c r="F369" s="1" t="s">
        <v>742</v>
      </c>
      <c r="I369" s="1">
        <v>0</v>
      </c>
      <c r="AD369" s="1">
        <v>0</v>
      </c>
      <c r="AY369" s="1">
        <f>0.786-0.125</f>
        <v>0.66100000000000003</v>
      </c>
      <c r="AZ369" s="1">
        <v>0.76</v>
      </c>
      <c r="BG369" s="1">
        <v>0.56999999999999995</v>
      </c>
      <c r="BT369" s="1">
        <v>0</v>
      </c>
      <c r="CO369" s="1">
        <v>0</v>
      </c>
      <c r="DJ369" s="1" t="s">
        <v>163</v>
      </c>
      <c r="DL369" s="1">
        <f t="shared" si="632"/>
        <v>0.56999999999999995</v>
      </c>
      <c r="DM369" s="1">
        <f t="shared" si="633"/>
        <v>0</v>
      </c>
      <c r="DN369" s="1" t="s">
        <v>769</v>
      </c>
      <c r="DO369" s="1" t="s">
        <v>2</v>
      </c>
      <c r="DP369" s="38">
        <f t="shared" si="640"/>
        <v>5.0236000000000005E-3</v>
      </c>
      <c r="DQ369" s="38">
        <f t="shared" si="641"/>
        <v>0</v>
      </c>
      <c r="DR369" s="38">
        <f t="shared" si="642"/>
        <v>0</v>
      </c>
      <c r="DS369" s="38">
        <f t="shared" si="643"/>
        <v>0</v>
      </c>
      <c r="DT369" s="38">
        <f t="shared" si="644"/>
        <v>0</v>
      </c>
      <c r="DU369" s="38">
        <f t="shared" si="645"/>
        <v>0</v>
      </c>
      <c r="DV369" s="38">
        <f t="shared" si="646"/>
        <v>0</v>
      </c>
      <c r="DW369" s="38">
        <f t="shared" si="647"/>
        <v>3.7677000000000001E-3</v>
      </c>
      <c r="DX369" s="38">
        <f t="shared" si="648"/>
        <v>0</v>
      </c>
      <c r="DY369" s="38">
        <f t="shared" si="649"/>
        <v>0</v>
      </c>
      <c r="DZ369" s="38">
        <f t="shared" si="650"/>
        <v>0</v>
      </c>
      <c r="EA369" s="38">
        <f t="shared" si="651"/>
        <v>0</v>
      </c>
      <c r="EB369" s="38">
        <f t="shared" si="652"/>
        <v>0</v>
      </c>
      <c r="EC369" s="38">
        <f t="shared" si="653"/>
        <v>0</v>
      </c>
      <c r="ED369" s="38">
        <f t="shared" si="654"/>
        <v>0</v>
      </c>
      <c r="EE369" s="38">
        <f t="shared" si="655"/>
        <v>0</v>
      </c>
      <c r="EG369" s="38">
        <f t="shared" si="656"/>
        <v>0</v>
      </c>
      <c r="EH369" s="38">
        <f t="shared" si="657"/>
        <v>0</v>
      </c>
      <c r="EI369" s="38">
        <f t="shared" si="658"/>
        <v>32.782084537599999</v>
      </c>
      <c r="EJ369" s="38">
        <f t="shared" si="659"/>
        <v>0</v>
      </c>
      <c r="EK369" s="38">
        <f t="shared" si="660"/>
        <v>0</v>
      </c>
      <c r="EL369" s="38">
        <f t="shared" si="661"/>
        <v>0</v>
      </c>
      <c r="EM369" s="38">
        <f t="shared" si="662"/>
        <v>0</v>
      </c>
      <c r="EN369" s="38">
        <f t="shared" si="663"/>
        <v>0</v>
      </c>
      <c r="EO369" s="38">
        <f t="shared" si="664"/>
        <v>0</v>
      </c>
      <c r="EP369" s="38">
        <f t="shared" si="665"/>
        <v>49.409617799999999</v>
      </c>
      <c r="EQ369" s="38">
        <f t="shared" si="666"/>
        <v>0</v>
      </c>
      <c r="ER369" s="38">
        <f t="shared" si="667"/>
        <v>0</v>
      </c>
      <c r="ES369" s="38">
        <f t="shared" si="668"/>
        <v>0</v>
      </c>
      <c r="ET369" s="38">
        <f t="shared" si="669"/>
        <v>0</v>
      </c>
      <c r="EU369" s="38">
        <f t="shared" si="670"/>
        <v>0</v>
      </c>
      <c r="EV369" s="38">
        <f t="shared" si="671"/>
        <v>0</v>
      </c>
      <c r="EW369" s="38">
        <f t="shared" si="672"/>
        <v>0</v>
      </c>
      <c r="EX369" s="38">
        <f t="shared" si="673"/>
        <v>0</v>
      </c>
      <c r="EZ369" s="38">
        <f t="shared" si="674"/>
        <v>0</v>
      </c>
      <c r="FA369" s="38">
        <f t="shared" si="675"/>
        <v>0</v>
      </c>
      <c r="FB369" s="1">
        <f t="shared" si="676"/>
        <v>0</v>
      </c>
      <c r="FC369" s="1">
        <f t="shared" si="677"/>
        <v>0</v>
      </c>
      <c r="FD369" s="1">
        <f t="shared" si="678"/>
        <v>0</v>
      </c>
      <c r="FE369" s="1">
        <f t="shared" si="679"/>
        <v>0</v>
      </c>
      <c r="FF369" s="1">
        <f t="shared" si="680"/>
        <v>0</v>
      </c>
      <c r="FG369" s="1">
        <f t="shared" si="681"/>
        <v>0</v>
      </c>
      <c r="FH369" s="1">
        <f t="shared" si="682"/>
        <v>0</v>
      </c>
      <c r="FI369" s="1">
        <f t="shared" si="683"/>
        <v>0</v>
      </c>
      <c r="FJ369" s="1">
        <f t="shared" si="684"/>
        <v>0</v>
      </c>
      <c r="FK369" s="1">
        <f t="shared" si="685"/>
        <v>0</v>
      </c>
      <c r="FL369" s="1">
        <f t="shared" si="686"/>
        <v>0</v>
      </c>
      <c r="FM369" s="1">
        <f t="shared" si="687"/>
        <v>0</v>
      </c>
      <c r="FN369" s="1">
        <f t="shared" si="688"/>
        <v>0</v>
      </c>
      <c r="FO369" s="1">
        <f t="shared" si="689"/>
        <v>0</v>
      </c>
      <c r="FP369" s="1">
        <f t="shared" si="690"/>
        <v>0</v>
      </c>
      <c r="FQ369" s="1">
        <f t="shared" si="691"/>
        <v>0</v>
      </c>
      <c r="FS369" s="1">
        <f t="shared" si="692"/>
        <v>0</v>
      </c>
      <c r="FT369" s="1">
        <f t="shared" si="693"/>
        <v>0</v>
      </c>
      <c r="FU369" s="38">
        <f t="shared" si="694"/>
        <v>0</v>
      </c>
      <c r="FV369" s="38">
        <f t="shared" si="695"/>
        <v>0</v>
      </c>
      <c r="FW369" s="38">
        <f t="shared" si="696"/>
        <v>0</v>
      </c>
      <c r="FX369" s="38">
        <f t="shared" si="697"/>
        <v>0</v>
      </c>
      <c r="FY369" s="38">
        <f t="shared" si="698"/>
        <v>0</v>
      </c>
      <c r="FZ369" s="38">
        <f t="shared" si="699"/>
        <v>0</v>
      </c>
      <c r="GA369" s="38">
        <f t="shared" si="700"/>
        <v>0</v>
      </c>
      <c r="GB369" s="38">
        <f t="shared" si="701"/>
        <v>0</v>
      </c>
      <c r="GC369" s="38">
        <f t="shared" si="702"/>
        <v>0</v>
      </c>
      <c r="GD369" s="38">
        <f t="shared" si="703"/>
        <v>0</v>
      </c>
      <c r="GE369" s="38">
        <f t="shared" si="704"/>
        <v>0</v>
      </c>
      <c r="GF369" s="38">
        <f t="shared" si="705"/>
        <v>0</v>
      </c>
      <c r="GG369" s="38">
        <f t="shared" si="706"/>
        <v>0</v>
      </c>
      <c r="GH369" s="38">
        <f t="shared" si="707"/>
        <v>0</v>
      </c>
      <c r="GI369" s="38">
        <f t="shared" si="708"/>
        <v>0</v>
      </c>
      <c r="GJ369" s="38">
        <f t="shared" si="709"/>
        <v>0</v>
      </c>
      <c r="GL369" s="38">
        <f t="shared" si="710"/>
        <v>0</v>
      </c>
      <c r="GM369" s="38">
        <f t="shared" si="711"/>
        <v>0</v>
      </c>
      <c r="GN369" s="1" t="s">
        <v>2</v>
      </c>
      <c r="GO369" s="1">
        <f t="shared" si="634"/>
        <v>0.66100000000000003</v>
      </c>
      <c r="GP369" s="1">
        <f t="shared" si="635"/>
        <v>0.56999999999999995</v>
      </c>
      <c r="GQ369" s="41">
        <f t="shared" si="636"/>
        <v>3.7676999999999996</v>
      </c>
      <c r="GR369" s="41">
        <f t="shared" si="637"/>
        <v>82.191702337599992</v>
      </c>
      <c r="GS369" s="14">
        <f t="shared" si="638"/>
        <v>124.34448159999998</v>
      </c>
      <c r="GT369" s="1">
        <f t="shared" si="712"/>
        <v>0</v>
      </c>
      <c r="GU369" s="1">
        <f t="shared" si="713"/>
        <v>0</v>
      </c>
      <c r="GV369" s="1">
        <f t="shared" si="714"/>
        <v>3.7676999999999996</v>
      </c>
      <c r="GW369" s="37">
        <f t="shared" si="639"/>
        <v>0</v>
      </c>
      <c r="GX369" s="37"/>
      <c r="GY369" s="37"/>
      <c r="GZ369" s="37"/>
      <c r="HB369" s="1">
        <f t="shared" si="715"/>
        <v>0</v>
      </c>
      <c r="HC369" s="1">
        <f t="shared" si="716"/>
        <v>0</v>
      </c>
      <c r="HD369" s="37" t="s">
        <v>2</v>
      </c>
      <c r="HE369" s="1" t="s">
        <v>113</v>
      </c>
      <c r="HF369" s="1" t="s">
        <v>671</v>
      </c>
      <c r="HG369" s="1" t="s">
        <v>672</v>
      </c>
      <c r="HI369" s="1" t="s">
        <v>163</v>
      </c>
      <c r="HJ369" s="37" t="s">
        <v>2</v>
      </c>
      <c r="JH369" s="58" t="s">
        <v>2</v>
      </c>
    </row>
    <row r="370" spans="1:268" ht="16.25" customHeight="1" x14ac:dyDescent="0.2">
      <c r="A370" s="15" t="s">
        <v>741</v>
      </c>
      <c r="B370" s="1" t="s">
        <v>69</v>
      </c>
      <c r="F370" s="1" t="s">
        <v>742</v>
      </c>
      <c r="I370" s="1">
        <v>0</v>
      </c>
      <c r="AD370" s="1">
        <v>0</v>
      </c>
      <c r="AY370" s="2">
        <v>9.2609999999999998E-2</v>
      </c>
      <c r="AZ370" s="1">
        <v>0.27</v>
      </c>
      <c r="BG370" s="1">
        <v>0.53</v>
      </c>
      <c r="BT370" s="1">
        <v>0</v>
      </c>
      <c r="CO370" s="1">
        <v>0</v>
      </c>
      <c r="DJ370" s="1" t="s">
        <v>163</v>
      </c>
      <c r="DL370" s="1">
        <f t="shared" si="632"/>
        <v>0.53</v>
      </c>
      <c r="DM370" s="1">
        <f t="shared" si="633"/>
        <v>0</v>
      </c>
      <c r="DN370" s="1" t="s">
        <v>743</v>
      </c>
      <c r="DO370" s="1" t="s">
        <v>2</v>
      </c>
      <c r="DP370" s="38">
        <f t="shared" si="640"/>
        <v>2.5004699999999999E-4</v>
      </c>
      <c r="DQ370" s="38">
        <f t="shared" si="641"/>
        <v>0</v>
      </c>
      <c r="DR370" s="38">
        <f t="shared" si="642"/>
        <v>0</v>
      </c>
      <c r="DS370" s="38">
        <f t="shared" si="643"/>
        <v>0</v>
      </c>
      <c r="DT370" s="38">
        <f t="shared" si="644"/>
        <v>0</v>
      </c>
      <c r="DU370" s="38">
        <f t="shared" si="645"/>
        <v>0</v>
      </c>
      <c r="DV370" s="38">
        <f t="shared" si="646"/>
        <v>0</v>
      </c>
      <c r="DW370" s="38">
        <f t="shared" si="647"/>
        <v>4.9083299999999998E-4</v>
      </c>
      <c r="DX370" s="38">
        <f t="shared" si="648"/>
        <v>0</v>
      </c>
      <c r="DY370" s="38">
        <f t="shared" si="649"/>
        <v>0</v>
      </c>
      <c r="DZ370" s="38">
        <f t="shared" si="650"/>
        <v>0</v>
      </c>
      <c r="EA370" s="38">
        <f t="shared" si="651"/>
        <v>0</v>
      </c>
      <c r="EB370" s="38">
        <f t="shared" si="652"/>
        <v>0</v>
      </c>
      <c r="EC370" s="38">
        <f t="shared" si="653"/>
        <v>0</v>
      </c>
      <c r="ED370" s="38">
        <f t="shared" si="654"/>
        <v>0</v>
      </c>
      <c r="EE370" s="38">
        <f t="shared" si="655"/>
        <v>0</v>
      </c>
      <c r="EG370" s="38">
        <f t="shared" si="656"/>
        <v>0</v>
      </c>
      <c r="EH370" s="38">
        <f t="shared" si="657"/>
        <v>0</v>
      </c>
      <c r="EI370" s="38">
        <f t="shared" si="658"/>
        <v>1.6317107039519998</v>
      </c>
      <c r="EJ370" s="38">
        <f t="shared" si="659"/>
        <v>0</v>
      </c>
      <c r="EK370" s="38">
        <f t="shared" si="660"/>
        <v>0</v>
      </c>
      <c r="EL370" s="38">
        <f t="shared" si="661"/>
        <v>0</v>
      </c>
      <c r="EM370" s="38">
        <f t="shared" si="662"/>
        <v>0</v>
      </c>
      <c r="EN370" s="38">
        <f t="shared" si="663"/>
        <v>0</v>
      </c>
      <c r="EO370" s="38">
        <f t="shared" si="664"/>
        <v>0</v>
      </c>
      <c r="EP370" s="38">
        <f t="shared" si="665"/>
        <v>6.4367839619999998</v>
      </c>
      <c r="EQ370" s="38">
        <f t="shared" si="666"/>
        <v>0</v>
      </c>
      <c r="ER370" s="38">
        <f t="shared" si="667"/>
        <v>0</v>
      </c>
      <c r="ES370" s="38">
        <f t="shared" si="668"/>
        <v>0</v>
      </c>
      <c r="ET370" s="38">
        <f t="shared" si="669"/>
        <v>0</v>
      </c>
      <c r="EU370" s="38">
        <f t="shared" si="670"/>
        <v>0</v>
      </c>
      <c r="EV370" s="38">
        <f t="shared" si="671"/>
        <v>0</v>
      </c>
      <c r="EW370" s="38">
        <f t="shared" si="672"/>
        <v>0</v>
      </c>
      <c r="EX370" s="38">
        <f t="shared" si="673"/>
        <v>0</v>
      </c>
      <c r="EZ370" s="38">
        <f t="shared" si="674"/>
        <v>0</v>
      </c>
      <c r="FA370" s="38">
        <f t="shared" si="675"/>
        <v>0</v>
      </c>
      <c r="FB370" s="1">
        <f t="shared" si="676"/>
        <v>0</v>
      </c>
      <c r="FC370" s="1">
        <f t="shared" si="677"/>
        <v>0</v>
      </c>
      <c r="FD370" s="1">
        <f t="shared" si="678"/>
        <v>0</v>
      </c>
      <c r="FE370" s="1">
        <f t="shared" si="679"/>
        <v>0</v>
      </c>
      <c r="FF370" s="1">
        <f t="shared" si="680"/>
        <v>0</v>
      </c>
      <c r="FG370" s="1">
        <f t="shared" si="681"/>
        <v>0</v>
      </c>
      <c r="FH370" s="1">
        <f t="shared" si="682"/>
        <v>0</v>
      </c>
      <c r="FI370" s="1">
        <f t="shared" si="683"/>
        <v>0</v>
      </c>
      <c r="FJ370" s="1">
        <f t="shared" si="684"/>
        <v>0</v>
      </c>
      <c r="FK370" s="1">
        <f t="shared" si="685"/>
        <v>0</v>
      </c>
      <c r="FL370" s="1">
        <f t="shared" si="686"/>
        <v>0</v>
      </c>
      <c r="FM370" s="1">
        <f t="shared" si="687"/>
        <v>0</v>
      </c>
      <c r="FN370" s="1">
        <f t="shared" si="688"/>
        <v>0</v>
      </c>
      <c r="FO370" s="1">
        <f t="shared" si="689"/>
        <v>0</v>
      </c>
      <c r="FP370" s="1">
        <f t="shared" si="690"/>
        <v>0</v>
      </c>
      <c r="FQ370" s="1">
        <f t="shared" si="691"/>
        <v>0</v>
      </c>
      <c r="FS370" s="1">
        <f t="shared" si="692"/>
        <v>0</v>
      </c>
      <c r="FT370" s="1">
        <f t="shared" si="693"/>
        <v>0</v>
      </c>
      <c r="FU370" s="38">
        <f t="shared" si="694"/>
        <v>0</v>
      </c>
      <c r="FV370" s="38">
        <f t="shared" si="695"/>
        <v>0</v>
      </c>
      <c r="FW370" s="38">
        <f t="shared" si="696"/>
        <v>0</v>
      </c>
      <c r="FX370" s="38">
        <f t="shared" si="697"/>
        <v>0</v>
      </c>
      <c r="FY370" s="38">
        <f t="shared" si="698"/>
        <v>0</v>
      </c>
      <c r="FZ370" s="38">
        <f t="shared" si="699"/>
        <v>0</v>
      </c>
      <c r="GA370" s="38">
        <f t="shared" si="700"/>
        <v>0</v>
      </c>
      <c r="GB370" s="38">
        <f t="shared" si="701"/>
        <v>0</v>
      </c>
      <c r="GC370" s="38">
        <f t="shared" si="702"/>
        <v>0</v>
      </c>
      <c r="GD370" s="38">
        <f t="shared" si="703"/>
        <v>0</v>
      </c>
      <c r="GE370" s="38">
        <f t="shared" si="704"/>
        <v>0</v>
      </c>
      <c r="GF370" s="38">
        <f t="shared" si="705"/>
        <v>0</v>
      </c>
      <c r="GG370" s="38">
        <f t="shared" si="706"/>
        <v>0</v>
      </c>
      <c r="GH370" s="38">
        <f t="shared" si="707"/>
        <v>0</v>
      </c>
      <c r="GI370" s="38">
        <f t="shared" si="708"/>
        <v>0</v>
      </c>
      <c r="GJ370" s="38">
        <f t="shared" si="709"/>
        <v>0</v>
      </c>
      <c r="GL370" s="38">
        <f t="shared" si="710"/>
        <v>0</v>
      </c>
      <c r="GM370" s="38">
        <f t="shared" si="711"/>
        <v>0</v>
      </c>
      <c r="GN370" s="1" t="s">
        <v>2</v>
      </c>
      <c r="GO370" s="2">
        <f t="shared" si="634"/>
        <v>9.2609999999999998E-2</v>
      </c>
      <c r="GP370" s="1">
        <f t="shared" si="635"/>
        <v>0.53</v>
      </c>
      <c r="GQ370" s="41">
        <f t="shared" si="636"/>
        <v>0.49083300000000002</v>
      </c>
      <c r="GR370" s="41">
        <f t="shared" si="637"/>
        <v>8.0684946659519987</v>
      </c>
      <c r="GS370" s="14">
        <f t="shared" si="638"/>
        <v>87.123363199999986</v>
      </c>
      <c r="GT370" s="1">
        <f t="shared" si="712"/>
        <v>0</v>
      </c>
      <c r="GU370" s="1">
        <f t="shared" si="713"/>
        <v>0</v>
      </c>
      <c r="GV370" s="1">
        <f t="shared" si="714"/>
        <v>0.49083300000000002</v>
      </c>
      <c r="GW370" s="37">
        <f t="shared" si="639"/>
        <v>0</v>
      </c>
      <c r="GX370" s="37"/>
      <c r="GY370" s="37"/>
      <c r="GZ370" s="37"/>
      <c r="HB370" s="1">
        <f t="shared" si="715"/>
        <v>0</v>
      </c>
      <c r="HC370" s="1">
        <f t="shared" si="716"/>
        <v>0</v>
      </c>
      <c r="HD370" s="37" t="s">
        <v>2</v>
      </c>
      <c r="HE370" s="1" t="s">
        <v>113</v>
      </c>
      <c r="HF370" s="1" t="s">
        <v>671</v>
      </c>
      <c r="HI370" s="1" t="s">
        <v>163</v>
      </c>
      <c r="HJ370" s="37" t="s">
        <v>2</v>
      </c>
      <c r="JH370" s="58" t="s">
        <v>2</v>
      </c>
    </row>
    <row r="371" spans="1:268" ht="16.25" customHeight="1" x14ac:dyDescent="0.2">
      <c r="A371" s="15" t="s">
        <v>696</v>
      </c>
      <c r="B371" s="1" t="s">
        <v>64</v>
      </c>
      <c r="F371" s="1" t="s">
        <v>697</v>
      </c>
      <c r="I371" s="13">
        <f>9.568+9.581+3.174</f>
        <v>22.323</v>
      </c>
      <c r="J371" s="13">
        <f>(0.08*9.568+0.06*9.581+0.05*3.174)/I371</f>
        <v>6.715047260672849E-2</v>
      </c>
      <c r="K371" s="13">
        <f>(0.219*9.568+0.172*9.581+0.07*3.174)/I371</f>
        <v>0.17764207319804681</v>
      </c>
      <c r="Q371" s="13">
        <f>(0.09*9.568+0.06*9.581+0.05*3.174)/I371</f>
        <v>7.143663486090579E-2</v>
      </c>
      <c r="R371" s="1">
        <v>6.0000000000000001E-3</v>
      </c>
      <c r="S371" s="13">
        <f>(0.252*9.568+0.214*9.581+0.134*3.174)/I371</f>
        <v>0.21891260135286478</v>
      </c>
      <c r="T371" s="13">
        <f>(2.9*9.568+2.2*9.581+1.38*3.174)/I371</f>
        <v>2.3834395018590691</v>
      </c>
      <c r="AD371" s="1">
        <f>18.759+26.589+1.91+3.399</f>
        <v>50.656999999999996</v>
      </c>
      <c r="AE371" s="13">
        <f>(0.08*18.759+0.05*26.589+0.06*1.91+0.03*3.399)/AD371</f>
        <v>6.0144501253528632E-2</v>
      </c>
      <c r="AF371" s="13">
        <f>(0.233*18.759+0.109*26.589+0.098*1.91+0.08*3.399)/AD371</f>
        <v>0.15255834336814261</v>
      </c>
      <c r="AL371" s="13">
        <f>(0.1*18.759+0.05*26.589+0.07*1.91+0.06*3.399)/AD371</f>
        <v>6.994077817478335E-2</v>
      </c>
      <c r="AM371" s="1">
        <v>6.0000000000000001E-3</v>
      </c>
      <c r="AN371" s="13">
        <f>(2.97*18.759+1.56*26.589+1.32*1.91+0.97*3.399)/AD371</f>
        <v>2.033505734646742</v>
      </c>
      <c r="AO371" s="13">
        <f>(0.256*18.759+0.193*26.589+0.155*1.91+0.12*3.399)/AD371</f>
        <v>0.20999883530410407</v>
      </c>
      <c r="AY371" s="1">
        <v>8.2349999999999994</v>
      </c>
      <c r="AZ371" s="1">
        <v>6.6000000000000003E-2</v>
      </c>
      <c r="BA371" s="1">
        <v>0.14599999999999999</v>
      </c>
      <c r="BG371" s="1">
        <v>7.0000000000000007E-2</v>
      </c>
      <c r="BH371" s="1">
        <v>6.0000000000000001E-3</v>
      </c>
      <c r="BI371" s="1">
        <v>0.216</v>
      </c>
      <c r="BJ371" s="1">
        <v>2.2200000000000002</v>
      </c>
      <c r="BT371" s="1">
        <v>4.9790000000000001</v>
      </c>
      <c r="BU371" s="1">
        <v>0.05</v>
      </c>
      <c r="BV371" s="1">
        <v>0.14499999999999999</v>
      </c>
      <c r="CB371" s="1">
        <v>0.06</v>
      </c>
      <c r="CC371" s="1">
        <v>6.0000000000000001E-3</v>
      </c>
      <c r="CD371" s="1">
        <v>0.20799999999999999</v>
      </c>
      <c r="CE371" s="1">
        <v>2.0299999999999998</v>
      </c>
      <c r="CO371" s="1">
        <v>33.899000000000001</v>
      </c>
      <c r="CP371" s="1">
        <v>0.06</v>
      </c>
      <c r="CQ371" s="2">
        <v>0.18</v>
      </c>
      <c r="CW371" s="1">
        <v>7.0000000000000007E-2</v>
      </c>
      <c r="CX371" s="1">
        <v>6.0000000000000001E-3</v>
      </c>
      <c r="CY371" s="1">
        <v>0.20799999999999999</v>
      </c>
      <c r="CZ371" s="1">
        <v>2.35</v>
      </c>
      <c r="DJ371" s="1" t="s">
        <v>96</v>
      </c>
      <c r="DK371" s="1" t="s">
        <v>96</v>
      </c>
      <c r="DL371" s="1">
        <f t="shared" si="632"/>
        <v>7.0357938804408063E-2</v>
      </c>
      <c r="DM371" s="1">
        <f t="shared" si="633"/>
        <v>6.000000000000001E-3</v>
      </c>
      <c r="DN371" s="1" t="s">
        <v>185</v>
      </c>
      <c r="DO371" s="1" t="s">
        <v>2</v>
      </c>
      <c r="DP371" s="38">
        <f t="shared" si="640"/>
        <v>5.08925E-2</v>
      </c>
      <c r="DQ371" s="38">
        <f t="shared" si="641"/>
        <v>12.895962000000001</v>
      </c>
      <c r="DR371" s="38">
        <f t="shared" si="642"/>
        <v>0</v>
      </c>
      <c r="DS371" s="38">
        <f t="shared" si="643"/>
        <v>0</v>
      </c>
      <c r="DT371" s="38">
        <f t="shared" si="644"/>
        <v>0</v>
      </c>
      <c r="DU371" s="38">
        <f t="shared" si="645"/>
        <v>0</v>
      </c>
      <c r="DV371" s="38">
        <f t="shared" si="646"/>
        <v>0</v>
      </c>
      <c r="DW371" s="38">
        <f t="shared" si="647"/>
        <v>5.7141200000000003E-2</v>
      </c>
      <c r="DX371" s="38">
        <f t="shared" si="648"/>
        <v>4.8729000000000003E-3</v>
      </c>
      <c r="DY371" s="38">
        <f t="shared" si="649"/>
        <v>109.67684600000001</v>
      </c>
      <c r="DZ371" s="38">
        <f t="shared" si="650"/>
        <v>82.125130999999996</v>
      </c>
      <c r="EA371" s="38">
        <f t="shared" si="651"/>
        <v>0</v>
      </c>
      <c r="EB371" s="38">
        <f t="shared" si="652"/>
        <v>0</v>
      </c>
      <c r="EC371" s="38">
        <f t="shared" si="653"/>
        <v>0</v>
      </c>
      <c r="ED371" s="38">
        <f t="shared" si="654"/>
        <v>0</v>
      </c>
      <c r="EE371" s="38">
        <f t="shared" si="655"/>
        <v>0</v>
      </c>
      <c r="EG371" s="38">
        <f t="shared" si="656"/>
        <v>0</v>
      </c>
      <c r="EH371" s="38">
        <f t="shared" si="657"/>
        <v>0</v>
      </c>
      <c r="EI371" s="38">
        <f t="shared" si="658"/>
        <v>332.10491228000001</v>
      </c>
      <c r="EJ371" s="38">
        <f t="shared" si="659"/>
        <v>527.44899241157555</v>
      </c>
      <c r="EK371" s="38">
        <f t="shared" si="660"/>
        <v>0</v>
      </c>
      <c r="EL371" s="38">
        <f t="shared" si="661"/>
        <v>0</v>
      </c>
      <c r="EM371" s="38">
        <f t="shared" si="662"/>
        <v>0</v>
      </c>
      <c r="EN371" s="38">
        <f t="shared" si="663"/>
        <v>0</v>
      </c>
      <c r="EO371" s="38">
        <f t="shared" si="664"/>
        <v>0</v>
      </c>
      <c r="EP371" s="38">
        <f t="shared" si="665"/>
        <v>749.34969680000006</v>
      </c>
      <c r="EQ371" s="38">
        <f t="shared" si="666"/>
        <v>353.8676784996</v>
      </c>
      <c r="ER371" s="38">
        <f t="shared" si="667"/>
        <v>3112.7770061209003</v>
      </c>
      <c r="ES371" s="38">
        <f t="shared" si="668"/>
        <v>2736.8794058627009</v>
      </c>
      <c r="ET371" s="38">
        <f t="shared" si="669"/>
        <v>0</v>
      </c>
      <c r="EU371" s="38">
        <f t="shared" si="670"/>
        <v>0</v>
      </c>
      <c r="EV371" s="38">
        <f t="shared" si="671"/>
        <v>0</v>
      </c>
      <c r="EW371" s="38">
        <f t="shared" si="672"/>
        <v>0</v>
      </c>
      <c r="EX371" s="38">
        <f t="shared" si="673"/>
        <v>0</v>
      </c>
      <c r="EZ371" s="38">
        <f t="shared" si="674"/>
        <v>0</v>
      </c>
      <c r="FA371" s="38">
        <f t="shared" si="675"/>
        <v>0</v>
      </c>
      <c r="FB371" s="1">
        <f t="shared" si="676"/>
        <v>2.2828899999999999E-2</v>
      </c>
      <c r="FC371" s="1">
        <f t="shared" si="677"/>
        <v>6.8237750000000004</v>
      </c>
      <c r="FD371" s="1">
        <f t="shared" si="678"/>
        <v>0</v>
      </c>
      <c r="FE371" s="1">
        <f t="shared" si="679"/>
        <v>0</v>
      </c>
      <c r="FF371" s="1">
        <f t="shared" si="680"/>
        <v>0</v>
      </c>
      <c r="FG371" s="1">
        <f t="shared" si="681"/>
        <v>0</v>
      </c>
      <c r="FH371" s="1">
        <f t="shared" si="682"/>
        <v>0</v>
      </c>
      <c r="FI371" s="1">
        <f t="shared" si="683"/>
        <v>2.6716700000000003E-2</v>
      </c>
      <c r="FJ371" s="1">
        <f t="shared" si="684"/>
        <v>2.3326800000000002E-3</v>
      </c>
      <c r="FK371" s="1">
        <f t="shared" si="685"/>
        <v>8.0866240000000005</v>
      </c>
      <c r="FL371" s="1">
        <f t="shared" si="686"/>
        <v>89.770020000000002</v>
      </c>
      <c r="FM371" s="1">
        <f t="shared" si="687"/>
        <v>0</v>
      </c>
      <c r="FN371" s="1">
        <f t="shared" si="688"/>
        <v>0</v>
      </c>
      <c r="FO371" s="1">
        <f t="shared" si="689"/>
        <v>0</v>
      </c>
      <c r="FP371" s="1">
        <f t="shared" si="690"/>
        <v>0</v>
      </c>
      <c r="FQ371" s="1">
        <f t="shared" si="691"/>
        <v>0</v>
      </c>
      <c r="FS371" s="1">
        <f t="shared" si="692"/>
        <v>0</v>
      </c>
      <c r="FT371" s="1">
        <f t="shared" si="693"/>
        <v>0</v>
      </c>
      <c r="FU371" s="38">
        <f t="shared" si="694"/>
        <v>148.97263510240001</v>
      </c>
      <c r="FV371" s="38">
        <f t="shared" si="695"/>
        <v>279.09459163987134</v>
      </c>
      <c r="FW371" s="38">
        <f t="shared" si="696"/>
        <v>0</v>
      </c>
      <c r="FX371" s="38">
        <f t="shared" si="697"/>
        <v>0</v>
      </c>
      <c r="FY371" s="38">
        <f t="shared" si="698"/>
        <v>0</v>
      </c>
      <c r="FZ371" s="38">
        <f t="shared" si="699"/>
        <v>0</v>
      </c>
      <c r="GA371" s="38">
        <f t="shared" si="700"/>
        <v>0</v>
      </c>
      <c r="GB371" s="38">
        <f t="shared" si="701"/>
        <v>350.36280380000005</v>
      </c>
      <c r="GC371" s="38">
        <f t="shared" si="702"/>
        <v>169.39811124431998</v>
      </c>
      <c r="GD371" s="38">
        <f t="shared" si="703"/>
        <v>229.50930996270094</v>
      </c>
      <c r="GE371" s="38">
        <f t="shared" si="704"/>
        <v>2991.6508626559485</v>
      </c>
      <c r="GF371" s="38">
        <f t="shared" si="705"/>
        <v>0</v>
      </c>
      <c r="GG371" s="38">
        <f t="shared" si="706"/>
        <v>0</v>
      </c>
      <c r="GH371" s="38">
        <f t="shared" si="707"/>
        <v>0</v>
      </c>
      <c r="GI371" s="38">
        <f t="shared" si="708"/>
        <v>0</v>
      </c>
      <c r="GJ371" s="38">
        <f t="shared" si="709"/>
        <v>0</v>
      </c>
      <c r="GL371" s="38">
        <f t="shared" si="710"/>
        <v>0</v>
      </c>
      <c r="GM371" s="38">
        <f t="shared" si="711"/>
        <v>0</v>
      </c>
      <c r="GN371" s="1" t="s">
        <v>2</v>
      </c>
      <c r="GO371" s="13">
        <f t="shared" si="634"/>
        <v>81.214999999999989</v>
      </c>
      <c r="GP371" s="2">
        <f t="shared" si="635"/>
        <v>7.0357938804408063E-2</v>
      </c>
      <c r="GQ371" s="41">
        <f t="shared" si="636"/>
        <v>57.141199999999998</v>
      </c>
      <c r="GR371" s="41">
        <f t="shared" si="637"/>
        <v>7812.4276919747772</v>
      </c>
      <c r="GS371" s="14">
        <f t="shared" si="638"/>
        <v>96.19439379393927</v>
      </c>
      <c r="GT371" s="1">
        <f t="shared" si="712"/>
        <v>15.946799999999998</v>
      </c>
      <c r="GU371" s="1">
        <f t="shared" si="713"/>
        <v>35.429900000000004</v>
      </c>
      <c r="GV371" s="1">
        <f t="shared" si="714"/>
        <v>5.7645000000000008</v>
      </c>
      <c r="GW371" s="44">
        <f t="shared" si="639"/>
        <v>38.878</v>
      </c>
      <c r="GX371" s="44">
        <f>(BT371*CB371+CO371*CW371)/GW371</f>
        <v>6.8719327125880969E-2</v>
      </c>
      <c r="GY371" s="41">
        <f>1000*GW371*GX371/100</f>
        <v>26.716700000000007</v>
      </c>
      <c r="GZ371" s="41">
        <f>SUM(FU371:GM371)</f>
        <v>4168.988314405241</v>
      </c>
      <c r="HA371" s="14">
        <f>GZ371/GW371</f>
        <v>107.2325817790329</v>
      </c>
      <c r="HB371" s="1">
        <f t="shared" si="715"/>
        <v>2.9874000000000001</v>
      </c>
      <c r="HC371" s="1">
        <f t="shared" si="716"/>
        <v>23.729300000000002</v>
      </c>
      <c r="HD371" s="37" t="s">
        <v>2</v>
      </c>
      <c r="HE371" s="1" t="s">
        <v>113</v>
      </c>
      <c r="HF371" s="1" t="s">
        <v>261</v>
      </c>
      <c r="HG371" s="1" t="s">
        <v>698</v>
      </c>
      <c r="HI371" s="1" t="s">
        <v>96</v>
      </c>
      <c r="HJ371" s="37" t="s">
        <v>2</v>
      </c>
      <c r="JH371" s="58" t="s">
        <v>2</v>
      </c>
    </row>
    <row r="372" spans="1:268" ht="16.25" customHeight="1" x14ac:dyDescent="0.2">
      <c r="A372" s="15" t="s">
        <v>705</v>
      </c>
      <c r="B372" s="1" t="s">
        <v>69</v>
      </c>
      <c r="F372" s="1" t="s">
        <v>706</v>
      </c>
      <c r="I372" s="2">
        <v>0.28591800000000001</v>
      </c>
      <c r="J372" s="1">
        <v>0.77</v>
      </c>
      <c r="Q372" s="1">
        <v>1.23</v>
      </c>
      <c r="R372" s="2">
        <v>2.8899999999999999E-2</v>
      </c>
      <c r="AD372" s="2">
        <v>0.51318299999999994</v>
      </c>
      <c r="AE372" s="1">
        <v>0.62</v>
      </c>
      <c r="AL372" s="1">
        <v>1.05</v>
      </c>
      <c r="AM372" s="2">
        <v>2.8899999999999999E-2</v>
      </c>
      <c r="AY372" s="2">
        <v>0.43927899999999998</v>
      </c>
      <c r="AZ372" s="1">
        <v>0.41</v>
      </c>
      <c r="BG372" s="1">
        <v>0.65</v>
      </c>
      <c r="BH372" s="2">
        <v>2.8899999999999999E-2</v>
      </c>
      <c r="BT372" s="1">
        <v>0</v>
      </c>
      <c r="CO372" s="1">
        <v>0</v>
      </c>
      <c r="DJ372" s="1" t="s">
        <v>96</v>
      </c>
      <c r="DK372" s="1" t="s">
        <v>96</v>
      </c>
      <c r="DL372" s="1">
        <f t="shared" si="632"/>
        <v>0.94967024661250998</v>
      </c>
      <c r="DM372" s="1">
        <f t="shared" si="633"/>
        <v>2.8900000000000002E-2</v>
      </c>
      <c r="DN372" s="1" t="s">
        <v>707</v>
      </c>
      <c r="DO372" s="1" t="s">
        <v>2</v>
      </c>
      <c r="DP372" s="38">
        <f t="shared" si="640"/>
        <v>7.1843471000000002E-3</v>
      </c>
      <c r="DQ372" s="38">
        <f t="shared" si="641"/>
        <v>0</v>
      </c>
      <c r="DR372" s="38">
        <f t="shared" si="642"/>
        <v>0</v>
      </c>
      <c r="DS372" s="38">
        <f t="shared" si="643"/>
        <v>0</v>
      </c>
      <c r="DT372" s="38">
        <f t="shared" si="644"/>
        <v>0</v>
      </c>
      <c r="DU372" s="38">
        <f t="shared" si="645"/>
        <v>0</v>
      </c>
      <c r="DV372" s="38">
        <f t="shared" si="646"/>
        <v>0</v>
      </c>
      <c r="DW372" s="38">
        <f t="shared" si="647"/>
        <v>1.17605264E-2</v>
      </c>
      <c r="DX372" s="38">
        <f t="shared" si="648"/>
        <v>3.5789181999999997E-4</v>
      </c>
      <c r="DY372" s="38">
        <f t="shared" si="649"/>
        <v>0</v>
      </c>
      <c r="DZ372" s="38">
        <f t="shared" si="650"/>
        <v>0</v>
      </c>
      <c r="EA372" s="38">
        <f t="shared" si="651"/>
        <v>0</v>
      </c>
      <c r="EB372" s="38">
        <f t="shared" si="652"/>
        <v>0</v>
      </c>
      <c r="EC372" s="38">
        <f t="shared" si="653"/>
        <v>0</v>
      </c>
      <c r="ED372" s="38">
        <f t="shared" si="654"/>
        <v>0</v>
      </c>
      <c r="EE372" s="38">
        <f t="shared" si="655"/>
        <v>0</v>
      </c>
      <c r="EG372" s="38">
        <f t="shared" si="656"/>
        <v>0</v>
      </c>
      <c r="EH372" s="38">
        <f t="shared" si="657"/>
        <v>0</v>
      </c>
      <c r="EI372" s="38">
        <f t="shared" si="658"/>
        <v>46.882290385313603</v>
      </c>
      <c r="EJ372" s="38">
        <f t="shared" si="659"/>
        <v>0</v>
      </c>
      <c r="EK372" s="38">
        <f t="shared" si="660"/>
        <v>0</v>
      </c>
      <c r="EL372" s="38">
        <f t="shared" si="661"/>
        <v>0</v>
      </c>
      <c r="EM372" s="38">
        <f t="shared" si="662"/>
        <v>0</v>
      </c>
      <c r="EN372" s="38">
        <f t="shared" si="663"/>
        <v>0</v>
      </c>
      <c r="EO372" s="38">
        <f t="shared" si="664"/>
        <v>0</v>
      </c>
      <c r="EP372" s="38">
        <f t="shared" si="665"/>
        <v>154.22754320960001</v>
      </c>
      <c r="EQ372" s="38">
        <f t="shared" si="666"/>
        <v>25.989933611893676</v>
      </c>
      <c r="ER372" s="38">
        <f t="shared" si="667"/>
        <v>0</v>
      </c>
      <c r="ES372" s="38">
        <f t="shared" si="668"/>
        <v>0</v>
      </c>
      <c r="ET372" s="38">
        <f t="shared" si="669"/>
        <v>0</v>
      </c>
      <c r="EU372" s="38">
        <f t="shared" si="670"/>
        <v>0</v>
      </c>
      <c r="EV372" s="38">
        <f t="shared" si="671"/>
        <v>0</v>
      </c>
      <c r="EW372" s="38">
        <f t="shared" si="672"/>
        <v>0</v>
      </c>
      <c r="EX372" s="38">
        <f t="shared" si="673"/>
        <v>0</v>
      </c>
      <c r="EZ372" s="38">
        <f t="shared" si="674"/>
        <v>0</v>
      </c>
      <c r="FA372" s="38">
        <f t="shared" si="675"/>
        <v>0</v>
      </c>
      <c r="FB372" s="1">
        <f t="shared" si="676"/>
        <v>0</v>
      </c>
      <c r="FC372" s="1">
        <f t="shared" si="677"/>
        <v>0</v>
      </c>
      <c r="FD372" s="1">
        <f t="shared" si="678"/>
        <v>0</v>
      </c>
      <c r="FE372" s="1">
        <f t="shared" si="679"/>
        <v>0</v>
      </c>
      <c r="FF372" s="1">
        <f t="shared" si="680"/>
        <v>0</v>
      </c>
      <c r="FG372" s="1">
        <f t="shared" si="681"/>
        <v>0</v>
      </c>
      <c r="FH372" s="1">
        <f t="shared" si="682"/>
        <v>0</v>
      </c>
      <c r="FI372" s="1">
        <f t="shared" si="683"/>
        <v>0</v>
      </c>
      <c r="FJ372" s="1">
        <f t="shared" si="684"/>
        <v>0</v>
      </c>
      <c r="FK372" s="1">
        <f t="shared" si="685"/>
        <v>0</v>
      </c>
      <c r="FL372" s="1">
        <f t="shared" si="686"/>
        <v>0</v>
      </c>
      <c r="FM372" s="1">
        <f t="shared" si="687"/>
        <v>0</v>
      </c>
      <c r="FN372" s="1">
        <f t="shared" si="688"/>
        <v>0</v>
      </c>
      <c r="FO372" s="1">
        <f t="shared" si="689"/>
        <v>0</v>
      </c>
      <c r="FP372" s="1">
        <f t="shared" si="690"/>
        <v>0</v>
      </c>
      <c r="FQ372" s="1">
        <f t="shared" si="691"/>
        <v>0</v>
      </c>
      <c r="FS372" s="1">
        <f t="shared" si="692"/>
        <v>0</v>
      </c>
      <c r="FT372" s="1">
        <f t="shared" si="693"/>
        <v>0</v>
      </c>
      <c r="FU372" s="38">
        <f t="shared" si="694"/>
        <v>0</v>
      </c>
      <c r="FV372" s="38">
        <f t="shared" si="695"/>
        <v>0</v>
      </c>
      <c r="FW372" s="38">
        <f t="shared" si="696"/>
        <v>0</v>
      </c>
      <c r="FX372" s="38">
        <f t="shared" si="697"/>
        <v>0</v>
      </c>
      <c r="FY372" s="38">
        <f t="shared" si="698"/>
        <v>0</v>
      </c>
      <c r="FZ372" s="38">
        <f t="shared" si="699"/>
        <v>0</v>
      </c>
      <c r="GA372" s="38">
        <f t="shared" si="700"/>
        <v>0</v>
      </c>
      <c r="GB372" s="38">
        <f t="shared" si="701"/>
        <v>0</v>
      </c>
      <c r="GC372" s="38">
        <f t="shared" si="702"/>
        <v>0</v>
      </c>
      <c r="GD372" s="38">
        <f t="shared" si="703"/>
        <v>0</v>
      </c>
      <c r="GE372" s="38">
        <f t="shared" si="704"/>
        <v>0</v>
      </c>
      <c r="GF372" s="38">
        <f t="shared" si="705"/>
        <v>0</v>
      </c>
      <c r="GG372" s="38">
        <f t="shared" si="706"/>
        <v>0</v>
      </c>
      <c r="GH372" s="38">
        <f t="shared" si="707"/>
        <v>0</v>
      </c>
      <c r="GI372" s="38">
        <f t="shared" si="708"/>
        <v>0</v>
      </c>
      <c r="GJ372" s="38">
        <f t="shared" si="709"/>
        <v>0</v>
      </c>
      <c r="GL372" s="38">
        <f t="shared" si="710"/>
        <v>0</v>
      </c>
      <c r="GM372" s="38">
        <f t="shared" si="711"/>
        <v>0</v>
      </c>
      <c r="GN372" s="1" t="s">
        <v>2</v>
      </c>
      <c r="GO372" s="2">
        <f t="shared" si="634"/>
        <v>1.2383799999999998</v>
      </c>
      <c r="GP372" s="13">
        <f t="shared" si="635"/>
        <v>0.94967024661250998</v>
      </c>
      <c r="GQ372" s="41">
        <f t="shared" si="636"/>
        <v>11.760526400000002</v>
      </c>
      <c r="GR372" s="41">
        <f t="shared" si="637"/>
        <v>227.09976720680731</v>
      </c>
      <c r="GS372" s="14">
        <f t="shared" si="638"/>
        <v>183.38455660363326</v>
      </c>
      <c r="GT372" s="1">
        <f t="shared" si="712"/>
        <v>3.5167914000000002</v>
      </c>
      <c r="GU372" s="1">
        <f t="shared" si="713"/>
        <v>5.3884215000000006</v>
      </c>
      <c r="GV372" s="1">
        <f t="shared" si="714"/>
        <v>2.8553135000000003</v>
      </c>
      <c r="GW372" s="37">
        <f t="shared" si="639"/>
        <v>0</v>
      </c>
      <c r="GX372" s="37"/>
      <c r="GY372" s="37"/>
      <c r="GZ372" s="37"/>
      <c r="HB372" s="1">
        <f t="shared" si="715"/>
        <v>0</v>
      </c>
      <c r="HC372" s="1">
        <f t="shared" si="716"/>
        <v>0</v>
      </c>
      <c r="HD372" s="37" t="s">
        <v>2</v>
      </c>
      <c r="HE372" s="1" t="s">
        <v>113</v>
      </c>
      <c r="HF372" s="1" t="s">
        <v>261</v>
      </c>
      <c r="HG372" s="1" t="s">
        <v>708</v>
      </c>
      <c r="HI372" s="1" t="s">
        <v>96</v>
      </c>
      <c r="HJ372" s="37" t="s">
        <v>2</v>
      </c>
      <c r="JH372" s="58" t="s">
        <v>2</v>
      </c>
    </row>
    <row r="373" spans="1:268" ht="16.25" customHeight="1" x14ac:dyDescent="0.2">
      <c r="A373" s="15" t="s">
        <v>920</v>
      </c>
      <c r="B373" s="1" t="s">
        <v>69</v>
      </c>
      <c r="F373" s="1" t="s">
        <v>921</v>
      </c>
      <c r="I373" s="1">
        <v>46.9</v>
      </c>
      <c r="J373" s="1">
        <v>0.24</v>
      </c>
      <c r="K373" s="1">
        <v>0.16</v>
      </c>
      <c r="Q373" s="13">
        <v>0.1</v>
      </c>
      <c r="S373" s="1">
        <v>0.41</v>
      </c>
      <c r="T373" s="1">
        <v>1.68</v>
      </c>
      <c r="AD373" s="1">
        <v>69.900000000000006</v>
      </c>
      <c r="AE373" s="1">
        <v>0.22</v>
      </c>
      <c r="AF373" s="1">
        <v>0.11</v>
      </c>
      <c r="AL373" s="1">
        <v>0.09</v>
      </c>
      <c r="AN373" s="1">
        <v>0.31</v>
      </c>
      <c r="AO373" s="1">
        <v>1.28</v>
      </c>
      <c r="AY373" s="1">
        <v>91.7</v>
      </c>
      <c r="AZ373" s="1">
        <v>0.22</v>
      </c>
      <c r="BA373" s="13">
        <v>0.1</v>
      </c>
      <c r="BG373" s="13">
        <v>0.1</v>
      </c>
      <c r="BI373" s="1">
        <v>0.38</v>
      </c>
      <c r="BJ373" s="13">
        <v>1.5</v>
      </c>
      <c r="BT373" s="1">
        <v>0</v>
      </c>
      <c r="CO373" s="1">
        <v>0</v>
      </c>
      <c r="DJ373" s="1" t="s">
        <v>96</v>
      </c>
      <c r="DL373" s="1">
        <f t="shared" si="632"/>
        <v>9.6647482014388511E-2</v>
      </c>
      <c r="DM373" s="1">
        <f t="shared" si="633"/>
        <v>0</v>
      </c>
      <c r="DN373" s="1" t="s">
        <v>360</v>
      </c>
      <c r="DO373" s="1" t="s">
        <v>2</v>
      </c>
      <c r="DP373" s="38">
        <f t="shared" si="640"/>
        <v>0.46808</v>
      </c>
      <c r="DQ373" s="38">
        <f t="shared" si="641"/>
        <v>24.363</v>
      </c>
      <c r="DR373" s="38">
        <f t="shared" si="642"/>
        <v>0</v>
      </c>
      <c r="DS373" s="38">
        <f t="shared" si="643"/>
        <v>0</v>
      </c>
      <c r="DT373" s="38">
        <f t="shared" si="644"/>
        <v>0</v>
      </c>
      <c r="DU373" s="38">
        <f t="shared" si="645"/>
        <v>0</v>
      </c>
      <c r="DV373" s="38">
        <f t="shared" si="646"/>
        <v>0</v>
      </c>
      <c r="DW373" s="38">
        <f t="shared" si="647"/>
        <v>0.20151000000000002</v>
      </c>
      <c r="DX373" s="38">
        <f t="shared" si="648"/>
        <v>0</v>
      </c>
      <c r="DY373" s="38">
        <f t="shared" si="649"/>
        <v>75.744</v>
      </c>
      <c r="DZ373" s="38">
        <f t="shared" si="650"/>
        <v>305.81400000000002</v>
      </c>
      <c r="EA373" s="38">
        <f t="shared" si="651"/>
        <v>0</v>
      </c>
      <c r="EB373" s="38">
        <f t="shared" si="652"/>
        <v>0</v>
      </c>
      <c r="EC373" s="38">
        <f t="shared" si="653"/>
        <v>0</v>
      </c>
      <c r="ED373" s="38">
        <f t="shared" si="654"/>
        <v>0</v>
      </c>
      <c r="EE373" s="38">
        <f t="shared" si="655"/>
        <v>0</v>
      </c>
      <c r="EG373" s="38">
        <f t="shared" si="656"/>
        <v>0</v>
      </c>
      <c r="EH373" s="38">
        <f t="shared" si="657"/>
        <v>0</v>
      </c>
      <c r="EI373" s="38">
        <f t="shared" si="658"/>
        <v>3054.5103372799999</v>
      </c>
      <c r="EJ373" s="38">
        <f t="shared" si="659"/>
        <v>996.45453376205774</v>
      </c>
      <c r="EK373" s="38">
        <f t="shared" si="660"/>
        <v>0</v>
      </c>
      <c r="EL373" s="38">
        <f t="shared" si="661"/>
        <v>0</v>
      </c>
      <c r="EM373" s="38">
        <f t="shared" si="662"/>
        <v>0</v>
      </c>
      <c r="EN373" s="38">
        <f t="shared" si="663"/>
        <v>0</v>
      </c>
      <c r="EO373" s="38">
        <f t="shared" si="664"/>
        <v>0</v>
      </c>
      <c r="EP373" s="38">
        <f t="shared" si="665"/>
        <v>2642.6021400000004</v>
      </c>
      <c r="EQ373" s="38">
        <f t="shared" si="666"/>
        <v>0</v>
      </c>
      <c r="ER373" s="38">
        <f t="shared" si="667"/>
        <v>2149.7170109324757</v>
      </c>
      <c r="ES373" s="38">
        <f t="shared" si="668"/>
        <v>10191.472798070739</v>
      </c>
      <c r="ET373" s="38">
        <f t="shared" si="669"/>
        <v>0</v>
      </c>
      <c r="EU373" s="38">
        <f t="shared" si="670"/>
        <v>0</v>
      </c>
      <c r="EV373" s="38">
        <f t="shared" si="671"/>
        <v>0</v>
      </c>
      <c r="EW373" s="38">
        <f t="shared" si="672"/>
        <v>0</v>
      </c>
      <c r="EX373" s="38">
        <f t="shared" si="673"/>
        <v>0</v>
      </c>
      <c r="EZ373" s="38">
        <f t="shared" si="674"/>
        <v>0</v>
      </c>
      <c r="FA373" s="38">
        <f t="shared" si="675"/>
        <v>0</v>
      </c>
      <c r="FB373" s="1">
        <f t="shared" si="676"/>
        <v>0</v>
      </c>
      <c r="FC373" s="1">
        <f t="shared" si="677"/>
        <v>0</v>
      </c>
      <c r="FD373" s="1">
        <f t="shared" si="678"/>
        <v>0</v>
      </c>
      <c r="FE373" s="1">
        <f t="shared" si="679"/>
        <v>0</v>
      </c>
      <c r="FF373" s="1">
        <f t="shared" si="680"/>
        <v>0</v>
      </c>
      <c r="FG373" s="1">
        <f t="shared" si="681"/>
        <v>0</v>
      </c>
      <c r="FH373" s="1">
        <f t="shared" si="682"/>
        <v>0</v>
      </c>
      <c r="FI373" s="1">
        <f t="shared" si="683"/>
        <v>0</v>
      </c>
      <c r="FJ373" s="1">
        <f t="shared" si="684"/>
        <v>0</v>
      </c>
      <c r="FK373" s="1">
        <f t="shared" si="685"/>
        <v>0</v>
      </c>
      <c r="FL373" s="1">
        <f t="shared" si="686"/>
        <v>0</v>
      </c>
      <c r="FM373" s="1">
        <f t="shared" si="687"/>
        <v>0</v>
      </c>
      <c r="FN373" s="1">
        <f t="shared" si="688"/>
        <v>0</v>
      </c>
      <c r="FO373" s="1">
        <f t="shared" si="689"/>
        <v>0</v>
      </c>
      <c r="FP373" s="1">
        <f t="shared" si="690"/>
        <v>0</v>
      </c>
      <c r="FQ373" s="1">
        <f t="shared" si="691"/>
        <v>0</v>
      </c>
      <c r="FS373" s="1">
        <f t="shared" si="692"/>
        <v>0</v>
      </c>
      <c r="FT373" s="1">
        <f t="shared" si="693"/>
        <v>0</v>
      </c>
      <c r="FU373" s="38">
        <f t="shared" si="694"/>
        <v>0</v>
      </c>
      <c r="FV373" s="38">
        <f t="shared" si="695"/>
        <v>0</v>
      </c>
      <c r="FW373" s="38">
        <f t="shared" si="696"/>
        <v>0</v>
      </c>
      <c r="FX373" s="38">
        <f t="shared" si="697"/>
        <v>0</v>
      </c>
      <c r="FY373" s="38">
        <f t="shared" si="698"/>
        <v>0</v>
      </c>
      <c r="FZ373" s="38">
        <f t="shared" si="699"/>
        <v>0</v>
      </c>
      <c r="GA373" s="38">
        <f t="shared" si="700"/>
        <v>0</v>
      </c>
      <c r="GB373" s="38">
        <f t="shared" si="701"/>
        <v>0</v>
      </c>
      <c r="GC373" s="38">
        <f t="shared" si="702"/>
        <v>0</v>
      </c>
      <c r="GD373" s="38">
        <f t="shared" si="703"/>
        <v>0</v>
      </c>
      <c r="GE373" s="38">
        <f t="shared" si="704"/>
        <v>0</v>
      </c>
      <c r="GF373" s="38">
        <f t="shared" si="705"/>
        <v>0</v>
      </c>
      <c r="GG373" s="38">
        <f t="shared" si="706"/>
        <v>0</v>
      </c>
      <c r="GH373" s="38">
        <f t="shared" si="707"/>
        <v>0</v>
      </c>
      <c r="GI373" s="38">
        <f t="shared" si="708"/>
        <v>0</v>
      </c>
      <c r="GJ373" s="38">
        <f t="shared" si="709"/>
        <v>0</v>
      </c>
      <c r="GL373" s="38">
        <f t="shared" si="710"/>
        <v>0</v>
      </c>
      <c r="GM373" s="38">
        <f t="shared" si="711"/>
        <v>0</v>
      </c>
      <c r="GN373" s="1" t="s">
        <v>2</v>
      </c>
      <c r="GO373" s="1">
        <f t="shared" si="634"/>
        <v>208.5</v>
      </c>
      <c r="GP373" s="2">
        <f t="shared" si="635"/>
        <v>9.6647482014388511E-2</v>
      </c>
      <c r="GQ373" s="41">
        <f t="shared" si="636"/>
        <v>201.51000000000005</v>
      </c>
      <c r="GR373" s="41">
        <f t="shared" si="637"/>
        <v>19034.756820045273</v>
      </c>
      <c r="GS373" s="14">
        <f t="shared" si="638"/>
        <v>91.293797698058867</v>
      </c>
      <c r="GT373" s="1">
        <f t="shared" si="712"/>
        <v>46.9</v>
      </c>
      <c r="GU373" s="1">
        <f t="shared" si="713"/>
        <v>62.91</v>
      </c>
      <c r="GV373" s="1">
        <f t="shared" si="714"/>
        <v>91.7</v>
      </c>
      <c r="GW373" s="37">
        <f t="shared" si="639"/>
        <v>0</v>
      </c>
      <c r="GX373" s="37"/>
      <c r="GY373" s="37"/>
      <c r="GZ373" s="37"/>
      <c r="HB373" s="1">
        <f t="shared" si="715"/>
        <v>0</v>
      </c>
      <c r="HC373" s="1">
        <f t="shared" si="716"/>
        <v>0</v>
      </c>
      <c r="HD373" s="37" t="s">
        <v>2</v>
      </c>
      <c r="HE373" s="1" t="s">
        <v>113</v>
      </c>
      <c r="HF373" s="1" t="s">
        <v>261</v>
      </c>
      <c r="HG373" s="1" t="s">
        <v>708</v>
      </c>
      <c r="HI373" s="1" t="s">
        <v>96</v>
      </c>
      <c r="HJ373" s="37" t="s">
        <v>2</v>
      </c>
      <c r="JH373" s="58" t="s">
        <v>2</v>
      </c>
    </row>
    <row r="374" spans="1:268" ht="16.25" customHeight="1" x14ac:dyDescent="0.2">
      <c r="A374" s="15" t="s">
        <v>937</v>
      </c>
      <c r="B374" s="1" t="s">
        <v>69</v>
      </c>
      <c r="F374" s="1" t="s">
        <v>938</v>
      </c>
      <c r="I374" s="1">
        <v>0</v>
      </c>
      <c r="AD374" s="1">
        <v>10.984999999999999</v>
      </c>
      <c r="AE374" s="1">
        <v>0.15</v>
      </c>
      <c r="AF374" s="1">
        <v>0.09</v>
      </c>
      <c r="AL374" s="1">
        <v>0.09</v>
      </c>
      <c r="AM374" s="2">
        <v>6.4000000000000003E-3</v>
      </c>
      <c r="AN374" s="1">
        <v>0.27</v>
      </c>
      <c r="AO374" s="1">
        <v>0.81</v>
      </c>
      <c r="AY374" s="1">
        <v>10.875</v>
      </c>
      <c r="AZ374" s="1">
        <v>0.13</v>
      </c>
      <c r="BA374" s="1">
        <v>0.08</v>
      </c>
      <c r="BG374" s="1">
        <v>0.08</v>
      </c>
      <c r="BH374" s="2">
        <v>5.4000000000000003E-3</v>
      </c>
      <c r="BI374" s="13">
        <v>0.2</v>
      </c>
      <c r="BJ374" s="1">
        <v>0.64</v>
      </c>
      <c r="BT374" s="1">
        <v>0</v>
      </c>
      <c r="CO374" s="1">
        <v>0</v>
      </c>
      <c r="DJ374" s="1" t="s">
        <v>96</v>
      </c>
      <c r="DK374" s="1" t="s">
        <v>96</v>
      </c>
      <c r="DL374" s="1">
        <f t="shared" si="632"/>
        <v>8.5025160109789569E-2</v>
      </c>
      <c r="DM374" s="1">
        <f t="shared" si="633"/>
        <v>5.9025160109789573E-3</v>
      </c>
      <c r="DN374" s="1" t="s">
        <v>585</v>
      </c>
      <c r="DO374" s="1" t="s">
        <v>2</v>
      </c>
      <c r="DP374" s="38">
        <f t="shared" si="640"/>
        <v>3.0614999999999996E-2</v>
      </c>
      <c r="DQ374" s="38">
        <f t="shared" si="641"/>
        <v>1.8586499999999999</v>
      </c>
      <c r="DR374" s="38">
        <f t="shared" si="642"/>
        <v>0</v>
      </c>
      <c r="DS374" s="38">
        <f t="shared" si="643"/>
        <v>0</v>
      </c>
      <c r="DT374" s="38">
        <f t="shared" si="644"/>
        <v>0</v>
      </c>
      <c r="DU374" s="38">
        <f t="shared" si="645"/>
        <v>0</v>
      </c>
      <c r="DV374" s="38">
        <f t="shared" si="646"/>
        <v>0</v>
      </c>
      <c r="DW374" s="38">
        <f t="shared" si="647"/>
        <v>1.8586499999999999E-2</v>
      </c>
      <c r="DX374" s="38">
        <f t="shared" si="648"/>
        <v>1.2902900000000001E-3</v>
      </c>
      <c r="DY374" s="38">
        <f t="shared" si="649"/>
        <v>5.1409500000000001</v>
      </c>
      <c r="DZ374" s="38">
        <f t="shared" si="650"/>
        <v>15.857849999999999</v>
      </c>
      <c r="EA374" s="38">
        <f t="shared" si="651"/>
        <v>0</v>
      </c>
      <c r="EB374" s="38">
        <f t="shared" si="652"/>
        <v>0</v>
      </c>
      <c r="EC374" s="38">
        <f t="shared" si="653"/>
        <v>0</v>
      </c>
      <c r="ED374" s="38">
        <f t="shared" si="654"/>
        <v>0</v>
      </c>
      <c r="EE374" s="38">
        <f t="shared" si="655"/>
        <v>0</v>
      </c>
      <c r="EG374" s="38">
        <f t="shared" si="656"/>
        <v>0</v>
      </c>
      <c r="EH374" s="38">
        <f t="shared" si="657"/>
        <v>0</v>
      </c>
      <c r="EI374" s="38">
        <f t="shared" si="658"/>
        <v>199.78173383999999</v>
      </c>
      <c r="EJ374" s="38">
        <f t="shared" si="659"/>
        <v>76.019382636655948</v>
      </c>
      <c r="EK374" s="38">
        <f t="shared" si="660"/>
        <v>0</v>
      </c>
      <c r="EL374" s="38">
        <f t="shared" si="661"/>
        <v>0</v>
      </c>
      <c r="EM374" s="38">
        <f t="shared" si="662"/>
        <v>0</v>
      </c>
      <c r="EN374" s="38">
        <f t="shared" si="663"/>
        <v>0</v>
      </c>
      <c r="EO374" s="38">
        <f t="shared" si="664"/>
        <v>0</v>
      </c>
      <c r="EP374" s="38">
        <f t="shared" si="665"/>
        <v>243.74336099999999</v>
      </c>
      <c r="EQ374" s="38">
        <f t="shared" si="666"/>
        <v>93.700245621959994</v>
      </c>
      <c r="ER374" s="38">
        <f t="shared" si="667"/>
        <v>145.90710376205786</v>
      </c>
      <c r="ES374" s="38">
        <f t="shared" si="668"/>
        <v>528.47432397106115</v>
      </c>
      <c r="ET374" s="38">
        <f t="shared" si="669"/>
        <v>0</v>
      </c>
      <c r="EU374" s="38">
        <f t="shared" si="670"/>
        <v>0</v>
      </c>
      <c r="EV374" s="38">
        <f t="shared" si="671"/>
        <v>0</v>
      </c>
      <c r="EW374" s="38">
        <f t="shared" si="672"/>
        <v>0</v>
      </c>
      <c r="EX374" s="38">
        <f t="shared" si="673"/>
        <v>0</v>
      </c>
      <c r="EZ374" s="38">
        <f t="shared" si="674"/>
        <v>0</v>
      </c>
      <c r="FA374" s="38">
        <f t="shared" si="675"/>
        <v>0</v>
      </c>
      <c r="FB374" s="1">
        <f t="shared" si="676"/>
        <v>0</v>
      </c>
      <c r="FC374" s="1">
        <f t="shared" si="677"/>
        <v>0</v>
      </c>
      <c r="FD374" s="1">
        <f t="shared" si="678"/>
        <v>0</v>
      </c>
      <c r="FE374" s="1">
        <f t="shared" si="679"/>
        <v>0</v>
      </c>
      <c r="FF374" s="1">
        <f t="shared" si="680"/>
        <v>0</v>
      </c>
      <c r="FG374" s="1">
        <f t="shared" si="681"/>
        <v>0</v>
      </c>
      <c r="FH374" s="1">
        <f t="shared" si="682"/>
        <v>0</v>
      </c>
      <c r="FI374" s="1">
        <f t="shared" si="683"/>
        <v>0</v>
      </c>
      <c r="FJ374" s="1">
        <f t="shared" si="684"/>
        <v>0</v>
      </c>
      <c r="FK374" s="1">
        <f t="shared" si="685"/>
        <v>0</v>
      </c>
      <c r="FL374" s="1">
        <f t="shared" si="686"/>
        <v>0</v>
      </c>
      <c r="FM374" s="1">
        <f t="shared" si="687"/>
        <v>0</v>
      </c>
      <c r="FN374" s="1">
        <f t="shared" si="688"/>
        <v>0</v>
      </c>
      <c r="FO374" s="1">
        <f t="shared" si="689"/>
        <v>0</v>
      </c>
      <c r="FP374" s="1">
        <f t="shared" si="690"/>
        <v>0</v>
      </c>
      <c r="FQ374" s="1">
        <f t="shared" si="691"/>
        <v>0</v>
      </c>
      <c r="FS374" s="1">
        <f t="shared" si="692"/>
        <v>0</v>
      </c>
      <c r="FT374" s="1">
        <f t="shared" si="693"/>
        <v>0</v>
      </c>
      <c r="FU374" s="38">
        <f t="shared" si="694"/>
        <v>0</v>
      </c>
      <c r="FV374" s="38">
        <f t="shared" si="695"/>
        <v>0</v>
      </c>
      <c r="FW374" s="38">
        <f t="shared" si="696"/>
        <v>0</v>
      </c>
      <c r="FX374" s="38">
        <f t="shared" si="697"/>
        <v>0</v>
      </c>
      <c r="FY374" s="38">
        <f t="shared" si="698"/>
        <v>0</v>
      </c>
      <c r="FZ374" s="38">
        <f t="shared" si="699"/>
        <v>0</v>
      </c>
      <c r="GA374" s="38">
        <f t="shared" si="700"/>
        <v>0</v>
      </c>
      <c r="GB374" s="38">
        <f t="shared" si="701"/>
        <v>0</v>
      </c>
      <c r="GC374" s="38">
        <f t="shared" si="702"/>
        <v>0</v>
      </c>
      <c r="GD374" s="38">
        <f t="shared" si="703"/>
        <v>0</v>
      </c>
      <c r="GE374" s="38">
        <f t="shared" si="704"/>
        <v>0</v>
      </c>
      <c r="GF374" s="38">
        <f t="shared" si="705"/>
        <v>0</v>
      </c>
      <c r="GG374" s="38">
        <f t="shared" si="706"/>
        <v>0</v>
      </c>
      <c r="GH374" s="38">
        <f t="shared" si="707"/>
        <v>0</v>
      </c>
      <c r="GI374" s="38">
        <f t="shared" si="708"/>
        <v>0</v>
      </c>
      <c r="GJ374" s="38">
        <f t="shared" si="709"/>
        <v>0</v>
      </c>
      <c r="GL374" s="38">
        <f t="shared" si="710"/>
        <v>0</v>
      </c>
      <c r="GM374" s="38">
        <f t="shared" si="711"/>
        <v>0</v>
      </c>
      <c r="GN374" s="1" t="s">
        <v>2</v>
      </c>
      <c r="GO374" s="1">
        <f t="shared" si="634"/>
        <v>21.86</v>
      </c>
      <c r="GP374" s="2">
        <f t="shared" si="635"/>
        <v>8.5025160109789569E-2</v>
      </c>
      <c r="GQ374" s="41">
        <f t="shared" si="636"/>
        <v>18.586499999999997</v>
      </c>
      <c r="GR374" s="41">
        <f t="shared" si="637"/>
        <v>1287.6261508317348</v>
      </c>
      <c r="GS374" s="14">
        <f t="shared" si="638"/>
        <v>58.903300586996103</v>
      </c>
      <c r="GT374" s="1">
        <f t="shared" si="712"/>
        <v>0</v>
      </c>
      <c r="GU374" s="1">
        <f t="shared" si="713"/>
        <v>9.8864999999999981</v>
      </c>
      <c r="GV374" s="1">
        <f t="shared" si="714"/>
        <v>8.6999999999999993</v>
      </c>
      <c r="GW374" s="37">
        <f t="shared" si="639"/>
        <v>0</v>
      </c>
      <c r="GX374" s="37"/>
      <c r="GY374" s="37"/>
      <c r="GZ374" s="37"/>
      <c r="HB374" s="1">
        <f t="shared" si="715"/>
        <v>0</v>
      </c>
      <c r="HC374" s="1">
        <f t="shared" si="716"/>
        <v>0</v>
      </c>
      <c r="HD374" s="37" t="s">
        <v>2</v>
      </c>
      <c r="HE374" s="1" t="s">
        <v>113</v>
      </c>
      <c r="HF374" s="1" t="s">
        <v>261</v>
      </c>
      <c r="HG374" s="1" t="s">
        <v>708</v>
      </c>
      <c r="HI374" s="1" t="s">
        <v>96</v>
      </c>
      <c r="HJ374" s="37" t="s">
        <v>2</v>
      </c>
      <c r="JH374" s="58" t="s">
        <v>2</v>
      </c>
    </row>
    <row r="375" spans="1:268" ht="16.25" customHeight="1" x14ac:dyDescent="0.2">
      <c r="A375" s="15" t="s">
        <v>939</v>
      </c>
      <c r="B375" s="1" t="s">
        <v>64</v>
      </c>
      <c r="F375" s="1" t="s">
        <v>940</v>
      </c>
      <c r="I375" s="1">
        <f>62.5+23.6</f>
        <v>86.1</v>
      </c>
      <c r="J375" s="13">
        <f>(0.35*62.5+0.31*23.6)/I375</f>
        <v>0.33903600464576078</v>
      </c>
      <c r="K375" s="13">
        <f>(0.09*62.5+0.08*23.6)/I375</f>
        <v>8.7259001161440197E-2</v>
      </c>
      <c r="Q375" s="13">
        <f>(58.29/(58.29+32.07))*((0.21*62.5+0.22*23.6)/(62.5+23.6))</f>
        <v>0.13723630834771638</v>
      </c>
      <c r="R375" s="2">
        <f>(58.29/(58.29+32.07))*((0.01*62.5+0.01*23.6)/(62.5+23.6))</f>
        <v>6.4508632138114211E-3</v>
      </c>
      <c r="S375" s="13">
        <f>(0.18*62.5+0.17*23.6)/I375</f>
        <v>0.17725900116144019</v>
      </c>
      <c r="T375" s="13">
        <f>(0.12*62.5+0.11*23.6)/I375</f>
        <v>0.1172590011614402</v>
      </c>
      <c r="AD375" s="14">
        <f>66.1+114.9</f>
        <v>181</v>
      </c>
      <c r="AE375" s="1">
        <f>(0.34*66.1+0.34*114.9)/AD375</f>
        <v>0.34</v>
      </c>
      <c r="AF375" s="13">
        <f>(0.1*66.1+0.08*114.9)/AD375</f>
        <v>8.7303867403314916E-2</v>
      </c>
      <c r="AL375" s="1">
        <f>(58.29/(58.29+32.07))*((0.24*66.1+0.23*114.9)/(66.1+114.9))</f>
        <v>0.15072566639519269</v>
      </c>
      <c r="AM375" s="1">
        <f>(58.29/(58.29+32.07))*((0.01*66.1+0.01*114.9)/(66.1+114.9))</f>
        <v>6.4508632138114211E-3</v>
      </c>
      <c r="AN375" s="13">
        <f>(0.21*66.1+0.17*114.9)/AD375</f>
        <v>0.18460773480662984</v>
      </c>
      <c r="AO375" s="13">
        <f>(0.14*66.1+0.09*114.9)/AD375</f>
        <v>0.10825966850828729</v>
      </c>
      <c r="AY375" s="1">
        <v>19.2</v>
      </c>
      <c r="AZ375" s="1">
        <v>0.32</v>
      </c>
      <c r="BA375" s="1">
        <v>0.06</v>
      </c>
      <c r="BG375" s="13">
        <f>(58.29/(58.29+32.07))*0.22</f>
        <v>0.14191899070385125</v>
      </c>
      <c r="BH375" s="2">
        <f>(58.93/(58.93+32.07))*0.01</f>
        <v>6.4758241758241753E-3</v>
      </c>
      <c r="BI375" s="1">
        <v>0.13</v>
      </c>
      <c r="BJ375" s="1">
        <v>0.08</v>
      </c>
      <c r="BT375" s="1">
        <v>62.5</v>
      </c>
      <c r="BU375" s="1">
        <v>0.35</v>
      </c>
      <c r="BV375" s="1">
        <v>0.09</v>
      </c>
      <c r="CB375" s="13">
        <v>0.13546812749003984</v>
      </c>
      <c r="CC375" s="2">
        <f>0.01*(58.93/(58.93+32.07))</f>
        <v>6.4758241758241753E-3</v>
      </c>
      <c r="CD375" s="1">
        <v>0.18</v>
      </c>
      <c r="CE375" s="1">
        <v>0.12</v>
      </c>
      <c r="CO375" s="1">
        <v>66.099999999999994</v>
      </c>
      <c r="CP375" s="1">
        <v>0.34</v>
      </c>
      <c r="CQ375" s="13">
        <v>0.1</v>
      </c>
      <c r="CW375" s="13">
        <f>(58.29/(58.29+32.07))*0.24</f>
        <v>0.15482071713147411</v>
      </c>
      <c r="CX375" s="2">
        <f>0.01*(58.93/(58.93+32.07))</f>
        <v>6.4758241758241753E-3</v>
      </c>
      <c r="CY375" s="1">
        <v>0.21</v>
      </c>
      <c r="CZ375" s="1">
        <v>0.14000000000000001</v>
      </c>
      <c r="DJ375" s="1" t="s">
        <v>96</v>
      </c>
      <c r="DK375" s="1" t="s">
        <v>96</v>
      </c>
      <c r="DL375" s="1">
        <f t="shared" si="632"/>
        <v>0.14607836670549146</v>
      </c>
      <c r="DM375" s="1">
        <f t="shared" si="633"/>
        <v>6.4525371588713045E-3</v>
      </c>
      <c r="DN375" s="1" t="s">
        <v>73</v>
      </c>
      <c r="DO375" s="1" t="s">
        <v>2</v>
      </c>
      <c r="DP375" s="38">
        <f t="shared" si="640"/>
        <v>0.96875000000000011</v>
      </c>
      <c r="DQ375" s="38">
        <f t="shared" si="641"/>
        <v>24.467000000000002</v>
      </c>
      <c r="DR375" s="38">
        <f t="shared" si="642"/>
        <v>0</v>
      </c>
      <c r="DS375" s="38">
        <f t="shared" si="643"/>
        <v>0</v>
      </c>
      <c r="DT375" s="38">
        <f t="shared" si="644"/>
        <v>0</v>
      </c>
      <c r="DU375" s="38">
        <f t="shared" si="645"/>
        <v>0</v>
      </c>
      <c r="DV375" s="38">
        <f t="shared" si="646"/>
        <v>0</v>
      </c>
      <c r="DW375" s="38">
        <f t="shared" si="647"/>
        <v>0.41822236387782202</v>
      </c>
      <c r="DX375" s="38">
        <f t="shared" si="648"/>
        <v>1.8473613885848547E-2</v>
      </c>
      <c r="DY375" s="38">
        <f t="shared" si="649"/>
        <v>51.172000000000004</v>
      </c>
      <c r="DZ375" s="38">
        <f t="shared" si="650"/>
        <v>31.227</v>
      </c>
      <c r="EA375" s="38">
        <f t="shared" si="651"/>
        <v>0</v>
      </c>
      <c r="EB375" s="38">
        <f t="shared" si="652"/>
        <v>0</v>
      </c>
      <c r="EC375" s="38">
        <f t="shared" si="653"/>
        <v>0</v>
      </c>
      <c r="ED375" s="38">
        <f t="shared" si="654"/>
        <v>0</v>
      </c>
      <c r="EE375" s="38">
        <f t="shared" si="655"/>
        <v>0</v>
      </c>
      <c r="EG375" s="38">
        <f t="shared" si="656"/>
        <v>0</v>
      </c>
      <c r="EH375" s="38">
        <f t="shared" si="657"/>
        <v>0</v>
      </c>
      <c r="EI375" s="38">
        <f t="shared" si="658"/>
        <v>6321.6905000000006</v>
      </c>
      <c r="EJ375" s="38">
        <f t="shared" si="659"/>
        <v>1000.7081672025723</v>
      </c>
      <c r="EK375" s="38">
        <f t="shared" si="660"/>
        <v>0</v>
      </c>
      <c r="EL375" s="38">
        <f t="shared" si="661"/>
        <v>0</v>
      </c>
      <c r="EM375" s="38">
        <f t="shared" si="662"/>
        <v>0</v>
      </c>
      <c r="EN375" s="38">
        <f t="shared" si="663"/>
        <v>0</v>
      </c>
      <c r="EO375" s="38">
        <f t="shared" si="664"/>
        <v>0</v>
      </c>
      <c r="EP375" s="38">
        <f t="shared" si="665"/>
        <v>5484.5680798937583</v>
      </c>
      <c r="EQ375" s="38">
        <f t="shared" si="666"/>
        <v>1341.5450469501116</v>
      </c>
      <c r="ER375" s="38">
        <f t="shared" si="667"/>
        <v>1452.330466881029</v>
      </c>
      <c r="ES375" s="38">
        <f t="shared" si="668"/>
        <v>1040.6623668810289</v>
      </c>
      <c r="ET375" s="38">
        <f t="shared" si="669"/>
        <v>0</v>
      </c>
      <c r="EU375" s="38">
        <f t="shared" si="670"/>
        <v>0</v>
      </c>
      <c r="EV375" s="38">
        <f t="shared" si="671"/>
        <v>0</v>
      </c>
      <c r="EW375" s="38">
        <f t="shared" si="672"/>
        <v>0</v>
      </c>
      <c r="EX375" s="38">
        <f t="shared" si="673"/>
        <v>0</v>
      </c>
      <c r="EZ375" s="38">
        <f t="shared" si="674"/>
        <v>0</v>
      </c>
      <c r="FA375" s="38">
        <f t="shared" si="675"/>
        <v>0</v>
      </c>
      <c r="FB375" s="1">
        <f t="shared" si="676"/>
        <v>0.44349000000000005</v>
      </c>
      <c r="FC375" s="1">
        <f t="shared" si="677"/>
        <v>12.234999999999999</v>
      </c>
      <c r="FD375" s="1">
        <f t="shared" si="678"/>
        <v>0</v>
      </c>
      <c r="FE375" s="1">
        <f t="shared" si="679"/>
        <v>0</v>
      </c>
      <c r="FF375" s="1">
        <f t="shared" si="680"/>
        <v>0</v>
      </c>
      <c r="FG375" s="1">
        <f t="shared" si="681"/>
        <v>0</v>
      </c>
      <c r="FH375" s="1">
        <f t="shared" si="682"/>
        <v>0</v>
      </c>
      <c r="FI375" s="1">
        <f t="shared" si="683"/>
        <v>0.1870040737051793</v>
      </c>
      <c r="FJ375" s="1">
        <f t="shared" si="684"/>
        <v>8.32790989010989E-3</v>
      </c>
      <c r="FK375" s="1">
        <f t="shared" si="685"/>
        <v>25.131</v>
      </c>
      <c r="FL375" s="1">
        <f t="shared" si="686"/>
        <v>16.753999999999998</v>
      </c>
      <c r="FM375" s="1">
        <f t="shared" si="687"/>
        <v>0</v>
      </c>
      <c r="FN375" s="1">
        <f t="shared" si="688"/>
        <v>0</v>
      </c>
      <c r="FO375" s="1">
        <f t="shared" si="689"/>
        <v>0</v>
      </c>
      <c r="FP375" s="1">
        <f t="shared" si="690"/>
        <v>0</v>
      </c>
      <c r="FQ375" s="1">
        <f t="shared" si="691"/>
        <v>0</v>
      </c>
      <c r="FS375" s="1">
        <f t="shared" si="692"/>
        <v>0</v>
      </c>
      <c r="FT375" s="1">
        <f t="shared" si="693"/>
        <v>0</v>
      </c>
      <c r="FU375" s="38">
        <f t="shared" si="694"/>
        <v>2894.0454398400002</v>
      </c>
      <c r="FV375" s="38">
        <f t="shared" si="695"/>
        <v>500.41543408360121</v>
      </c>
      <c r="FW375" s="38">
        <f t="shared" si="696"/>
        <v>0</v>
      </c>
      <c r="FX375" s="38">
        <f t="shared" si="697"/>
        <v>0</v>
      </c>
      <c r="FY375" s="38">
        <f t="shared" si="698"/>
        <v>0</v>
      </c>
      <c r="FZ375" s="38">
        <f t="shared" si="699"/>
        <v>0</v>
      </c>
      <c r="GA375" s="38">
        <f t="shared" si="700"/>
        <v>0</v>
      </c>
      <c r="GB375" s="38">
        <f t="shared" si="701"/>
        <v>2452.3714225697213</v>
      </c>
      <c r="GC375" s="38">
        <f t="shared" si="702"/>
        <v>604.76885213467244</v>
      </c>
      <c r="GD375" s="38">
        <f t="shared" si="703"/>
        <v>713.251718971061</v>
      </c>
      <c r="GE375" s="38">
        <f t="shared" si="704"/>
        <v>558.33917106109323</v>
      </c>
      <c r="GF375" s="38">
        <f t="shared" si="705"/>
        <v>0</v>
      </c>
      <c r="GG375" s="38">
        <f t="shared" si="706"/>
        <v>0</v>
      </c>
      <c r="GH375" s="38">
        <f t="shared" si="707"/>
        <v>0</v>
      </c>
      <c r="GI375" s="38">
        <f t="shared" si="708"/>
        <v>0</v>
      </c>
      <c r="GJ375" s="38">
        <f t="shared" si="709"/>
        <v>0</v>
      </c>
      <c r="GL375" s="38">
        <f t="shared" si="710"/>
        <v>0</v>
      </c>
      <c r="GM375" s="38">
        <f t="shared" si="711"/>
        <v>0</v>
      </c>
      <c r="GN375" s="1" t="s">
        <v>2</v>
      </c>
      <c r="GO375" s="1">
        <f t="shared" si="634"/>
        <v>286.3</v>
      </c>
      <c r="GP375" s="13">
        <f t="shared" si="635"/>
        <v>0.14607836670549146</v>
      </c>
      <c r="GQ375" s="41">
        <f t="shared" si="636"/>
        <v>418.22236387782209</v>
      </c>
      <c r="GR375" s="41">
        <f t="shared" si="637"/>
        <v>16641.504627808503</v>
      </c>
      <c r="GS375" s="14">
        <f t="shared" si="638"/>
        <v>58.126107676592746</v>
      </c>
      <c r="GT375" s="1">
        <f t="shared" si="712"/>
        <v>118.1604614873838</v>
      </c>
      <c r="GU375" s="1">
        <f t="shared" si="713"/>
        <v>272.81345617529877</v>
      </c>
      <c r="GV375" s="1">
        <f t="shared" si="714"/>
        <v>27.248446215139438</v>
      </c>
      <c r="GW375" s="37">
        <f t="shared" si="639"/>
        <v>128.6</v>
      </c>
      <c r="GX375" s="44">
        <f>(BT375*CB375+CO375*CW375)/GW375</f>
        <v>0.14541529837105699</v>
      </c>
      <c r="GY375" s="41">
        <f>1000*GW375*GX375/100</f>
        <v>187.00407370517928</v>
      </c>
      <c r="GZ375" s="41">
        <f>SUM(FU375:GM375)</f>
        <v>7723.1920386601496</v>
      </c>
      <c r="HA375" s="14">
        <f>GZ375/GW375</f>
        <v>60.05592565054549</v>
      </c>
      <c r="HB375" s="1">
        <f t="shared" si="715"/>
        <v>84.667579681274916</v>
      </c>
      <c r="HC375" s="1">
        <f t="shared" si="716"/>
        <v>102.33649402390438</v>
      </c>
      <c r="HD375" s="37" t="s">
        <v>2</v>
      </c>
      <c r="HE375" s="1" t="s">
        <v>113</v>
      </c>
      <c r="HF375" s="1" t="s">
        <v>261</v>
      </c>
      <c r="HG375" s="1" t="s">
        <v>708</v>
      </c>
      <c r="HI375" s="1" t="s">
        <v>96</v>
      </c>
      <c r="HJ375" s="37" t="s">
        <v>2</v>
      </c>
      <c r="JH375" s="58" t="s">
        <v>2</v>
      </c>
    </row>
    <row r="376" spans="1:268" ht="16.25" customHeight="1" x14ac:dyDescent="0.2">
      <c r="A376" s="15" t="s">
        <v>1188</v>
      </c>
      <c r="F376" s="1" t="s">
        <v>1189</v>
      </c>
      <c r="I376" s="1">
        <v>169.01</v>
      </c>
      <c r="J376" s="13">
        <v>5.3973729365126316E-2</v>
      </c>
      <c r="K376" s="13">
        <v>0.15692089225489614</v>
      </c>
      <c r="Q376" s="13">
        <v>0.16276847523815161</v>
      </c>
      <c r="S376" s="13">
        <v>3.8727634341163246</v>
      </c>
      <c r="T376" s="13">
        <v>1.7400606827998344</v>
      </c>
      <c r="U376" s="13">
        <v>0.46323098041536004</v>
      </c>
      <c r="AD376" s="1">
        <v>123.4</v>
      </c>
      <c r="AE376" s="13">
        <v>5.0729335494327385E-2</v>
      </c>
      <c r="AF376" s="13">
        <v>0.13868732576985413</v>
      </c>
      <c r="AL376" s="13">
        <v>0.15887520259319285</v>
      </c>
      <c r="AN376" s="13">
        <v>3.6139807666126416</v>
      </c>
      <c r="AO376" s="13">
        <v>1.6354221977309562</v>
      </c>
      <c r="AP376" s="13">
        <v>0.44915793030794171</v>
      </c>
      <c r="AY376" s="1">
        <v>55.540000000000006</v>
      </c>
      <c r="AZ376" s="13">
        <v>5.6543032048973707E-2</v>
      </c>
      <c r="BA376" s="13">
        <v>0.16773014043932299</v>
      </c>
      <c r="BG376" s="13">
        <v>0.16585163845876846</v>
      </c>
      <c r="BI376" s="13">
        <v>3.9191215700396111</v>
      </c>
      <c r="BJ376" s="13">
        <v>1.7474789701116309</v>
      </c>
      <c r="BK376" s="13">
        <v>0.44931811307166003</v>
      </c>
      <c r="BL376" s="13"/>
      <c r="BM376" s="13"/>
      <c r="BT376" s="1">
        <v>60.910000000000004</v>
      </c>
      <c r="BU376" s="13">
        <v>9.7292726974224253E-2</v>
      </c>
      <c r="BV376" s="13">
        <v>0.17392956821539976</v>
      </c>
      <c r="CB376" s="13">
        <v>0.21475127236906913</v>
      </c>
      <c r="CD376" s="13">
        <v>2.9358104843211295</v>
      </c>
      <c r="CE376" s="13">
        <v>1.236532099819406</v>
      </c>
      <c r="CF376" s="13">
        <v>0.23138828763749791</v>
      </c>
      <c r="CG376" s="13"/>
      <c r="CH376" s="13"/>
      <c r="CO376" s="1">
        <v>64.31</v>
      </c>
      <c r="CP376" s="13">
        <v>4.4458093609081012E-2</v>
      </c>
      <c r="CQ376" s="13">
        <v>7.5727631783548438E-2</v>
      </c>
      <c r="CW376" s="13">
        <v>0.1513497123308972</v>
      </c>
      <c r="CY376" s="13">
        <v>2.4107949619032807</v>
      </c>
      <c r="CZ376" s="13">
        <v>1.1161566474887266</v>
      </c>
      <c r="DA376" s="13">
        <v>0.33619648577204164</v>
      </c>
      <c r="DB376" s="13"/>
      <c r="DC376" s="13"/>
      <c r="DJ376" s="1" t="s">
        <v>96</v>
      </c>
      <c r="DL376" s="1">
        <f t="shared" si="632"/>
        <v>0.16187986779709729</v>
      </c>
      <c r="DM376" s="1">
        <f t="shared" si="633"/>
        <v>0</v>
      </c>
      <c r="DN376" s="1" t="s">
        <v>73</v>
      </c>
      <c r="DO376" s="1" t="s">
        <v>2</v>
      </c>
      <c r="DP376" s="38">
        <f t="shared" si="640"/>
        <v>0.18522499999999997</v>
      </c>
      <c r="DQ376" s="38">
        <f t="shared" si="641"/>
        <v>52.950947999999997</v>
      </c>
      <c r="DR376" s="38">
        <f t="shared" si="642"/>
        <v>0</v>
      </c>
      <c r="DS376" s="38">
        <f t="shared" si="643"/>
        <v>0</v>
      </c>
      <c r="DT376" s="38">
        <f t="shared" si="644"/>
        <v>0</v>
      </c>
      <c r="DU376" s="38">
        <f t="shared" si="645"/>
        <v>0</v>
      </c>
      <c r="DV376" s="38">
        <f t="shared" si="646"/>
        <v>0</v>
      </c>
      <c r="DW376" s="38">
        <f t="shared" si="647"/>
        <v>0.56326100000000001</v>
      </c>
      <c r="DX376" s="38">
        <f t="shared" si="648"/>
        <v>0</v>
      </c>
      <c r="DY376" s="38">
        <f t="shared" si="649"/>
        <v>1318.1689866000002</v>
      </c>
      <c r="DZ376" s="38">
        <f t="shared" si="650"/>
        <v>592.95373719999998</v>
      </c>
      <c r="EA376" s="38">
        <f t="shared" si="651"/>
        <v>158.6718846</v>
      </c>
      <c r="EB376" s="38">
        <f t="shared" si="652"/>
        <v>0</v>
      </c>
      <c r="EC376" s="38">
        <f t="shared" si="653"/>
        <v>0</v>
      </c>
      <c r="ED376" s="38">
        <f t="shared" si="654"/>
        <v>0</v>
      </c>
      <c r="EE376" s="38">
        <f t="shared" si="655"/>
        <v>0</v>
      </c>
      <c r="EG376" s="38">
        <f t="shared" si="656"/>
        <v>0</v>
      </c>
      <c r="EH376" s="38">
        <f t="shared" si="657"/>
        <v>0</v>
      </c>
      <c r="EI376" s="38">
        <f t="shared" si="658"/>
        <v>1208.7072235999999</v>
      </c>
      <c r="EJ376" s="38">
        <f t="shared" si="659"/>
        <v>2165.7107992282954</v>
      </c>
      <c r="EK376" s="38">
        <f t="shared" si="660"/>
        <v>0</v>
      </c>
      <c r="EL376" s="38">
        <f t="shared" si="661"/>
        <v>0</v>
      </c>
      <c r="EM376" s="38">
        <f t="shared" si="662"/>
        <v>0</v>
      </c>
      <c r="EN376" s="38">
        <f t="shared" si="663"/>
        <v>0</v>
      </c>
      <c r="EO376" s="38">
        <f t="shared" si="664"/>
        <v>0</v>
      </c>
      <c r="EP376" s="38">
        <f t="shared" si="665"/>
        <v>7386.604754</v>
      </c>
      <c r="EQ376" s="38">
        <f t="shared" si="666"/>
        <v>0</v>
      </c>
      <c r="ER376" s="38">
        <f t="shared" si="667"/>
        <v>37411.416003612729</v>
      </c>
      <c r="ES376" s="38">
        <f t="shared" si="668"/>
        <v>19760.612278012733</v>
      </c>
      <c r="ET376" s="38">
        <f t="shared" si="669"/>
        <v>11353.458032166562</v>
      </c>
      <c r="EU376" s="38">
        <f t="shared" si="670"/>
        <v>0</v>
      </c>
      <c r="EV376" s="38">
        <f t="shared" si="671"/>
        <v>0</v>
      </c>
      <c r="EW376" s="38">
        <f t="shared" si="672"/>
        <v>0</v>
      </c>
      <c r="EX376" s="38">
        <f t="shared" si="673"/>
        <v>0</v>
      </c>
      <c r="EZ376" s="38">
        <f t="shared" si="674"/>
        <v>0</v>
      </c>
      <c r="FA376" s="38">
        <f t="shared" si="675"/>
        <v>0</v>
      </c>
      <c r="FB376" s="1">
        <f t="shared" si="676"/>
        <v>8.7852E-2</v>
      </c>
      <c r="FC376" s="1">
        <f t="shared" si="677"/>
        <v>15.464093999999999</v>
      </c>
      <c r="FD376" s="1">
        <f t="shared" si="678"/>
        <v>0</v>
      </c>
      <c r="FE376" s="1">
        <f t="shared" si="679"/>
        <v>0</v>
      </c>
      <c r="FF376" s="1">
        <f t="shared" si="680"/>
        <v>0</v>
      </c>
      <c r="FG376" s="1">
        <f t="shared" si="681"/>
        <v>0</v>
      </c>
      <c r="FH376" s="1">
        <f t="shared" si="682"/>
        <v>0</v>
      </c>
      <c r="FI376" s="1">
        <f t="shared" si="683"/>
        <v>0.22813800000000001</v>
      </c>
      <c r="FJ376" s="1">
        <f t="shared" si="684"/>
        <v>0</v>
      </c>
      <c r="FK376" s="1">
        <f t="shared" si="685"/>
        <v>333.85844059999999</v>
      </c>
      <c r="FL376" s="1">
        <f t="shared" si="686"/>
        <v>147.09720420000002</v>
      </c>
      <c r="FM376" s="1">
        <f t="shared" si="687"/>
        <v>35.714656599999998</v>
      </c>
      <c r="FN376" s="1">
        <f t="shared" si="688"/>
        <v>0</v>
      </c>
      <c r="FO376" s="1">
        <f t="shared" si="689"/>
        <v>0</v>
      </c>
      <c r="FP376" s="1">
        <f t="shared" si="690"/>
        <v>0</v>
      </c>
      <c r="FQ376" s="1">
        <f t="shared" si="691"/>
        <v>0</v>
      </c>
      <c r="FS376" s="1">
        <f t="shared" si="692"/>
        <v>0</v>
      </c>
      <c r="FT376" s="1">
        <f t="shared" si="693"/>
        <v>0</v>
      </c>
      <c r="FU376" s="38">
        <f t="shared" si="694"/>
        <v>573.28841683199994</v>
      </c>
      <c r="FV376" s="38">
        <f t="shared" si="695"/>
        <v>632.4864169774919</v>
      </c>
      <c r="FW376" s="38">
        <f t="shared" si="696"/>
        <v>0</v>
      </c>
      <c r="FX376" s="38">
        <f t="shared" si="697"/>
        <v>0</v>
      </c>
      <c r="FY376" s="38">
        <f t="shared" si="698"/>
        <v>0</v>
      </c>
      <c r="FZ376" s="38">
        <f t="shared" si="699"/>
        <v>0</v>
      </c>
      <c r="GA376" s="38">
        <f t="shared" si="700"/>
        <v>0</v>
      </c>
      <c r="GB376" s="38">
        <f t="shared" si="701"/>
        <v>2991.8017319999999</v>
      </c>
      <c r="GC376" s="38">
        <f t="shared" si="702"/>
        <v>0</v>
      </c>
      <c r="GD376" s="38">
        <f t="shared" si="703"/>
        <v>9475.3534141477794</v>
      </c>
      <c r="GE376" s="38">
        <f t="shared" si="704"/>
        <v>4902.1207507718982</v>
      </c>
      <c r="GF376" s="38">
        <f t="shared" si="705"/>
        <v>2555.4927759479101</v>
      </c>
      <c r="GG376" s="38">
        <f t="shared" si="706"/>
        <v>0</v>
      </c>
      <c r="GH376" s="38">
        <f t="shared" si="707"/>
        <v>0</v>
      </c>
      <c r="GI376" s="38">
        <f t="shared" si="708"/>
        <v>0</v>
      </c>
      <c r="GJ376" s="38">
        <f t="shared" si="709"/>
        <v>0</v>
      </c>
      <c r="GL376" s="38">
        <f t="shared" si="710"/>
        <v>0</v>
      </c>
      <c r="GM376" s="38">
        <f t="shared" si="711"/>
        <v>0</v>
      </c>
      <c r="GN376" s="1" t="s">
        <v>2</v>
      </c>
      <c r="GO376" s="14">
        <f t="shared" si="634"/>
        <v>347.95</v>
      </c>
      <c r="GP376" s="13">
        <f t="shared" si="635"/>
        <v>0.16187986779709729</v>
      </c>
      <c r="GQ376" s="41">
        <f t="shared" si="636"/>
        <v>563.26099999999997</v>
      </c>
      <c r="GR376" s="41">
        <f t="shared" si="637"/>
        <v>79286.509090620311</v>
      </c>
      <c r="GS376" s="14">
        <f t="shared" si="638"/>
        <v>227.86753582589543</v>
      </c>
      <c r="GT376" s="1">
        <f t="shared" si="712"/>
        <v>275.09500000000003</v>
      </c>
      <c r="GU376" s="1">
        <f t="shared" si="713"/>
        <v>196.05200000000002</v>
      </c>
      <c r="GV376" s="1">
        <f t="shared" si="714"/>
        <v>92.114000000000019</v>
      </c>
      <c r="GW376" s="37">
        <f t="shared" si="639"/>
        <v>125.22</v>
      </c>
      <c r="GX376" s="44">
        <f>(BT376*CB376+CO376*CW376)/GW376</f>
        <v>0.18218974604695737</v>
      </c>
      <c r="GY376" s="41">
        <f>1000*GW376*GX376/100</f>
        <v>228.13800000000003</v>
      </c>
      <c r="GZ376" s="41">
        <f>SUM(FU376:GM376)</f>
        <v>21130.543506677081</v>
      </c>
      <c r="HA376" s="14">
        <f>GZ376/GW376</f>
        <v>168.7473527126424</v>
      </c>
      <c r="HB376" s="1">
        <f t="shared" si="715"/>
        <v>130.80500000000001</v>
      </c>
      <c r="HC376" s="1">
        <f t="shared" si="716"/>
        <v>97.332999999999998</v>
      </c>
      <c r="HD376" s="37" t="s">
        <v>2</v>
      </c>
      <c r="HE376" s="1" t="s">
        <v>113</v>
      </c>
      <c r="HF376" s="1" t="s">
        <v>261</v>
      </c>
      <c r="HG376" s="1" t="s">
        <v>708</v>
      </c>
      <c r="HH376" s="1" t="s">
        <v>1182</v>
      </c>
      <c r="HI376" s="1" t="s">
        <v>96</v>
      </c>
      <c r="HJ376" s="37" t="s">
        <v>2</v>
      </c>
      <c r="JH376" s="58" t="s">
        <v>2</v>
      </c>
    </row>
    <row r="377" spans="1:268" ht="16.25" customHeight="1" x14ac:dyDescent="0.2">
      <c r="A377" s="15" t="s">
        <v>1198</v>
      </c>
      <c r="F377" s="1" t="s">
        <v>1199</v>
      </c>
      <c r="I377" s="1">
        <v>291.42857142857144</v>
      </c>
      <c r="J377" s="13">
        <v>5.9558823529411761E-2</v>
      </c>
      <c r="K377" s="13">
        <v>0.17692612745098038</v>
      </c>
      <c r="Q377" s="13">
        <v>0.17955882352941177</v>
      </c>
      <c r="S377" s="13">
        <v>2.7451910294117643</v>
      </c>
      <c r="T377" s="13">
        <v>2.5891063725490189</v>
      </c>
      <c r="U377" s="13">
        <v>0.41016749999999996</v>
      </c>
      <c r="AD377" s="1">
        <v>140</v>
      </c>
      <c r="AE377" s="13">
        <v>6.0233236151603503E-2</v>
      </c>
      <c r="AF377" s="13">
        <v>0.18316626822157431</v>
      </c>
      <c r="AL377" s="13">
        <v>0.1802332361516035</v>
      </c>
      <c r="AN377" s="13">
        <v>2.7966261516034985</v>
      </c>
      <c r="AO377" s="13">
        <v>2.5976309037900878</v>
      </c>
      <c r="AP377" s="13">
        <v>0.41020005830903788</v>
      </c>
      <c r="AY377" s="1">
        <v>380.40816326530614</v>
      </c>
      <c r="AZ377" s="13">
        <v>6.6223175965665237E-2</v>
      </c>
      <c r="BA377" s="13">
        <v>0.2241422746781116</v>
      </c>
      <c r="BG377" s="13">
        <v>0.18622317596566523</v>
      </c>
      <c r="BI377" s="13">
        <v>2.935989141630901</v>
      </c>
      <c r="BJ377" s="13">
        <v>2.2917212875536479</v>
      </c>
      <c r="BK377" s="13">
        <v>0.34732313304721024</v>
      </c>
      <c r="BL377" s="13"/>
      <c r="BM377" s="13"/>
      <c r="BT377" s="1">
        <v>0</v>
      </c>
      <c r="CO377" s="1">
        <v>0</v>
      </c>
      <c r="DJ377" s="1" t="s">
        <v>96</v>
      </c>
      <c r="DL377" s="1">
        <f t="shared" si="632"/>
        <v>0.18279788838612368</v>
      </c>
      <c r="DM377" s="1">
        <f t="shared" si="633"/>
        <v>0</v>
      </c>
      <c r="DN377" s="1" t="s">
        <v>73</v>
      </c>
      <c r="DO377" s="1" t="s">
        <v>2</v>
      </c>
      <c r="DP377" s="38">
        <f t="shared" si="640"/>
        <v>0.50981632653061226</v>
      </c>
      <c r="DQ377" s="38">
        <f t="shared" si="641"/>
        <v>162.47015714285715</v>
      </c>
      <c r="DR377" s="38">
        <f t="shared" si="642"/>
        <v>0</v>
      </c>
      <c r="DS377" s="38">
        <f t="shared" si="643"/>
        <v>0</v>
      </c>
      <c r="DT377" s="38">
        <f t="shared" si="644"/>
        <v>0</v>
      </c>
      <c r="DU377" s="38">
        <f t="shared" si="645"/>
        <v>0</v>
      </c>
      <c r="DV377" s="38">
        <f t="shared" si="646"/>
        <v>0</v>
      </c>
      <c r="DW377" s="38">
        <f t="shared" si="647"/>
        <v>1.4840204081632655</v>
      </c>
      <c r="DX377" s="38">
        <f t="shared" si="648"/>
        <v>0</v>
      </c>
      <c r="DY377" s="38">
        <f t="shared" si="649"/>
        <v>2308.4289979591836</v>
      </c>
      <c r="DZ377" s="38">
        <f t="shared" si="650"/>
        <v>1989.9973836734689</v>
      </c>
      <c r="EA377" s="38">
        <f t="shared" si="651"/>
        <v>309.08709183673466</v>
      </c>
      <c r="EB377" s="38">
        <f t="shared" si="652"/>
        <v>0</v>
      </c>
      <c r="EC377" s="38">
        <f t="shared" si="653"/>
        <v>0</v>
      </c>
      <c r="ED377" s="38">
        <f t="shared" si="654"/>
        <v>0</v>
      </c>
      <c r="EE377" s="38">
        <f t="shared" si="655"/>
        <v>0</v>
      </c>
      <c r="EG377" s="38">
        <f t="shared" si="656"/>
        <v>0</v>
      </c>
      <c r="EH377" s="38">
        <f t="shared" si="657"/>
        <v>0</v>
      </c>
      <c r="EI377" s="38">
        <f t="shared" si="658"/>
        <v>3326.865577469388</v>
      </c>
      <c r="EJ377" s="38">
        <f t="shared" si="659"/>
        <v>6645.081668350942</v>
      </c>
      <c r="EK377" s="38">
        <f t="shared" si="660"/>
        <v>0</v>
      </c>
      <c r="EL377" s="38">
        <f t="shared" si="661"/>
        <v>0</v>
      </c>
      <c r="EM377" s="38">
        <f t="shared" si="662"/>
        <v>0</v>
      </c>
      <c r="EN377" s="38">
        <f t="shared" si="663"/>
        <v>0</v>
      </c>
      <c r="EO377" s="38">
        <f t="shared" si="664"/>
        <v>0</v>
      </c>
      <c r="EP377" s="38">
        <f t="shared" si="665"/>
        <v>19461.443632653063</v>
      </c>
      <c r="EQ377" s="38">
        <f t="shared" si="666"/>
        <v>0</v>
      </c>
      <c r="ER377" s="38">
        <f t="shared" si="667"/>
        <v>65516.332454619056</v>
      </c>
      <c r="ES377" s="38">
        <f t="shared" si="668"/>
        <v>66318.10251963645</v>
      </c>
      <c r="ET377" s="38">
        <f t="shared" si="669"/>
        <v>22116.125577629766</v>
      </c>
      <c r="EU377" s="38">
        <f t="shared" si="670"/>
        <v>0</v>
      </c>
      <c r="EV377" s="38">
        <f t="shared" si="671"/>
        <v>0</v>
      </c>
      <c r="EW377" s="38">
        <f t="shared" si="672"/>
        <v>0</v>
      </c>
      <c r="EX377" s="38">
        <f t="shared" si="673"/>
        <v>0</v>
      </c>
      <c r="EZ377" s="38">
        <f t="shared" si="674"/>
        <v>0</v>
      </c>
      <c r="FA377" s="38">
        <f t="shared" si="675"/>
        <v>0</v>
      </c>
      <c r="FB377" s="1">
        <f t="shared" si="676"/>
        <v>0</v>
      </c>
      <c r="FC377" s="1">
        <f t="shared" si="677"/>
        <v>0</v>
      </c>
      <c r="FD377" s="1">
        <f t="shared" si="678"/>
        <v>0</v>
      </c>
      <c r="FE377" s="1">
        <f t="shared" si="679"/>
        <v>0</v>
      </c>
      <c r="FF377" s="1">
        <f t="shared" si="680"/>
        <v>0</v>
      </c>
      <c r="FG377" s="1">
        <f t="shared" si="681"/>
        <v>0</v>
      </c>
      <c r="FH377" s="1">
        <f t="shared" si="682"/>
        <v>0</v>
      </c>
      <c r="FI377" s="1">
        <f t="shared" si="683"/>
        <v>0</v>
      </c>
      <c r="FJ377" s="1">
        <f t="shared" si="684"/>
        <v>0</v>
      </c>
      <c r="FK377" s="1">
        <f t="shared" si="685"/>
        <v>0</v>
      </c>
      <c r="FL377" s="1">
        <f t="shared" si="686"/>
        <v>0</v>
      </c>
      <c r="FM377" s="1">
        <f t="shared" si="687"/>
        <v>0</v>
      </c>
      <c r="FN377" s="1">
        <f t="shared" si="688"/>
        <v>0</v>
      </c>
      <c r="FO377" s="1">
        <f t="shared" si="689"/>
        <v>0</v>
      </c>
      <c r="FP377" s="1">
        <f t="shared" si="690"/>
        <v>0</v>
      </c>
      <c r="FQ377" s="1">
        <f t="shared" si="691"/>
        <v>0</v>
      </c>
      <c r="FS377" s="1">
        <f t="shared" si="692"/>
        <v>0</v>
      </c>
      <c r="FT377" s="1">
        <f t="shared" si="693"/>
        <v>0</v>
      </c>
      <c r="FU377" s="38">
        <f t="shared" si="694"/>
        <v>0</v>
      </c>
      <c r="FV377" s="38">
        <f t="shared" si="695"/>
        <v>0</v>
      </c>
      <c r="FW377" s="38">
        <f t="shared" si="696"/>
        <v>0</v>
      </c>
      <c r="FX377" s="38">
        <f t="shared" si="697"/>
        <v>0</v>
      </c>
      <c r="FY377" s="38">
        <f t="shared" si="698"/>
        <v>0</v>
      </c>
      <c r="FZ377" s="38">
        <f t="shared" si="699"/>
        <v>0</v>
      </c>
      <c r="GA377" s="38">
        <f t="shared" si="700"/>
        <v>0</v>
      </c>
      <c r="GB377" s="38">
        <f t="shared" si="701"/>
        <v>0</v>
      </c>
      <c r="GC377" s="38">
        <f t="shared" si="702"/>
        <v>0</v>
      </c>
      <c r="GD377" s="38">
        <f t="shared" si="703"/>
        <v>0</v>
      </c>
      <c r="GE377" s="38">
        <f t="shared" si="704"/>
        <v>0</v>
      </c>
      <c r="GF377" s="38">
        <f t="shared" si="705"/>
        <v>0</v>
      </c>
      <c r="GG377" s="38">
        <f t="shared" si="706"/>
        <v>0</v>
      </c>
      <c r="GH377" s="38">
        <f t="shared" si="707"/>
        <v>0</v>
      </c>
      <c r="GI377" s="38">
        <f t="shared" si="708"/>
        <v>0</v>
      </c>
      <c r="GJ377" s="38">
        <f t="shared" si="709"/>
        <v>0</v>
      </c>
      <c r="GL377" s="38">
        <f t="shared" si="710"/>
        <v>0</v>
      </c>
      <c r="GM377" s="38">
        <f t="shared" si="711"/>
        <v>0</v>
      </c>
      <c r="GN377" s="1" t="s">
        <v>2</v>
      </c>
      <c r="GO377" s="14">
        <f t="shared" si="634"/>
        <v>811.83673469387759</v>
      </c>
      <c r="GP377" s="13">
        <f t="shared" si="635"/>
        <v>0.18279788838612368</v>
      </c>
      <c r="GQ377" s="41">
        <f t="shared" si="636"/>
        <v>1484.0204081632653</v>
      </c>
      <c r="GR377" s="41">
        <f t="shared" si="637"/>
        <v>183383.95143035869</v>
      </c>
      <c r="GS377" s="14">
        <f t="shared" si="638"/>
        <v>225.88772297857153</v>
      </c>
      <c r="GT377" s="1">
        <f t="shared" si="712"/>
        <v>523.28571428571433</v>
      </c>
      <c r="GU377" s="1">
        <f t="shared" si="713"/>
        <v>252.32653061224491</v>
      </c>
      <c r="GV377" s="1">
        <f t="shared" si="714"/>
        <v>708.40816326530626</v>
      </c>
      <c r="GW377" s="37">
        <f t="shared" si="639"/>
        <v>0</v>
      </c>
      <c r="GX377" s="37"/>
      <c r="GY377" s="37"/>
      <c r="GZ377" s="37"/>
      <c r="HB377" s="1">
        <f t="shared" si="715"/>
        <v>0</v>
      </c>
      <c r="HC377" s="1">
        <f t="shared" si="716"/>
        <v>0</v>
      </c>
      <c r="HD377" s="37" t="s">
        <v>2</v>
      </c>
      <c r="HE377" s="1" t="s">
        <v>113</v>
      </c>
      <c r="HF377" s="1" t="s">
        <v>261</v>
      </c>
      <c r="HG377" s="1" t="s">
        <v>708</v>
      </c>
      <c r="HH377" s="1" t="s">
        <v>1194</v>
      </c>
      <c r="HI377" s="1" t="s">
        <v>96</v>
      </c>
      <c r="HJ377" s="37" t="s">
        <v>2</v>
      </c>
      <c r="JH377" s="58" t="s">
        <v>2</v>
      </c>
    </row>
    <row r="378" spans="1:268" ht="16.25" customHeight="1" x14ac:dyDescent="0.2">
      <c r="A378" s="15" t="s">
        <v>1200</v>
      </c>
      <c r="F378" s="1" t="s">
        <v>1201</v>
      </c>
      <c r="I378" s="1">
        <v>91.08</v>
      </c>
      <c r="J378" s="13">
        <v>6.0033267457180503E-2</v>
      </c>
      <c r="K378" s="13">
        <v>0.16056313303525299</v>
      </c>
      <c r="Q378" s="13">
        <v>0.16629018445322793</v>
      </c>
      <c r="S378" s="13">
        <v>2.3312439617612477</v>
      </c>
      <c r="T378" s="13">
        <v>1.2606898130769222</v>
      </c>
      <c r="U378" s="13">
        <v>0.25682076163744433</v>
      </c>
      <c r="X378" s="14">
        <v>8.5053562510443523</v>
      </c>
      <c r="AD378" s="1">
        <v>175.98999999999998</v>
      </c>
      <c r="AE378" s="13">
        <v>0.11083436558895393</v>
      </c>
      <c r="AF378" s="13">
        <v>0.15323857521325859</v>
      </c>
      <c r="AL378" s="13">
        <v>0.1621258594238309</v>
      </c>
      <c r="AN378" s="13">
        <v>2.280886143572213</v>
      </c>
      <c r="AO378" s="13">
        <v>1.1638219094139775</v>
      </c>
      <c r="AP378" s="13">
        <v>0.24162571721453835</v>
      </c>
      <c r="AS378" s="14">
        <v>10.222953972676045</v>
      </c>
      <c r="AY378" s="1">
        <v>455.51</v>
      </c>
      <c r="AZ378" s="13">
        <v>5.2055278698601576E-2</v>
      </c>
      <c r="BA378" s="13">
        <v>3.8135265601436145E-2</v>
      </c>
      <c r="BG378" s="13">
        <v>0.15235641369014952</v>
      </c>
      <c r="BI378" s="13">
        <v>1.5250470312246296</v>
      </c>
      <c r="BJ378" s="13">
        <v>0.81914405107175481</v>
      </c>
      <c r="BK378" s="13">
        <v>0.22222579144896226</v>
      </c>
      <c r="BL378" s="13"/>
      <c r="BM378" s="13"/>
      <c r="BN378" s="14">
        <v>11.13528783952847</v>
      </c>
      <c r="BT378" s="1">
        <v>144.51999999999998</v>
      </c>
      <c r="BU378" s="13">
        <v>2.5338915029061722E-2</v>
      </c>
      <c r="BV378" s="13">
        <v>7.0567549982532174E-2</v>
      </c>
      <c r="CB378" s="13">
        <v>0.10517264046498756</v>
      </c>
      <c r="CD378" s="13">
        <v>1.7151653053722211</v>
      </c>
      <c r="CE378" s="13">
        <v>0.88951044966242276</v>
      </c>
      <c r="CF378" s="13">
        <v>0.23992002393383474</v>
      </c>
      <c r="CG378" s="13"/>
      <c r="CH378" s="13"/>
      <c r="CI378" s="14">
        <v>11.741847295069661</v>
      </c>
      <c r="CO378" s="1">
        <v>13.7</v>
      </c>
      <c r="CP378" s="13">
        <v>8.9999999999999993E-3</v>
      </c>
      <c r="CQ378" s="13">
        <v>2.6972729927007302E-2</v>
      </c>
      <c r="CW378" s="13">
        <v>8.2325547445255484E-2</v>
      </c>
      <c r="CY378" s="13">
        <v>1.7457691094890513</v>
      </c>
      <c r="CZ378" s="13">
        <v>0.90375497810218985</v>
      </c>
      <c r="DA378" s="13">
        <v>0.28376590948905106</v>
      </c>
      <c r="DB378" s="13"/>
      <c r="DC378" s="13"/>
      <c r="DD378" s="14">
        <v>14.814313835815117</v>
      </c>
      <c r="DJ378" s="1" t="s">
        <v>96</v>
      </c>
      <c r="DL378" s="1">
        <f t="shared" si="632"/>
        <v>0.15649216695729196</v>
      </c>
      <c r="DM378" s="1">
        <f t="shared" si="633"/>
        <v>0</v>
      </c>
      <c r="DN378" s="1" t="s">
        <v>67</v>
      </c>
      <c r="DO378" s="1" t="s">
        <v>2</v>
      </c>
      <c r="DP378" s="38">
        <f t="shared" si="640"/>
        <v>0.48685270000000003</v>
      </c>
      <c r="DQ378" s="38">
        <f t="shared" si="641"/>
        <v>58.963541842742394</v>
      </c>
      <c r="DR378" s="38">
        <f t="shared" si="642"/>
        <v>0</v>
      </c>
      <c r="DS378" s="38">
        <f t="shared" si="643"/>
        <v>0</v>
      </c>
      <c r="DT378" s="38">
        <f t="shared" si="644"/>
        <v>0</v>
      </c>
      <c r="DU378" s="38">
        <f t="shared" si="645"/>
        <v>0</v>
      </c>
      <c r="DV378" s="38">
        <f t="shared" si="646"/>
        <v>0</v>
      </c>
      <c r="DW378" s="38">
        <f t="shared" si="647"/>
        <v>1.1307811000000001</v>
      </c>
      <c r="DX378" s="38">
        <f t="shared" si="648"/>
        <v>0</v>
      </c>
      <c r="DY378" s="38">
        <f t="shared" si="649"/>
        <v>1308.4170256376192</v>
      </c>
      <c r="DZ378" s="38">
        <f t="shared" si="650"/>
        <v>692.77295271650701</v>
      </c>
      <c r="EA378" s="38">
        <f t="shared" si="651"/>
        <v>167.14101520544182</v>
      </c>
      <c r="EB378" s="38">
        <f t="shared" si="652"/>
        <v>0</v>
      </c>
      <c r="EC378" s="38">
        <f t="shared" si="653"/>
        <v>0</v>
      </c>
      <c r="ED378" s="38">
        <f t="shared" si="654"/>
        <v>76.46040480779989</v>
      </c>
      <c r="EE378" s="38">
        <f t="shared" si="655"/>
        <v>0</v>
      </c>
      <c r="EG378" s="38">
        <f t="shared" si="656"/>
        <v>0</v>
      </c>
      <c r="EH378" s="38">
        <f t="shared" si="657"/>
        <v>0</v>
      </c>
      <c r="EI378" s="38">
        <f t="shared" si="658"/>
        <v>3177.0137687632</v>
      </c>
      <c r="EJ378" s="38">
        <f t="shared" si="659"/>
        <v>2411.627820706377</v>
      </c>
      <c r="EK378" s="38">
        <f t="shared" si="660"/>
        <v>0</v>
      </c>
      <c r="EL378" s="38">
        <f t="shared" si="661"/>
        <v>0</v>
      </c>
      <c r="EM378" s="38">
        <f t="shared" si="662"/>
        <v>0</v>
      </c>
      <c r="EN378" s="38">
        <f t="shared" si="663"/>
        <v>0</v>
      </c>
      <c r="EO378" s="38">
        <f t="shared" si="664"/>
        <v>0</v>
      </c>
      <c r="EP378" s="38">
        <f t="shared" si="665"/>
        <v>14829.063345400002</v>
      </c>
      <c r="EQ378" s="38">
        <f t="shared" si="666"/>
        <v>0</v>
      </c>
      <c r="ER378" s="38">
        <f t="shared" si="667"/>
        <v>37134.642181649542</v>
      </c>
      <c r="ES378" s="38">
        <f t="shared" si="668"/>
        <v>23087.159851574579</v>
      </c>
      <c r="ET378" s="38">
        <f t="shared" si="669"/>
        <v>11959.45019732057</v>
      </c>
      <c r="EU378" s="38">
        <f t="shared" si="670"/>
        <v>0</v>
      </c>
      <c r="EV378" s="38">
        <f t="shared" si="671"/>
        <v>0</v>
      </c>
      <c r="EW378" s="38">
        <f t="shared" si="672"/>
        <v>21332.45294137617</v>
      </c>
      <c r="EX378" s="38">
        <f t="shared" si="673"/>
        <v>0</v>
      </c>
      <c r="EZ378" s="38">
        <f t="shared" si="674"/>
        <v>0</v>
      </c>
      <c r="FA378" s="38">
        <f t="shared" si="675"/>
        <v>0</v>
      </c>
      <c r="FB378" s="1">
        <f t="shared" si="676"/>
        <v>3.7852799999999999E-2</v>
      </c>
      <c r="FC378" s="1">
        <f t="shared" si="677"/>
        <v>10.567948723475549</v>
      </c>
      <c r="FD378" s="1">
        <f t="shared" si="678"/>
        <v>0</v>
      </c>
      <c r="FE378" s="1">
        <f t="shared" si="679"/>
        <v>0</v>
      </c>
      <c r="FF378" s="1">
        <f t="shared" si="680"/>
        <v>0</v>
      </c>
      <c r="FG378" s="1">
        <f t="shared" si="681"/>
        <v>0</v>
      </c>
      <c r="FH378" s="1">
        <f t="shared" si="682"/>
        <v>0</v>
      </c>
      <c r="FI378" s="1">
        <f t="shared" si="683"/>
        <v>0.16327410000000001</v>
      </c>
      <c r="FJ378" s="1">
        <f t="shared" si="684"/>
        <v>0</v>
      </c>
      <c r="FK378" s="1">
        <f t="shared" si="685"/>
        <v>271.79272673239336</v>
      </c>
      <c r="FL378" s="1">
        <f t="shared" si="686"/>
        <v>140.93349338521332</v>
      </c>
      <c r="FM378" s="1">
        <f t="shared" si="687"/>
        <v>38.56083481891779</v>
      </c>
      <c r="FN378" s="1">
        <f t="shared" si="688"/>
        <v>0</v>
      </c>
      <c r="FO378" s="1">
        <f t="shared" si="689"/>
        <v>0</v>
      </c>
      <c r="FP378" s="1">
        <f t="shared" si="690"/>
        <v>18.998878706341344</v>
      </c>
      <c r="FQ378" s="1">
        <f t="shared" si="691"/>
        <v>0</v>
      </c>
      <c r="FS378" s="1">
        <f t="shared" si="692"/>
        <v>0</v>
      </c>
      <c r="FT378" s="1">
        <f t="shared" si="693"/>
        <v>0</v>
      </c>
      <c r="FU378" s="38">
        <f t="shared" si="694"/>
        <v>247.01283732479999</v>
      </c>
      <c r="FV378" s="38">
        <f t="shared" si="695"/>
        <v>432.23250084440184</v>
      </c>
      <c r="FW378" s="38">
        <f t="shared" si="696"/>
        <v>0</v>
      </c>
      <c r="FX378" s="38">
        <f t="shared" si="697"/>
        <v>0</v>
      </c>
      <c r="FY378" s="38">
        <f t="shared" si="698"/>
        <v>0</v>
      </c>
      <c r="FZ378" s="38">
        <f t="shared" si="699"/>
        <v>0</v>
      </c>
      <c r="GA378" s="38">
        <f t="shared" si="700"/>
        <v>0</v>
      </c>
      <c r="GB378" s="38">
        <f t="shared" si="701"/>
        <v>2141.1765473999999</v>
      </c>
      <c r="GC378" s="38">
        <f t="shared" si="702"/>
        <v>0</v>
      </c>
      <c r="GD378" s="38">
        <f t="shared" si="703"/>
        <v>7713.8446359361506</v>
      </c>
      <c r="GE378" s="38">
        <f t="shared" si="704"/>
        <v>4696.7106285928185</v>
      </c>
      <c r="GF378" s="38">
        <f t="shared" si="705"/>
        <v>2759.1455216250088</v>
      </c>
      <c r="GG378" s="38">
        <f t="shared" si="706"/>
        <v>0</v>
      </c>
      <c r="GH378" s="38">
        <f t="shared" si="707"/>
        <v>0</v>
      </c>
      <c r="GI378" s="38">
        <f t="shared" si="708"/>
        <v>5300.6871590692353</v>
      </c>
      <c r="GJ378" s="38">
        <f t="shared" si="709"/>
        <v>0</v>
      </c>
      <c r="GL378" s="38">
        <f t="shared" si="710"/>
        <v>0</v>
      </c>
      <c r="GM378" s="38">
        <f t="shared" si="711"/>
        <v>0</v>
      </c>
      <c r="GN378" s="1" t="s">
        <v>2</v>
      </c>
      <c r="GO378" s="14">
        <f t="shared" si="634"/>
        <v>722.57999999999993</v>
      </c>
      <c r="GP378" s="13">
        <f t="shared" si="635"/>
        <v>0.15649216695729196</v>
      </c>
      <c r="GQ378" s="41">
        <f t="shared" si="636"/>
        <v>1130.7810999999999</v>
      </c>
      <c r="GR378" s="41">
        <f t="shared" si="637"/>
        <v>113931.41010679043</v>
      </c>
      <c r="GS378" s="14">
        <f t="shared" si="638"/>
        <v>157.67307440946391</v>
      </c>
      <c r="GT378" s="1">
        <f t="shared" si="712"/>
        <v>151.4571</v>
      </c>
      <c r="GU378" s="1">
        <f t="shared" si="713"/>
        <v>285.32529999999997</v>
      </c>
      <c r="GV378" s="1">
        <f t="shared" si="714"/>
        <v>693.9987000000001</v>
      </c>
      <c r="GW378" s="37">
        <f t="shared" si="639"/>
        <v>158.21999999999997</v>
      </c>
      <c r="GX378" s="44">
        <f>(BT378*CB378+CO378*CW378)/GW378</f>
        <v>0.10319434963974215</v>
      </c>
      <c r="GY378" s="41">
        <f>1000*GW378*GX378/100</f>
        <v>163.2741</v>
      </c>
      <c r="GZ378" s="41">
        <f>SUM(FU378:GM378)</f>
        <v>23290.809830792416</v>
      </c>
      <c r="HA378" s="14">
        <f>GZ378/GW378</f>
        <v>147.20521950949578</v>
      </c>
      <c r="HB378" s="1">
        <f t="shared" si="715"/>
        <v>151.99550000000002</v>
      </c>
      <c r="HC378" s="1">
        <f t="shared" si="716"/>
        <v>11.278600000000001</v>
      </c>
      <c r="HD378" s="37" t="s">
        <v>2</v>
      </c>
      <c r="HE378" s="1" t="s">
        <v>113</v>
      </c>
      <c r="HF378" s="1" t="s">
        <v>261</v>
      </c>
      <c r="HG378" s="1" t="s">
        <v>708</v>
      </c>
      <c r="HH378" s="1" t="s">
        <v>1194</v>
      </c>
      <c r="HI378" s="1" t="s">
        <v>96</v>
      </c>
      <c r="HJ378" s="37" t="s">
        <v>2</v>
      </c>
      <c r="JH378" s="58" t="s">
        <v>2</v>
      </c>
    </row>
    <row r="379" spans="1:268" ht="16.25" customHeight="1" x14ac:dyDescent="0.2">
      <c r="A379" s="15" t="s">
        <v>1248</v>
      </c>
      <c r="F379" s="1" t="s">
        <v>1215</v>
      </c>
      <c r="I379" s="1">
        <v>0.4</v>
      </c>
      <c r="J379" s="13">
        <v>1.2E-2</v>
      </c>
      <c r="K379" s="13">
        <v>0.06</v>
      </c>
      <c r="Q379" s="13">
        <v>4.3999999999999997E-2</v>
      </c>
      <c r="S379" s="13">
        <v>2.4500000000000002</v>
      </c>
      <c r="T379" s="13">
        <v>1.21</v>
      </c>
      <c r="U379" s="13">
        <v>0.42</v>
      </c>
      <c r="AD379" s="1">
        <v>68.300000000000011</v>
      </c>
      <c r="AE379" s="13">
        <v>2.2102489019033677E-2</v>
      </c>
      <c r="AF379" s="13">
        <v>6.9999999999999993E-2</v>
      </c>
      <c r="AL379" s="13">
        <v>0.10916251830161053</v>
      </c>
      <c r="AN379" s="13">
        <v>1.6506002928257686</v>
      </c>
      <c r="AO379" s="13">
        <v>0.79999999999999982</v>
      </c>
      <c r="AP379" s="13">
        <v>0.22734992679355784</v>
      </c>
      <c r="AQ379" s="13"/>
      <c r="AR379" s="13"/>
      <c r="AY379" s="1">
        <v>60</v>
      </c>
      <c r="AZ379" s="13">
        <v>2.2766666666666664E-2</v>
      </c>
      <c r="BA379" s="13">
        <v>6.3866666666666669E-2</v>
      </c>
      <c r="BG379" s="13">
        <v>0.11237499999999999</v>
      </c>
      <c r="BI379" s="13">
        <v>1.1467666666666667</v>
      </c>
      <c r="BJ379" s="13">
        <v>0.65839999999999999</v>
      </c>
      <c r="BK379" s="13">
        <v>0.14170000000000002</v>
      </c>
      <c r="BT379" s="1">
        <v>0</v>
      </c>
      <c r="CO379" s="1">
        <v>40.5</v>
      </c>
      <c r="CP379" s="13">
        <v>1.2E-2</v>
      </c>
      <c r="CQ379" s="13">
        <v>4.3954197530864193E-2</v>
      </c>
      <c r="CW379" s="13">
        <v>4.3999999999999997E-2</v>
      </c>
      <c r="CY379" s="13">
        <v>1.8150632098765433</v>
      </c>
      <c r="CZ379" s="13">
        <v>0.89604469135802456</v>
      </c>
      <c r="DA379" s="13">
        <v>0.31066956790123457</v>
      </c>
      <c r="DJ379" s="1" t="s">
        <v>96</v>
      </c>
      <c r="DL379" s="1">
        <f t="shared" si="632"/>
        <v>0.11045765345765345</v>
      </c>
      <c r="DM379" s="1">
        <f t="shared" si="633"/>
        <v>0</v>
      </c>
      <c r="DN379" s="1" t="s">
        <v>1216</v>
      </c>
      <c r="DO379" s="1" t="s">
        <v>2</v>
      </c>
      <c r="DP379" s="38">
        <f t="shared" si="640"/>
        <v>2.8804E-2</v>
      </c>
      <c r="DQ379" s="38">
        <f t="shared" si="641"/>
        <v>8.6370000000000005</v>
      </c>
      <c r="DR379" s="38">
        <f t="shared" si="642"/>
        <v>0</v>
      </c>
      <c r="DS379" s="38">
        <f t="shared" si="643"/>
        <v>0</v>
      </c>
      <c r="DT379" s="38">
        <f t="shared" si="644"/>
        <v>0</v>
      </c>
      <c r="DU379" s="38">
        <f t="shared" si="645"/>
        <v>0</v>
      </c>
      <c r="DV379" s="38">
        <f t="shared" si="646"/>
        <v>0</v>
      </c>
      <c r="DW379" s="38">
        <f t="shared" si="647"/>
        <v>0.14215900000000001</v>
      </c>
      <c r="DX379" s="38">
        <f t="shared" si="648"/>
        <v>0</v>
      </c>
      <c r="DY379" s="38">
        <f t="shared" si="649"/>
        <v>182.52200000000002</v>
      </c>
      <c r="DZ379" s="38">
        <f t="shared" si="650"/>
        <v>94.627999999999986</v>
      </c>
      <c r="EA379" s="38">
        <f t="shared" si="651"/>
        <v>24.198</v>
      </c>
      <c r="EB379" s="38">
        <f t="shared" si="652"/>
        <v>0</v>
      </c>
      <c r="EC379" s="38">
        <f t="shared" si="653"/>
        <v>0</v>
      </c>
      <c r="ED379" s="38">
        <f t="shared" si="654"/>
        <v>0</v>
      </c>
      <c r="EE379" s="38">
        <f t="shared" si="655"/>
        <v>0</v>
      </c>
      <c r="EG379" s="38">
        <f t="shared" si="656"/>
        <v>0</v>
      </c>
      <c r="EH379" s="38">
        <f t="shared" si="657"/>
        <v>0</v>
      </c>
      <c r="EI379" s="38">
        <f t="shared" si="658"/>
        <v>187.96384326399999</v>
      </c>
      <c r="EJ379" s="38">
        <f t="shared" si="659"/>
        <v>353.25607717041805</v>
      </c>
      <c r="EK379" s="38">
        <f t="shared" si="660"/>
        <v>0</v>
      </c>
      <c r="EL379" s="38">
        <f t="shared" si="661"/>
        <v>0</v>
      </c>
      <c r="EM379" s="38">
        <f t="shared" si="662"/>
        <v>0</v>
      </c>
      <c r="EN379" s="38">
        <f t="shared" si="663"/>
        <v>0</v>
      </c>
      <c r="EO379" s="38">
        <f t="shared" si="664"/>
        <v>0</v>
      </c>
      <c r="EP379" s="38">
        <f t="shared" si="665"/>
        <v>1864.273126</v>
      </c>
      <c r="EQ379" s="38">
        <f t="shared" si="666"/>
        <v>0</v>
      </c>
      <c r="ER379" s="38">
        <f t="shared" si="667"/>
        <v>5180.2208527331186</v>
      </c>
      <c r="ES379" s="38">
        <f t="shared" si="668"/>
        <v>3153.5465607717038</v>
      </c>
      <c r="ET379" s="38">
        <f t="shared" si="669"/>
        <v>1731.4408167202575</v>
      </c>
      <c r="EU379" s="38">
        <f t="shared" si="670"/>
        <v>0</v>
      </c>
      <c r="EV379" s="38">
        <f t="shared" si="671"/>
        <v>0</v>
      </c>
      <c r="EW379" s="38">
        <f t="shared" si="672"/>
        <v>0</v>
      </c>
      <c r="EX379" s="38">
        <f t="shared" si="673"/>
        <v>0</v>
      </c>
      <c r="EZ379" s="38">
        <f t="shared" si="674"/>
        <v>0</v>
      </c>
      <c r="FA379" s="38">
        <f t="shared" si="675"/>
        <v>0</v>
      </c>
      <c r="FB379" s="1">
        <f t="shared" si="676"/>
        <v>4.8599999999999997E-3</v>
      </c>
      <c r="FC379" s="1">
        <f t="shared" si="677"/>
        <v>1.7801449999999999</v>
      </c>
      <c r="FD379" s="1">
        <f t="shared" si="678"/>
        <v>0</v>
      </c>
      <c r="FE379" s="1">
        <f t="shared" si="679"/>
        <v>0</v>
      </c>
      <c r="FF379" s="1">
        <f t="shared" si="680"/>
        <v>0</v>
      </c>
      <c r="FG379" s="1">
        <f t="shared" si="681"/>
        <v>0</v>
      </c>
      <c r="FH379" s="1">
        <f t="shared" si="682"/>
        <v>0</v>
      </c>
      <c r="FI379" s="1">
        <f t="shared" si="683"/>
        <v>1.7819999999999999E-2</v>
      </c>
      <c r="FJ379" s="1">
        <f t="shared" si="684"/>
        <v>0</v>
      </c>
      <c r="FK379" s="1">
        <f t="shared" si="685"/>
        <v>73.51006000000001</v>
      </c>
      <c r="FL379" s="1">
        <f t="shared" si="686"/>
        <v>36.289809999999996</v>
      </c>
      <c r="FM379" s="1">
        <f t="shared" si="687"/>
        <v>12.582117500000001</v>
      </c>
      <c r="FN379" s="1">
        <f t="shared" si="688"/>
        <v>0</v>
      </c>
      <c r="FO379" s="1">
        <f t="shared" si="689"/>
        <v>0</v>
      </c>
      <c r="FP379" s="1">
        <f t="shared" si="690"/>
        <v>0</v>
      </c>
      <c r="FQ379" s="1">
        <f t="shared" si="691"/>
        <v>0</v>
      </c>
      <c r="FS379" s="1">
        <f t="shared" si="692"/>
        <v>0</v>
      </c>
      <c r="FT379" s="1">
        <f t="shared" si="693"/>
        <v>0</v>
      </c>
      <c r="FU379" s="38">
        <f t="shared" si="694"/>
        <v>31.71449376</v>
      </c>
      <c r="FV379" s="38">
        <f t="shared" si="695"/>
        <v>72.808502893890662</v>
      </c>
      <c r="FW379" s="38">
        <f t="shared" si="696"/>
        <v>0</v>
      </c>
      <c r="FX379" s="38">
        <f t="shared" si="697"/>
        <v>0</v>
      </c>
      <c r="FY379" s="38">
        <f t="shared" si="698"/>
        <v>0</v>
      </c>
      <c r="FZ379" s="38">
        <f t="shared" si="699"/>
        <v>0</v>
      </c>
      <c r="GA379" s="38">
        <f t="shared" si="700"/>
        <v>0</v>
      </c>
      <c r="GB379" s="38">
        <f t="shared" si="701"/>
        <v>233.69147999999998</v>
      </c>
      <c r="GC379" s="38">
        <f t="shared" si="702"/>
        <v>0</v>
      </c>
      <c r="GD379" s="38">
        <f t="shared" si="703"/>
        <v>2086.3147768360127</v>
      </c>
      <c r="GE379" s="38">
        <f t="shared" si="704"/>
        <v>1209.3841729356911</v>
      </c>
      <c r="GF379" s="38">
        <f t="shared" si="705"/>
        <v>900.28894124598082</v>
      </c>
      <c r="GG379" s="38">
        <f t="shared" si="706"/>
        <v>0</v>
      </c>
      <c r="GH379" s="38">
        <f t="shared" si="707"/>
        <v>0</v>
      </c>
      <c r="GI379" s="38">
        <f t="shared" si="708"/>
        <v>0</v>
      </c>
      <c r="GJ379" s="38">
        <f t="shared" si="709"/>
        <v>0</v>
      </c>
      <c r="GL379" s="38">
        <f t="shared" si="710"/>
        <v>0</v>
      </c>
      <c r="GM379" s="38">
        <f t="shared" si="711"/>
        <v>0</v>
      </c>
      <c r="GN379" s="1" t="s">
        <v>2</v>
      </c>
      <c r="GO379" s="1">
        <f t="shared" si="634"/>
        <v>128.70000000000002</v>
      </c>
      <c r="GP379" s="13">
        <f t="shared" si="635"/>
        <v>0.11045765345765345</v>
      </c>
      <c r="GQ379" s="41">
        <f t="shared" si="636"/>
        <v>142.15899999999999</v>
      </c>
      <c r="GR379" s="41">
        <f t="shared" si="637"/>
        <v>12470.701276659498</v>
      </c>
      <c r="GS379" s="14">
        <f t="shared" si="638"/>
        <v>96.897445817090102</v>
      </c>
      <c r="GT379" s="1">
        <f t="shared" si="712"/>
        <v>0.17600000000000002</v>
      </c>
      <c r="GU379" s="1">
        <f t="shared" si="713"/>
        <v>74.558000000000007</v>
      </c>
      <c r="GV379" s="1">
        <f t="shared" si="714"/>
        <v>67.424999999999997</v>
      </c>
      <c r="GW379" s="37">
        <f t="shared" si="639"/>
        <v>40.5</v>
      </c>
      <c r="GX379" s="37">
        <f>(BT379*CB379+CO379*CW379)/GW379</f>
        <v>4.3999999999999997E-2</v>
      </c>
      <c r="GY379" s="41">
        <f>1000*GW379*GX379/100</f>
        <v>17.82</v>
      </c>
      <c r="GZ379" s="41">
        <f>SUM(FU379:GM379)</f>
        <v>4534.2023676715753</v>
      </c>
      <c r="HA379" s="14">
        <f>GZ379/GW379</f>
        <v>111.9556140165821</v>
      </c>
      <c r="HB379" s="1">
        <f t="shared" si="715"/>
        <v>0</v>
      </c>
      <c r="HC379" s="1">
        <f t="shared" si="716"/>
        <v>17.819999999999997</v>
      </c>
      <c r="HD379" s="37" t="s">
        <v>2</v>
      </c>
      <c r="HE379" s="1" t="s">
        <v>113</v>
      </c>
      <c r="HF379" s="1" t="s">
        <v>261</v>
      </c>
      <c r="HG379" s="1" t="s">
        <v>708</v>
      </c>
      <c r="HH379" s="1" t="s">
        <v>1182</v>
      </c>
      <c r="HI379" s="1" t="s">
        <v>96</v>
      </c>
      <c r="HJ379" s="37" t="s">
        <v>2</v>
      </c>
      <c r="JH379" s="58" t="s">
        <v>2</v>
      </c>
    </row>
    <row r="380" spans="1:268" ht="16.25" customHeight="1" x14ac:dyDescent="0.2">
      <c r="A380" s="15" t="s">
        <v>1277</v>
      </c>
      <c r="B380" s="1" t="s">
        <v>64</v>
      </c>
      <c r="F380" s="1" t="s">
        <v>1009</v>
      </c>
      <c r="I380" s="4">
        <v>1067.7</v>
      </c>
      <c r="J380" s="13">
        <v>0.1</v>
      </c>
      <c r="K380" s="13">
        <v>0.1794</v>
      </c>
      <c r="Q380" s="1">
        <v>0.19</v>
      </c>
      <c r="S380" s="13">
        <v>1.16472</v>
      </c>
      <c r="T380" s="13">
        <v>1.3303199999999999</v>
      </c>
      <c r="U380" s="13">
        <v>8.5559999999999997E-2</v>
      </c>
      <c r="V380" s="13"/>
      <c r="W380" s="13"/>
      <c r="AD380" s="4">
        <v>1789.2</v>
      </c>
      <c r="AE380" s="13">
        <v>0.1</v>
      </c>
      <c r="AF380" s="13">
        <v>0.15859999999999999</v>
      </c>
      <c r="AL380" s="1">
        <v>0.19</v>
      </c>
      <c r="AN380" s="13">
        <v>1.0296799999999999</v>
      </c>
      <c r="AO380" s="13">
        <v>1.17608</v>
      </c>
      <c r="AP380" s="13">
        <v>7.5639999999999999E-2</v>
      </c>
      <c r="AQ380" s="13"/>
      <c r="AR380" s="13"/>
      <c r="AY380" s="1">
        <v>826.6</v>
      </c>
      <c r="AZ380" s="13">
        <v>0.1</v>
      </c>
      <c r="BA380" s="13">
        <v>0.14235</v>
      </c>
      <c r="BG380" s="1">
        <v>0.19</v>
      </c>
      <c r="BI380" s="13">
        <v>0.92418</v>
      </c>
      <c r="BJ380" s="13">
        <v>1.05558</v>
      </c>
      <c r="BK380" s="13">
        <v>6.7889999999999992E-2</v>
      </c>
      <c r="BL380" s="13"/>
      <c r="BM380" s="13"/>
      <c r="BT380" s="1">
        <v>750.9</v>
      </c>
      <c r="BU380" s="13">
        <v>0.1</v>
      </c>
      <c r="BV380" s="13">
        <v>0.1976</v>
      </c>
      <c r="CB380" s="1">
        <v>0.19</v>
      </c>
      <c r="CD380" s="13">
        <v>1.28288</v>
      </c>
      <c r="CE380" s="13">
        <v>1.4652799999999999</v>
      </c>
      <c r="CF380" s="13">
        <v>9.4240000000000004E-2</v>
      </c>
      <c r="CG380" s="13"/>
      <c r="CH380" s="13"/>
      <c r="CO380" s="1">
        <v>449.4</v>
      </c>
      <c r="CP380" s="13">
        <v>0.1</v>
      </c>
      <c r="CQ380" s="13">
        <v>0.20085</v>
      </c>
      <c r="CW380" s="1">
        <v>0.19</v>
      </c>
      <c r="CY380" s="13">
        <v>1.3039799999999999</v>
      </c>
      <c r="CZ380" s="13">
        <v>1.4893799999999999</v>
      </c>
      <c r="DA380" s="13">
        <v>9.579E-2</v>
      </c>
      <c r="DB380" s="13"/>
      <c r="DC380" s="13"/>
      <c r="DJ380" s="1" t="s">
        <v>96</v>
      </c>
      <c r="DL380" s="1">
        <f t="shared" si="632"/>
        <v>0.19</v>
      </c>
      <c r="DM380" s="1">
        <f t="shared" si="633"/>
        <v>0</v>
      </c>
      <c r="DN380" s="1" t="s">
        <v>73</v>
      </c>
      <c r="DO380" s="1" t="s">
        <v>2</v>
      </c>
      <c r="DP380" s="38">
        <f t="shared" si="640"/>
        <v>3.6835000000000009</v>
      </c>
      <c r="DQ380" s="38">
        <f t="shared" si="641"/>
        <v>592.97901000000002</v>
      </c>
      <c r="DR380" s="38">
        <f t="shared" si="642"/>
        <v>0</v>
      </c>
      <c r="DS380" s="38">
        <f t="shared" si="643"/>
        <v>0</v>
      </c>
      <c r="DT380" s="38">
        <f t="shared" si="644"/>
        <v>0</v>
      </c>
      <c r="DU380" s="38">
        <f t="shared" si="645"/>
        <v>0</v>
      </c>
      <c r="DV380" s="38">
        <f t="shared" si="646"/>
        <v>0</v>
      </c>
      <c r="DW380" s="38">
        <f t="shared" si="647"/>
        <v>6.9986500000000005</v>
      </c>
      <c r="DX380" s="38">
        <f t="shared" si="648"/>
        <v>0</v>
      </c>
      <c r="DY380" s="38">
        <f t="shared" si="649"/>
        <v>3849.8021880000001</v>
      </c>
      <c r="DZ380" s="38">
        <f t="shared" si="650"/>
        <v>4397.1674279999997</v>
      </c>
      <c r="EA380" s="38">
        <f t="shared" si="651"/>
        <v>282.80537399999997</v>
      </c>
      <c r="EB380" s="38">
        <f t="shared" si="652"/>
        <v>0</v>
      </c>
      <c r="EC380" s="38">
        <f t="shared" si="653"/>
        <v>0</v>
      </c>
      <c r="ED380" s="38">
        <f t="shared" si="654"/>
        <v>0</v>
      </c>
      <c r="EE380" s="38">
        <f t="shared" si="655"/>
        <v>0</v>
      </c>
      <c r="EG380" s="38">
        <f t="shared" si="656"/>
        <v>0</v>
      </c>
      <c r="EH380" s="38">
        <f t="shared" si="657"/>
        <v>0</v>
      </c>
      <c r="EI380" s="38">
        <f t="shared" si="658"/>
        <v>24037.106536000007</v>
      </c>
      <c r="EJ380" s="38">
        <f t="shared" si="659"/>
        <v>24253.032177491958</v>
      </c>
      <c r="EK380" s="38">
        <f t="shared" si="660"/>
        <v>0</v>
      </c>
      <c r="EL380" s="38">
        <f t="shared" si="661"/>
        <v>0</v>
      </c>
      <c r="EM380" s="38">
        <f t="shared" si="662"/>
        <v>0</v>
      </c>
      <c r="EN380" s="38">
        <f t="shared" si="663"/>
        <v>0</v>
      </c>
      <c r="EO380" s="38">
        <f t="shared" si="664"/>
        <v>0</v>
      </c>
      <c r="EP380" s="38">
        <f t="shared" si="665"/>
        <v>91780.296100000007</v>
      </c>
      <c r="EQ380" s="38">
        <f t="shared" si="666"/>
        <v>0</v>
      </c>
      <c r="ER380" s="38">
        <f t="shared" si="667"/>
        <v>109262.58518521156</v>
      </c>
      <c r="ES380" s="38">
        <f t="shared" si="668"/>
        <v>146538.78576855434</v>
      </c>
      <c r="ET380" s="38">
        <f t="shared" si="669"/>
        <v>20235.588384636656</v>
      </c>
      <c r="EU380" s="38">
        <f t="shared" si="670"/>
        <v>0</v>
      </c>
      <c r="EV380" s="38">
        <f t="shared" si="671"/>
        <v>0</v>
      </c>
      <c r="EW380" s="38">
        <f t="shared" si="672"/>
        <v>0</v>
      </c>
      <c r="EX380" s="38">
        <f t="shared" si="673"/>
        <v>0</v>
      </c>
      <c r="EZ380" s="38">
        <f t="shared" si="674"/>
        <v>0</v>
      </c>
      <c r="FA380" s="38">
        <f t="shared" si="675"/>
        <v>0</v>
      </c>
      <c r="FB380" s="1">
        <f t="shared" si="676"/>
        <v>1.2002999999999999</v>
      </c>
      <c r="FC380" s="1">
        <f t="shared" si="677"/>
        <v>238.63982999999999</v>
      </c>
      <c r="FD380" s="1">
        <f t="shared" si="678"/>
        <v>0</v>
      </c>
      <c r="FE380" s="1">
        <f t="shared" si="679"/>
        <v>0</v>
      </c>
      <c r="FF380" s="1">
        <f t="shared" si="680"/>
        <v>0</v>
      </c>
      <c r="FG380" s="1">
        <f t="shared" si="681"/>
        <v>0</v>
      </c>
      <c r="FH380" s="1">
        <f t="shared" si="682"/>
        <v>0</v>
      </c>
      <c r="FI380" s="1">
        <f t="shared" si="683"/>
        <v>2.28057</v>
      </c>
      <c r="FJ380" s="1">
        <f t="shared" si="684"/>
        <v>0</v>
      </c>
      <c r="FK380" s="1">
        <f t="shared" si="685"/>
        <v>1549.3232039999998</v>
      </c>
      <c r="FL380" s="1">
        <f t="shared" si="686"/>
        <v>1769.6061239999999</v>
      </c>
      <c r="FM380" s="1">
        <f t="shared" si="687"/>
        <v>113.81284199999999</v>
      </c>
      <c r="FN380" s="1">
        <f t="shared" si="688"/>
        <v>0</v>
      </c>
      <c r="FO380" s="1">
        <f t="shared" si="689"/>
        <v>0</v>
      </c>
      <c r="FP380" s="1">
        <f t="shared" si="690"/>
        <v>0</v>
      </c>
      <c r="FQ380" s="1">
        <f t="shared" si="691"/>
        <v>0</v>
      </c>
      <c r="FS380" s="1">
        <f t="shared" si="692"/>
        <v>0</v>
      </c>
      <c r="FT380" s="1">
        <f t="shared" si="693"/>
        <v>0</v>
      </c>
      <c r="FU380" s="38">
        <f t="shared" si="694"/>
        <v>7832.6968847999997</v>
      </c>
      <c r="FV380" s="38">
        <f t="shared" si="695"/>
        <v>9760.4457800643086</v>
      </c>
      <c r="FW380" s="38">
        <f t="shared" si="696"/>
        <v>0</v>
      </c>
      <c r="FX380" s="38">
        <f t="shared" si="697"/>
        <v>0</v>
      </c>
      <c r="FY380" s="38">
        <f t="shared" si="698"/>
        <v>0</v>
      </c>
      <c r="FZ380" s="38">
        <f t="shared" si="699"/>
        <v>0</v>
      </c>
      <c r="GA380" s="38">
        <f t="shared" si="700"/>
        <v>0</v>
      </c>
      <c r="GB380" s="38">
        <f t="shared" si="701"/>
        <v>29907.394980000001</v>
      </c>
      <c r="GC380" s="38">
        <f t="shared" si="702"/>
        <v>0</v>
      </c>
      <c r="GD380" s="38">
        <f t="shared" si="703"/>
        <v>43971.884863107385</v>
      </c>
      <c r="GE380" s="38">
        <f t="shared" si="704"/>
        <v>58973.404343965274</v>
      </c>
      <c r="GF380" s="38">
        <f t="shared" si="705"/>
        <v>8143.6565049067522</v>
      </c>
      <c r="GG380" s="38">
        <f t="shared" si="706"/>
        <v>0</v>
      </c>
      <c r="GH380" s="38">
        <f t="shared" si="707"/>
        <v>0</v>
      </c>
      <c r="GI380" s="38">
        <f t="shared" si="708"/>
        <v>0</v>
      </c>
      <c r="GJ380" s="38">
        <f t="shared" si="709"/>
        <v>0</v>
      </c>
      <c r="GL380" s="38">
        <f t="shared" si="710"/>
        <v>0</v>
      </c>
      <c r="GM380" s="38">
        <f t="shared" si="711"/>
        <v>0</v>
      </c>
      <c r="GN380" s="1" t="s">
        <v>2</v>
      </c>
      <c r="GO380" s="4">
        <f t="shared" si="634"/>
        <v>3683.5</v>
      </c>
      <c r="GP380" s="13">
        <f t="shared" si="635"/>
        <v>0.19</v>
      </c>
      <c r="GQ380" s="43">
        <f t="shared" si="636"/>
        <v>6998.65</v>
      </c>
      <c r="GR380" s="41">
        <f t="shared" si="637"/>
        <v>416107.39415189455</v>
      </c>
      <c r="GS380" s="14">
        <f t="shared" si="638"/>
        <v>112.96522170541456</v>
      </c>
      <c r="GT380" s="1">
        <f t="shared" si="712"/>
        <v>2028.63</v>
      </c>
      <c r="GU380" s="1">
        <f t="shared" si="713"/>
        <v>3399.4800000000005</v>
      </c>
      <c r="GV380" s="1">
        <f t="shared" si="714"/>
        <v>1570.54</v>
      </c>
      <c r="GW380" s="42">
        <f t="shared" si="639"/>
        <v>1200.3</v>
      </c>
      <c r="GX380" s="37">
        <f>(BT380*CB380+CO380*CW380)/GW380</f>
        <v>0.19</v>
      </c>
      <c r="GY380" s="42">
        <f>1000*GW380*GX380/100</f>
        <v>2280.5700000000002</v>
      </c>
      <c r="GZ380" s="41">
        <f>SUM(FU380:GM380)</f>
        <v>158589.48335684373</v>
      </c>
      <c r="HA380" s="14">
        <f>GZ380/GW380</f>
        <v>132.1248715794749</v>
      </c>
      <c r="HB380" s="1">
        <f t="shared" si="715"/>
        <v>1426.71</v>
      </c>
      <c r="HC380" s="1">
        <f t="shared" si="716"/>
        <v>853.86</v>
      </c>
      <c r="HD380" s="37" t="s">
        <v>2</v>
      </c>
      <c r="HE380" s="1" t="s">
        <v>113</v>
      </c>
      <c r="HF380" s="1" t="s">
        <v>261</v>
      </c>
      <c r="HG380" s="1" t="s">
        <v>708</v>
      </c>
      <c r="HH380" s="1" t="s">
        <v>1276</v>
      </c>
      <c r="HI380" s="1" t="s">
        <v>96</v>
      </c>
      <c r="HJ380" s="37" t="s">
        <v>2</v>
      </c>
      <c r="JH380" s="58" t="s">
        <v>2</v>
      </c>
    </row>
    <row r="381" spans="1:268" ht="16.25" customHeight="1" x14ac:dyDescent="0.2">
      <c r="A381" s="15" t="s">
        <v>1281</v>
      </c>
      <c r="B381" s="1" t="s">
        <v>69</v>
      </c>
      <c r="F381" s="1" t="s">
        <v>1282</v>
      </c>
      <c r="I381" s="1">
        <v>28.47</v>
      </c>
      <c r="J381" s="13">
        <v>0.10798927886436387</v>
      </c>
      <c r="K381" s="13">
        <v>8.7932501999999996E-2</v>
      </c>
      <c r="Q381" s="13">
        <v>0.20463110206781226</v>
      </c>
      <c r="S381" s="13">
        <v>0.52758392399999998</v>
      </c>
      <c r="T381" s="13">
        <v>0.64448369999999999</v>
      </c>
      <c r="AD381" s="1">
        <v>16.63</v>
      </c>
      <c r="AE381" s="13">
        <v>0.10798927886436387</v>
      </c>
      <c r="AF381" s="13">
        <v>8.0953731999999987E-2</v>
      </c>
      <c r="AL381" s="13">
        <v>0.20463110206781226</v>
      </c>
      <c r="AN381" s="13">
        <v>0.48571218399999999</v>
      </c>
      <c r="AO381" s="13">
        <v>0.59333420000000003</v>
      </c>
      <c r="AY381" s="1">
        <v>0.76</v>
      </c>
      <c r="AZ381" s="13">
        <v>0.10798927886436387</v>
      </c>
      <c r="BA381" s="13">
        <v>6.6298314999999997E-2</v>
      </c>
      <c r="BG381" s="13">
        <v>0.20463110206781226</v>
      </c>
      <c r="BI381" s="13">
        <v>0.39778152999999999</v>
      </c>
      <c r="BJ381" s="13">
        <v>0.48592025</v>
      </c>
      <c r="BT381" s="1">
        <v>0</v>
      </c>
      <c r="CO381" s="1">
        <v>0</v>
      </c>
      <c r="DJ381" s="1" t="s">
        <v>96</v>
      </c>
      <c r="DL381" s="1">
        <f t="shared" si="632"/>
        <v>0.20463110206781229</v>
      </c>
      <c r="DM381" s="1">
        <f t="shared" si="633"/>
        <v>0</v>
      </c>
      <c r="DN381" s="1" t="s">
        <v>1283</v>
      </c>
      <c r="DO381" s="1" t="s">
        <v>2</v>
      </c>
      <c r="DP381" s="38">
        <f t="shared" si="640"/>
        <v>4.9523883287197264E-2</v>
      </c>
      <c r="DQ381" s="38">
        <f t="shared" si="641"/>
        <v>3.9000856144999996</v>
      </c>
      <c r="DR381" s="38">
        <f t="shared" si="642"/>
        <v>0</v>
      </c>
      <c r="DS381" s="38">
        <f t="shared" si="643"/>
        <v>0</v>
      </c>
      <c r="DT381" s="38">
        <f t="shared" si="644"/>
        <v>0</v>
      </c>
      <c r="DU381" s="38">
        <f t="shared" si="645"/>
        <v>0</v>
      </c>
      <c r="DV381" s="38">
        <f t="shared" si="646"/>
        <v>0</v>
      </c>
      <c r="DW381" s="38">
        <f t="shared" si="647"/>
        <v>9.3843823408298693E-2</v>
      </c>
      <c r="DX381" s="38">
        <f t="shared" si="648"/>
        <v>0</v>
      </c>
      <c r="DY381" s="38">
        <f t="shared" si="649"/>
        <v>23.400021898999995</v>
      </c>
      <c r="DZ381" s="38">
        <f t="shared" si="650"/>
        <v>28.584898074999998</v>
      </c>
      <c r="EA381" s="38">
        <f t="shared" si="651"/>
        <v>0</v>
      </c>
      <c r="EB381" s="38">
        <f t="shared" si="652"/>
        <v>0</v>
      </c>
      <c r="EC381" s="38">
        <f t="shared" si="653"/>
        <v>0</v>
      </c>
      <c r="ED381" s="38">
        <f t="shared" si="654"/>
        <v>0</v>
      </c>
      <c r="EE381" s="38">
        <f t="shared" si="655"/>
        <v>0</v>
      </c>
      <c r="EG381" s="38">
        <f t="shared" si="656"/>
        <v>0</v>
      </c>
      <c r="EH381" s="38">
        <f t="shared" si="657"/>
        <v>0</v>
      </c>
      <c r="EI381" s="38">
        <f t="shared" si="658"/>
        <v>323.17384516106705</v>
      </c>
      <c r="EJ381" s="38">
        <f t="shared" si="659"/>
        <v>159.51475567987134</v>
      </c>
      <c r="EK381" s="38">
        <f t="shared" si="660"/>
        <v>0</v>
      </c>
      <c r="EL381" s="38">
        <f t="shared" si="661"/>
        <v>0</v>
      </c>
      <c r="EM381" s="38">
        <f t="shared" si="662"/>
        <v>0</v>
      </c>
      <c r="EN381" s="38">
        <f t="shared" si="663"/>
        <v>0</v>
      </c>
      <c r="EO381" s="38">
        <f t="shared" si="664"/>
        <v>0</v>
      </c>
      <c r="EP381" s="38">
        <f t="shared" si="665"/>
        <v>1230.6679001764292</v>
      </c>
      <c r="EQ381" s="38">
        <f t="shared" si="666"/>
        <v>0</v>
      </c>
      <c r="ER381" s="38">
        <f t="shared" si="667"/>
        <v>664.12422280936767</v>
      </c>
      <c r="ES381" s="38">
        <f t="shared" si="668"/>
        <v>952.61240874187308</v>
      </c>
      <c r="ET381" s="38">
        <f t="shared" si="669"/>
        <v>0</v>
      </c>
      <c r="EU381" s="38">
        <f t="shared" si="670"/>
        <v>0</v>
      </c>
      <c r="EV381" s="38">
        <f t="shared" si="671"/>
        <v>0</v>
      </c>
      <c r="EW381" s="38">
        <f t="shared" si="672"/>
        <v>0</v>
      </c>
      <c r="EX381" s="38">
        <f t="shared" si="673"/>
        <v>0</v>
      </c>
      <c r="EZ381" s="38">
        <f t="shared" si="674"/>
        <v>0</v>
      </c>
      <c r="FA381" s="38">
        <f t="shared" si="675"/>
        <v>0</v>
      </c>
      <c r="FB381" s="1">
        <f t="shared" si="676"/>
        <v>0</v>
      </c>
      <c r="FC381" s="1">
        <f t="shared" si="677"/>
        <v>0</v>
      </c>
      <c r="FD381" s="1">
        <f t="shared" si="678"/>
        <v>0</v>
      </c>
      <c r="FE381" s="1">
        <f t="shared" si="679"/>
        <v>0</v>
      </c>
      <c r="FF381" s="1">
        <f t="shared" si="680"/>
        <v>0</v>
      </c>
      <c r="FG381" s="1">
        <f t="shared" si="681"/>
        <v>0</v>
      </c>
      <c r="FH381" s="1">
        <f t="shared" si="682"/>
        <v>0</v>
      </c>
      <c r="FI381" s="1">
        <f t="shared" si="683"/>
        <v>0</v>
      </c>
      <c r="FJ381" s="1">
        <f t="shared" si="684"/>
        <v>0</v>
      </c>
      <c r="FK381" s="1">
        <f t="shared" si="685"/>
        <v>0</v>
      </c>
      <c r="FL381" s="1">
        <f t="shared" si="686"/>
        <v>0</v>
      </c>
      <c r="FM381" s="1">
        <f t="shared" si="687"/>
        <v>0</v>
      </c>
      <c r="FN381" s="1">
        <f t="shared" si="688"/>
        <v>0</v>
      </c>
      <c r="FO381" s="1">
        <f t="shared" si="689"/>
        <v>0</v>
      </c>
      <c r="FP381" s="1">
        <f t="shared" si="690"/>
        <v>0</v>
      </c>
      <c r="FQ381" s="1">
        <f t="shared" si="691"/>
        <v>0</v>
      </c>
      <c r="FS381" s="1">
        <f t="shared" si="692"/>
        <v>0</v>
      </c>
      <c r="FT381" s="1">
        <f t="shared" si="693"/>
        <v>0</v>
      </c>
      <c r="FU381" s="38">
        <f t="shared" si="694"/>
        <v>0</v>
      </c>
      <c r="FV381" s="38">
        <f t="shared" si="695"/>
        <v>0</v>
      </c>
      <c r="FW381" s="38">
        <f t="shared" si="696"/>
        <v>0</v>
      </c>
      <c r="FX381" s="38">
        <f t="shared" si="697"/>
        <v>0</v>
      </c>
      <c r="FY381" s="38">
        <f t="shared" si="698"/>
        <v>0</v>
      </c>
      <c r="FZ381" s="38">
        <f t="shared" si="699"/>
        <v>0</v>
      </c>
      <c r="GA381" s="38">
        <f t="shared" si="700"/>
        <v>0</v>
      </c>
      <c r="GB381" s="38">
        <f t="shared" si="701"/>
        <v>0</v>
      </c>
      <c r="GC381" s="38">
        <f t="shared" si="702"/>
        <v>0</v>
      </c>
      <c r="GD381" s="38">
        <f t="shared" si="703"/>
        <v>0</v>
      </c>
      <c r="GE381" s="38">
        <f t="shared" si="704"/>
        <v>0</v>
      </c>
      <c r="GF381" s="38">
        <f t="shared" si="705"/>
        <v>0</v>
      </c>
      <c r="GG381" s="38">
        <f t="shared" si="706"/>
        <v>0</v>
      </c>
      <c r="GH381" s="38">
        <f t="shared" si="707"/>
        <v>0</v>
      </c>
      <c r="GI381" s="38">
        <f t="shared" si="708"/>
        <v>0</v>
      </c>
      <c r="GJ381" s="38">
        <f t="shared" si="709"/>
        <v>0</v>
      </c>
      <c r="GL381" s="38">
        <f t="shared" si="710"/>
        <v>0</v>
      </c>
      <c r="GM381" s="38">
        <f t="shared" si="711"/>
        <v>0</v>
      </c>
      <c r="GN381" s="1" t="s">
        <v>2</v>
      </c>
      <c r="GO381" s="1">
        <f t="shared" si="634"/>
        <v>45.859999999999992</v>
      </c>
      <c r="GP381" s="13">
        <f t="shared" si="635"/>
        <v>0.20463110206781229</v>
      </c>
      <c r="GQ381" s="41">
        <f t="shared" si="636"/>
        <v>93.843823408298704</v>
      </c>
      <c r="GR381" s="41">
        <f t="shared" si="637"/>
        <v>3330.0931325686079</v>
      </c>
      <c r="GS381" s="14">
        <f t="shared" si="638"/>
        <v>72.614329100929098</v>
      </c>
      <c r="GT381" s="1">
        <f t="shared" si="712"/>
        <v>58.25847475870615</v>
      </c>
      <c r="GU381" s="1">
        <f t="shared" si="713"/>
        <v>34.030152273877178</v>
      </c>
      <c r="GV381" s="1">
        <f t="shared" si="714"/>
        <v>1.5551963757153735</v>
      </c>
      <c r="GW381" s="37">
        <f t="shared" si="639"/>
        <v>0</v>
      </c>
      <c r="GX381" s="37"/>
      <c r="GY381" s="37"/>
      <c r="GZ381" s="37"/>
      <c r="HB381" s="1">
        <f t="shared" si="715"/>
        <v>0</v>
      </c>
      <c r="HC381" s="1">
        <f t="shared" si="716"/>
        <v>0</v>
      </c>
      <c r="HD381" s="37" t="s">
        <v>2</v>
      </c>
      <c r="HE381" s="1" t="s">
        <v>113</v>
      </c>
      <c r="HF381" s="1" t="s">
        <v>261</v>
      </c>
      <c r="HG381" s="1" t="s">
        <v>708</v>
      </c>
      <c r="HH381" s="1" t="s">
        <v>1276</v>
      </c>
      <c r="HI381" s="1" t="s">
        <v>96</v>
      </c>
      <c r="HJ381" s="37" t="s">
        <v>2</v>
      </c>
      <c r="JH381" s="58" t="s">
        <v>2</v>
      </c>
    </row>
    <row r="382" spans="1:268" ht="16.25" customHeight="1" x14ac:dyDescent="0.2">
      <c r="A382" s="15" t="s">
        <v>1286</v>
      </c>
      <c r="B382" s="1" t="s">
        <v>69</v>
      </c>
      <c r="F382" s="1" t="s">
        <v>1287</v>
      </c>
      <c r="I382" s="13">
        <v>78.773368000000005</v>
      </c>
      <c r="J382" s="1">
        <v>8.3000000000000004E-2</v>
      </c>
      <c r="K382" s="1">
        <v>0.18</v>
      </c>
      <c r="Q382" s="1">
        <v>0.186</v>
      </c>
      <c r="S382" s="1">
        <v>0.83</v>
      </c>
      <c r="T382" s="13">
        <v>2</v>
      </c>
      <c r="U382" s="1">
        <v>0.05</v>
      </c>
      <c r="AD382" s="13">
        <v>296.26998500000002</v>
      </c>
      <c r="AE382" s="1">
        <v>8.2000000000000003E-2</v>
      </c>
      <c r="AF382" s="1">
        <v>0.19</v>
      </c>
      <c r="AL382" s="1">
        <v>0.17399999999999999</v>
      </c>
      <c r="AN382" s="1">
        <v>0.83</v>
      </c>
      <c r="AO382" s="1">
        <v>1.86</v>
      </c>
      <c r="AP382" s="1">
        <v>0.04</v>
      </c>
      <c r="AY382" s="13">
        <v>146.564922</v>
      </c>
      <c r="AZ382" s="1">
        <v>7.9000000000000001E-2</v>
      </c>
      <c r="BA382" s="1">
        <v>0.21</v>
      </c>
      <c r="BG382" s="1">
        <v>0.14599999999999999</v>
      </c>
      <c r="BI382" s="1">
        <v>0.78</v>
      </c>
      <c r="BJ382" s="1">
        <v>1.66</v>
      </c>
      <c r="BK382" s="1">
        <v>0.04</v>
      </c>
      <c r="BT382" s="1">
        <v>0</v>
      </c>
      <c r="CO382" s="1">
        <v>0</v>
      </c>
      <c r="DJ382" s="1" t="s">
        <v>96</v>
      </c>
      <c r="DL382" s="1">
        <f t="shared" si="632"/>
        <v>0.16794461792232876</v>
      </c>
      <c r="DM382" s="1">
        <f t="shared" si="633"/>
        <v>0</v>
      </c>
      <c r="DN382" s="1" t="s">
        <v>1288</v>
      </c>
      <c r="DO382" s="1" t="s">
        <v>2</v>
      </c>
      <c r="DP382" s="38">
        <f t="shared" si="640"/>
        <v>0.42410957152000006</v>
      </c>
      <c r="DQ382" s="38">
        <f t="shared" si="641"/>
        <v>101.24913701</v>
      </c>
      <c r="DR382" s="38">
        <f t="shared" si="642"/>
        <v>0</v>
      </c>
      <c r="DS382" s="38">
        <f t="shared" si="643"/>
        <v>0</v>
      </c>
      <c r="DT382" s="38">
        <f t="shared" si="644"/>
        <v>0</v>
      </c>
      <c r="DU382" s="38">
        <f t="shared" si="645"/>
        <v>0</v>
      </c>
      <c r="DV382" s="38">
        <f t="shared" si="646"/>
        <v>0</v>
      </c>
      <c r="DW382" s="38">
        <f t="shared" si="647"/>
        <v>0.87601302449999996</v>
      </c>
      <c r="DX382" s="38">
        <f t="shared" si="648"/>
        <v>0</v>
      </c>
      <c r="DY382" s="38">
        <f t="shared" si="649"/>
        <v>425.60662214999996</v>
      </c>
      <c r="DZ382" s="38">
        <f t="shared" si="650"/>
        <v>951.90667862000009</v>
      </c>
      <c r="EA382" s="38">
        <f t="shared" si="651"/>
        <v>21.652064680000002</v>
      </c>
      <c r="EB382" s="38">
        <f t="shared" si="652"/>
        <v>0</v>
      </c>
      <c r="EC382" s="38">
        <f t="shared" si="653"/>
        <v>0</v>
      </c>
      <c r="ED382" s="38">
        <f t="shared" si="654"/>
        <v>0</v>
      </c>
      <c r="EE382" s="38">
        <f t="shared" si="655"/>
        <v>0</v>
      </c>
      <c r="EG382" s="38">
        <f t="shared" si="656"/>
        <v>0</v>
      </c>
      <c r="EH382" s="38">
        <f t="shared" si="657"/>
        <v>0</v>
      </c>
      <c r="EI382" s="38">
        <f t="shared" si="658"/>
        <v>2767.5762056640569</v>
      </c>
      <c r="EJ382" s="38">
        <f t="shared" si="659"/>
        <v>4141.1222597016076</v>
      </c>
      <c r="EK382" s="38">
        <f t="shared" si="660"/>
        <v>0</v>
      </c>
      <c r="EL382" s="38">
        <f t="shared" si="661"/>
        <v>0</v>
      </c>
      <c r="EM382" s="38">
        <f t="shared" si="662"/>
        <v>0</v>
      </c>
      <c r="EN382" s="38">
        <f t="shared" si="663"/>
        <v>0</v>
      </c>
      <c r="EO382" s="38">
        <f t="shared" si="664"/>
        <v>0</v>
      </c>
      <c r="EP382" s="38">
        <f t="shared" si="665"/>
        <v>11488.034803293</v>
      </c>
      <c r="EQ382" s="38">
        <f t="shared" si="666"/>
        <v>0</v>
      </c>
      <c r="ER382" s="38">
        <f t="shared" si="667"/>
        <v>12079.290710833404</v>
      </c>
      <c r="ES382" s="38">
        <f t="shared" si="668"/>
        <v>31722.978743476746</v>
      </c>
      <c r="ET382" s="38">
        <f t="shared" si="669"/>
        <v>1549.2713676014152</v>
      </c>
      <c r="EU382" s="38">
        <f t="shared" si="670"/>
        <v>0</v>
      </c>
      <c r="EV382" s="38">
        <f t="shared" si="671"/>
        <v>0</v>
      </c>
      <c r="EW382" s="38">
        <f t="shared" si="672"/>
        <v>0</v>
      </c>
      <c r="EX382" s="38">
        <f t="shared" si="673"/>
        <v>0</v>
      </c>
      <c r="EZ382" s="38">
        <f t="shared" si="674"/>
        <v>0</v>
      </c>
      <c r="FA382" s="38">
        <f t="shared" si="675"/>
        <v>0</v>
      </c>
      <c r="FB382" s="1">
        <f t="shared" si="676"/>
        <v>0</v>
      </c>
      <c r="FC382" s="1">
        <f t="shared" si="677"/>
        <v>0</v>
      </c>
      <c r="FD382" s="1">
        <f t="shared" si="678"/>
        <v>0</v>
      </c>
      <c r="FE382" s="1">
        <f t="shared" si="679"/>
        <v>0</v>
      </c>
      <c r="FF382" s="1">
        <f t="shared" si="680"/>
        <v>0</v>
      </c>
      <c r="FG382" s="1">
        <f t="shared" si="681"/>
        <v>0</v>
      </c>
      <c r="FH382" s="1">
        <f t="shared" si="682"/>
        <v>0</v>
      </c>
      <c r="FI382" s="1">
        <f t="shared" si="683"/>
        <v>0</v>
      </c>
      <c r="FJ382" s="1">
        <f t="shared" si="684"/>
        <v>0</v>
      </c>
      <c r="FK382" s="1">
        <f t="shared" si="685"/>
        <v>0</v>
      </c>
      <c r="FL382" s="1">
        <f t="shared" si="686"/>
        <v>0</v>
      </c>
      <c r="FM382" s="1">
        <f t="shared" si="687"/>
        <v>0</v>
      </c>
      <c r="FN382" s="1">
        <f t="shared" si="688"/>
        <v>0</v>
      </c>
      <c r="FO382" s="1">
        <f t="shared" si="689"/>
        <v>0</v>
      </c>
      <c r="FP382" s="1">
        <f t="shared" si="690"/>
        <v>0</v>
      </c>
      <c r="FQ382" s="1">
        <f t="shared" si="691"/>
        <v>0</v>
      </c>
      <c r="FS382" s="1">
        <f t="shared" si="692"/>
        <v>0</v>
      </c>
      <c r="FT382" s="1">
        <f t="shared" si="693"/>
        <v>0</v>
      </c>
      <c r="FU382" s="38">
        <f t="shared" si="694"/>
        <v>0</v>
      </c>
      <c r="FV382" s="38">
        <f t="shared" si="695"/>
        <v>0</v>
      </c>
      <c r="FW382" s="38">
        <f t="shared" si="696"/>
        <v>0</v>
      </c>
      <c r="FX382" s="38">
        <f t="shared" si="697"/>
        <v>0</v>
      </c>
      <c r="FY382" s="38">
        <f t="shared" si="698"/>
        <v>0</v>
      </c>
      <c r="FZ382" s="38">
        <f t="shared" si="699"/>
        <v>0</v>
      </c>
      <c r="GA382" s="38">
        <f t="shared" si="700"/>
        <v>0</v>
      </c>
      <c r="GB382" s="38">
        <f t="shared" si="701"/>
        <v>0</v>
      </c>
      <c r="GC382" s="38">
        <f t="shared" si="702"/>
        <v>0</v>
      </c>
      <c r="GD382" s="38">
        <f t="shared" si="703"/>
        <v>0</v>
      </c>
      <c r="GE382" s="38">
        <f t="shared" si="704"/>
        <v>0</v>
      </c>
      <c r="GF382" s="38">
        <f t="shared" si="705"/>
        <v>0</v>
      </c>
      <c r="GG382" s="38">
        <f t="shared" si="706"/>
        <v>0</v>
      </c>
      <c r="GH382" s="38">
        <f t="shared" si="707"/>
        <v>0</v>
      </c>
      <c r="GI382" s="38">
        <f t="shared" si="708"/>
        <v>0</v>
      </c>
      <c r="GJ382" s="38">
        <f t="shared" si="709"/>
        <v>0</v>
      </c>
      <c r="GL382" s="38">
        <f t="shared" si="710"/>
        <v>0</v>
      </c>
      <c r="GM382" s="38">
        <f t="shared" si="711"/>
        <v>0</v>
      </c>
      <c r="GN382" s="1" t="s">
        <v>2</v>
      </c>
      <c r="GO382" s="14">
        <f t="shared" si="634"/>
        <v>521.60827500000005</v>
      </c>
      <c r="GP382" s="13">
        <f t="shared" si="635"/>
        <v>0.16794461792232876</v>
      </c>
      <c r="GQ382" s="41">
        <f t="shared" si="636"/>
        <v>876.01302449999991</v>
      </c>
      <c r="GR382" s="41">
        <f t="shared" si="637"/>
        <v>63748.27409057023</v>
      </c>
      <c r="GS382" s="14">
        <f t="shared" si="638"/>
        <v>122.21484425370787</v>
      </c>
      <c r="GT382" s="1">
        <f t="shared" si="712"/>
        <v>146.51846448000001</v>
      </c>
      <c r="GU382" s="1">
        <f t="shared" si="713"/>
        <v>515.50977390000003</v>
      </c>
      <c r="GV382" s="1">
        <f t="shared" si="714"/>
        <v>213.98478612</v>
      </c>
      <c r="GW382" s="37">
        <f t="shared" si="639"/>
        <v>0</v>
      </c>
      <c r="GX382" s="37"/>
      <c r="GY382" s="37"/>
      <c r="GZ382" s="37"/>
      <c r="HB382" s="1">
        <f t="shared" si="715"/>
        <v>0</v>
      </c>
      <c r="HC382" s="1">
        <f t="shared" si="716"/>
        <v>0</v>
      </c>
      <c r="HD382" s="37" t="s">
        <v>2</v>
      </c>
      <c r="HE382" s="1" t="s">
        <v>113</v>
      </c>
      <c r="HF382" s="1" t="s">
        <v>261</v>
      </c>
      <c r="HG382" s="1" t="s">
        <v>708</v>
      </c>
      <c r="HH382" s="1" t="s">
        <v>1276</v>
      </c>
      <c r="HI382" s="1" t="s">
        <v>96</v>
      </c>
      <c r="HJ382" s="37" t="s">
        <v>2</v>
      </c>
      <c r="JH382" s="58" t="s">
        <v>2</v>
      </c>
    </row>
    <row r="383" spans="1:268" ht="16.25" customHeight="1" x14ac:dyDescent="0.2">
      <c r="A383" s="15" t="s">
        <v>1291</v>
      </c>
      <c r="B383" s="1" t="s">
        <v>69</v>
      </c>
      <c r="F383" s="1" t="s">
        <v>1292</v>
      </c>
      <c r="I383" s="1">
        <v>0</v>
      </c>
      <c r="AD383" s="1">
        <v>0</v>
      </c>
      <c r="AY383" s="1">
        <v>39.700000000000003</v>
      </c>
      <c r="AZ383" s="1">
        <v>8.5000000000000006E-2</v>
      </c>
      <c r="BG383" s="1">
        <v>0.22</v>
      </c>
      <c r="BI383" s="1">
        <v>0.22</v>
      </c>
      <c r="BJ383" s="1">
        <v>0.33</v>
      </c>
      <c r="BT383" s="1">
        <v>0</v>
      </c>
      <c r="CO383" s="1">
        <v>0</v>
      </c>
      <c r="DJ383" s="1" t="s">
        <v>96</v>
      </c>
      <c r="DL383" s="1">
        <f t="shared" si="632"/>
        <v>0.21999999999999997</v>
      </c>
      <c r="DM383" s="1">
        <f t="shared" si="633"/>
        <v>0</v>
      </c>
      <c r="DN383" s="1" t="s">
        <v>161</v>
      </c>
      <c r="DO383" s="1" t="s">
        <v>2</v>
      </c>
      <c r="DP383" s="38">
        <f t="shared" si="640"/>
        <v>3.3745000000000004E-2</v>
      </c>
      <c r="DQ383" s="38">
        <f t="shared" si="641"/>
        <v>0</v>
      </c>
      <c r="DR383" s="38">
        <f t="shared" si="642"/>
        <v>0</v>
      </c>
      <c r="DS383" s="38">
        <f t="shared" si="643"/>
        <v>0</v>
      </c>
      <c r="DT383" s="38">
        <f t="shared" si="644"/>
        <v>0</v>
      </c>
      <c r="DU383" s="38">
        <f t="shared" si="645"/>
        <v>0</v>
      </c>
      <c r="DV383" s="38">
        <f t="shared" si="646"/>
        <v>0</v>
      </c>
      <c r="DW383" s="38">
        <f t="shared" si="647"/>
        <v>8.7340000000000001E-2</v>
      </c>
      <c r="DX383" s="38">
        <f t="shared" si="648"/>
        <v>0</v>
      </c>
      <c r="DY383" s="38">
        <f t="shared" si="649"/>
        <v>8.734</v>
      </c>
      <c r="DZ383" s="38">
        <f t="shared" si="650"/>
        <v>13.101000000000001</v>
      </c>
      <c r="EA383" s="38">
        <f t="shared" si="651"/>
        <v>0</v>
      </c>
      <c r="EB383" s="38">
        <f t="shared" si="652"/>
        <v>0</v>
      </c>
      <c r="EC383" s="38">
        <f t="shared" si="653"/>
        <v>0</v>
      </c>
      <c r="ED383" s="38">
        <f t="shared" si="654"/>
        <v>0</v>
      </c>
      <c r="EE383" s="38">
        <f t="shared" si="655"/>
        <v>0</v>
      </c>
      <c r="EG383" s="38">
        <f t="shared" si="656"/>
        <v>0</v>
      </c>
      <c r="EH383" s="38">
        <f t="shared" si="657"/>
        <v>0</v>
      </c>
      <c r="EI383" s="38">
        <f t="shared" si="658"/>
        <v>220.20691192000004</v>
      </c>
      <c r="EJ383" s="38">
        <f t="shared" si="659"/>
        <v>0</v>
      </c>
      <c r="EK383" s="38">
        <f t="shared" si="660"/>
        <v>0</v>
      </c>
      <c r="EL383" s="38">
        <f t="shared" si="661"/>
        <v>0</v>
      </c>
      <c r="EM383" s="38">
        <f t="shared" si="662"/>
        <v>0</v>
      </c>
      <c r="EN383" s="38">
        <f t="shared" si="663"/>
        <v>0</v>
      </c>
      <c r="EO383" s="38">
        <f t="shared" si="664"/>
        <v>0</v>
      </c>
      <c r="EP383" s="38">
        <f t="shared" si="665"/>
        <v>1145.3767600000001</v>
      </c>
      <c r="EQ383" s="38">
        <f t="shared" si="666"/>
        <v>0</v>
      </c>
      <c r="ER383" s="38">
        <f t="shared" si="667"/>
        <v>247.88271511254015</v>
      </c>
      <c r="ES383" s="38">
        <f t="shared" si="668"/>
        <v>436.60030321543411</v>
      </c>
      <c r="ET383" s="38">
        <f t="shared" si="669"/>
        <v>0</v>
      </c>
      <c r="EU383" s="38">
        <f t="shared" si="670"/>
        <v>0</v>
      </c>
      <c r="EV383" s="38">
        <f t="shared" si="671"/>
        <v>0</v>
      </c>
      <c r="EW383" s="38">
        <f t="shared" si="672"/>
        <v>0</v>
      </c>
      <c r="EX383" s="38">
        <f t="shared" si="673"/>
        <v>0</v>
      </c>
      <c r="EZ383" s="38">
        <f t="shared" si="674"/>
        <v>0</v>
      </c>
      <c r="FA383" s="38">
        <f t="shared" si="675"/>
        <v>0</v>
      </c>
      <c r="FB383" s="1">
        <f t="shared" si="676"/>
        <v>0</v>
      </c>
      <c r="FC383" s="1">
        <f t="shared" si="677"/>
        <v>0</v>
      </c>
      <c r="FD383" s="1">
        <f t="shared" si="678"/>
        <v>0</v>
      </c>
      <c r="FE383" s="1">
        <f t="shared" si="679"/>
        <v>0</v>
      </c>
      <c r="FF383" s="1">
        <f t="shared" si="680"/>
        <v>0</v>
      </c>
      <c r="FG383" s="1">
        <f t="shared" si="681"/>
        <v>0</v>
      </c>
      <c r="FH383" s="1">
        <f t="shared" si="682"/>
        <v>0</v>
      </c>
      <c r="FI383" s="1">
        <f t="shared" si="683"/>
        <v>0</v>
      </c>
      <c r="FJ383" s="1">
        <f t="shared" si="684"/>
        <v>0</v>
      </c>
      <c r="FK383" s="1">
        <f t="shared" si="685"/>
        <v>0</v>
      </c>
      <c r="FL383" s="1">
        <f t="shared" si="686"/>
        <v>0</v>
      </c>
      <c r="FM383" s="1">
        <f t="shared" si="687"/>
        <v>0</v>
      </c>
      <c r="FN383" s="1">
        <f t="shared" si="688"/>
        <v>0</v>
      </c>
      <c r="FO383" s="1">
        <f t="shared" si="689"/>
        <v>0</v>
      </c>
      <c r="FP383" s="1">
        <f t="shared" si="690"/>
        <v>0</v>
      </c>
      <c r="FQ383" s="1">
        <f t="shared" si="691"/>
        <v>0</v>
      </c>
      <c r="FS383" s="1">
        <f t="shared" si="692"/>
        <v>0</v>
      </c>
      <c r="FT383" s="1">
        <f t="shared" si="693"/>
        <v>0</v>
      </c>
      <c r="FU383" s="38">
        <f t="shared" si="694"/>
        <v>0</v>
      </c>
      <c r="FV383" s="38">
        <f t="shared" si="695"/>
        <v>0</v>
      </c>
      <c r="FW383" s="38">
        <f t="shared" si="696"/>
        <v>0</v>
      </c>
      <c r="FX383" s="38">
        <f t="shared" si="697"/>
        <v>0</v>
      </c>
      <c r="FY383" s="38">
        <f t="shared" si="698"/>
        <v>0</v>
      </c>
      <c r="FZ383" s="38">
        <f t="shared" si="699"/>
        <v>0</v>
      </c>
      <c r="GA383" s="38">
        <f t="shared" si="700"/>
        <v>0</v>
      </c>
      <c r="GB383" s="38">
        <f t="shared" si="701"/>
        <v>0</v>
      </c>
      <c r="GC383" s="38">
        <f t="shared" si="702"/>
        <v>0</v>
      </c>
      <c r="GD383" s="38">
        <f t="shared" si="703"/>
        <v>0</v>
      </c>
      <c r="GE383" s="38">
        <f t="shared" si="704"/>
        <v>0</v>
      </c>
      <c r="GF383" s="38">
        <f t="shared" si="705"/>
        <v>0</v>
      </c>
      <c r="GG383" s="38">
        <f t="shared" si="706"/>
        <v>0</v>
      </c>
      <c r="GH383" s="38">
        <f t="shared" si="707"/>
        <v>0</v>
      </c>
      <c r="GI383" s="38">
        <f t="shared" si="708"/>
        <v>0</v>
      </c>
      <c r="GJ383" s="38">
        <f t="shared" si="709"/>
        <v>0</v>
      </c>
      <c r="GL383" s="38">
        <f t="shared" si="710"/>
        <v>0</v>
      </c>
      <c r="GM383" s="38">
        <f t="shared" si="711"/>
        <v>0</v>
      </c>
      <c r="GN383" s="1" t="s">
        <v>2</v>
      </c>
      <c r="GO383" s="1">
        <f t="shared" si="634"/>
        <v>39.700000000000003</v>
      </c>
      <c r="GP383" s="13">
        <f t="shared" si="635"/>
        <v>0.21999999999999997</v>
      </c>
      <c r="GQ383" s="41">
        <f t="shared" si="636"/>
        <v>87.339999999999975</v>
      </c>
      <c r="GR383" s="41">
        <f t="shared" si="637"/>
        <v>2050.0666902479743</v>
      </c>
      <c r="GS383" s="14">
        <f t="shared" si="638"/>
        <v>51.638959452090027</v>
      </c>
      <c r="GT383" s="1">
        <f t="shared" si="712"/>
        <v>0</v>
      </c>
      <c r="GU383" s="1">
        <f t="shared" si="713"/>
        <v>0</v>
      </c>
      <c r="GV383" s="1">
        <f t="shared" si="714"/>
        <v>87.34</v>
      </c>
      <c r="GW383" s="37">
        <f t="shared" si="639"/>
        <v>0</v>
      </c>
      <c r="GX383" s="37"/>
      <c r="GY383" s="37"/>
      <c r="GZ383" s="37"/>
      <c r="HB383" s="1">
        <f t="shared" si="715"/>
        <v>0</v>
      </c>
      <c r="HC383" s="1">
        <f t="shared" si="716"/>
        <v>0</v>
      </c>
      <c r="HD383" s="37" t="s">
        <v>2</v>
      </c>
      <c r="HE383" s="1" t="s">
        <v>113</v>
      </c>
      <c r="HF383" s="1" t="s">
        <v>261</v>
      </c>
      <c r="HG383" s="1" t="s">
        <v>708</v>
      </c>
      <c r="HH383" s="1" t="s">
        <v>1276</v>
      </c>
      <c r="HI383" s="1" t="s">
        <v>96</v>
      </c>
      <c r="HJ383" s="37" t="s">
        <v>2</v>
      </c>
      <c r="JH383" s="58" t="s">
        <v>2</v>
      </c>
    </row>
    <row r="384" spans="1:268" ht="16.25" customHeight="1" x14ac:dyDescent="0.2">
      <c r="A384" s="15" t="s">
        <v>1297</v>
      </c>
      <c r="B384" s="1" t="s">
        <v>69</v>
      </c>
      <c r="F384" s="1" t="s">
        <v>1298</v>
      </c>
      <c r="I384" s="14">
        <f>28/0.35</f>
        <v>80</v>
      </c>
      <c r="J384" s="1">
        <v>7.0000000000000007E-2</v>
      </c>
      <c r="Q384" s="13">
        <v>0.2</v>
      </c>
      <c r="AD384" s="14">
        <f>34/0.35</f>
        <v>97.142857142857153</v>
      </c>
      <c r="AE384" s="1">
        <v>7.0000000000000007E-2</v>
      </c>
      <c r="AL384" s="1">
        <v>0.18</v>
      </c>
      <c r="AY384" s="14">
        <f>149.9/0.35</f>
        <v>428.28571428571433</v>
      </c>
      <c r="AZ384" s="1">
        <v>0.08</v>
      </c>
      <c r="BG384" s="1">
        <v>0.19</v>
      </c>
      <c r="BT384" s="1">
        <v>0</v>
      </c>
      <c r="CO384" s="1">
        <v>0</v>
      </c>
      <c r="DJ384" s="1" t="s">
        <v>96</v>
      </c>
      <c r="DL384" s="1">
        <f t="shared" si="632"/>
        <v>0.1897168475696083</v>
      </c>
      <c r="DM384" s="1">
        <f t="shared" si="633"/>
        <v>0</v>
      </c>
      <c r="DN384" s="1" t="s">
        <v>73</v>
      </c>
      <c r="DO384" s="1" t="s">
        <v>2</v>
      </c>
      <c r="DP384" s="38">
        <f t="shared" si="640"/>
        <v>0.4666285714285715</v>
      </c>
      <c r="DQ384" s="38">
        <f t="shared" si="641"/>
        <v>0</v>
      </c>
      <c r="DR384" s="38">
        <f t="shared" si="642"/>
        <v>0</v>
      </c>
      <c r="DS384" s="38">
        <f t="shared" si="643"/>
        <v>0</v>
      </c>
      <c r="DT384" s="38">
        <f t="shared" si="644"/>
        <v>0</v>
      </c>
      <c r="DU384" s="38">
        <f t="shared" si="645"/>
        <v>0</v>
      </c>
      <c r="DV384" s="38">
        <f t="shared" si="646"/>
        <v>0</v>
      </c>
      <c r="DW384" s="38">
        <f t="shared" si="647"/>
        <v>1.1486000000000001</v>
      </c>
      <c r="DX384" s="38">
        <f t="shared" si="648"/>
        <v>0</v>
      </c>
      <c r="DY384" s="38">
        <f t="shared" si="649"/>
        <v>0</v>
      </c>
      <c r="DZ384" s="38">
        <f t="shared" si="650"/>
        <v>0</v>
      </c>
      <c r="EA384" s="38">
        <f t="shared" si="651"/>
        <v>0</v>
      </c>
      <c r="EB384" s="38">
        <f t="shared" si="652"/>
        <v>0</v>
      </c>
      <c r="EC384" s="38">
        <f t="shared" si="653"/>
        <v>0</v>
      </c>
      <c r="ED384" s="38">
        <f t="shared" si="654"/>
        <v>0</v>
      </c>
      <c r="EE384" s="38">
        <f t="shared" si="655"/>
        <v>0</v>
      </c>
      <c r="EG384" s="38">
        <f t="shared" si="656"/>
        <v>0</v>
      </c>
      <c r="EH384" s="38">
        <f t="shared" si="657"/>
        <v>0</v>
      </c>
      <c r="EI384" s="38">
        <f t="shared" si="658"/>
        <v>3045.0388717714291</v>
      </c>
      <c r="EJ384" s="38">
        <f t="shared" si="659"/>
        <v>0</v>
      </c>
      <c r="EK384" s="38">
        <f t="shared" si="660"/>
        <v>0</v>
      </c>
      <c r="EL384" s="38">
        <f t="shared" si="661"/>
        <v>0</v>
      </c>
      <c r="EM384" s="38">
        <f t="shared" si="662"/>
        <v>0</v>
      </c>
      <c r="EN384" s="38">
        <f t="shared" si="663"/>
        <v>0</v>
      </c>
      <c r="EO384" s="38">
        <f t="shared" si="664"/>
        <v>0</v>
      </c>
      <c r="EP384" s="38">
        <f t="shared" si="665"/>
        <v>15062.740400000001</v>
      </c>
      <c r="EQ384" s="38">
        <f t="shared" si="666"/>
        <v>0</v>
      </c>
      <c r="ER384" s="38">
        <f t="shared" si="667"/>
        <v>0</v>
      </c>
      <c r="ES384" s="38">
        <f t="shared" si="668"/>
        <v>0</v>
      </c>
      <c r="ET384" s="38">
        <f t="shared" si="669"/>
        <v>0</v>
      </c>
      <c r="EU384" s="38">
        <f t="shared" si="670"/>
        <v>0</v>
      </c>
      <c r="EV384" s="38">
        <f t="shared" si="671"/>
        <v>0</v>
      </c>
      <c r="EW384" s="38">
        <f t="shared" si="672"/>
        <v>0</v>
      </c>
      <c r="EX384" s="38">
        <f t="shared" si="673"/>
        <v>0</v>
      </c>
      <c r="EZ384" s="38">
        <f t="shared" si="674"/>
        <v>0</v>
      </c>
      <c r="FA384" s="38">
        <f t="shared" si="675"/>
        <v>0</v>
      </c>
      <c r="FB384" s="1">
        <f t="shared" si="676"/>
        <v>0</v>
      </c>
      <c r="FC384" s="1">
        <f t="shared" si="677"/>
        <v>0</v>
      </c>
      <c r="FD384" s="1">
        <f t="shared" si="678"/>
        <v>0</v>
      </c>
      <c r="FE384" s="1">
        <f t="shared" si="679"/>
        <v>0</v>
      </c>
      <c r="FF384" s="1">
        <f t="shared" si="680"/>
        <v>0</v>
      </c>
      <c r="FG384" s="1">
        <f t="shared" si="681"/>
        <v>0</v>
      </c>
      <c r="FH384" s="1">
        <f t="shared" si="682"/>
        <v>0</v>
      </c>
      <c r="FI384" s="1">
        <f t="shared" si="683"/>
        <v>0</v>
      </c>
      <c r="FJ384" s="1">
        <f t="shared" si="684"/>
        <v>0</v>
      </c>
      <c r="FK384" s="1">
        <f t="shared" si="685"/>
        <v>0</v>
      </c>
      <c r="FL384" s="1">
        <f t="shared" si="686"/>
        <v>0</v>
      </c>
      <c r="FM384" s="1">
        <f t="shared" si="687"/>
        <v>0</v>
      </c>
      <c r="FN384" s="1">
        <f t="shared" si="688"/>
        <v>0</v>
      </c>
      <c r="FO384" s="1">
        <f t="shared" si="689"/>
        <v>0</v>
      </c>
      <c r="FP384" s="1">
        <f t="shared" si="690"/>
        <v>0</v>
      </c>
      <c r="FQ384" s="1">
        <f t="shared" si="691"/>
        <v>0</v>
      </c>
      <c r="FS384" s="1">
        <f t="shared" si="692"/>
        <v>0</v>
      </c>
      <c r="FT384" s="1">
        <f t="shared" si="693"/>
        <v>0</v>
      </c>
      <c r="FU384" s="38">
        <f t="shared" si="694"/>
        <v>0</v>
      </c>
      <c r="FV384" s="38">
        <f t="shared" si="695"/>
        <v>0</v>
      </c>
      <c r="FW384" s="38">
        <f t="shared" si="696"/>
        <v>0</v>
      </c>
      <c r="FX384" s="38">
        <f t="shared" si="697"/>
        <v>0</v>
      </c>
      <c r="FY384" s="38">
        <f t="shared" si="698"/>
        <v>0</v>
      </c>
      <c r="FZ384" s="38">
        <f t="shared" si="699"/>
        <v>0</v>
      </c>
      <c r="GA384" s="38">
        <f t="shared" si="700"/>
        <v>0</v>
      </c>
      <c r="GB384" s="38">
        <f t="shared" si="701"/>
        <v>0</v>
      </c>
      <c r="GC384" s="38">
        <f t="shared" si="702"/>
        <v>0</v>
      </c>
      <c r="GD384" s="38">
        <f t="shared" si="703"/>
        <v>0</v>
      </c>
      <c r="GE384" s="38">
        <f t="shared" si="704"/>
        <v>0</v>
      </c>
      <c r="GF384" s="38">
        <f t="shared" si="705"/>
        <v>0</v>
      </c>
      <c r="GG384" s="38">
        <f t="shared" si="706"/>
        <v>0</v>
      </c>
      <c r="GH384" s="38">
        <f t="shared" si="707"/>
        <v>0</v>
      </c>
      <c r="GI384" s="38">
        <f t="shared" si="708"/>
        <v>0</v>
      </c>
      <c r="GJ384" s="38">
        <f t="shared" si="709"/>
        <v>0</v>
      </c>
      <c r="GL384" s="38">
        <f t="shared" si="710"/>
        <v>0</v>
      </c>
      <c r="GM384" s="38">
        <f t="shared" si="711"/>
        <v>0</v>
      </c>
      <c r="GN384" s="1" t="s">
        <v>2</v>
      </c>
      <c r="GO384" s="14">
        <f t="shared" si="634"/>
        <v>605.42857142857156</v>
      </c>
      <c r="GP384" s="13">
        <f t="shared" si="635"/>
        <v>0.1897168475696083</v>
      </c>
      <c r="GQ384" s="43">
        <f t="shared" si="636"/>
        <v>1148.6000000000004</v>
      </c>
      <c r="GR384" s="41">
        <f t="shared" si="637"/>
        <v>18107.779271771429</v>
      </c>
      <c r="GS384" s="14">
        <f t="shared" si="638"/>
        <v>29.909026640490794</v>
      </c>
      <c r="GT384" s="1">
        <f t="shared" si="712"/>
        <v>160</v>
      </c>
      <c r="GU384" s="1">
        <f t="shared" si="713"/>
        <v>174.85714285714286</v>
      </c>
      <c r="GV384" s="1">
        <f t="shared" si="714"/>
        <v>813.74285714285725</v>
      </c>
      <c r="GW384" s="37">
        <f t="shared" si="639"/>
        <v>0</v>
      </c>
      <c r="GX384" s="37"/>
      <c r="GY384" s="37"/>
      <c r="GZ384" s="37"/>
      <c r="HB384" s="1">
        <f t="shared" si="715"/>
        <v>0</v>
      </c>
      <c r="HC384" s="1">
        <f t="shared" si="716"/>
        <v>0</v>
      </c>
      <c r="HD384" s="37" t="s">
        <v>2</v>
      </c>
      <c r="HE384" s="1" t="s">
        <v>113</v>
      </c>
      <c r="HF384" s="1" t="s">
        <v>261</v>
      </c>
      <c r="HG384" s="1" t="s">
        <v>708</v>
      </c>
      <c r="HH384" s="1" t="s">
        <v>1276</v>
      </c>
      <c r="HI384" s="1" t="s">
        <v>96</v>
      </c>
      <c r="HJ384" s="37" t="s">
        <v>2</v>
      </c>
      <c r="JH384" s="58" t="s">
        <v>2</v>
      </c>
    </row>
    <row r="385" spans="1:268" ht="16.25" customHeight="1" x14ac:dyDescent="0.2">
      <c r="A385" s="15" t="s">
        <v>586</v>
      </c>
      <c r="B385" s="1" t="s">
        <v>64</v>
      </c>
      <c r="F385" s="1" t="s">
        <v>587</v>
      </c>
      <c r="I385" s="1">
        <v>13.167</v>
      </c>
      <c r="J385" s="1">
        <v>0.13</v>
      </c>
      <c r="Q385" s="13">
        <f>0.38*(58.69/(58.69+32.07))</f>
        <v>0.24572719259585721</v>
      </c>
      <c r="R385" s="1">
        <v>0.01</v>
      </c>
      <c r="AD385" s="1">
        <v>46.006</v>
      </c>
      <c r="AE385" s="1">
        <v>0.11</v>
      </c>
      <c r="AL385" s="13">
        <f>0.31*(58.69/(58.69+32.07))</f>
        <v>0.20046165711767297</v>
      </c>
      <c r="AM385" s="1">
        <v>0.01</v>
      </c>
      <c r="AY385" s="1">
        <v>4.4999999999999998E-2</v>
      </c>
      <c r="AZ385" s="13">
        <v>0.1</v>
      </c>
      <c r="BG385" s="13">
        <f>0.25*(58.69/(58.69+32.07))</f>
        <v>0.16166262670780079</v>
      </c>
      <c r="BH385" s="1">
        <v>0.01</v>
      </c>
      <c r="BT385" s="1">
        <v>0</v>
      </c>
      <c r="CO385" s="1">
        <v>0</v>
      </c>
      <c r="DJ385" s="1" t="s">
        <v>96</v>
      </c>
      <c r="DK385" s="1" t="s">
        <v>96</v>
      </c>
      <c r="DL385" s="1">
        <f t="shared" si="632"/>
        <v>0.21049687190494726</v>
      </c>
      <c r="DM385" s="1">
        <f t="shared" si="633"/>
        <v>0.01</v>
      </c>
      <c r="DN385" s="1" t="s">
        <v>588</v>
      </c>
      <c r="DO385" s="1" t="s">
        <v>2</v>
      </c>
      <c r="DP385" s="38">
        <f t="shared" si="640"/>
        <v>6.7768700000000001E-2</v>
      </c>
      <c r="DQ385" s="38">
        <f t="shared" si="641"/>
        <v>0</v>
      </c>
      <c r="DR385" s="38">
        <f t="shared" si="642"/>
        <v>0</v>
      </c>
      <c r="DS385" s="38">
        <f t="shared" si="643"/>
        <v>0</v>
      </c>
      <c r="DT385" s="38">
        <f t="shared" si="644"/>
        <v>0</v>
      </c>
      <c r="DU385" s="38">
        <f t="shared" si="645"/>
        <v>0</v>
      </c>
      <c r="DV385" s="38">
        <f t="shared" si="646"/>
        <v>0</v>
      </c>
      <c r="DW385" s="38">
        <f t="shared" si="647"/>
        <v>0.12465203760467167</v>
      </c>
      <c r="DX385" s="38">
        <f t="shared" si="648"/>
        <v>5.9218000000000005E-3</v>
      </c>
      <c r="DY385" s="38">
        <f t="shared" si="649"/>
        <v>0</v>
      </c>
      <c r="DZ385" s="38">
        <f t="shared" si="650"/>
        <v>0</v>
      </c>
      <c r="EA385" s="38">
        <f t="shared" si="651"/>
        <v>0</v>
      </c>
      <c r="EB385" s="38">
        <f t="shared" si="652"/>
        <v>0</v>
      </c>
      <c r="EC385" s="38">
        <f t="shared" si="653"/>
        <v>0</v>
      </c>
      <c r="ED385" s="38">
        <f t="shared" si="654"/>
        <v>0</v>
      </c>
      <c r="EE385" s="38">
        <f t="shared" si="655"/>
        <v>0</v>
      </c>
      <c r="EG385" s="38">
        <f t="shared" si="656"/>
        <v>0</v>
      </c>
      <c r="EH385" s="38">
        <f t="shared" si="657"/>
        <v>0</v>
      </c>
      <c r="EI385" s="38">
        <f t="shared" si="658"/>
        <v>442.23251301919998</v>
      </c>
      <c r="EJ385" s="38">
        <f t="shared" si="659"/>
        <v>0</v>
      </c>
      <c r="EK385" s="38">
        <f t="shared" si="660"/>
        <v>0</v>
      </c>
      <c r="EL385" s="38">
        <f t="shared" si="661"/>
        <v>0</v>
      </c>
      <c r="EM385" s="38">
        <f t="shared" si="662"/>
        <v>0</v>
      </c>
      <c r="EN385" s="38">
        <f t="shared" si="663"/>
        <v>0</v>
      </c>
      <c r="EO385" s="38">
        <f t="shared" si="664"/>
        <v>0</v>
      </c>
      <c r="EP385" s="38">
        <f t="shared" si="665"/>
        <v>1634.6868211476642</v>
      </c>
      <c r="EQ385" s="38">
        <f t="shared" si="666"/>
        <v>430.0382972232</v>
      </c>
      <c r="ER385" s="38">
        <f t="shared" si="667"/>
        <v>0</v>
      </c>
      <c r="ES385" s="38">
        <f t="shared" si="668"/>
        <v>0</v>
      </c>
      <c r="ET385" s="38">
        <f t="shared" si="669"/>
        <v>0</v>
      </c>
      <c r="EU385" s="38">
        <f t="shared" si="670"/>
        <v>0</v>
      </c>
      <c r="EV385" s="38">
        <f t="shared" si="671"/>
        <v>0</v>
      </c>
      <c r="EW385" s="38">
        <f t="shared" si="672"/>
        <v>0</v>
      </c>
      <c r="EX385" s="38">
        <f t="shared" si="673"/>
        <v>0</v>
      </c>
      <c r="EZ385" s="38">
        <f t="shared" si="674"/>
        <v>0</v>
      </c>
      <c r="FA385" s="38">
        <f t="shared" si="675"/>
        <v>0</v>
      </c>
      <c r="FB385" s="1">
        <f t="shared" si="676"/>
        <v>0</v>
      </c>
      <c r="FC385" s="1">
        <f t="shared" si="677"/>
        <v>0</v>
      </c>
      <c r="FD385" s="1">
        <f t="shared" si="678"/>
        <v>0</v>
      </c>
      <c r="FE385" s="1">
        <f t="shared" si="679"/>
        <v>0</v>
      </c>
      <c r="FF385" s="1">
        <f t="shared" si="680"/>
        <v>0</v>
      </c>
      <c r="FG385" s="1">
        <f t="shared" si="681"/>
        <v>0</v>
      </c>
      <c r="FH385" s="1">
        <f t="shared" si="682"/>
        <v>0</v>
      </c>
      <c r="FI385" s="1">
        <f t="shared" si="683"/>
        <v>0</v>
      </c>
      <c r="FJ385" s="1">
        <f t="shared" si="684"/>
        <v>0</v>
      </c>
      <c r="FK385" s="1">
        <f t="shared" si="685"/>
        <v>0</v>
      </c>
      <c r="FL385" s="1">
        <f t="shared" si="686"/>
        <v>0</v>
      </c>
      <c r="FM385" s="1">
        <f t="shared" si="687"/>
        <v>0</v>
      </c>
      <c r="FN385" s="1">
        <f t="shared" si="688"/>
        <v>0</v>
      </c>
      <c r="FO385" s="1">
        <f t="shared" si="689"/>
        <v>0</v>
      </c>
      <c r="FP385" s="1">
        <f t="shared" si="690"/>
        <v>0</v>
      </c>
      <c r="FQ385" s="1">
        <f t="shared" si="691"/>
        <v>0</v>
      </c>
      <c r="FS385" s="1">
        <f t="shared" si="692"/>
        <v>0</v>
      </c>
      <c r="FT385" s="1">
        <f t="shared" si="693"/>
        <v>0</v>
      </c>
      <c r="FU385" s="38">
        <f t="shared" si="694"/>
        <v>0</v>
      </c>
      <c r="FV385" s="38">
        <f t="shared" si="695"/>
        <v>0</v>
      </c>
      <c r="FW385" s="38">
        <f t="shared" si="696"/>
        <v>0</v>
      </c>
      <c r="FX385" s="38">
        <f t="shared" si="697"/>
        <v>0</v>
      </c>
      <c r="FY385" s="38">
        <f t="shared" si="698"/>
        <v>0</v>
      </c>
      <c r="FZ385" s="38">
        <f t="shared" si="699"/>
        <v>0</v>
      </c>
      <c r="GA385" s="38">
        <f t="shared" si="700"/>
        <v>0</v>
      </c>
      <c r="GB385" s="38">
        <f t="shared" si="701"/>
        <v>0</v>
      </c>
      <c r="GC385" s="38">
        <f t="shared" si="702"/>
        <v>0</v>
      </c>
      <c r="GD385" s="38">
        <f t="shared" si="703"/>
        <v>0</v>
      </c>
      <c r="GE385" s="38">
        <f t="shared" si="704"/>
        <v>0</v>
      </c>
      <c r="GF385" s="38">
        <f t="shared" si="705"/>
        <v>0</v>
      </c>
      <c r="GG385" s="38">
        <f t="shared" si="706"/>
        <v>0</v>
      </c>
      <c r="GH385" s="38">
        <f t="shared" si="707"/>
        <v>0</v>
      </c>
      <c r="GI385" s="38">
        <f t="shared" si="708"/>
        <v>0</v>
      </c>
      <c r="GJ385" s="38">
        <f t="shared" si="709"/>
        <v>0</v>
      </c>
      <c r="GL385" s="38">
        <f t="shared" si="710"/>
        <v>0</v>
      </c>
      <c r="GM385" s="38">
        <f t="shared" si="711"/>
        <v>0</v>
      </c>
      <c r="GN385" s="1" t="s">
        <v>2</v>
      </c>
      <c r="GO385" s="13">
        <f t="shared" si="634"/>
        <v>59.218000000000004</v>
      </c>
      <c r="GP385" s="13">
        <f t="shared" si="635"/>
        <v>0.21049687190494726</v>
      </c>
      <c r="GQ385" s="41">
        <f t="shared" si="636"/>
        <v>124.65203760467166</v>
      </c>
      <c r="GR385" s="41">
        <f t="shared" si="637"/>
        <v>2506.9576313900643</v>
      </c>
      <c r="GS385" s="14">
        <f t="shared" si="638"/>
        <v>42.334385345504138</v>
      </c>
      <c r="GT385" s="1">
        <f t="shared" si="712"/>
        <v>32.354899449096514</v>
      </c>
      <c r="GU385" s="1">
        <f t="shared" si="713"/>
        <v>92.224389973556626</v>
      </c>
      <c r="GV385" s="1">
        <f t="shared" si="714"/>
        <v>7.2748182018510354E-2</v>
      </c>
      <c r="GW385" s="37">
        <f t="shared" si="639"/>
        <v>0</v>
      </c>
      <c r="GX385" s="37"/>
      <c r="GY385" s="37"/>
      <c r="GZ385" s="37"/>
      <c r="HB385" s="1">
        <f t="shared" si="715"/>
        <v>0</v>
      </c>
      <c r="HC385" s="1">
        <f t="shared" si="716"/>
        <v>0</v>
      </c>
      <c r="HD385" s="37" t="s">
        <v>2</v>
      </c>
      <c r="HE385" s="1" t="s">
        <v>113</v>
      </c>
      <c r="HF385" s="1" t="s">
        <v>261</v>
      </c>
      <c r="HG385" s="1" t="s">
        <v>589</v>
      </c>
      <c r="HI385" s="1" t="s">
        <v>96</v>
      </c>
      <c r="HJ385" s="37" t="s">
        <v>2</v>
      </c>
      <c r="JH385" s="58" t="s">
        <v>2</v>
      </c>
    </row>
    <row r="386" spans="1:268" ht="16.25" customHeight="1" x14ac:dyDescent="0.2">
      <c r="A386" s="15" t="s">
        <v>596</v>
      </c>
      <c r="B386" s="1" t="s">
        <v>69</v>
      </c>
      <c r="F386" s="1" t="s">
        <v>597</v>
      </c>
      <c r="I386" s="1">
        <v>0</v>
      </c>
      <c r="AD386" s="1">
        <v>0</v>
      </c>
      <c r="AY386" s="1">
        <v>27.2</v>
      </c>
      <c r="AZ386" s="1">
        <v>0.03</v>
      </c>
      <c r="BA386" s="1">
        <v>0.02</v>
      </c>
      <c r="BG386" s="1">
        <v>0.18</v>
      </c>
      <c r="BH386" s="2">
        <v>1.149E-2</v>
      </c>
      <c r="BI386" s="1">
        <v>0.42</v>
      </c>
      <c r="BJ386" s="1">
        <v>0.77</v>
      </c>
      <c r="BN386" s="13">
        <f>0.85*(2*52/(2*52+3*16.001))</f>
        <v>0.58156746906311063</v>
      </c>
      <c r="BT386" s="1">
        <v>0</v>
      </c>
      <c r="CO386" s="1">
        <v>0</v>
      </c>
      <c r="DJ386" s="1" t="s">
        <v>96</v>
      </c>
      <c r="DK386" s="1" t="s">
        <v>96</v>
      </c>
      <c r="DL386" s="1">
        <f t="shared" si="632"/>
        <v>0.18</v>
      </c>
      <c r="DM386" s="1">
        <f t="shared" si="633"/>
        <v>1.1489999999999998E-2</v>
      </c>
      <c r="DN386" s="1" t="s">
        <v>598</v>
      </c>
      <c r="DO386" s="1" t="s">
        <v>2</v>
      </c>
      <c r="DP386" s="38">
        <f t="shared" si="640"/>
        <v>8.1599999999999989E-3</v>
      </c>
      <c r="DQ386" s="38">
        <f t="shared" si="641"/>
        <v>0.54400000000000004</v>
      </c>
      <c r="DR386" s="38">
        <f t="shared" si="642"/>
        <v>0</v>
      </c>
      <c r="DS386" s="38">
        <f t="shared" si="643"/>
        <v>0</v>
      </c>
      <c r="DT386" s="38">
        <f t="shared" si="644"/>
        <v>0</v>
      </c>
      <c r="DU386" s="38">
        <f t="shared" si="645"/>
        <v>0</v>
      </c>
      <c r="DV386" s="38">
        <f t="shared" si="646"/>
        <v>0</v>
      </c>
      <c r="DW386" s="38">
        <f t="shared" si="647"/>
        <v>4.8959999999999997E-2</v>
      </c>
      <c r="DX386" s="38">
        <f t="shared" si="648"/>
        <v>3.1252799999999998E-3</v>
      </c>
      <c r="DY386" s="38">
        <f t="shared" si="649"/>
        <v>11.423999999999999</v>
      </c>
      <c r="DZ386" s="38">
        <f t="shared" si="650"/>
        <v>20.943999999999999</v>
      </c>
      <c r="EA386" s="38">
        <f t="shared" si="651"/>
        <v>0</v>
      </c>
      <c r="EB386" s="38">
        <f t="shared" si="652"/>
        <v>0</v>
      </c>
      <c r="EC386" s="38">
        <f t="shared" si="653"/>
        <v>0</v>
      </c>
      <c r="ED386" s="38">
        <f t="shared" si="654"/>
        <v>0.15818635158516609</v>
      </c>
      <c r="EE386" s="38">
        <f t="shared" si="655"/>
        <v>0</v>
      </c>
      <c r="EG386" s="38">
        <f t="shared" si="656"/>
        <v>0</v>
      </c>
      <c r="EH386" s="38">
        <f t="shared" si="657"/>
        <v>0</v>
      </c>
      <c r="EI386" s="38">
        <f t="shared" si="658"/>
        <v>53.24902655999999</v>
      </c>
      <c r="EJ386" s="38">
        <f t="shared" si="659"/>
        <v>22.249774919614147</v>
      </c>
      <c r="EK386" s="38">
        <f t="shared" si="660"/>
        <v>0</v>
      </c>
      <c r="EL386" s="38">
        <f t="shared" si="661"/>
        <v>0</v>
      </c>
      <c r="EM386" s="38">
        <f t="shared" si="662"/>
        <v>0</v>
      </c>
      <c r="EN386" s="38">
        <f t="shared" si="663"/>
        <v>0</v>
      </c>
      <c r="EO386" s="38">
        <f t="shared" si="664"/>
        <v>0</v>
      </c>
      <c r="EP386" s="38">
        <f t="shared" si="665"/>
        <v>642.06143999999995</v>
      </c>
      <c r="EQ386" s="38">
        <f t="shared" si="666"/>
        <v>226.95634596671997</v>
      </c>
      <c r="ER386" s="38">
        <f t="shared" si="667"/>
        <v>324.2285479099678</v>
      </c>
      <c r="ES386" s="38">
        <f t="shared" si="668"/>
        <v>697.97395241157551</v>
      </c>
      <c r="ET386" s="38">
        <f t="shared" si="669"/>
        <v>0</v>
      </c>
      <c r="EU386" s="38">
        <f t="shared" si="670"/>
        <v>0</v>
      </c>
      <c r="EV386" s="38">
        <f t="shared" si="671"/>
        <v>0</v>
      </c>
      <c r="EW386" s="38">
        <f t="shared" si="672"/>
        <v>44.133992092261337</v>
      </c>
      <c r="EX386" s="38">
        <f t="shared" si="673"/>
        <v>0</v>
      </c>
      <c r="EZ386" s="38">
        <f t="shared" si="674"/>
        <v>0</v>
      </c>
      <c r="FA386" s="38">
        <f t="shared" si="675"/>
        <v>0</v>
      </c>
      <c r="FB386" s="1">
        <f t="shared" si="676"/>
        <v>0</v>
      </c>
      <c r="FC386" s="1">
        <f t="shared" si="677"/>
        <v>0</v>
      </c>
      <c r="FD386" s="1">
        <f t="shared" si="678"/>
        <v>0</v>
      </c>
      <c r="FE386" s="1">
        <f t="shared" si="679"/>
        <v>0</v>
      </c>
      <c r="FF386" s="1">
        <f t="shared" si="680"/>
        <v>0</v>
      </c>
      <c r="FG386" s="1">
        <f t="shared" si="681"/>
        <v>0</v>
      </c>
      <c r="FH386" s="1">
        <f t="shared" si="682"/>
        <v>0</v>
      </c>
      <c r="FI386" s="1">
        <f t="shared" si="683"/>
        <v>0</v>
      </c>
      <c r="FJ386" s="1">
        <f t="shared" si="684"/>
        <v>0</v>
      </c>
      <c r="FK386" s="1">
        <f t="shared" si="685"/>
        <v>0</v>
      </c>
      <c r="FL386" s="1">
        <f t="shared" si="686"/>
        <v>0</v>
      </c>
      <c r="FM386" s="1">
        <f t="shared" si="687"/>
        <v>0</v>
      </c>
      <c r="FN386" s="1">
        <f t="shared" si="688"/>
        <v>0</v>
      </c>
      <c r="FO386" s="1">
        <f t="shared" si="689"/>
        <v>0</v>
      </c>
      <c r="FP386" s="1">
        <f t="shared" si="690"/>
        <v>0</v>
      </c>
      <c r="FQ386" s="1">
        <f t="shared" si="691"/>
        <v>0</v>
      </c>
      <c r="FS386" s="1">
        <f t="shared" si="692"/>
        <v>0</v>
      </c>
      <c r="FT386" s="1">
        <f t="shared" si="693"/>
        <v>0</v>
      </c>
      <c r="FU386" s="38">
        <f t="shared" si="694"/>
        <v>0</v>
      </c>
      <c r="FV386" s="38">
        <f t="shared" si="695"/>
        <v>0</v>
      </c>
      <c r="FW386" s="38">
        <f t="shared" si="696"/>
        <v>0</v>
      </c>
      <c r="FX386" s="38">
        <f t="shared" si="697"/>
        <v>0</v>
      </c>
      <c r="FY386" s="38">
        <f t="shared" si="698"/>
        <v>0</v>
      </c>
      <c r="FZ386" s="38">
        <f t="shared" si="699"/>
        <v>0</v>
      </c>
      <c r="GA386" s="38">
        <f t="shared" si="700"/>
        <v>0</v>
      </c>
      <c r="GB386" s="38">
        <f t="shared" si="701"/>
        <v>0</v>
      </c>
      <c r="GC386" s="38">
        <f t="shared" si="702"/>
        <v>0</v>
      </c>
      <c r="GD386" s="38">
        <f t="shared" si="703"/>
        <v>0</v>
      </c>
      <c r="GE386" s="38">
        <f t="shared" si="704"/>
        <v>0</v>
      </c>
      <c r="GF386" s="38">
        <f t="shared" si="705"/>
        <v>0</v>
      </c>
      <c r="GG386" s="38">
        <f t="shared" si="706"/>
        <v>0</v>
      </c>
      <c r="GH386" s="38">
        <f t="shared" si="707"/>
        <v>0</v>
      </c>
      <c r="GI386" s="38">
        <f t="shared" si="708"/>
        <v>0</v>
      </c>
      <c r="GJ386" s="38">
        <f t="shared" si="709"/>
        <v>0</v>
      </c>
      <c r="GL386" s="38">
        <f t="shared" si="710"/>
        <v>0</v>
      </c>
      <c r="GM386" s="38">
        <f t="shared" si="711"/>
        <v>0</v>
      </c>
      <c r="GN386" s="1" t="s">
        <v>2</v>
      </c>
      <c r="GO386" s="1">
        <f t="shared" si="634"/>
        <v>27.2</v>
      </c>
      <c r="GP386" s="1">
        <f t="shared" si="635"/>
        <v>0.18</v>
      </c>
      <c r="GQ386" s="41">
        <f t="shared" si="636"/>
        <v>48.96</v>
      </c>
      <c r="GR386" s="41">
        <f t="shared" si="637"/>
        <v>2010.8530798601387</v>
      </c>
      <c r="GS386" s="14">
        <f t="shared" si="638"/>
        <v>73.928422053681572</v>
      </c>
      <c r="GT386" s="1">
        <f t="shared" si="712"/>
        <v>0</v>
      </c>
      <c r="GU386" s="1">
        <f t="shared" si="713"/>
        <v>0</v>
      </c>
      <c r="GV386" s="1">
        <f t="shared" si="714"/>
        <v>48.96</v>
      </c>
      <c r="GW386" s="37">
        <f t="shared" si="639"/>
        <v>0</v>
      </c>
      <c r="GX386" s="37"/>
      <c r="GY386" s="37"/>
      <c r="GZ386" s="37"/>
      <c r="HB386" s="1">
        <f t="shared" si="715"/>
        <v>0</v>
      </c>
      <c r="HC386" s="1">
        <f t="shared" si="716"/>
        <v>0</v>
      </c>
      <c r="HD386" s="37" t="s">
        <v>2</v>
      </c>
      <c r="HE386" s="1" t="s">
        <v>113</v>
      </c>
      <c r="HF386" s="1" t="s">
        <v>261</v>
      </c>
      <c r="HG386" s="1" t="s">
        <v>589</v>
      </c>
      <c r="HI386" s="1" t="s">
        <v>96</v>
      </c>
      <c r="HJ386" s="37" t="s">
        <v>2</v>
      </c>
      <c r="JH386" s="58" t="s">
        <v>2</v>
      </c>
    </row>
    <row r="387" spans="1:268" ht="16.25" customHeight="1" x14ac:dyDescent="0.2">
      <c r="A387" s="15" t="s">
        <v>858</v>
      </c>
      <c r="B387" s="1" t="s">
        <v>69</v>
      </c>
      <c r="F387" s="1" t="s">
        <v>131</v>
      </c>
      <c r="I387" s="1">
        <v>0</v>
      </c>
      <c r="AD387" s="1">
        <v>53.332999999999998</v>
      </c>
      <c r="AE387" s="1">
        <v>0.45500000000000002</v>
      </c>
      <c r="AL387" s="1">
        <v>0.27</v>
      </c>
      <c r="AN387" s="1">
        <v>0.2</v>
      </c>
      <c r="AO387" s="1">
        <v>2.0499999999999998</v>
      </c>
      <c r="AY387" s="1">
        <v>0</v>
      </c>
      <c r="BT387" s="1">
        <v>0</v>
      </c>
      <c r="CO387" s="1">
        <v>0</v>
      </c>
      <c r="DJ387" s="1" t="s">
        <v>96</v>
      </c>
      <c r="DL387" s="1">
        <f t="shared" si="632"/>
        <v>0.27</v>
      </c>
      <c r="DM387" s="1">
        <f t="shared" si="633"/>
        <v>0</v>
      </c>
      <c r="DN387" s="1" t="s">
        <v>812</v>
      </c>
      <c r="DO387" s="1" t="s">
        <v>2</v>
      </c>
      <c r="DP387" s="38">
        <f t="shared" si="640"/>
        <v>0.24266515000000002</v>
      </c>
      <c r="DQ387" s="38">
        <f t="shared" si="641"/>
        <v>0</v>
      </c>
      <c r="DR387" s="38">
        <f t="shared" si="642"/>
        <v>0</v>
      </c>
      <c r="DS387" s="38">
        <f t="shared" si="643"/>
        <v>0</v>
      </c>
      <c r="DT387" s="38">
        <f t="shared" si="644"/>
        <v>0</v>
      </c>
      <c r="DU387" s="38">
        <f t="shared" si="645"/>
        <v>0</v>
      </c>
      <c r="DV387" s="38">
        <f t="shared" si="646"/>
        <v>0</v>
      </c>
      <c r="DW387" s="38">
        <f t="shared" si="647"/>
        <v>0.14399909999999999</v>
      </c>
      <c r="DX387" s="38">
        <f t="shared" si="648"/>
        <v>0</v>
      </c>
      <c r="DY387" s="38">
        <f t="shared" si="649"/>
        <v>10.666600000000001</v>
      </c>
      <c r="DZ387" s="38">
        <f t="shared" si="650"/>
        <v>109.33264999999999</v>
      </c>
      <c r="EA387" s="38">
        <f t="shared" si="651"/>
        <v>0</v>
      </c>
      <c r="EB387" s="38">
        <f t="shared" si="652"/>
        <v>0</v>
      </c>
      <c r="EC387" s="38">
        <f t="shared" si="653"/>
        <v>0</v>
      </c>
      <c r="ED387" s="38">
        <f t="shared" si="654"/>
        <v>0</v>
      </c>
      <c r="EE387" s="38">
        <f t="shared" si="655"/>
        <v>0</v>
      </c>
      <c r="EG387" s="38">
        <f t="shared" si="656"/>
        <v>0</v>
      </c>
      <c r="EH387" s="38">
        <f t="shared" si="657"/>
        <v>0</v>
      </c>
      <c r="EI387" s="38">
        <f t="shared" si="658"/>
        <v>1583.5395854824001</v>
      </c>
      <c r="EJ387" s="38">
        <f t="shared" si="659"/>
        <v>0</v>
      </c>
      <c r="EK387" s="38">
        <f t="shared" si="660"/>
        <v>0</v>
      </c>
      <c r="EL387" s="38">
        <f t="shared" si="661"/>
        <v>0</v>
      </c>
      <c r="EM387" s="38">
        <f t="shared" si="662"/>
        <v>0</v>
      </c>
      <c r="EN387" s="38">
        <f t="shared" si="663"/>
        <v>0</v>
      </c>
      <c r="EO387" s="38">
        <f t="shared" si="664"/>
        <v>0</v>
      </c>
      <c r="EP387" s="38">
        <f t="shared" si="665"/>
        <v>1888.4041973999999</v>
      </c>
      <c r="EQ387" s="38">
        <f t="shared" si="666"/>
        <v>0</v>
      </c>
      <c r="ER387" s="38">
        <f t="shared" si="667"/>
        <v>302.73251305466232</v>
      </c>
      <c r="ES387" s="38">
        <f t="shared" si="668"/>
        <v>3643.5896604340833</v>
      </c>
      <c r="ET387" s="38">
        <f t="shared" si="669"/>
        <v>0</v>
      </c>
      <c r="EU387" s="38">
        <f t="shared" si="670"/>
        <v>0</v>
      </c>
      <c r="EV387" s="38">
        <f t="shared" si="671"/>
        <v>0</v>
      </c>
      <c r="EW387" s="38">
        <f t="shared" si="672"/>
        <v>0</v>
      </c>
      <c r="EX387" s="38">
        <f t="shared" si="673"/>
        <v>0</v>
      </c>
      <c r="EZ387" s="38">
        <f t="shared" si="674"/>
        <v>0</v>
      </c>
      <c r="FA387" s="38">
        <f t="shared" si="675"/>
        <v>0</v>
      </c>
      <c r="FB387" s="1">
        <f t="shared" si="676"/>
        <v>0</v>
      </c>
      <c r="FC387" s="1">
        <f t="shared" si="677"/>
        <v>0</v>
      </c>
      <c r="FD387" s="1">
        <f t="shared" si="678"/>
        <v>0</v>
      </c>
      <c r="FE387" s="1">
        <f t="shared" si="679"/>
        <v>0</v>
      </c>
      <c r="FF387" s="1">
        <f t="shared" si="680"/>
        <v>0</v>
      </c>
      <c r="FG387" s="1">
        <f t="shared" si="681"/>
        <v>0</v>
      </c>
      <c r="FH387" s="1">
        <f t="shared" si="682"/>
        <v>0</v>
      </c>
      <c r="FI387" s="1">
        <f t="shared" si="683"/>
        <v>0</v>
      </c>
      <c r="FJ387" s="1">
        <f t="shared" si="684"/>
        <v>0</v>
      </c>
      <c r="FK387" s="1">
        <f t="shared" si="685"/>
        <v>0</v>
      </c>
      <c r="FL387" s="1">
        <f t="shared" si="686"/>
        <v>0</v>
      </c>
      <c r="FM387" s="1">
        <f t="shared" si="687"/>
        <v>0</v>
      </c>
      <c r="FN387" s="1">
        <f t="shared" si="688"/>
        <v>0</v>
      </c>
      <c r="FO387" s="1">
        <f t="shared" si="689"/>
        <v>0</v>
      </c>
      <c r="FP387" s="1">
        <f t="shared" si="690"/>
        <v>0</v>
      </c>
      <c r="FQ387" s="1">
        <f t="shared" si="691"/>
        <v>0</v>
      </c>
      <c r="FS387" s="1">
        <f t="shared" si="692"/>
        <v>0</v>
      </c>
      <c r="FT387" s="1">
        <f t="shared" si="693"/>
        <v>0</v>
      </c>
      <c r="FU387" s="38">
        <f t="shared" si="694"/>
        <v>0</v>
      </c>
      <c r="FV387" s="38">
        <f t="shared" si="695"/>
        <v>0</v>
      </c>
      <c r="FW387" s="38">
        <f t="shared" si="696"/>
        <v>0</v>
      </c>
      <c r="FX387" s="38">
        <f t="shared" si="697"/>
        <v>0</v>
      </c>
      <c r="FY387" s="38">
        <f t="shared" si="698"/>
        <v>0</v>
      </c>
      <c r="FZ387" s="38">
        <f t="shared" si="699"/>
        <v>0</v>
      </c>
      <c r="GA387" s="38">
        <f t="shared" si="700"/>
        <v>0</v>
      </c>
      <c r="GB387" s="38">
        <f t="shared" si="701"/>
        <v>0</v>
      </c>
      <c r="GC387" s="38">
        <f t="shared" si="702"/>
        <v>0</v>
      </c>
      <c r="GD387" s="38">
        <f t="shared" si="703"/>
        <v>0</v>
      </c>
      <c r="GE387" s="38">
        <f t="shared" si="704"/>
        <v>0</v>
      </c>
      <c r="GF387" s="38">
        <f t="shared" si="705"/>
        <v>0</v>
      </c>
      <c r="GG387" s="38">
        <f t="shared" si="706"/>
        <v>0</v>
      </c>
      <c r="GH387" s="38">
        <f t="shared" si="707"/>
        <v>0</v>
      </c>
      <c r="GI387" s="38">
        <f t="shared" si="708"/>
        <v>0</v>
      </c>
      <c r="GJ387" s="38">
        <f t="shared" si="709"/>
        <v>0</v>
      </c>
      <c r="GL387" s="38">
        <f t="shared" si="710"/>
        <v>0</v>
      </c>
      <c r="GM387" s="38">
        <f t="shared" si="711"/>
        <v>0</v>
      </c>
      <c r="GN387" s="1" t="s">
        <v>2</v>
      </c>
      <c r="GO387" s="13">
        <f t="shared" si="634"/>
        <v>53.332999999999998</v>
      </c>
      <c r="GP387" s="1">
        <f t="shared" si="635"/>
        <v>0.27</v>
      </c>
      <c r="GQ387" s="41">
        <f t="shared" si="636"/>
        <v>143.99910000000003</v>
      </c>
      <c r="GR387" s="41">
        <f t="shared" si="637"/>
        <v>7418.2659563711459</v>
      </c>
      <c r="GS387" s="14">
        <f t="shared" si="638"/>
        <v>139.0933560154341</v>
      </c>
      <c r="GT387" s="1">
        <f t="shared" si="712"/>
        <v>0</v>
      </c>
      <c r="GU387" s="1">
        <f t="shared" si="713"/>
        <v>143.9991</v>
      </c>
      <c r="GV387" s="1">
        <f t="shared" si="714"/>
        <v>0</v>
      </c>
      <c r="GW387" s="37">
        <f t="shared" si="639"/>
        <v>0</v>
      </c>
      <c r="GX387" s="37"/>
      <c r="GY387" s="37"/>
      <c r="GZ387" s="37"/>
      <c r="HB387" s="1">
        <f t="shared" si="715"/>
        <v>0</v>
      </c>
      <c r="HC387" s="1">
        <f t="shared" si="716"/>
        <v>0</v>
      </c>
      <c r="HD387" s="37" t="s">
        <v>2</v>
      </c>
      <c r="HE387" s="1" t="s">
        <v>113</v>
      </c>
      <c r="HF387" s="1" t="s">
        <v>261</v>
      </c>
      <c r="HG387" s="1" t="s">
        <v>589</v>
      </c>
      <c r="HI387" s="1" t="s">
        <v>96</v>
      </c>
      <c r="HJ387" s="37" t="s">
        <v>2</v>
      </c>
      <c r="JH387" s="58" t="s">
        <v>2</v>
      </c>
    </row>
    <row r="388" spans="1:268" ht="16.25" customHeight="1" x14ac:dyDescent="0.2">
      <c r="A388" s="15" t="s">
        <v>1179</v>
      </c>
      <c r="F388" s="35" t="s">
        <v>1180</v>
      </c>
      <c r="I388" s="1">
        <v>0</v>
      </c>
      <c r="AD388" s="1">
        <v>96.100000000000009</v>
      </c>
      <c r="AE388" s="13">
        <v>0.01</v>
      </c>
      <c r="AF388" s="13">
        <v>2.4090489073881373E-2</v>
      </c>
      <c r="AL388" s="13">
        <v>0.03</v>
      </c>
      <c r="AN388" s="13">
        <v>2.9450622892819975</v>
      </c>
      <c r="AO388" s="13">
        <v>1.3189542767950051</v>
      </c>
      <c r="AP388" s="13">
        <v>0.55408124869927156</v>
      </c>
      <c r="AQ388" s="13">
        <v>0.95759694068678458</v>
      </c>
      <c r="AR388" s="13">
        <v>0.22283702393340268</v>
      </c>
      <c r="AY388" s="1">
        <v>78.599999999999994</v>
      </c>
      <c r="AZ388" s="13">
        <v>1.0000000000000002E-2</v>
      </c>
      <c r="BA388" s="13">
        <v>2.3151755725190841E-2</v>
      </c>
      <c r="BG388" s="13">
        <v>0.03</v>
      </c>
      <c r="BI388" s="13">
        <v>2.8303021374045803</v>
      </c>
      <c r="BJ388" s="13">
        <v>1.2675586259541987</v>
      </c>
      <c r="BK388" s="13">
        <v>0.53249038167938934</v>
      </c>
      <c r="BL388" s="13">
        <v>0.920282290076336</v>
      </c>
      <c r="BM388" s="13">
        <v>0.21415374045801527</v>
      </c>
      <c r="BT388" s="1">
        <v>0</v>
      </c>
      <c r="CO388" s="1">
        <v>0</v>
      </c>
      <c r="DJ388" s="1" t="s">
        <v>96</v>
      </c>
      <c r="DL388" s="1">
        <f t="shared" si="632"/>
        <v>0.03</v>
      </c>
      <c r="DM388" s="1">
        <f t="shared" si="633"/>
        <v>0</v>
      </c>
      <c r="DN388" s="1" t="s">
        <v>1181</v>
      </c>
      <c r="DO388" s="1" t="s">
        <v>2</v>
      </c>
      <c r="DP388" s="38">
        <f t="shared" si="640"/>
        <v>1.7470000000000003E-2</v>
      </c>
      <c r="DQ388" s="38">
        <f t="shared" si="641"/>
        <v>4.1348240000000001</v>
      </c>
      <c r="DR388" s="38">
        <f t="shared" si="642"/>
        <v>0</v>
      </c>
      <c r="DS388" s="38">
        <f t="shared" si="643"/>
        <v>0</v>
      </c>
      <c r="DT388" s="38">
        <f t="shared" si="644"/>
        <v>0</v>
      </c>
      <c r="DU388" s="38">
        <f t="shared" si="645"/>
        <v>0</v>
      </c>
      <c r="DV388" s="38">
        <f t="shared" si="646"/>
        <v>0</v>
      </c>
      <c r="DW388" s="38">
        <f t="shared" si="647"/>
        <v>5.2409999999999998E-2</v>
      </c>
      <c r="DX388" s="38">
        <f t="shared" si="648"/>
        <v>0</v>
      </c>
      <c r="DY388" s="38">
        <f t="shared" si="649"/>
        <v>505.48223400000001</v>
      </c>
      <c r="DZ388" s="38">
        <f t="shared" si="650"/>
        <v>226.38161400000001</v>
      </c>
      <c r="EA388" s="38">
        <f t="shared" si="651"/>
        <v>95.100952000000007</v>
      </c>
      <c r="EB388" s="38">
        <f t="shared" si="652"/>
        <v>164.35925400000002</v>
      </c>
      <c r="EC388" s="38">
        <f t="shared" si="653"/>
        <v>38.247122000000005</v>
      </c>
      <c r="ED388" s="38">
        <f t="shared" si="654"/>
        <v>0</v>
      </c>
      <c r="EE388" s="38">
        <f t="shared" si="655"/>
        <v>0</v>
      </c>
      <c r="EG388" s="38">
        <f t="shared" si="656"/>
        <v>0</v>
      </c>
      <c r="EH388" s="38">
        <f t="shared" si="657"/>
        <v>0</v>
      </c>
      <c r="EI388" s="38">
        <f t="shared" si="658"/>
        <v>114.00251152000001</v>
      </c>
      <c r="EJ388" s="38">
        <f t="shared" si="659"/>
        <v>169.1156311254019</v>
      </c>
      <c r="EK388" s="38">
        <f t="shared" si="660"/>
        <v>0</v>
      </c>
      <c r="EL388" s="38">
        <f t="shared" si="661"/>
        <v>0</v>
      </c>
      <c r="EM388" s="38">
        <f t="shared" si="662"/>
        <v>0</v>
      </c>
      <c r="EN388" s="38">
        <f t="shared" si="663"/>
        <v>0</v>
      </c>
      <c r="EO388" s="38">
        <f t="shared" si="664"/>
        <v>0</v>
      </c>
      <c r="EP388" s="38">
        <f t="shared" si="665"/>
        <v>687.30473999999992</v>
      </c>
      <c r="EQ388" s="38">
        <f t="shared" si="666"/>
        <v>0</v>
      </c>
      <c r="ER388" s="38">
        <f t="shared" si="667"/>
        <v>14346.26844573762</v>
      </c>
      <c r="ES388" s="38">
        <f t="shared" si="668"/>
        <v>7544.3310674604509</v>
      </c>
      <c r="ET388" s="38">
        <f t="shared" si="669"/>
        <v>6804.7636169003226</v>
      </c>
      <c r="EU388" s="38">
        <f t="shared" si="670"/>
        <v>1291.673481354984</v>
      </c>
      <c r="EV388" s="38">
        <f t="shared" si="671"/>
        <v>1590.4776678115754</v>
      </c>
      <c r="EW388" s="38">
        <f t="shared" si="672"/>
        <v>0</v>
      </c>
      <c r="EX388" s="38">
        <f t="shared" si="673"/>
        <v>0</v>
      </c>
      <c r="EZ388" s="38">
        <f t="shared" si="674"/>
        <v>0</v>
      </c>
      <c r="FA388" s="38">
        <f t="shared" si="675"/>
        <v>0</v>
      </c>
      <c r="FB388" s="1">
        <f t="shared" si="676"/>
        <v>0</v>
      </c>
      <c r="FC388" s="1">
        <f t="shared" si="677"/>
        <v>0</v>
      </c>
      <c r="FD388" s="1">
        <f t="shared" si="678"/>
        <v>0</v>
      </c>
      <c r="FE388" s="1">
        <f t="shared" si="679"/>
        <v>0</v>
      </c>
      <c r="FF388" s="1">
        <f t="shared" si="680"/>
        <v>0</v>
      </c>
      <c r="FG388" s="1">
        <f t="shared" si="681"/>
        <v>0</v>
      </c>
      <c r="FH388" s="1">
        <f t="shared" si="682"/>
        <v>0</v>
      </c>
      <c r="FI388" s="1">
        <f t="shared" si="683"/>
        <v>0</v>
      </c>
      <c r="FJ388" s="1">
        <f t="shared" si="684"/>
        <v>0</v>
      </c>
      <c r="FK388" s="1">
        <f t="shared" si="685"/>
        <v>0</v>
      </c>
      <c r="FL388" s="1">
        <f t="shared" si="686"/>
        <v>0</v>
      </c>
      <c r="FM388" s="1">
        <f t="shared" si="687"/>
        <v>0</v>
      </c>
      <c r="FN388" s="1">
        <f t="shared" si="688"/>
        <v>0</v>
      </c>
      <c r="FO388" s="1">
        <f t="shared" si="689"/>
        <v>0</v>
      </c>
      <c r="FP388" s="1">
        <f t="shared" si="690"/>
        <v>0</v>
      </c>
      <c r="FQ388" s="1">
        <f t="shared" si="691"/>
        <v>0</v>
      </c>
      <c r="FS388" s="1">
        <f t="shared" si="692"/>
        <v>0</v>
      </c>
      <c r="FT388" s="1">
        <f t="shared" si="693"/>
        <v>0</v>
      </c>
      <c r="FU388" s="38">
        <f t="shared" si="694"/>
        <v>0</v>
      </c>
      <c r="FV388" s="38">
        <f t="shared" si="695"/>
        <v>0</v>
      </c>
      <c r="FW388" s="38">
        <f t="shared" si="696"/>
        <v>0</v>
      </c>
      <c r="FX388" s="38">
        <f t="shared" si="697"/>
        <v>0</v>
      </c>
      <c r="FY388" s="38">
        <f t="shared" si="698"/>
        <v>0</v>
      </c>
      <c r="FZ388" s="38">
        <f t="shared" si="699"/>
        <v>0</v>
      </c>
      <c r="GA388" s="38">
        <f t="shared" si="700"/>
        <v>0</v>
      </c>
      <c r="GB388" s="38">
        <f t="shared" si="701"/>
        <v>0</v>
      </c>
      <c r="GC388" s="38">
        <f t="shared" si="702"/>
        <v>0</v>
      </c>
      <c r="GD388" s="38">
        <f t="shared" si="703"/>
        <v>0</v>
      </c>
      <c r="GE388" s="38">
        <f t="shared" si="704"/>
        <v>0</v>
      </c>
      <c r="GF388" s="38">
        <f t="shared" si="705"/>
        <v>0</v>
      </c>
      <c r="GG388" s="38">
        <f t="shared" si="706"/>
        <v>0</v>
      </c>
      <c r="GH388" s="38">
        <f t="shared" si="707"/>
        <v>0</v>
      </c>
      <c r="GI388" s="38">
        <f t="shared" si="708"/>
        <v>0</v>
      </c>
      <c r="GJ388" s="38">
        <f t="shared" si="709"/>
        <v>0</v>
      </c>
      <c r="GL388" s="38">
        <f t="shared" si="710"/>
        <v>0</v>
      </c>
      <c r="GM388" s="38">
        <f t="shared" si="711"/>
        <v>0</v>
      </c>
      <c r="GN388" s="1" t="s">
        <v>2</v>
      </c>
      <c r="GO388" s="1">
        <f t="shared" si="634"/>
        <v>174.7</v>
      </c>
      <c r="GP388" s="13">
        <f t="shared" si="635"/>
        <v>0.03</v>
      </c>
      <c r="GQ388" s="41">
        <f t="shared" si="636"/>
        <v>52.41</v>
      </c>
      <c r="GR388" s="41">
        <f t="shared" si="637"/>
        <v>32547.937161910355</v>
      </c>
      <c r="GS388" s="14">
        <f t="shared" si="638"/>
        <v>186.30759680543994</v>
      </c>
      <c r="GT388" s="1">
        <f t="shared" si="712"/>
        <v>0</v>
      </c>
      <c r="GU388" s="1">
        <f t="shared" si="713"/>
        <v>28.83</v>
      </c>
      <c r="GV388" s="1">
        <f t="shared" si="714"/>
        <v>23.579999999999995</v>
      </c>
      <c r="GW388" s="37">
        <f t="shared" si="639"/>
        <v>0</v>
      </c>
      <c r="GX388" s="37"/>
      <c r="GY388" s="37"/>
      <c r="GZ388" s="37"/>
      <c r="HB388" s="1">
        <f t="shared" si="715"/>
        <v>0</v>
      </c>
      <c r="HC388" s="1">
        <f t="shared" si="716"/>
        <v>0</v>
      </c>
      <c r="HD388" s="37" t="s">
        <v>2</v>
      </c>
      <c r="HE388" s="1" t="s">
        <v>113</v>
      </c>
      <c r="HF388" s="1" t="s">
        <v>261</v>
      </c>
      <c r="HG388" s="1" t="s">
        <v>589</v>
      </c>
      <c r="HH388" s="1" t="s">
        <v>1182</v>
      </c>
      <c r="HI388" s="1" t="s">
        <v>96</v>
      </c>
      <c r="HJ388" s="37" t="s">
        <v>2</v>
      </c>
      <c r="JH388" s="58" t="s">
        <v>2</v>
      </c>
    </row>
    <row r="389" spans="1:268" ht="16.25" customHeight="1" x14ac:dyDescent="0.2">
      <c r="A389" s="15" t="s">
        <v>1184</v>
      </c>
      <c r="F389" s="1" t="s">
        <v>1185</v>
      </c>
      <c r="I389" s="1">
        <v>98.4</v>
      </c>
      <c r="J389" s="1">
        <v>0.01</v>
      </c>
      <c r="K389" s="13">
        <v>5.8974502899999996E-2</v>
      </c>
      <c r="Q389" s="1">
        <v>0.03</v>
      </c>
      <c r="S389" s="13">
        <v>3.1921685999999996</v>
      </c>
      <c r="T389" s="13">
        <v>1.60276134</v>
      </c>
      <c r="U389" s="13">
        <v>0.54552451999999996</v>
      </c>
      <c r="V389" s="13">
        <v>0.85477758000000004</v>
      </c>
      <c r="W389" s="13">
        <v>0.215799086</v>
      </c>
      <c r="X389" s="14">
        <f>31*(2*52/(2*52+3*16.001))</f>
        <v>21.210107695242861</v>
      </c>
      <c r="AD389" s="1">
        <v>10.8</v>
      </c>
      <c r="AE389" s="1">
        <v>0.01</v>
      </c>
      <c r="AL389" s="1">
        <v>0.03</v>
      </c>
      <c r="AS389" s="14">
        <f>31*(2*52/(2*52+3*16.001))</f>
        <v>21.210107695242861</v>
      </c>
      <c r="AY389" s="1">
        <v>55.9</v>
      </c>
      <c r="AZ389" s="1">
        <v>0.01</v>
      </c>
      <c r="BA389" s="13">
        <v>5.5267343999999996E-2</v>
      </c>
      <c r="BG389" s="1">
        <v>0.03</v>
      </c>
      <c r="BI389" s="13">
        <v>2.9914972999999998</v>
      </c>
      <c r="BJ389" s="13">
        <v>1.50200534</v>
      </c>
      <c r="BK389" s="13">
        <v>0.51123001599999995</v>
      </c>
      <c r="BL389" s="13"/>
      <c r="BM389" s="13"/>
      <c r="BN389" s="14">
        <f>31*(2*52/(2*52+3*16.001))</f>
        <v>21.210107695242861</v>
      </c>
      <c r="BT389" s="1">
        <v>0</v>
      </c>
      <c r="CO389" s="1">
        <v>0</v>
      </c>
      <c r="DJ389" s="1" t="s">
        <v>96</v>
      </c>
      <c r="DL389" s="1">
        <f t="shared" ref="DL389:DL451" si="717">(Q389*I389+AL389*AD389+BG389*AY389)/(I389+AD389+AY389)</f>
        <v>0.03</v>
      </c>
      <c r="DM389" s="1">
        <f t="shared" ref="DM389:DM451" si="718">(R389*I389+AM389*AD389+BH389*AY389)/(I389+AD389+AY389)</f>
        <v>0</v>
      </c>
      <c r="DN389" s="1" t="s">
        <v>73</v>
      </c>
      <c r="DO389" s="1" t="s">
        <v>2</v>
      </c>
      <c r="DP389" s="38">
        <f t="shared" si="640"/>
        <v>1.6510000000000004E-2</v>
      </c>
      <c r="DQ389" s="38">
        <f t="shared" si="641"/>
        <v>8.8925356149599999</v>
      </c>
      <c r="DR389" s="38">
        <f t="shared" si="642"/>
        <v>0</v>
      </c>
      <c r="DS389" s="38">
        <f t="shared" si="643"/>
        <v>0</v>
      </c>
      <c r="DT389" s="38">
        <f t="shared" si="644"/>
        <v>0</v>
      </c>
      <c r="DU389" s="38">
        <f t="shared" si="645"/>
        <v>0</v>
      </c>
      <c r="DV389" s="38">
        <f t="shared" si="646"/>
        <v>0</v>
      </c>
      <c r="DW389" s="38">
        <f t="shared" si="647"/>
        <v>4.9529999999999991E-2</v>
      </c>
      <c r="DX389" s="38">
        <f t="shared" si="648"/>
        <v>0</v>
      </c>
      <c r="DY389" s="38">
        <f t="shared" si="649"/>
        <v>481.33408930999997</v>
      </c>
      <c r="DZ389" s="38">
        <f t="shared" si="650"/>
        <v>241.673814362</v>
      </c>
      <c r="EA389" s="38">
        <f t="shared" si="651"/>
        <v>82.257370662399993</v>
      </c>
      <c r="EB389" s="38">
        <f t="shared" si="652"/>
        <v>84.110113872000014</v>
      </c>
      <c r="EC389" s="38">
        <f t="shared" si="653"/>
        <v>21.234630062400001</v>
      </c>
      <c r="ED389" s="38">
        <f t="shared" si="654"/>
        <v>35.017887804845962</v>
      </c>
      <c r="EE389" s="38">
        <f t="shared" si="655"/>
        <v>0</v>
      </c>
      <c r="EG389" s="38">
        <f t="shared" si="656"/>
        <v>0</v>
      </c>
      <c r="EH389" s="38">
        <f t="shared" si="657"/>
        <v>0</v>
      </c>
      <c r="EI389" s="38">
        <f t="shared" si="658"/>
        <v>107.73792016000003</v>
      </c>
      <c r="EJ389" s="38">
        <f t="shared" si="659"/>
        <v>363.70756598807452</v>
      </c>
      <c r="EK389" s="38">
        <f t="shared" si="660"/>
        <v>0</v>
      </c>
      <c r="EL389" s="38">
        <f t="shared" si="661"/>
        <v>0</v>
      </c>
      <c r="EM389" s="38">
        <f t="shared" si="662"/>
        <v>0</v>
      </c>
      <c r="EN389" s="38">
        <f t="shared" si="663"/>
        <v>0</v>
      </c>
      <c r="EO389" s="38">
        <f t="shared" si="664"/>
        <v>0</v>
      </c>
      <c r="EP389" s="38">
        <f t="shared" si="665"/>
        <v>649.53641999999991</v>
      </c>
      <c r="EQ389" s="38">
        <f t="shared" si="666"/>
        <v>0</v>
      </c>
      <c r="ER389" s="38">
        <f t="shared" si="667"/>
        <v>13660.911487793072</v>
      </c>
      <c r="ES389" s="38">
        <f t="shared" si="668"/>
        <v>8053.9547080131078</v>
      </c>
      <c r="ET389" s="38">
        <f t="shared" si="669"/>
        <v>5885.7661393903118</v>
      </c>
      <c r="EU389" s="38">
        <f t="shared" si="670"/>
        <v>661.00813284422895</v>
      </c>
      <c r="EV389" s="38">
        <f t="shared" si="671"/>
        <v>883.02604568488891</v>
      </c>
      <c r="EW389" s="38">
        <f t="shared" si="672"/>
        <v>9769.9906975520244</v>
      </c>
      <c r="EX389" s="38">
        <f t="shared" si="673"/>
        <v>0</v>
      </c>
      <c r="EZ389" s="38">
        <f t="shared" si="674"/>
        <v>0</v>
      </c>
      <c r="FA389" s="38">
        <f t="shared" si="675"/>
        <v>0</v>
      </c>
      <c r="FB389" s="1">
        <f t="shared" si="676"/>
        <v>0</v>
      </c>
      <c r="FC389" s="1">
        <f t="shared" si="677"/>
        <v>0</v>
      </c>
      <c r="FD389" s="1">
        <f t="shared" si="678"/>
        <v>0</v>
      </c>
      <c r="FE389" s="1">
        <f t="shared" si="679"/>
        <v>0</v>
      </c>
      <c r="FF389" s="1">
        <f t="shared" si="680"/>
        <v>0</v>
      </c>
      <c r="FG389" s="1">
        <f t="shared" si="681"/>
        <v>0</v>
      </c>
      <c r="FH389" s="1">
        <f t="shared" si="682"/>
        <v>0</v>
      </c>
      <c r="FI389" s="1">
        <f t="shared" si="683"/>
        <v>0</v>
      </c>
      <c r="FJ389" s="1">
        <f t="shared" si="684"/>
        <v>0</v>
      </c>
      <c r="FK389" s="1">
        <f t="shared" si="685"/>
        <v>0</v>
      </c>
      <c r="FL389" s="1">
        <f t="shared" si="686"/>
        <v>0</v>
      </c>
      <c r="FM389" s="1">
        <f t="shared" si="687"/>
        <v>0</v>
      </c>
      <c r="FN389" s="1">
        <f t="shared" si="688"/>
        <v>0</v>
      </c>
      <c r="FO389" s="1">
        <f t="shared" si="689"/>
        <v>0</v>
      </c>
      <c r="FP389" s="1">
        <f t="shared" si="690"/>
        <v>0</v>
      </c>
      <c r="FQ389" s="1">
        <f t="shared" si="691"/>
        <v>0</v>
      </c>
      <c r="FS389" s="1">
        <f t="shared" si="692"/>
        <v>0</v>
      </c>
      <c r="FT389" s="1">
        <f t="shared" si="693"/>
        <v>0</v>
      </c>
      <c r="FU389" s="38">
        <f t="shared" si="694"/>
        <v>0</v>
      </c>
      <c r="FV389" s="38">
        <f t="shared" si="695"/>
        <v>0</v>
      </c>
      <c r="FW389" s="38">
        <f t="shared" si="696"/>
        <v>0</v>
      </c>
      <c r="FX389" s="38">
        <f t="shared" si="697"/>
        <v>0</v>
      </c>
      <c r="FY389" s="38">
        <f t="shared" si="698"/>
        <v>0</v>
      </c>
      <c r="FZ389" s="38">
        <f t="shared" si="699"/>
        <v>0</v>
      </c>
      <c r="GA389" s="38">
        <f t="shared" si="700"/>
        <v>0</v>
      </c>
      <c r="GB389" s="38">
        <f t="shared" si="701"/>
        <v>0</v>
      </c>
      <c r="GC389" s="38">
        <f t="shared" si="702"/>
        <v>0</v>
      </c>
      <c r="GD389" s="38">
        <f t="shared" si="703"/>
        <v>0</v>
      </c>
      <c r="GE389" s="38">
        <f t="shared" si="704"/>
        <v>0</v>
      </c>
      <c r="GF389" s="38">
        <f t="shared" si="705"/>
        <v>0</v>
      </c>
      <c r="GG389" s="38">
        <f t="shared" si="706"/>
        <v>0</v>
      </c>
      <c r="GH389" s="38">
        <f t="shared" si="707"/>
        <v>0</v>
      </c>
      <c r="GI389" s="38">
        <f t="shared" si="708"/>
        <v>0</v>
      </c>
      <c r="GJ389" s="38">
        <f t="shared" si="709"/>
        <v>0</v>
      </c>
      <c r="GL389" s="38">
        <f t="shared" si="710"/>
        <v>0</v>
      </c>
      <c r="GM389" s="38">
        <f t="shared" si="711"/>
        <v>0</v>
      </c>
      <c r="GN389" s="1" t="s">
        <v>2</v>
      </c>
      <c r="GO389" s="1">
        <f t="shared" ref="GO389:GO451" si="719">I389+AD389+AY389</f>
        <v>165.1</v>
      </c>
      <c r="GP389" s="13">
        <f t="shared" ref="GP389:GP451" si="720">(I389*Q389+AD389*AL389+AY389*BG389)/GO389</f>
        <v>0.03</v>
      </c>
      <c r="GQ389" s="41">
        <f t="shared" ref="GQ389:GQ451" si="721">1000*GO389*GP389/100</f>
        <v>49.53</v>
      </c>
      <c r="GR389" s="41">
        <f t="shared" ref="GR389:GR451" si="722">SUM(EI389:FA389)</f>
        <v>40035.639117425701</v>
      </c>
      <c r="GS389" s="14">
        <f t="shared" ref="GS389:GS451" si="723">GR389/GO389</f>
        <v>242.49327145624289</v>
      </c>
      <c r="GT389" s="1">
        <f t="shared" si="712"/>
        <v>29.52</v>
      </c>
      <c r="GU389" s="1">
        <f t="shared" si="713"/>
        <v>3.24</v>
      </c>
      <c r="GV389" s="1">
        <f t="shared" si="714"/>
        <v>16.769999999999996</v>
      </c>
      <c r="GW389" s="37">
        <f t="shared" ref="GW389:GW451" si="724">BT389+CO389</f>
        <v>0</v>
      </c>
      <c r="GX389" s="37"/>
      <c r="GY389" s="37"/>
      <c r="GZ389" s="37"/>
      <c r="HB389" s="1">
        <f t="shared" si="715"/>
        <v>0</v>
      </c>
      <c r="HC389" s="1">
        <f t="shared" si="716"/>
        <v>0</v>
      </c>
      <c r="HD389" s="37" t="s">
        <v>2</v>
      </c>
      <c r="HE389" s="1" t="s">
        <v>113</v>
      </c>
      <c r="HF389" s="1" t="s">
        <v>261</v>
      </c>
      <c r="HG389" s="1" t="s">
        <v>589</v>
      </c>
      <c r="HH389" s="1" t="s">
        <v>1182</v>
      </c>
      <c r="HI389" s="1" t="s">
        <v>96</v>
      </c>
      <c r="HJ389" s="37" t="s">
        <v>2</v>
      </c>
      <c r="JH389" s="58" t="s">
        <v>2</v>
      </c>
    </row>
    <row r="390" spans="1:268" ht="16.25" customHeight="1" x14ac:dyDescent="0.2">
      <c r="A390" s="15" t="s">
        <v>1186</v>
      </c>
      <c r="F390" s="1" t="s">
        <v>1009</v>
      </c>
      <c r="I390" s="1">
        <v>102.8</v>
      </c>
      <c r="J390" s="13">
        <v>1.9601167315175094E-2</v>
      </c>
      <c r="K390" s="13">
        <v>6.9095301556420241E-2</v>
      </c>
      <c r="Q390" s="13">
        <v>0.14097276264591441</v>
      </c>
      <c r="S390" s="13">
        <v>3.3585684435797671</v>
      </c>
      <c r="T390" s="13">
        <v>1.5444746692607008</v>
      </c>
      <c r="U390" s="13">
        <v>0.56594524319066153</v>
      </c>
      <c r="X390" s="14">
        <v>18.655150954295884</v>
      </c>
      <c r="AD390" s="1">
        <v>51.199999999999996</v>
      </c>
      <c r="AE390" s="13">
        <v>3.2421874999999996E-2</v>
      </c>
      <c r="AF390" s="13">
        <v>0.11020453124999999</v>
      </c>
      <c r="AL390" s="13">
        <v>0.15562500000000001</v>
      </c>
      <c r="AN390" s="13">
        <v>3.6535332812500001</v>
      </c>
      <c r="AO390" s="13">
        <v>1.679052421875</v>
      </c>
      <c r="AP390" s="13">
        <v>0.53392851562499999</v>
      </c>
      <c r="AS390" s="14">
        <v>14.695269172318971</v>
      </c>
      <c r="AY390" s="1">
        <v>21.8</v>
      </c>
      <c r="AZ390" s="13">
        <v>5.174311926605505E-2</v>
      </c>
      <c r="BA390" s="13">
        <v>0.16217266055045873</v>
      </c>
      <c r="BG390" s="13">
        <v>0.17770642201834863</v>
      </c>
      <c r="BI390" s="13">
        <v>3.7055919266055044</v>
      </c>
      <c r="BJ390" s="13">
        <v>1.7014451376146789</v>
      </c>
      <c r="BK390" s="13">
        <v>0.42400128440366974</v>
      </c>
      <c r="BL390" s="13"/>
      <c r="BM390" s="13"/>
      <c r="BN390" s="14">
        <v>8.727592109933612</v>
      </c>
      <c r="BT390" s="1">
        <v>49.5</v>
      </c>
      <c r="BU390" s="13">
        <v>1.5656565656565657E-2</v>
      </c>
      <c r="BV390" s="13">
        <v>4.4190808080808087E-2</v>
      </c>
      <c r="CB390" s="13">
        <v>0.13646464646464646</v>
      </c>
      <c r="CD390" s="13">
        <v>2.6769670707070703</v>
      </c>
      <c r="CE390" s="13">
        <v>1.2313635353535355</v>
      </c>
      <c r="CF390" s="13">
        <v>0.47646848484848486</v>
      </c>
      <c r="CG390" s="13"/>
      <c r="CH390" s="13"/>
      <c r="CI390" s="14">
        <v>19.873504623147728</v>
      </c>
      <c r="CO390" s="1">
        <v>13.600000000000001</v>
      </c>
      <c r="CP390" s="13">
        <v>3.4705882352941177E-2</v>
      </c>
      <c r="CQ390" s="13">
        <v>8.7374705882352924E-2</v>
      </c>
      <c r="CW390" s="13">
        <v>0.15823529411764706</v>
      </c>
      <c r="CY390" s="13">
        <v>2.8094694117647059</v>
      </c>
      <c r="CZ390" s="13">
        <v>1.2910664705882351</v>
      </c>
      <c r="DA390" s="13">
        <v>0.40444235294117648</v>
      </c>
      <c r="DB390" s="13"/>
      <c r="DC390" s="13"/>
      <c r="DD390" s="14">
        <v>13.989816764452407</v>
      </c>
      <c r="DJ390" s="1" t="s">
        <v>96</v>
      </c>
      <c r="DL390" s="1">
        <f t="shared" si="717"/>
        <v>0.1497952218430034</v>
      </c>
      <c r="DM390" s="1">
        <f t="shared" si="718"/>
        <v>0</v>
      </c>
      <c r="DN390" s="1" t="s">
        <v>73</v>
      </c>
      <c r="DO390" s="1" t="s">
        <v>2</v>
      </c>
      <c r="DP390" s="38">
        <f t="shared" si="640"/>
        <v>4.8029999999999989E-2</v>
      </c>
      <c r="DQ390" s="38">
        <f t="shared" si="641"/>
        <v>16.280833000000001</v>
      </c>
      <c r="DR390" s="38">
        <f t="shared" si="642"/>
        <v>0</v>
      </c>
      <c r="DS390" s="38">
        <f t="shared" si="643"/>
        <v>0</v>
      </c>
      <c r="DT390" s="38">
        <f t="shared" si="644"/>
        <v>0</v>
      </c>
      <c r="DU390" s="38">
        <f t="shared" si="645"/>
        <v>0</v>
      </c>
      <c r="DV390" s="38">
        <f t="shared" si="646"/>
        <v>0</v>
      </c>
      <c r="DW390" s="38">
        <f t="shared" si="647"/>
        <v>0.26334000000000002</v>
      </c>
      <c r="DX390" s="38">
        <f t="shared" si="648"/>
        <v>0</v>
      </c>
      <c r="DY390" s="38">
        <f t="shared" si="649"/>
        <v>613.10364400000003</v>
      </c>
      <c r="DZ390" s="38">
        <f t="shared" si="650"/>
        <v>281.830984</v>
      </c>
      <c r="EA390" s="38">
        <f t="shared" si="651"/>
        <v>94.759539000000004</v>
      </c>
      <c r="EB390" s="38">
        <f t="shared" si="652"/>
        <v>0</v>
      </c>
      <c r="EC390" s="38">
        <f t="shared" si="653"/>
        <v>0</v>
      </c>
      <c r="ED390" s="38">
        <f t="shared" si="654"/>
        <v>28.604088077209006</v>
      </c>
      <c r="EE390" s="38">
        <f t="shared" si="655"/>
        <v>0</v>
      </c>
      <c r="EG390" s="38">
        <f t="shared" si="656"/>
        <v>0</v>
      </c>
      <c r="EH390" s="38">
        <f t="shared" si="657"/>
        <v>0</v>
      </c>
      <c r="EI390" s="38">
        <f t="shared" si="658"/>
        <v>313.42533647999994</v>
      </c>
      <c r="EJ390" s="38">
        <f t="shared" si="659"/>
        <v>665.89130469453369</v>
      </c>
      <c r="EK390" s="38">
        <f t="shared" si="660"/>
        <v>0</v>
      </c>
      <c r="EL390" s="38">
        <f t="shared" si="661"/>
        <v>0</v>
      </c>
      <c r="EM390" s="38">
        <f t="shared" si="662"/>
        <v>0</v>
      </c>
      <c r="EN390" s="38">
        <f t="shared" si="663"/>
        <v>0</v>
      </c>
      <c r="EO390" s="38">
        <f t="shared" si="664"/>
        <v>0</v>
      </c>
      <c r="EP390" s="38">
        <f t="shared" si="665"/>
        <v>3453.4407600000004</v>
      </c>
      <c r="EQ390" s="38">
        <f t="shared" si="666"/>
        <v>0</v>
      </c>
      <c r="ER390" s="38">
        <f t="shared" si="667"/>
        <v>17400.709402348552</v>
      </c>
      <c r="ES390" s="38">
        <f t="shared" si="668"/>
        <v>9392.2214388141474</v>
      </c>
      <c r="ET390" s="38">
        <f t="shared" si="669"/>
        <v>6780.3344738488759</v>
      </c>
      <c r="EU390" s="38">
        <f t="shared" si="670"/>
        <v>0</v>
      </c>
      <c r="EV390" s="38">
        <f t="shared" si="671"/>
        <v>0</v>
      </c>
      <c r="EW390" s="38">
        <f t="shared" si="672"/>
        <v>7980.5405735413124</v>
      </c>
      <c r="EX390" s="38">
        <f t="shared" si="673"/>
        <v>0</v>
      </c>
      <c r="EZ390" s="38">
        <f t="shared" si="674"/>
        <v>0</v>
      </c>
      <c r="FA390" s="38">
        <f t="shared" si="675"/>
        <v>0</v>
      </c>
      <c r="FB390" s="1">
        <f t="shared" si="676"/>
        <v>1.2470000000000002E-2</v>
      </c>
      <c r="FC390" s="1">
        <f t="shared" si="677"/>
        <v>3.3757410000000001</v>
      </c>
      <c r="FD390" s="1">
        <f t="shared" si="678"/>
        <v>0</v>
      </c>
      <c r="FE390" s="1">
        <f t="shared" si="679"/>
        <v>0</v>
      </c>
      <c r="FF390" s="1">
        <f t="shared" si="680"/>
        <v>0</v>
      </c>
      <c r="FG390" s="1">
        <f t="shared" si="681"/>
        <v>0</v>
      </c>
      <c r="FH390" s="1">
        <f t="shared" si="682"/>
        <v>0</v>
      </c>
      <c r="FI390" s="1">
        <f t="shared" si="683"/>
        <v>8.9069999999999996E-2</v>
      </c>
      <c r="FJ390" s="1">
        <f t="shared" si="684"/>
        <v>0</v>
      </c>
      <c r="FK390" s="1">
        <f t="shared" si="685"/>
        <v>170.71865399999999</v>
      </c>
      <c r="FL390" s="1">
        <f t="shared" si="686"/>
        <v>78.510998999999998</v>
      </c>
      <c r="FM390" s="1">
        <f t="shared" si="687"/>
        <v>29.085606000000002</v>
      </c>
      <c r="FN390" s="1">
        <f t="shared" si="688"/>
        <v>0</v>
      </c>
      <c r="FO390" s="1">
        <f t="shared" si="689"/>
        <v>0</v>
      </c>
      <c r="FP390" s="1">
        <f t="shared" si="690"/>
        <v>11.739999868423654</v>
      </c>
      <c r="FQ390" s="1">
        <f t="shared" si="691"/>
        <v>0</v>
      </c>
      <c r="FS390" s="1">
        <f t="shared" si="692"/>
        <v>0</v>
      </c>
      <c r="FT390" s="1">
        <f t="shared" si="693"/>
        <v>0</v>
      </c>
      <c r="FU390" s="38">
        <f t="shared" si="694"/>
        <v>81.374431520000016</v>
      </c>
      <c r="FV390" s="38">
        <f t="shared" si="695"/>
        <v>138.06889234726688</v>
      </c>
      <c r="FW390" s="38">
        <f t="shared" si="696"/>
        <v>0</v>
      </c>
      <c r="FX390" s="38">
        <f t="shared" si="697"/>
        <v>0</v>
      </c>
      <c r="FY390" s="38">
        <f t="shared" si="698"/>
        <v>0</v>
      </c>
      <c r="FZ390" s="38">
        <f t="shared" si="699"/>
        <v>0</v>
      </c>
      <c r="GA390" s="38">
        <f t="shared" si="700"/>
        <v>0</v>
      </c>
      <c r="GB390" s="38">
        <f t="shared" si="701"/>
        <v>1168.0639799999999</v>
      </c>
      <c r="GC390" s="38">
        <f t="shared" si="702"/>
        <v>0</v>
      </c>
      <c r="GD390" s="38">
        <f t="shared" si="703"/>
        <v>4845.2259530430856</v>
      </c>
      <c r="GE390" s="38">
        <f t="shared" si="704"/>
        <v>2616.4358422369774</v>
      </c>
      <c r="GF390" s="38">
        <f t="shared" si="705"/>
        <v>2081.1639560064314</v>
      </c>
      <c r="GG390" s="38">
        <f t="shared" si="706"/>
        <v>0</v>
      </c>
      <c r="GH390" s="38">
        <f t="shared" si="707"/>
        <v>0</v>
      </c>
      <c r="GI390" s="38">
        <f t="shared" si="708"/>
        <v>3275.4599632901995</v>
      </c>
      <c r="GJ390" s="38">
        <f t="shared" si="709"/>
        <v>0</v>
      </c>
      <c r="GL390" s="38">
        <f t="shared" si="710"/>
        <v>0</v>
      </c>
      <c r="GM390" s="38">
        <f t="shared" si="711"/>
        <v>0</v>
      </c>
      <c r="GN390" s="1" t="s">
        <v>2</v>
      </c>
      <c r="GO390" s="1">
        <f t="shared" si="719"/>
        <v>175.8</v>
      </c>
      <c r="GP390" s="13">
        <f t="shared" si="720"/>
        <v>0.1497952218430034</v>
      </c>
      <c r="GQ390" s="41">
        <f t="shared" si="721"/>
        <v>263.33999999999997</v>
      </c>
      <c r="GR390" s="41">
        <f t="shared" si="722"/>
        <v>45986.563289727426</v>
      </c>
      <c r="GS390" s="14">
        <f t="shared" si="723"/>
        <v>261.58454658548021</v>
      </c>
      <c r="GT390" s="1">
        <f t="shared" si="712"/>
        <v>144.91999999999999</v>
      </c>
      <c r="GU390" s="1">
        <f t="shared" si="713"/>
        <v>79.680000000000007</v>
      </c>
      <c r="GV390" s="1">
        <f t="shared" si="714"/>
        <v>38.74</v>
      </c>
      <c r="GW390" s="37">
        <f t="shared" si="724"/>
        <v>63.1</v>
      </c>
      <c r="GX390" s="44">
        <f>(BT390*CB390+CO390*CW390)/GW390</f>
        <v>0.14115689381933438</v>
      </c>
      <c r="GY390" s="41">
        <f>1000*GW390*GX390/100</f>
        <v>89.07</v>
      </c>
      <c r="GZ390" s="41">
        <f>SUM(FU390:GM390)</f>
        <v>14205.793018443961</v>
      </c>
      <c r="HA390" s="14">
        <f>GZ390/GW390</f>
        <v>225.13142659974582</v>
      </c>
      <c r="HB390" s="1">
        <f t="shared" si="715"/>
        <v>67.55</v>
      </c>
      <c r="HC390" s="1">
        <f t="shared" si="716"/>
        <v>21.52</v>
      </c>
      <c r="HD390" s="37" t="s">
        <v>2</v>
      </c>
      <c r="HE390" s="1" t="s">
        <v>113</v>
      </c>
      <c r="HF390" s="1" t="s">
        <v>261</v>
      </c>
      <c r="HG390" s="1" t="s">
        <v>589</v>
      </c>
      <c r="HH390" s="1" t="s">
        <v>1182</v>
      </c>
      <c r="HI390" s="1" t="s">
        <v>96</v>
      </c>
      <c r="HJ390" s="37" t="s">
        <v>2</v>
      </c>
      <c r="JH390" s="58" t="s">
        <v>2</v>
      </c>
    </row>
    <row r="391" spans="1:268" ht="16.25" customHeight="1" x14ac:dyDescent="0.2">
      <c r="A391" s="15" t="s">
        <v>1187</v>
      </c>
      <c r="F391" s="1" t="s">
        <v>1009</v>
      </c>
      <c r="I391" s="1">
        <v>179.9</v>
      </c>
      <c r="J391" s="13">
        <v>1.9883268482490273E-2</v>
      </c>
      <c r="K391" s="13">
        <v>0.20146092273485267</v>
      </c>
      <c r="Q391" s="13">
        <v>0.13694274596998332</v>
      </c>
      <c r="S391" s="13">
        <v>3.464008643690939</v>
      </c>
      <c r="T391" s="13">
        <v>1.6508603390772649</v>
      </c>
      <c r="U391" s="13">
        <v>0.28540297387437458</v>
      </c>
      <c r="X391" s="14">
        <v>18.744298137206904</v>
      </c>
      <c r="AD391" s="1">
        <v>92.1</v>
      </c>
      <c r="AE391" s="13">
        <v>4.5646036916395225E-2</v>
      </c>
      <c r="AF391" s="13">
        <v>0.22676833876221494</v>
      </c>
      <c r="AL391" s="13">
        <v>0.18110749185667754</v>
      </c>
      <c r="AN391" s="13">
        <v>3.8991556026058634</v>
      </c>
      <c r="AO391" s="13">
        <v>1.8582405537459281</v>
      </c>
      <c r="AP391" s="13">
        <v>0.32125514657980453</v>
      </c>
      <c r="AS391" s="14">
        <v>10.711509258385618</v>
      </c>
      <c r="AY391" s="1">
        <v>92.4</v>
      </c>
      <c r="AZ391" s="13">
        <v>4.4318181818181812E-2</v>
      </c>
      <c r="BA391" s="13">
        <v>0.22924519480519479</v>
      </c>
      <c r="BG391" s="13">
        <v>0.17883116883116879</v>
      </c>
      <c r="BI391" s="13">
        <v>3.941743766233766</v>
      </c>
      <c r="BJ391" s="13">
        <v>1.8785370129870129</v>
      </c>
      <c r="BK391" s="13">
        <v>0.32476402597402593</v>
      </c>
      <c r="BL391" s="13"/>
      <c r="BM391" s="13"/>
      <c r="BN391" s="14">
        <v>11.12553229682497</v>
      </c>
      <c r="BT391" s="1">
        <v>40.4</v>
      </c>
      <c r="BU391" s="13">
        <v>1.0173267326732674E-2</v>
      </c>
      <c r="BV391" s="13">
        <v>3.2979133663366335E-2</v>
      </c>
      <c r="CB391" s="13">
        <v>0.12029702970297029</v>
      </c>
      <c r="CD391" s="13">
        <v>2.7315577475247528</v>
      </c>
      <c r="CE391" s="13">
        <v>1.3586158415841585</v>
      </c>
      <c r="CF391" s="13">
        <v>0.52950995049504945</v>
      </c>
      <c r="CG391" s="13"/>
      <c r="CH391" s="13"/>
      <c r="CI391" s="14">
        <v>21.772141455979018</v>
      </c>
      <c r="CO391" s="1">
        <v>0.1</v>
      </c>
      <c r="CP391" s="13">
        <v>0.01</v>
      </c>
      <c r="CQ391" s="13">
        <v>3.1220000000000001E-2</v>
      </c>
      <c r="CW391" s="13">
        <v>0.12</v>
      </c>
      <c r="CY391" s="13">
        <v>2.61802</v>
      </c>
      <c r="CZ391" s="13">
        <v>1.3023199999999997</v>
      </c>
      <c r="DA391" s="13">
        <v>0.50844</v>
      </c>
      <c r="DB391" s="13"/>
      <c r="DC391" s="13"/>
      <c r="DD391" s="14">
        <v>21.825885015427328</v>
      </c>
      <c r="DJ391" s="1" t="s">
        <v>96</v>
      </c>
      <c r="DL391" s="1">
        <f t="shared" si="717"/>
        <v>0.1587266739846323</v>
      </c>
      <c r="DM391" s="1">
        <f t="shared" si="718"/>
        <v>0</v>
      </c>
      <c r="DN391" s="1" t="s">
        <v>73</v>
      </c>
      <c r="DO391" s="1" t="s">
        <v>2</v>
      </c>
      <c r="DP391" s="38">
        <f t="shared" si="640"/>
        <v>0.11875999999999999</v>
      </c>
      <c r="DQ391" s="38">
        <f t="shared" si="641"/>
        <v>78.310439999999986</v>
      </c>
      <c r="DR391" s="38">
        <f t="shared" si="642"/>
        <v>0</v>
      </c>
      <c r="DS391" s="38">
        <f t="shared" si="643"/>
        <v>0</v>
      </c>
      <c r="DT391" s="38">
        <f t="shared" si="644"/>
        <v>0</v>
      </c>
      <c r="DU391" s="38">
        <f t="shared" si="645"/>
        <v>0</v>
      </c>
      <c r="DV391" s="38">
        <f t="shared" si="646"/>
        <v>0</v>
      </c>
      <c r="DW391" s="38">
        <f t="shared" si="647"/>
        <v>0.57840000000000003</v>
      </c>
      <c r="DX391" s="38">
        <f t="shared" si="648"/>
        <v>0</v>
      </c>
      <c r="DY391" s="38">
        <f t="shared" si="649"/>
        <v>1346.50451</v>
      </c>
      <c r="DZ391" s="38">
        <f t="shared" si="650"/>
        <v>641.7105499999999</v>
      </c>
      <c r="EA391" s="38">
        <f t="shared" si="651"/>
        <v>110.93978999999997</v>
      </c>
      <c r="EB391" s="38">
        <f t="shared" si="652"/>
        <v>0</v>
      </c>
      <c r="EC391" s="38">
        <f t="shared" si="653"/>
        <v>0</v>
      </c>
      <c r="ED391" s="38">
        <f t="shared" si="654"/>
        <v>53.86628421807464</v>
      </c>
      <c r="EE391" s="38">
        <f t="shared" si="655"/>
        <v>0</v>
      </c>
      <c r="EG391" s="38">
        <f t="shared" si="656"/>
        <v>0</v>
      </c>
      <c r="EH391" s="38">
        <f t="shared" si="657"/>
        <v>0</v>
      </c>
      <c r="EI391" s="38">
        <f t="shared" si="658"/>
        <v>774.98215615999993</v>
      </c>
      <c r="EJ391" s="38">
        <f t="shared" si="659"/>
        <v>3202.9221762057869</v>
      </c>
      <c r="EK391" s="38">
        <f t="shared" si="660"/>
        <v>0</v>
      </c>
      <c r="EL391" s="38">
        <f t="shared" si="661"/>
        <v>0</v>
      </c>
      <c r="EM391" s="38">
        <f t="shared" si="662"/>
        <v>0</v>
      </c>
      <c r="EN391" s="38">
        <f t="shared" si="663"/>
        <v>0</v>
      </c>
      <c r="EO391" s="38">
        <f t="shared" si="664"/>
        <v>0</v>
      </c>
      <c r="EP391" s="38">
        <f t="shared" si="665"/>
        <v>7585.1376</v>
      </c>
      <c r="EQ391" s="38">
        <f t="shared" si="666"/>
        <v>0</v>
      </c>
      <c r="ER391" s="38">
        <f t="shared" si="667"/>
        <v>38215.616424327964</v>
      </c>
      <c r="ES391" s="38">
        <f t="shared" si="668"/>
        <v>21385.46833879421</v>
      </c>
      <c r="ET391" s="38">
        <f t="shared" si="669"/>
        <v>7938.0808581028932</v>
      </c>
      <c r="EU391" s="38">
        <f t="shared" si="670"/>
        <v>0</v>
      </c>
      <c r="EV391" s="38">
        <f t="shared" si="671"/>
        <v>0</v>
      </c>
      <c r="EW391" s="38">
        <f t="shared" si="672"/>
        <v>15028.693296842825</v>
      </c>
      <c r="EX391" s="38">
        <f t="shared" si="673"/>
        <v>0</v>
      </c>
      <c r="EZ391" s="38">
        <f t="shared" si="674"/>
        <v>0</v>
      </c>
      <c r="FA391" s="38">
        <f t="shared" si="675"/>
        <v>0</v>
      </c>
      <c r="FB391" s="1">
        <f t="shared" si="676"/>
        <v>4.1199999999999995E-3</v>
      </c>
      <c r="FC391" s="1">
        <f t="shared" si="677"/>
        <v>1.3354789999999999</v>
      </c>
      <c r="FD391" s="1">
        <f t="shared" si="678"/>
        <v>0</v>
      </c>
      <c r="FE391" s="1">
        <f t="shared" si="679"/>
        <v>0</v>
      </c>
      <c r="FF391" s="1">
        <f t="shared" si="680"/>
        <v>0</v>
      </c>
      <c r="FG391" s="1">
        <f t="shared" si="681"/>
        <v>0</v>
      </c>
      <c r="FH391" s="1">
        <f t="shared" si="682"/>
        <v>0</v>
      </c>
      <c r="FI391" s="1">
        <f t="shared" si="683"/>
        <v>4.8719999999999992E-2</v>
      </c>
      <c r="FJ391" s="1">
        <f t="shared" si="684"/>
        <v>0</v>
      </c>
      <c r="FK391" s="1">
        <f t="shared" si="685"/>
        <v>110.61673500000001</v>
      </c>
      <c r="FL391" s="1">
        <f t="shared" si="686"/>
        <v>55.018312000000002</v>
      </c>
      <c r="FM391" s="1">
        <f t="shared" si="687"/>
        <v>21.443045999999999</v>
      </c>
      <c r="FN391" s="1">
        <f t="shared" si="688"/>
        <v>0</v>
      </c>
      <c r="FO391" s="1">
        <f t="shared" si="689"/>
        <v>0</v>
      </c>
      <c r="FP391" s="1">
        <f t="shared" si="690"/>
        <v>8.8177710332309491</v>
      </c>
      <c r="FQ391" s="1">
        <f t="shared" si="691"/>
        <v>0</v>
      </c>
      <c r="FS391" s="1">
        <f t="shared" si="692"/>
        <v>0</v>
      </c>
      <c r="FT391" s="1">
        <f t="shared" si="693"/>
        <v>0</v>
      </c>
      <c r="FU391" s="38">
        <f t="shared" si="694"/>
        <v>26.885537919999997</v>
      </c>
      <c r="FV391" s="38">
        <f t="shared" si="695"/>
        <v>54.621520514469445</v>
      </c>
      <c r="FW391" s="38">
        <f t="shared" si="696"/>
        <v>0</v>
      </c>
      <c r="FX391" s="38">
        <f t="shared" si="697"/>
        <v>0</v>
      </c>
      <c r="FY391" s="38">
        <f t="shared" si="698"/>
        <v>0</v>
      </c>
      <c r="FZ391" s="38">
        <f t="shared" si="699"/>
        <v>0</v>
      </c>
      <c r="GA391" s="38">
        <f t="shared" si="700"/>
        <v>0</v>
      </c>
      <c r="GB391" s="38">
        <f t="shared" si="701"/>
        <v>638.9140799999999</v>
      </c>
      <c r="GC391" s="38">
        <f t="shared" si="702"/>
        <v>0</v>
      </c>
      <c r="GD391" s="38">
        <f t="shared" si="703"/>
        <v>3139.4523252443728</v>
      </c>
      <c r="GE391" s="38">
        <f t="shared" si="704"/>
        <v>1833.5250516450162</v>
      </c>
      <c r="GF391" s="38">
        <f t="shared" si="705"/>
        <v>1534.3154425659166</v>
      </c>
      <c r="GG391" s="38">
        <f t="shared" si="706"/>
        <v>0</v>
      </c>
      <c r="GH391" s="38">
        <f t="shared" si="707"/>
        <v>0</v>
      </c>
      <c r="GI391" s="38">
        <f t="shared" si="708"/>
        <v>2460.1581182714349</v>
      </c>
      <c r="GJ391" s="38">
        <f t="shared" si="709"/>
        <v>0</v>
      </c>
      <c r="GL391" s="38">
        <f t="shared" si="710"/>
        <v>0</v>
      </c>
      <c r="GM391" s="38">
        <f t="shared" si="711"/>
        <v>0</v>
      </c>
      <c r="GN391" s="1" t="s">
        <v>2</v>
      </c>
      <c r="GO391" s="1">
        <f t="shared" si="719"/>
        <v>364.4</v>
      </c>
      <c r="GP391" s="13">
        <f t="shared" si="720"/>
        <v>0.1587266739846323</v>
      </c>
      <c r="GQ391" s="41">
        <f t="shared" si="721"/>
        <v>578.40000000000009</v>
      </c>
      <c r="GR391" s="41">
        <f t="shared" si="722"/>
        <v>94130.900850433682</v>
      </c>
      <c r="GS391" s="14">
        <f t="shared" si="723"/>
        <v>258.31751056650296</v>
      </c>
      <c r="GT391" s="1">
        <f t="shared" si="712"/>
        <v>246.36</v>
      </c>
      <c r="GU391" s="1">
        <f t="shared" si="713"/>
        <v>166.8</v>
      </c>
      <c r="GV391" s="1">
        <f t="shared" si="714"/>
        <v>165.23999999999995</v>
      </c>
      <c r="GW391" s="37">
        <f t="shared" si="724"/>
        <v>40.5</v>
      </c>
      <c r="GX391" s="44">
        <f>(BT391*CB391+CO391*CW391)/GW391</f>
        <v>0.12029629629629628</v>
      </c>
      <c r="GY391" s="41">
        <f>1000*GW391*GX391/100</f>
        <v>48.719999999999992</v>
      </c>
      <c r="GZ391" s="41">
        <f>SUM(FU391:GM391)</f>
        <v>9687.8720761612094</v>
      </c>
      <c r="HA391" s="14">
        <f>GZ391/GW391</f>
        <v>239.2067179299064</v>
      </c>
      <c r="HB391" s="1">
        <f t="shared" si="715"/>
        <v>48.599999999999994</v>
      </c>
      <c r="HC391" s="1">
        <f t="shared" si="716"/>
        <v>0.12</v>
      </c>
      <c r="HD391" s="37" t="s">
        <v>2</v>
      </c>
      <c r="HE391" s="1" t="s">
        <v>113</v>
      </c>
      <c r="HF391" s="1" t="s">
        <v>261</v>
      </c>
      <c r="HG391" s="1" t="s">
        <v>589</v>
      </c>
      <c r="HH391" s="1" t="s">
        <v>1182</v>
      </c>
      <c r="HI391" s="1" t="s">
        <v>96</v>
      </c>
      <c r="HJ391" s="37" t="s">
        <v>2</v>
      </c>
      <c r="JH391" s="58" t="s">
        <v>2</v>
      </c>
    </row>
    <row r="392" spans="1:268" ht="16.25" customHeight="1" x14ac:dyDescent="0.2">
      <c r="A392" s="15" t="s">
        <v>1190</v>
      </c>
      <c r="F392" s="1" t="s">
        <v>1191</v>
      </c>
      <c r="I392" s="1">
        <v>6.6980000000000004</v>
      </c>
      <c r="J392" s="13">
        <v>8.8627284768528908E-2</v>
      </c>
      <c r="K392" s="13">
        <v>0.23825999999999997</v>
      </c>
      <c r="Q392" s="13">
        <v>0.2156295867868934</v>
      </c>
      <c r="S392" s="13">
        <v>4.0566899999999997</v>
      </c>
      <c r="T392" s="13">
        <v>1.6866300000000001</v>
      </c>
      <c r="U392" s="13">
        <v>0.28841999999999995</v>
      </c>
      <c r="AD392" s="1">
        <v>50.986999999999995</v>
      </c>
      <c r="AE392" s="13">
        <v>4.147684110533801E-2</v>
      </c>
      <c r="AF392" s="13">
        <v>9.3933818424304247E-2</v>
      </c>
      <c r="AL392" s="13">
        <v>0.14903304313763949</v>
      </c>
      <c r="AN392" s="13">
        <v>3.1791663369094088</v>
      </c>
      <c r="AO392" s="13">
        <v>1.4525827289309041</v>
      </c>
      <c r="AP392" s="13">
        <v>0.41587007590170044</v>
      </c>
      <c r="AY392" s="1">
        <v>21.32</v>
      </c>
      <c r="AZ392" s="13">
        <v>5.6084803663925431E-2</v>
      </c>
      <c r="BA392" s="13">
        <v>0.12568529080675425</v>
      </c>
      <c r="BG392" s="13">
        <v>0.15620543421284055</v>
      </c>
      <c r="BI392" s="13">
        <v>3.1799967016885553</v>
      </c>
      <c r="BJ392" s="13">
        <v>1.4082384803001877</v>
      </c>
      <c r="BK392" s="13">
        <v>0.35106618386491556</v>
      </c>
      <c r="BL392" s="13"/>
      <c r="BM392" s="13"/>
      <c r="BT392" s="1">
        <v>7.0519999999999996</v>
      </c>
      <c r="BU392" s="13">
        <v>8.8627284768528908E-2</v>
      </c>
      <c r="BV392" s="13">
        <v>0.19303999999999999</v>
      </c>
      <c r="CB392" s="13">
        <v>0.2156295867868934</v>
      </c>
      <c r="CD392" s="13">
        <v>3.2867600000000001</v>
      </c>
      <c r="CE392" s="13">
        <v>1.36652</v>
      </c>
      <c r="CF392" s="13">
        <v>0.23368</v>
      </c>
      <c r="CG392" s="13"/>
      <c r="CH392" s="13"/>
      <c r="CO392" s="1">
        <v>54.070000000000007</v>
      </c>
      <c r="CP392" s="13">
        <v>4.1291636725162659E-2</v>
      </c>
      <c r="CQ392" s="13">
        <v>7.5481501756981678E-2</v>
      </c>
      <c r="CW392" s="13">
        <v>0.1487714555335761</v>
      </c>
      <c r="CY392" s="13">
        <v>2.5560471499907522</v>
      </c>
      <c r="CZ392" s="13">
        <v>1.1679334270390234</v>
      </c>
      <c r="DA392" s="13">
        <v>0.33444352136119837</v>
      </c>
      <c r="DB392" s="13"/>
      <c r="DC392" s="13"/>
      <c r="DJ392" s="1" t="s">
        <v>96</v>
      </c>
      <c r="DL392" s="1">
        <f t="shared" si="717"/>
        <v>0.15661457629485723</v>
      </c>
      <c r="DM392" s="1">
        <f t="shared" si="718"/>
        <v>0</v>
      </c>
      <c r="DN392" s="1" t="s">
        <v>67</v>
      </c>
      <c r="DO392" s="1" t="s">
        <v>2</v>
      </c>
      <c r="DP392" s="38">
        <f t="shared" si="640"/>
        <v>3.9041332649323655E-2</v>
      </c>
      <c r="DQ392" s="38">
        <f t="shared" si="641"/>
        <v>9.0648794800000001</v>
      </c>
      <c r="DR392" s="38">
        <f t="shared" si="642"/>
        <v>0</v>
      </c>
      <c r="DS392" s="38">
        <f t="shared" si="643"/>
        <v>0</v>
      </c>
      <c r="DT392" s="38">
        <f t="shared" si="644"/>
        <v>0</v>
      </c>
      <c r="DU392" s="38">
        <f t="shared" si="645"/>
        <v>0</v>
      </c>
      <c r="DV392" s="38">
        <f t="shared" si="646"/>
        <v>0</v>
      </c>
      <c r="DW392" s="38">
        <f t="shared" si="647"/>
        <v>0.12373334600175195</v>
      </c>
      <c r="DX392" s="38">
        <f t="shared" si="648"/>
        <v>0</v>
      </c>
      <c r="DY392" s="38">
        <f t="shared" si="649"/>
        <v>257.06539332</v>
      </c>
      <c r="DZ392" s="38">
        <f t="shared" si="650"/>
        <v>115.38352774000001</v>
      </c>
      <c r="EA392" s="38">
        <f t="shared" si="651"/>
        <v>30.620535759999999</v>
      </c>
      <c r="EB392" s="38">
        <f t="shared" si="652"/>
        <v>0</v>
      </c>
      <c r="EC392" s="38">
        <f t="shared" si="653"/>
        <v>0</v>
      </c>
      <c r="ED392" s="38">
        <f t="shared" si="654"/>
        <v>0</v>
      </c>
      <c r="EE392" s="38">
        <f t="shared" si="655"/>
        <v>0</v>
      </c>
      <c r="EG392" s="38">
        <f t="shared" si="656"/>
        <v>0</v>
      </c>
      <c r="EH392" s="38">
        <f t="shared" si="657"/>
        <v>0</v>
      </c>
      <c r="EI392" s="38">
        <f t="shared" si="658"/>
        <v>254.76874499774883</v>
      </c>
      <c r="EJ392" s="38">
        <f t="shared" si="659"/>
        <v>370.75648548424437</v>
      </c>
      <c r="EK392" s="38">
        <f t="shared" si="660"/>
        <v>0</v>
      </c>
      <c r="EL392" s="38">
        <f t="shared" si="661"/>
        <v>0</v>
      </c>
      <c r="EM392" s="38">
        <f t="shared" si="662"/>
        <v>0</v>
      </c>
      <c r="EN392" s="38">
        <f t="shared" si="663"/>
        <v>0</v>
      </c>
      <c r="EO392" s="38">
        <f t="shared" si="664"/>
        <v>0</v>
      </c>
      <c r="EP392" s="38">
        <f t="shared" si="665"/>
        <v>1622.639099466975</v>
      </c>
      <c r="EQ392" s="38">
        <f t="shared" si="666"/>
        <v>0</v>
      </c>
      <c r="ER392" s="38">
        <f t="shared" si="667"/>
        <v>7295.8630246891053</v>
      </c>
      <c r="ES392" s="38">
        <f t="shared" si="668"/>
        <v>3845.2395387642514</v>
      </c>
      <c r="ET392" s="38">
        <f t="shared" si="669"/>
        <v>2190.9928690266242</v>
      </c>
      <c r="EU392" s="38">
        <f t="shared" si="670"/>
        <v>0</v>
      </c>
      <c r="EV392" s="38">
        <f t="shared" si="671"/>
        <v>0</v>
      </c>
      <c r="EW392" s="38">
        <f t="shared" si="672"/>
        <v>0</v>
      </c>
      <c r="EX392" s="38">
        <f t="shared" si="673"/>
        <v>0</v>
      </c>
      <c r="EZ392" s="38">
        <f t="shared" si="674"/>
        <v>0</v>
      </c>
      <c r="FA392" s="38">
        <f t="shared" si="675"/>
        <v>0</v>
      </c>
      <c r="FB392" s="1">
        <f t="shared" si="676"/>
        <v>2.8576384099172111E-2</v>
      </c>
      <c r="FC392" s="1">
        <f t="shared" si="677"/>
        <v>5.442602879999999</v>
      </c>
      <c r="FD392" s="1">
        <f t="shared" si="678"/>
        <v>0</v>
      </c>
      <c r="FE392" s="1">
        <f t="shared" si="679"/>
        <v>0</v>
      </c>
      <c r="FF392" s="1">
        <f t="shared" si="680"/>
        <v>0</v>
      </c>
      <c r="FG392" s="1">
        <f t="shared" si="681"/>
        <v>0</v>
      </c>
      <c r="FH392" s="1">
        <f t="shared" si="682"/>
        <v>0</v>
      </c>
      <c r="FI392" s="1">
        <f t="shared" si="683"/>
        <v>9.5646924467216329E-2</v>
      </c>
      <c r="FJ392" s="1">
        <f t="shared" si="684"/>
        <v>0</v>
      </c>
      <c r="FK392" s="1">
        <f t="shared" si="685"/>
        <v>161.38370092</v>
      </c>
      <c r="FL392" s="1">
        <f t="shared" si="686"/>
        <v>72.786859440000001</v>
      </c>
      <c r="FM392" s="1">
        <f t="shared" si="687"/>
        <v>19.731272559999997</v>
      </c>
      <c r="FN392" s="1">
        <f t="shared" si="688"/>
        <v>0</v>
      </c>
      <c r="FO392" s="1">
        <f t="shared" si="689"/>
        <v>0</v>
      </c>
      <c r="FP392" s="1">
        <f t="shared" si="690"/>
        <v>0</v>
      </c>
      <c r="FQ392" s="1">
        <f t="shared" si="691"/>
        <v>0</v>
      </c>
      <c r="FS392" s="1">
        <f t="shared" si="692"/>
        <v>0</v>
      </c>
      <c r="FT392" s="1">
        <f t="shared" si="693"/>
        <v>0</v>
      </c>
      <c r="FU392" s="38">
        <f t="shared" si="694"/>
        <v>186.47850929970312</v>
      </c>
      <c r="FV392" s="38">
        <f t="shared" si="695"/>
        <v>222.60420782508032</v>
      </c>
      <c r="FW392" s="38">
        <f t="shared" si="696"/>
        <v>0</v>
      </c>
      <c r="FX392" s="38">
        <f t="shared" si="697"/>
        <v>0</v>
      </c>
      <c r="FY392" s="38">
        <f t="shared" si="698"/>
        <v>0</v>
      </c>
      <c r="FZ392" s="38">
        <f t="shared" si="699"/>
        <v>0</v>
      </c>
      <c r="GA392" s="38">
        <f t="shared" si="700"/>
        <v>0</v>
      </c>
      <c r="GB392" s="38">
        <f t="shared" si="701"/>
        <v>1254.313767463075</v>
      </c>
      <c r="GC392" s="38">
        <f t="shared" si="702"/>
        <v>0</v>
      </c>
      <c r="GD392" s="38">
        <f t="shared" si="703"/>
        <v>4580.2873779436386</v>
      </c>
      <c r="GE392" s="38">
        <f t="shared" si="704"/>
        <v>2425.6747501414534</v>
      </c>
      <c r="GF392" s="38">
        <f t="shared" si="705"/>
        <v>1411.8328240439871</v>
      </c>
      <c r="GG392" s="38">
        <f t="shared" si="706"/>
        <v>0</v>
      </c>
      <c r="GH392" s="38">
        <f t="shared" si="707"/>
        <v>0</v>
      </c>
      <c r="GI392" s="38">
        <f t="shared" si="708"/>
        <v>0</v>
      </c>
      <c r="GJ392" s="38">
        <f t="shared" si="709"/>
        <v>0</v>
      </c>
      <c r="GL392" s="38">
        <f t="shared" si="710"/>
        <v>0</v>
      </c>
      <c r="GM392" s="38">
        <f t="shared" si="711"/>
        <v>0</v>
      </c>
      <c r="GN392" s="1" t="s">
        <v>2</v>
      </c>
      <c r="GO392" s="13">
        <f t="shared" si="719"/>
        <v>79.004999999999995</v>
      </c>
      <c r="GP392" s="13">
        <f t="shared" si="720"/>
        <v>0.15661457629485723</v>
      </c>
      <c r="GQ392" s="41">
        <f t="shared" si="721"/>
        <v>123.73334600175195</v>
      </c>
      <c r="GR392" s="41">
        <f t="shared" si="722"/>
        <v>15580.25976242895</v>
      </c>
      <c r="GS392" s="14">
        <f t="shared" si="723"/>
        <v>197.20599661323905</v>
      </c>
      <c r="GT392" s="1">
        <f t="shared" si="712"/>
        <v>14.442869722986121</v>
      </c>
      <c r="GU392" s="1">
        <f t="shared" si="713"/>
        <v>75.98747770458823</v>
      </c>
      <c r="GV392" s="1">
        <f t="shared" si="714"/>
        <v>33.302998574177607</v>
      </c>
      <c r="GW392" s="37">
        <f t="shared" si="724"/>
        <v>61.122000000000007</v>
      </c>
      <c r="GX392" s="44">
        <f>(BT392*CB392+CO392*CW392)/GW392</f>
        <v>0.15648526629890436</v>
      </c>
      <c r="GY392" s="41">
        <f>1000*GW392*GX392/100</f>
        <v>95.646924467216337</v>
      </c>
      <c r="GZ392" s="41">
        <f>SUM(FU392:GM392)</f>
        <v>10081.191436716939</v>
      </c>
      <c r="HA392" s="14">
        <f>GZ392/GW392</f>
        <v>164.93556226427373</v>
      </c>
      <c r="HB392" s="1">
        <f t="shared" si="715"/>
        <v>15.206198460211722</v>
      </c>
      <c r="HC392" s="1">
        <f t="shared" si="716"/>
        <v>80.440726007004599</v>
      </c>
      <c r="HD392" s="37" t="s">
        <v>2</v>
      </c>
      <c r="HE392" s="1" t="s">
        <v>113</v>
      </c>
      <c r="HF392" s="1" t="s">
        <v>261</v>
      </c>
      <c r="HG392" s="1" t="s">
        <v>589</v>
      </c>
      <c r="HH392" s="1" t="s">
        <v>1182</v>
      </c>
      <c r="HI392" s="1" t="s">
        <v>96</v>
      </c>
      <c r="HJ392" s="37" t="s">
        <v>2</v>
      </c>
      <c r="JH392" s="58" t="s">
        <v>2</v>
      </c>
    </row>
    <row r="393" spans="1:268" ht="16.25" customHeight="1" x14ac:dyDescent="0.2">
      <c r="A393" s="15" t="s">
        <v>1192</v>
      </c>
      <c r="F393" s="1" t="s">
        <v>1193</v>
      </c>
      <c r="I393" s="1">
        <v>0</v>
      </c>
      <c r="AD393" s="1">
        <v>13.685</v>
      </c>
      <c r="AE393" s="13">
        <v>2.9148595329822911E-2</v>
      </c>
      <c r="AF393" s="1">
        <v>0.02</v>
      </c>
      <c r="AL393" s="13">
        <v>0.11240231217618901</v>
      </c>
      <c r="AN393" s="1">
        <v>1.32</v>
      </c>
      <c r="AO393" s="1">
        <v>0.59</v>
      </c>
      <c r="AP393" s="1">
        <v>0.24</v>
      </c>
      <c r="AY393" s="1">
        <v>9.9450000000000003</v>
      </c>
      <c r="AZ393" s="13">
        <v>2.9148595329822911E-2</v>
      </c>
      <c r="BA393" s="1">
        <v>0.03</v>
      </c>
      <c r="BG393" s="13">
        <v>0.11240231217618901</v>
      </c>
      <c r="BI393" s="1">
        <v>2.36</v>
      </c>
      <c r="BJ393" s="1">
        <v>0.98</v>
      </c>
      <c r="BK393" s="1">
        <v>0.38</v>
      </c>
      <c r="BT393" s="1">
        <v>0</v>
      </c>
      <c r="CO393" s="1">
        <v>0</v>
      </c>
      <c r="DL393" s="1">
        <f t="shared" si="717"/>
        <v>0.11240231217618898</v>
      </c>
      <c r="DM393" s="1">
        <f t="shared" si="718"/>
        <v>0</v>
      </c>
      <c r="DN393" s="1" t="s">
        <v>164</v>
      </c>
      <c r="DO393" s="1" t="s">
        <v>2</v>
      </c>
      <c r="DP393" s="38">
        <f t="shared" si="640"/>
        <v>6.8878130764371548E-3</v>
      </c>
      <c r="DQ393" s="38">
        <f t="shared" si="641"/>
        <v>0.57204999999999995</v>
      </c>
      <c r="DR393" s="38">
        <f t="shared" si="642"/>
        <v>0</v>
      </c>
      <c r="DS393" s="38">
        <f t="shared" si="643"/>
        <v>0</v>
      </c>
      <c r="DT393" s="38">
        <f t="shared" si="644"/>
        <v>0</v>
      </c>
      <c r="DU393" s="38">
        <f t="shared" si="645"/>
        <v>0</v>
      </c>
      <c r="DV393" s="38">
        <f t="shared" si="646"/>
        <v>0</v>
      </c>
      <c r="DW393" s="38">
        <f t="shared" si="647"/>
        <v>2.6560666367233463E-2</v>
      </c>
      <c r="DX393" s="38">
        <f t="shared" si="648"/>
        <v>0</v>
      </c>
      <c r="DY393" s="38">
        <f t="shared" si="649"/>
        <v>41.534400000000005</v>
      </c>
      <c r="DZ393" s="38">
        <f t="shared" si="650"/>
        <v>17.820250000000001</v>
      </c>
      <c r="EA393" s="38">
        <f t="shared" si="651"/>
        <v>7.0635000000000003</v>
      </c>
      <c r="EB393" s="38">
        <f t="shared" si="652"/>
        <v>0</v>
      </c>
      <c r="EC393" s="38">
        <f t="shared" si="653"/>
        <v>0</v>
      </c>
      <c r="ED393" s="38">
        <f t="shared" si="654"/>
        <v>0</v>
      </c>
      <c r="EE393" s="38">
        <f t="shared" si="655"/>
        <v>0</v>
      </c>
      <c r="EG393" s="38">
        <f t="shared" si="656"/>
        <v>0</v>
      </c>
      <c r="EH393" s="38">
        <f t="shared" si="657"/>
        <v>0</v>
      </c>
      <c r="EI393" s="38">
        <f t="shared" si="658"/>
        <v>44.947223216607519</v>
      </c>
      <c r="EJ393" s="38">
        <f t="shared" si="659"/>
        <v>23.397028938906747</v>
      </c>
      <c r="EK393" s="38">
        <f t="shared" si="660"/>
        <v>0</v>
      </c>
      <c r="EL393" s="38">
        <f t="shared" si="661"/>
        <v>0</v>
      </c>
      <c r="EM393" s="38">
        <f t="shared" si="662"/>
        <v>0</v>
      </c>
      <c r="EN393" s="38">
        <f t="shared" si="663"/>
        <v>0</v>
      </c>
      <c r="EO393" s="38">
        <f t="shared" si="664"/>
        <v>0</v>
      </c>
      <c r="EP393" s="38">
        <f t="shared" si="665"/>
        <v>348.31657873989963</v>
      </c>
      <c r="EQ393" s="38">
        <f t="shared" si="666"/>
        <v>0</v>
      </c>
      <c r="ER393" s="38">
        <f t="shared" si="667"/>
        <v>1178.802363472669</v>
      </c>
      <c r="ES393" s="38">
        <f t="shared" si="668"/>
        <v>593.87272371382642</v>
      </c>
      <c r="ET393" s="38">
        <f t="shared" si="669"/>
        <v>505.4150016077171</v>
      </c>
      <c r="EU393" s="38">
        <f t="shared" si="670"/>
        <v>0</v>
      </c>
      <c r="EV393" s="38">
        <f t="shared" si="671"/>
        <v>0</v>
      </c>
      <c r="EW393" s="38">
        <f t="shared" si="672"/>
        <v>0</v>
      </c>
      <c r="EX393" s="38">
        <f t="shared" si="673"/>
        <v>0</v>
      </c>
      <c r="EZ393" s="38">
        <f t="shared" si="674"/>
        <v>0</v>
      </c>
      <c r="FA393" s="38">
        <f t="shared" si="675"/>
        <v>0</v>
      </c>
      <c r="FB393" s="1">
        <f t="shared" si="676"/>
        <v>0</v>
      </c>
      <c r="FC393" s="1">
        <f t="shared" si="677"/>
        <v>0</v>
      </c>
      <c r="FD393" s="1">
        <f t="shared" si="678"/>
        <v>0</v>
      </c>
      <c r="FE393" s="1">
        <f t="shared" si="679"/>
        <v>0</v>
      </c>
      <c r="FF393" s="1">
        <f t="shared" si="680"/>
        <v>0</v>
      </c>
      <c r="FG393" s="1">
        <f t="shared" si="681"/>
        <v>0</v>
      </c>
      <c r="FH393" s="1">
        <f t="shared" si="682"/>
        <v>0</v>
      </c>
      <c r="FI393" s="1">
        <f t="shared" si="683"/>
        <v>0</v>
      </c>
      <c r="FJ393" s="1">
        <f t="shared" si="684"/>
        <v>0</v>
      </c>
      <c r="FK393" s="1">
        <f t="shared" si="685"/>
        <v>0</v>
      </c>
      <c r="FL393" s="1">
        <f t="shared" si="686"/>
        <v>0</v>
      </c>
      <c r="FM393" s="1">
        <f t="shared" si="687"/>
        <v>0</v>
      </c>
      <c r="FN393" s="1">
        <f t="shared" si="688"/>
        <v>0</v>
      </c>
      <c r="FO393" s="1">
        <f t="shared" si="689"/>
        <v>0</v>
      </c>
      <c r="FP393" s="1">
        <f t="shared" si="690"/>
        <v>0</v>
      </c>
      <c r="FQ393" s="1">
        <f t="shared" si="691"/>
        <v>0</v>
      </c>
      <c r="FS393" s="1">
        <f t="shared" si="692"/>
        <v>0</v>
      </c>
      <c r="FT393" s="1">
        <f t="shared" si="693"/>
        <v>0</v>
      </c>
      <c r="FU393" s="38">
        <f t="shared" si="694"/>
        <v>0</v>
      </c>
      <c r="FV393" s="38">
        <f t="shared" si="695"/>
        <v>0</v>
      </c>
      <c r="FW393" s="38">
        <f t="shared" si="696"/>
        <v>0</v>
      </c>
      <c r="FX393" s="38">
        <f t="shared" si="697"/>
        <v>0</v>
      </c>
      <c r="FY393" s="38">
        <f t="shared" si="698"/>
        <v>0</v>
      </c>
      <c r="FZ393" s="38">
        <f t="shared" si="699"/>
        <v>0</v>
      </c>
      <c r="GA393" s="38">
        <f t="shared" si="700"/>
        <v>0</v>
      </c>
      <c r="GB393" s="38">
        <f t="shared" si="701"/>
        <v>0</v>
      </c>
      <c r="GC393" s="38">
        <f t="shared" si="702"/>
        <v>0</v>
      </c>
      <c r="GD393" s="38">
        <f t="shared" si="703"/>
        <v>0</v>
      </c>
      <c r="GE393" s="38">
        <f t="shared" si="704"/>
        <v>0</v>
      </c>
      <c r="GF393" s="38">
        <f t="shared" si="705"/>
        <v>0</v>
      </c>
      <c r="GG393" s="38">
        <f t="shared" si="706"/>
        <v>0</v>
      </c>
      <c r="GH393" s="38">
        <f t="shared" si="707"/>
        <v>0</v>
      </c>
      <c r="GI393" s="38">
        <f t="shared" si="708"/>
        <v>0</v>
      </c>
      <c r="GJ393" s="38">
        <f t="shared" si="709"/>
        <v>0</v>
      </c>
      <c r="GL393" s="38">
        <f t="shared" si="710"/>
        <v>0</v>
      </c>
      <c r="GM393" s="38">
        <f t="shared" si="711"/>
        <v>0</v>
      </c>
      <c r="GN393" s="1" t="s">
        <v>2</v>
      </c>
      <c r="GO393" s="1">
        <f t="shared" si="719"/>
        <v>23.630000000000003</v>
      </c>
      <c r="GP393" s="13">
        <f t="shared" si="720"/>
        <v>0.11240231217618898</v>
      </c>
      <c r="GQ393" s="41">
        <f t="shared" si="721"/>
        <v>26.560666367233463</v>
      </c>
      <c r="GR393" s="41">
        <f t="shared" si="722"/>
        <v>2694.7509196896262</v>
      </c>
      <c r="GS393" s="14">
        <f t="shared" si="723"/>
        <v>114.0393956703185</v>
      </c>
      <c r="GT393" s="1">
        <f t="shared" si="712"/>
        <v>0</v>
      </c>
      <c r="GU393" s="1">
        <f t="shared" si="713"/>
        <v>15.382256421311467</v>
      </c>
      <c r="GV393" s="1">
        <f t="shared" si="714"/>
        <v>11.178409945921997</v>
      </c>
      <c r="GW393" s="37">
        <f t="shared" si="724"/>
        <v>0</v>
      </c>
      <c r="GX393" s="37"/>
      <c r="GY393" s="37"/>
      <c r="GZ393" s="37"/>
      <c r="HB393" s="1">
        <f t="shared" si="715"/>
        <v>0</v>
      </c>
      <c r="HC393" s="1">
        <f t="shared" si="716"/>
        <v>0</v>
      </c>
      <c r="HD393" s="37" t="s">
        <v>2</v>
      </c>
      <c r="HE393" s="1" t="s">
        <v>113</v>
      </c>
      <c r="HF393" s="1" t="s">
        <v>261</v>
      </c>
      <c r="HG393" s="1" t="s">
        <v>589</v>
      </c>
      <c r="HH393" s="1" t="s">
        <v>1194</v>
      </c>
      <c r="HI393" s="1" t="s">
        <v>96</v>
      </c>
      <c r="HJ393" s="37" t="s">
        <v>2</v>
      </c>
      <c r="JH393" s="58" t="s">
        <v>2</v>
      </c>
    </row>
    <row r="394" spans="1:268" ht="16.25" customHeight="1" x14ac:dyDescent="0.2">
      <c r="A394" s="15" t="s">
        <v>1196</v>
      </c>
      <c r="F394" s="1" t="s">
        <v>1197</v>
      </c>
      <c r="I394" s="1">
        <v>29.6</v>
      </c>
      <c r="J394" s="13">
        <v>2.9148595329822911E-2</v>
      </c>
      <c r="K394" s="13">
        <v>5.6096699999999999E-2</v>
      </c>
      <c r="Q394" s="13">
        <v>0.11240231217618901</v>
      </c>
      <c r="S394" s="13">
        <v>1.5734069999999998</v>
      </c>
      <c r="T394" s="13">
        <v>1.387221</v>
      </c>
      <c r="U394" s="13">
        <v>0.28328520000000001</v>
      </c>
      <c r="AD394" s="1">
        <v>8.1999999999999993</v>
      </c>
      <c r="AE394" s="13">
        <v>2.9148595329822911E-2</v>
      </c>
      <c r="AF394" s="13">
        <v>5.4396800000000002E-2</v>
      </c>
      <c r="AL394" s="13">
        <v>0.11240231217618901</v>
      </c>
      <c r="AN394" s="13">
        <v>1.525728</v>
      </c>
      <c r="AO394" s="13">
        <v>1.3451840000000002</v>
      </c>
      <c r="AP394" s="13">
        <v>0.27470080000000002</v>
      </c>
      <c r="AY394" s="1">
        <v>8.4</v>
      </c>
      <c r="AZ394" s="13">
        <v>2.9148595329822911E-2</v>
      </c>
      <c r="BA394" s="13">
        <v>5.4396800000000002E-2</v>
      </c>
      <c r="BG394" s="13">
        <v>0.11240231217618901</v>
      </c>
      <c r="BI394" s="13">
        <v>1.525728</v>
      </c>
      <c r="BJ394" s="13">
        <v>1.3451840000000002</v>
      </c>
      <c r="BK394" s="13">
        <v>0.27470080000000002</v>
      </c>
      <c r="BL394" s="13"/>
      <c r="BM394" s="13"/>
      <c r="BT394" s="1">
        <v>0</v>
      </c>
      <c r="CO394" s="1">
        <v>0</v>
      </c>
      <c r="DL394" s="1">
        <f t="shared" si="717"/>
        <v>0.11240231217618903</v>
      </c>
      <c r="DM394" s="1">
        <f t="shared" si="718"/>
        <v>0</v>
      </c>
      <c r="DN394" s="1" t="s">
        <v>73</v>
      </c>
      <c r="DO394" s="1" t="s">
        <v>2</v>
      </c>
      <c r="DP394" s="38">
        <f t="shared" si="640"/>
        <v>1.3466651042378184E-2</v>
      </c>
      <c r="DQ394" s="38">
        <f t="shared" si="641"/>
        <v>2.5634492</v>
      </c>
      <c r="DR394" s="38">
        <f t="shared" si="642"/>
        <v>0</v>
      </c>
      <c r="DS394" s="38">
        <f t="shared" si="643"/>
        <v>0</v>
      </c>
      <c r="DT394" s="38">
        <f t="shared" si="644"/>
        <v>0</v>
      </c>
      <c r="DU394" s="38">
        <f t="shared" si="645"/>
        <v>0</v>
      </c>
      <c r="DV394" s="38">
        <f t="shared" si="646"/>
        <v>0</v>
      </c>
      <c r="DW394" s="38">
        <f t="shared" si="647"/>
        <v>5.1929868225399328E-2</v>
      </c>
      <c r="DX394" s="38">
        <f t="shared" si="648"/>
        <v>0</v>
      </c>
      <c r="DY394" s="38">
        <f t="shared" si="649"/>
        <v>71.899931999999993</v>
      </c>
      <c r="DZ394" s="38">
        <f t="shared" si="650"/>
        <v>63.391796000000006</v>
      </c>
      <c r="EA394" s="38">
        <f t="shared" si="651"/>
        <v>12.945275200000001</v>
      </c>
      <c r="EB394" s="38">
        <f t="shared" si="652"/>
        <v>0</v>
      </c>
      <c r="EC394" s="38">
        <f t="shared" si="653"/>
        <v>0</v>
      </c>
      <c r="ED394" s="38">
        <f t="shared" si="654"/>
        <v>0</v>
      </c>
      <c r="EE394" s="38">
        <f t="shared" si="655"/>
        <v>0</v>
      </c>
      <c r="EG394" s="38">
        <f t="shared" si="656"/>
        <v>0</v>
      </c>
      <c r="EH394" s="38">
        <f t="shared" si="657"/>
        <v>0</v>
      </c>
      <c r="EI394" s="38">
        <f t="shared" si="658"/>
        <v>87.878193508559761</v>
      </c>
      <c r="EJ394" s="38">
        <f t="shared" si="659"/>
        <v>104.84589654019291</v>
      </c>
      <c r="EK394" s="38">
        <f t="shared" si="660"/>
        <v>0</v>
      </c>
      <c r="EL394" s="38">
        <f t="shared" si="661"/>
        <v>0</v>
      </c>
      <c r="EM394" s="38">
        <f t="shared" si="662"/>
        <v>0</v>
      </c>
      <c r="EN394" s="38">
        <f t="shared" si="663"/>
        <v>0</v>
      </c>
      <c r="EO394" s="38">
        <f t="shared" si="664"/>
        <v>0</v>
      </c>
      <c r="EP394" s="38">
        <f t="shared" si="665"/>
        <v>681.00829190788681</v>
      </c>
      <c r="EQ394" s="38">
        <f t="shared" si="666"/>
        <v>0</v>
      </c>
      <c r="ER394" s="38">
        <f t="shared" si="667"/>
        <v>2040.6171697466232</v>
      </c>
      <c r="ES394" s="38">
        <f t="shared" si="668"/>
        <v>2112.5774639318329</v>
      </c>
      <c r="ET394" s="38">
        <f t="shared" si="669"/>
        <v>926.27398400514483</v>
      </c>
      <c r="EU394" s="38">
        <f t="shared" si="670"/>
        <v>0</v>
      </c>
      <c r="EV394" s="38">
        <f t="shared" si="671"/>
        <v>0</v>
      </c>
      <c r="EW394" s="38">
        <f t="shared" si="672"/>
        <v>0</v>
      </c>
      <c r="EX394" s="38">
        <f t="shared" si="673"/>
        <v>0</v>
      </c>
      <c r="EZ394" s="38">
        <f t="shared" si="674"/>
        <v>0</v>
      </c>
      <c r="FA394" s="38">
        <f t="shared" si="675"/>
        <v>0</v>
      </c>
      <c r="FB394" s="1">
        <f t="shared" si="676"/>
        <v>0</v>
      </c>
      <c r="FC394" s="1">
        <f t="shared" si="677"/>
        <v>0</v>
      </c>
      <c r="FD394" s="1">
        <f t="shared" si="678"/>
        <v>0</v>
      </c>
      <c r="FE394" s="1">
        <f t="shared" si="679"/>
        <v>0</v>
      </c>
      <c r="FF394" s="1">
        <f t="shared" si="680"/>
        <v>0</v>
      </c>
      <c r="FG394" s="1">
        <f t="shared" si="681"/>
        <v>0</v>
      </c>
      <c r="FH394" s="1">
        <f t="shared" si="682"/>
        <v>0</v>
      </c>
      <c r="FI394" s="1">
        <f t="shared" si="683"/>
        <v>0</v>
      </c>
      <c r="FJ394" s="1">
        <f t="shared" si="684"/>
        <v>0</v>
      </c>
      <c r="FK394" s="1">
        <f t="shared" si="685"/>
        <v>0</v>
      </c>
      <c r="FL394" s="1">
        <f t="shared" si="686"/>
        <v>0</v>
      </c>
      <c r="FM394" s="1">
        <f t="shared" si="687"/>
        <v>0</v>
      </c>
      <c r="FN394" s="1">
        <f t="shared" si="688"/>
        <v>0</v>
      </c>
      <c r="FO394" s="1">
        <f t="shared" si="689"/>
        <v>0</v>
      </c>
      <c r="FP394" s="1">
        <f t="shared" si="690"/>
        <v>0</v>
      </c>
      <c r="FQ394" s="1">
        <f t="shared" si="691"/>
        <v>0</v>
      </c>
      <c r="FS394" s="1">
        <f t="shared" si="692"/>
        <v>0</v>
      </c>
      <c r="FT394" s="1">
        <f t="shared" si="693"/>
        <v>0</v>
      </c>
      <c r="FU394" s="38">
        <f t="shared" si="694"/>
        <v>0</v>
      </c>
      <c r="FV394" s="38">
        <f t="shared" si="695"/>
        <v>0</v>
      </c>
      <c r="FW394" s="38">
        <f t="shared" si="696"/>
        <v>0</v>
      </c>
      <c r="FX394" s="38">
        <f t="shared" si="697"/>
        <v>0</v>
      </c>
      <c r="FY394" s="38">
        <f t="shared" si="698"/>
        <v>0</v>
      </c>
      <c r="FZ394" s="38">
        <f t="shared" si="699"/>
        <v>0</v>
      </c>
      <c r="GA394" s="38">
        <f t="shared" si="700"/>
        <v>0</v>
      </c>
      <c r="GB394" s="38">
        <f t="shared" si="701"/>
        <v>0</v>
      </c>
      <c r="GC394" s="38">
        <f t="shared" si="702"/>
        <v>0</v>
      </c>
      <c r="GD394" s="38">
        <f t="shared" si="703"/>
        <v>0</v>
      </c>
      <c r="GE394" s="38">
        <f t="shared" si="704"/>
        <v>0</v>
      </c>
      <c r="GF394" s="38">
        <f t="shared" si="705"/>
        <v>0</v>
      </c>
      <c r="GG394" s="38">
        <f t="shared" si="706"/>
        <v>0</v>
      </c>
      <c r="GH394" s="38">
        <f t="shared" si="707"/>
        <v>0</v>
      </c>
      <c r="GI394" s="38">
        <f t="shared" si="708"/>
        <v>0</v>
      </c>
      <c r="GJ394" s="38">
        <f t="shared" si="709"/>
        <v>0</v>
      </c>
      <c r="GL394" s="38">
        <f t="shared" si="710"/>
        <v>0</v>
      </c>
      <c r="GM394" s="38">
        <f t="shared" si="711"/>
        <v>0</v>
      </c>
      <c r="GN394" s="1" t="s">
        <v>2</v>
      </c>
      <c r="GO394" s="1">
        <f t="shared" si="719"/>
        <v>46.199999999999996</v>
      </c>
      <c r="GP394" s="13">
        <f t="shared" si="720"/>
        <v>0.11240231217618903</v>
      </c>
      <c r="GQ394" s="41">
        <f t="shared" si="721"/>
        <v>51.929868225399325</v>
      </c>
      <c r="GR394" s="41">
        <f t="shared" si="722"/>
        <v>5953.2009996402403</v>
      </c>
      <c r="GS394" s="14">
        <f t="shared" si="723"/>
        <v>128.85716449437751</v>
      </c>
      <c r="GT394" s="1">
        <f t="shared" si="712"/>
        <v>33.271084404151949</v>
      </c>
      <c r="GU394" s="1">
        <f t="shared" si="713"/>
        <v>9.2169895984474977</v>
      </c>
      <c r="GV394" s="1">
        <f t="shared" si="714"/>
        <v>9.4417942227998779</v>
      </c>
      <c r="GW394" s="37">
        <f t="shared" si="724"/>
        <v>0</v>
      </c>
      <c r="GX394" s="37"/>
      <c r="GY394" s="37"/>
      <c r="GZ394" s="37"/>
      <c r="HB394" s="1">
        <f t="shared" si="715"/>
        <v>0</v>
      </c>
      <c r="HC394" s="1">
        <f t="shared" si="716"/>
        <v>0</v>
      </c>
      <c r="HD394" s="37" t="s">
        <v>2</v>
      </c>
      <c r="HE394" s="1" t="s">
        <v>113</v>
      </c>
      <c r="HF394" s="1" t="s">
        <v>261</v>
      </c>
      <c r="HG394" s="1" t="s">
        <v>589</v>
      </c>
      <c r="HH394" s="1" t="s">
        <v>1194</v>
      </c>
      <c r="HI394" s="1" t="s">
        <v>96</v>
      </c>
      <c r="HJ394" s="37" t="s">
        <v>2</v>
      </c>
      <c r="JH394" s="58" t="s">
        <v>2</v>
      </c>
    </row>
    <row r="395" spans="1:268" ht="16.25" customHeight="1" x14ac:dyDescent="0.2">
      <c r="A395" s="15" t="s">
        <v>1202</v>
      </c>
      <c r="F395" s="1" t="s">
        <v>1203</v>
      </c>
      <c r="I395" s="1">
        <v>0</v>
      </c>
      <c r="AD395" s="1">
        <v>0</v>
      </c>
      <c r="AY395" s="1">
        <v>259.81</v>
      </c>
      <c r="AZ395" s="13">
        <v>5.0645766568285941E-2</v>
      </c>
      <c r="BA395" s="13">
        <v>0.19818310861591162</v>
      </c>
      <c r="BG395" s="13">
        <v>0.14062229501023565</v>
      </c>
      <c r="BI395" s="13">
        <v>3.0461057584196145</v>
      </c>
      <c r="BJ395" s="13">
        <v>2.2666371761402568</v>
      </c>
      <c r="BK395" s="13">
        <v>0.40588912613171169</v>
      </c>
      <c r="BL395" s="13"/>
      <c r="BM395" s="13"/>
      <c r="BT395" s="1">
        <v>0</v>
      </c>
      <c r="CO395" s="1">
        <v>0</v>
      </c>
      <c r="DJ395" s="1" t="s">
        <v>96</v>
      </c>
      <c r="DL395" s="1">
        <f t="shared" si="717"/>
        <v>0.14062229501023565</v>
      </c>
      <c r="DM395" s="1">
        <f t="shared" si="718"/>
        <v>0</v>
      </c>
      <c r="DN395" s="1" t="s">
        <v>220</v>
      </c>
      <c r="DO395" s="1" t="s">
        <v>2</v>
      </c>
      <c r="DP395" s="38">
        <f t="shared" si="640"/>
        <v>0.1315827661210637</v>
      </c>
      <c r="DQ395" s="38">
        <f t="shared" si="641"/>
        <v>51.4899534495</v>
      </c>
      <c r="DR395" s="38">
        <f t="shared" si="642"/>
        <v>0</v>
      </c>
      <c r="DS395" s="38">
        <f t="shared" si="643"/>
        <v>0</v>
      </c>
      <c r="DT395" s="38">
        <f t="shared" si="644"/>
        <v>0</v>
      </c>
      <c r="DU395" s="38">
        <f t="shared" si="645"/>
        <v>0</v>
      </c>
      <c r="DV395" s="38">
        <f t="shared" si="646"/>
        <v>0</v>
      </c>
      <c r="DW395" s="38">
        <f t="shared" si="647"/>
        <v>0.36535078466609328</v>
      </c>
      <c r="DX395" s="38">
        <f t="shared" si="648"/>
        <v>0</v>
      </c>
      <c r="DY395" s="38">
        <f t="shared" si="649"/>
        <v>791.40873709500011</v>
      </c>
      <c r="DZ395" s="38">
        <f t="shared" si="650"/>
        <v>588.89500473300018</v>
      </c>
      <c r="EA395" s="38">
        <f t="shared" si="651"/>
        <v>105.45405386028001</v>
      </c>
      <c r="EB395" s="38">
        <f t="shared" si="652"/>
        <v>0</v>
      </c>
      <c r="EC395" s="38">
        <f t="shared" si="653"/>
        <v>0</v>
      </c>
      <c r="ED395" s="38">
        <f t="shared" si="654"/>
        <v>0</v>
      </c>
      <c r="EE395" s="38">
        <f t="shared" si="655"/>
        <v>0</v>
      </c>
      <c r="EG395" s="38">
        <f t="shared" si="656"/>
        <v>0</v>
      </c>
      <c r="EH395" s="38">
        <f t="shared" si="657"/>
        <v>0</v>
      </c>
      <c r="EI395" s="38">
        <f t="shared" si="658"/>
        <v>858.65860392387128</v>
      </c>
      <c r="EJ395" s="38">
        <f t="shared" si="659"/>
        <v>2105.9556523396782</v>
      </c>
      <c r="EK395" s="38">
        <f t="shared" si="660"/>
        <v>0</v>
      </c>
      <c r="EL395" s="38">
        <f t="shared" si="661"/>
        <v>0</v>
      </c>
      <c r="EM395" s="38">
        <f t="shared" si="662"/>
        <v>0</v>
      </c>
      <c r="EN395" s="38">
        <f t="shared" si="663"/>
        <v>0</v>
      </c>
      <c r="EO395" s="38">
        <f t="shared" si="664"/>
        <v>0</v>
      </c>
      <c r="EP395" s="38">
        <f t="shared" si="665"/>
        <v>4791.2101901111473</v>
      </c>
      <c r="EQ395" s="38">
        <f t="shared" si="666"/>
        <v>0</v>
      </c>
      <c r="ER395" s="38">
        <f t="shared" si="667"/>
        <v>22461.24874225957</v>
      </c>
      <c r="ES395" s="38">
        <f t="shared" si="668"/>
        <v>19625.352082167952</v>
      </c>
      <c r="ET395" s="38">
        <f t="shared" si="669"/>
        <v>7545.5596802341206</v>
      </c>
      <c r="EU395" s="38">
        <f t="shared" si="670"/>
        <v>0</v>
      </c>
      <c r="EV395" s="38">
        <f t="shared" si="671"/>
        <v>0</v>
      </c>
      <c r="EW395" s="38">
        <f t="shared" si="672"/>
        <v>0</v>
      </c>
      <c r="EX395" s="38">
        <f t="shared" si="673"/>
        <v>0</v>
      </c>
      <c r="EZ395" s="38">
        <f t="shared" si="674"/>
        <v>0</v>
      </c>
      <c r="FA395" s="38">
        <f t="shared" si="675"/>
        <v>0</v>
      </c>
      <c r="FB395" s="1">
        <f t="shared" si="676"/>
        <v>0</v>
      </c>
      <c r="FC395" s="1">
        <f t="shared" si="677"/>
        <v>0</v>
      </c>
      <c r="FD395" s="1">
        <f t="shared" si="678"/>
        <v>0</v>
      </c>
      <c r="FE395" s="1">
        <f t="shared" si="679"/>
        <v>0</v>
      </c>
      <c r="FF395" s="1">
        <f t="shared" si="680"/>
        <v>0</v>
      </c>
      <c r="FG395" s="1">
        <f t="shared" si="681"/>
        <v>0</v>
      </c>
      <c r="FH395" s="1">
        <f t="shared" si="682"/>
        <v>0</v>
      </c>
      <c r="FI395" s="1">
        <f t="shared" si="683"/>
        <v>0</v>
      </c>
      <c r="FJ395" s="1">
        <f t="shared" si="684"/>
        <v>0</v>
      </c>
      <c r="FK395" s="1">
        <f t="shared" si="685"/>
        <v>0</v>
      </c>
      <c r="FL395" s="1">
        <f t="shared" si="686"/>
        <v>0</v>
      </c>
      <c r="FM395" s="1">
        <f t="shared" si="687"/>
        <v>0</v>
      </c>
      <c r="FN395" s="1">
        <f t="shared" si="688"/>
        <v>0</v>
      </c>
      <c r="FO395" s="1">
        <f t="shared" si="689"/>
        <v>0</v>
      </c>
      <c r="FP395" s="1">
        <f t="shared" si="690"/>
        <v>0</v>
      </c>
      <c r="FQ395" s="1">
        <f t="shared" si="691"/>
        <v>0</v>
      </c>
      <c r="FS395" s="1">
        <f t="shared" si="692"/>
        <v>0</v>
      </c>
      <c r="FT395" s="1">
        <f t="shared" si="693"/>
        <v>0</v>
      </c>
      <c r="FU395" s="38">
        <f t="shared" si="694"/>
        <v>0</v>
      </c>
      <c r="FV395" s="38">
        <f t="shared" si="695"/>
        <v>0</v>
      </c>
      <c r="FW395" s="38">
        <f t="shared" si="696"/>
        <v>0</v>
      </c>
      <c r="FX395" s="38">
        <f t="shared" si="697"/>
        <v>0</v>
      </c>
      <c r="FY395" s="38">
        <f t="shared" si="698"/>
        <v>0</v>
      </c>
      <c r="FZ395" s="38">
        <f t="shared" si="699"/>
        <v>0</v>
      </c>
      <c r="GA395" s="38">
        <f t="shared" si="700"/>
        <v>0</v>
      </c>
      <c r="GB395" s="38">
        <f t="shared" si="701"/>
        <v>0</v>
      </c>
      <c r="GC395" s="38">
        <f t="shared" si="702"/>
        <v>0</v>
      </c>
      <c r="GD395" s="38">
        <f t="shared" si="703"/>
        <v>0</v>
      </c>
      <c r="GE395" s="38">
        <f t="shared" si="704"/>
        <v>0</v>
      </c>
      <c r="GF395" s="38">
        <f t="shared" si="705"/>
        <v>0</v>
      </c>
      <c r="GG395" s="38">
        <f t="shared" si="706"/>
        <v>0</v>
      </c>
      <c r="GH395" s="38">
        <f t="shared" si="707"/>
        <v>0</v>
      </c>
      <c r="GI395" s="38">
        <f t="shared" si="708"/>
        <v>0</v>
      </c>
      <c r="GJ395" s="38">
        <f t="shared" si="709"/>
        <v>0</v>
      </c>
      <c r="GL395" s="38">
        <f t="shared" si="710"/>
        <v>0</v>
      </c>
      <c r="GM395" s="38">
        <f t="shared" si="711"/>
        <v>0</v>
      </c>
      <c r="GN395" s="1" t="s">
        <v>2</v>
      </c>
      <c r="GO395" s="14">
        <f t="shared" si="719"/>
        <v>259.81</v>
      </c>
      <c r="GP395" s="13">
        <f t="shared" si="720"/>
        <v>0.14062229501023565</v>
      </c>
      <c r="GQ395" s="41">
        <f t="shared" si="721"/>
        <v>365.35078466609326</v>
      </c>
      <c r="GR395" s="41">
        <f t="shared" si="722"/>
        <v>57387.984951036342</v>
      </c>
      <c r="GS395" s="14">
        <f t="shared" si="723"/>
        <v>220.88443459080227</v>
      </c>
      <c r="GT395" s="1">
        <f t="shared" si="712"/>
        <v>0</v>
      </c>
      <c r="GU395" s="1">
        <f t="shared" si="713"/>
        <v>0</v>
      </c>
      <c r="GV395" s="1">
        <f t="shared" si="714"/>
        <v>365.35078466609326</v>
      </c>
      <c r="GW395" s="37">
        <f t="shared" si="724"/>
        <v>0</v>
      </c>
      <c r="GX395" s="37"/>
      <c r="GY395" s="37"/>
      <c r="GZ395" s="37"/>
      <c r="HB395" s="1">
        <f t="shared" si="715"/>
        <v>0</v>
      </c>
      <c r="HC395" s="1">
        <f t="shared" si="716"/>
        <v>0</v>
      </c>
      <c r="HD395" s="37" t="s">
        <v>2</v>
      </c>
      <c r="HE395" s="1" t="s">
        <v>113</v>
      </c>
      <c r="HF395" s="1" t="s">
        <v>261</v>
      </c>
      <c r="HG395" s="1" t="s">
        <v>589</v>
      </c>
      <c r="HH395" s="1" t="s">
        <v>1194</v>
      </c>
      <c r="HI395" s="1" t="s">
        <v>96</v>
      </c>
      <c r="HJ395" s="37" t="s">
        <v>2</v>
      </c>
      <c r="JH395" s="58" t="s">
        <v>2</v>
      </c>
    </row>
    <row r="396" spans="1:268" ht="16.25" customHeight="1" x14ac:dyDescent="0.2">
      <c r="A396" s="15" t="s">
        <v>1204</v>
      </c>
      <c r="F396" s="1" t="s">
        <v>1205</v>
      </c>
      <c r="I396" s="13">
        <v>5.5811739999999999</v>
      </c>
      <c r="J396" s="13">
        <v>1.5542233663308669E-2</v>
      </c>
      <c r="K396" s="1">
        <v>0.03</v>
      </c>
      <c r="Q396" s="13">
        <v>0.11240231217618901</v>
      </c>
      <c r="S396" s="1">
        <v>2.48</v>
      </c>
      <c r="T396" s="1">
        <v>1.04</v>
      </c>
      <c r="U396" s="1">
        <v>0.41</v>
      </c>
      <c r="AD396" s="13">
        <v>28.550511</v>
      </c>
      <c r="AE396" s="13">
        <v>1.5542233663308669E-2</v>
      </c>
      <c r="AF396" s="1">
        <v>0.02</v>
      </c>
      <c r="AL396" s="13">
        <v>0.11240231217618901</v>
      </c>
      <c r="AN396" s="1">
        <v>2.5499999999999998</v>
      </c>
      <c r="AO396" s="1">
        <v>1.05</v>
      </c>
      <c r="AP396" s="1">
        <v>0.42</v>
      </c>
      <c r="AY396" s="13">
        <v>22.069275000000001</v>
      </c>
      <c r="AZ396" s="13">
        <v>1.5542233663308669E-2</v>
      </c>
      <c r="BA396" s="1">
        <v>0.03</v>
      </c>
      <c r="BG396" s="13">
        <v>0.11240231217618901</v>
      </c>
      <c r="BI396" s="1">
        <v>2.56</v>
      </c>
      <c r="BJ396" s="1">
        <v>1.06</v>
      </c>
      <c r="BK396" s="1">
        <v>0.43</v>
      </c>
      <c r="BT396" s="1">
        <v>1.96</v>
      </c>
      <c r="BU396" s="13">
        <v>1.5542233663308669E-2</v>
      </c>
      <c r="BV396" s="1">
        <v>0.03</v>
      </c>
      <c r="CB396" s="13">
        <v>0.11240231217618901</v>
      </c>
      <c r="CD396" s="1">
        <v>2.58</v>
      </c>
      <c r="CE396" s="1">
        <v>1.08</v>
      </c>
      <c r="CF396" s="1">
        <v>0.43</v>
      </c>
      <c r="CO396" s="13">
        <v>22.164999999999999</v>
      </c>
      <c r="CP396" s="13">
        <v>1.5542233663308669E-2</v>
      </c>
      <c r="CQ396" s="1">
        <v>0.03</v>
      </c>
      <c r="CW396" s="13">
        <v>0.11240231217618901</v>
      </c>
      <c r="CY396" s="1">
        <v>2.54</v>
      </c>
      <c r="CZ396" s="1">
        <v>1.05</v>
      </c>
      <c r="DA396" s="1">
        <v>0.42</v>
      </c>
      <c r="DL396" s="1">
        <f t="shared" si="717"/>
        <v>0.11240231217618903</v>
      </c>
      <c r="DM396" s="1">
        <f t="shared" si="718"/>
        <v>0</v>
      </c>
      <c r="DN396" s="1" t="s">
        <v>185</v>
      </c>
      <c r="DO396" s="1" t="s">
        <v>2</v>
      </c>
      <c r="DP396" s="38">
        <f t="shared" si="640"/>
        <v>8.734884524222641E-3</v>
      </c>
      <c r="DQ396" s="38">
        <f t="shared" si="641"/>
        <v>1.40052369</v>
      </c>
      <c r="DR396" s="38">
        <f t="shared" si="642"/>
        <v>0</v>
      </c>
      <c r="DS396" s="38">
        <f t="shared" si="643"/>
        <v>0</v>
      </c>
      <c r="DT396" s="38">
        <f t="shared" si="644"/>
        <v>0</v>
      </c>
      <c r="DU396" s="38">
        <f t="shared" si="645"/>
        <v>0</v>
      </c>
      <c r="DV396" s="38">
        <f t="shared" si="646"/>
        <v>0</v>
      </c>
      <c r="DW396" s="38">
        <f t="shared" si="647"/>
        <v>6.3171178505215114E-2</v>
      </c>
      <c r="DX396" s="38">
        <f t="shared" si="648"/>
        <v>0</v>
      </c>
      <c r="DY396" s="38">
        <f t="shared" si="649"/>
        <v>143.14245857</v>
      </c>
      <c r="DZ396" s="38">
        <f t="shared" si="650"/>
        <v>59.175889010000006</v>
      </c>
      <c r="EA396" s="38">
        <f t="shared" si="651"/>
        <v>23.769284209999999</v>
      </c>
      <c r="EB396" s="38">
        <f t="shared" si="652"/>
        <v>0</v>
      </c>
      <c r="EC396" s="38">
        <f t="shared" si="653"/>
        <v>0</v>
      </c>
      <c r="ED396" s="38">
        <f t="shared" si="654"/>
        <v>0</v>
      </c>
      <c r="EE396" s="38">
        <f t="shared" si="655"/>
        <v>0</v>
      </c>
      <c r="EG396" s="38">
        <f t="shared" si="656"/>
        <v>0</v>
      </c>
      <c r="EH396" s="38">
        <f t="shared" si="657"/>
        <v>0</v>
      </c>
      <c r="EI396" s="38">
        <f t="shared" si="658"/>
        <v>57.000502209419651</v>
      </c>
      <c r="EJ396" s="38">
        <f t="shared" si="659"/>
        <v>57.281869250160767</v>
      </c>
      <c r="EK396" s="38">
        <f t="shared" si="660"/>
        <v>0</v>
      </c>
      <c r="EL396" s="38">
        <f t="shared" si="661"/>
        <v>0</v>
      </c>
      <c r="EM396" s="38">
        <f t="shared" si="662"/>
        <v>0</v>
      </c>
      <c r="EN396" s="38">
        <f t="shared" si="663"/>
        <v>0</v>
      </c>
      <c r="EO396" s="38">
        <f t="shared" si="664"/>
        <v>0</v>
      </c>
      <c r="EP396" s="38">
        <f t="shared" si="665"/>
        <v>828.42683491739103</v>
      </c>
      <c r="EQ396" s="38">
        <f t="shared" si="666"/>
        <v>0</v>
      </c>
      <c r="ER396" s="38">
        <f t="shared" si="667"/>
        <v>4062.5762855754401</v>
      </c>
      <c r="ES396" s="38">
        <f t="shared" si="668"/>
        <v>1972.0793133966017</v>
      </c>
      <c r="ET396" s="38">
        <f t="shared" si="669"/>
        <v>1700.7648923637621</v>
      </c>
      <c r="EU396" s="38">
        <f t="shared" si="670"/>
        <v>0</v>
      </c>
      <c r="EV396" s="38">
        <f t="shared" si="671"/>
        <v>0</v>
      </c>
      <c r="EW396" s="38">
        <f t="shared" si="672"/>
        <v>0</v>
      </c>
      <c r="EX396" s="38">
        <f t="shared" si="673"/>
        <v>0</v>
      </c>
      <c r="EZ396" s="38">
        <f t="shared" si="674"/>
        <v>0</v>
      </c>
      <c r="FA396" s="38">
        <f t="shared" si="675"/>
        <v>0</v>
      </c>
      <c r="FB396" s="1">
        <f t="shared" si="676"/>
        <v>3.7495638712732164E-3</v>
      </c>
      <c r="FC396" s="1">
        <f t="shared" si="677"/>
        <v>0.72374999999999989</v>
      </c>
      <c r="FD396" s="1">
        <f t="shared" si="678"/>
        <v>0</v>
      </c>
      <c r="FE396" s="1">
        <f t="shared" si="679"/>
        <v>0</v>
      </c>
      <c r="FF396" s="1">
        <f t="shared" si="680"/>
        <v>0</v>
      </c>
      <c r="FG396" s="1">
        <f t="shared" si="681"/>
        <v>0</v>
      </c>
      <c r="FH396" s="1">
        <f t="shared" si="682"/>
        <v>0</v>
      </c>
      <c r="FI396" s="1">
        <f t="shared" si="683"/>
        <v>2.7117057812505601E-2</v>
      </c>
      <c r="FJ396" s="1">
        <f t="shared" si="684"/>
        <v>0</v>
      </c>
      <c r="FK396" s="1">
        <f t="shared" si="685"/>
        <v>61.355899999999998</v>
      </c>
      <c r="FL396" s="1">
        <f t="shared" si="686"/>
        <v>25.390050000000002</v>
      </c>
      <c r="FM396" s="1">
        <f t="shared" si="687"/>
        <v>10.152099999999999</v>
      </c>
      <c r="FN396" s="1">
        <f t="shared" si="688"/>
        <v>0</v>
      </c>
      <c r="FO396" s="1">
        <f t="shared" si="689"/>
        <v>0</v>
      </c>
      <c r="FP396" s="1">
        <f t="shared" si="690"/>
        <v>0</v>
      </c>
      <c r="FQ396" s="1">
        <f t="shared" si="691"/>
        <v>0</v>
      </c>
      <c r="FS396" s="1">
        <f t="shared" si="692"/>
        <v>0</v>
      </c>
      <c r="FT396" s="1">
        <f t="shared" si="693"/>
        <v>0</v>
      </c>
      <c r="FU396" s="38">
        <f t="shared" si="694"/>
        <v>24.46821399140244</v>
      </c>
      <c r="FV396" s="38">
        <f t="shared" si="695"/>
        <v>29.601607717041794</v>
      </c>
      <c r="FW396" s="38">
        <f t="shared" si="696"/>
        <v>0</v>
      </c>
      <c r="FX396" s="38">
        <f t="shared" si="697"/>
        <v>0</v>
      </c>
      <c r="FY396" s="38">
        <f t="shared" si="698"/>
        <v>0</v>
      </c>
      <c r="FZ396" s="38">
        <f t="shared" si="699"/>
        <v>0</v>
      </c>
      <c r="GA396" s="38">
        <f t="shared" si="700"/>
        <v>0</v>
      </c>
      <c r="GB396" s="38">
        <f t="shared" si="701"/>
        <v>355.61309615319846</v>
      </c>
      <c r="GC396" s="38">
        <f t="shared" si="702"/>
        <v>0</v>
      </c>
      <c r="GD396" s="38">
        <f t="shared" si="703"/>
        <v>1741.3633020578775</v>
      </c>
      <c r="GE396" s="38">
        <f t="shared" si="704"/>
        <v>846.1417852572348</v>
      </c>
      <c r="GF396" s="38">
        <f t="shared" si="705"/>
        <v>726.41376623794213</v>
      </c>
      <c r="GG396" s="38">
        <f t="shared" si="706"/>
        <v>0</v>
      </c>
      <c r="GH396" s="38">
        <f t="shared" si="707"/>
        <v>0</v>
      </c>
      <c r="GI396" s="38">
        <f t="shared" si="708"/>
        <v>0</v>
      </c>
      <c r="GJ396" s="38">
        <f t="shared" si="709"/>
        <v>0</v>
      </c>
      <c r="GL396" s="38">
        <f t="shared" si="710"/>
        <v>0</v>
      </c>
      <c r="GM396" s="38">
        <f t="shared" si="711"/>
        <v>0</v>
      </c>
      <c r="GN396" s="1" t="s">
        <v>2</v>
      </c>
      <c r="GO396" s="13">
        <f t="shared" si="719"/>
        <v>56.200959999999995</v>
      </c>
      <c r="GP396" s="13">
        <f t="shared" si="720"/>
        <v>0.11240231217618903</v>
      </c>
      <c r="GQ396" s="41">
        <f t="shared" si="721"/>
        <v>63.17117850521511</v>
      </c>
      <c r="GR396" s="41">
        <f t="shared" si="722"/>
        <v>8678.1296977127749</v>
      </c>
      <c r="GS396" s="14">
        <f t="shared" si="723"/>
        <v>154.41248152545393</v>
      </c>
      <c r="GT396" s="1">
        <f t="shared" si="712"/>
        <v>6.273368622576295</v>
      </c>
      <c r="GU396" s="1">
        <f t="shared" si="713"/>
        <v>32.091434502117181</v>
      </c>
      <c r="GV396" s="1">
        <f t="shared" si="714"/>
        <v>24.80637538052164</v>
      </c>
      <c r="GW396" s="44">
        <f t="shared" si="724"/>
        <v>24.125</v>
      </c>
      <c r="GX396" s="44">
        <f>(BT396*CB396+CO396*CW396)/GW396</f>
        <v>0.11240231217618901</v>
      </c>
      <c r="GY396" s="41">
        <f>1000*GW396*GX396/100</f>
        <v>27.1170578125056</v>
      </c>
      <c r="GZ396" s="41">
        <f>SUM(FU396:GM396)</f>
        <v>3723.6017714146974</v>
      </c>
      <c r="HA396" s="14">
        <f>GZ396/GW396</f>
        <v>154.34618741615327</v>
      </c>
      <c r="HB396" s="1">
        <f t="shared" si="715"/>
        <v>2.2030853186533044</v>
      </c>
      <c r="HC396" s="1">
        <f t="shared" si="716"/>
        <v>24.913972493852292</v>
      </c>
      <c r="HD396" s="37" t="s">
        <v>2</v>
      </c>
      <c r="HE396" s="1" t="s">
        <v>113</v>
      </c>
      <c r="HF396" s="1" t="s">
        <v>261</v>
      </c>
      <c r="HG396" s="1" t="s">
        <v>589</v>
      </c>
      <c r="HH396" s="1" t="s">
        <v>1182</v>
      </c>
      <c r="HI396" s="1" t="s">
        <v>96</v>
      </c>
      <c r="HJ396" s="37" t="s">
        <v>2</v>
      </c>
      <c r="JH396" s="58" t="s">
        <v>2</v>
      </c>
    </row>
    <row r="397" spans="1:268" ht="16.25" customHeight="1" x14ac:dyDescent="0.2">
      <c r="A397" s="15" t="s">
        <v>1206</v>
      </c>
      <c r="F397" s="1" t="s">
        <v>1009</v>
      </c>
      <c r="I397" s="1">
        <v>152.69999999999999</v>
      </c>
      <c r="J397" s="13">
        <v>3.9823182711198425E-2</v>
      </c>
      <c r="K397" s="13">
        <v>0.13637410609037329</v>
      </c>
      <c r="Q397" s="13">
        <v>0.14337917485265225</v>
      </c>
      <c r="S397" s="13">
        <v>2.3226248722986247</v>
      </c>
      <c r="T397" s="13">
        <v>1.4219295088408643</v>
      </c>
      <c r="U397" s="13">
        <v>0.2932561886051081</v>
      </c>
      <c r="AD397" s="1">
        <v>214.3</v>
      </c>
      <c r="AE397" s="13">
        <v>4.0387307512832475E-2</v>
      </c>
      <c r="AF397" s="13">
        <v>0.13281717218852077</v>
      </c>
      <c r="AL397" s="13">
        <v>0.14419972001866541</v>
      </c>
      <c r="AN397" s="13">
        <v>2.2868516472235183</v>
      </c>
      <c r="AO397" s="13">
        <v>1.4019297246850206</v>
      </c>
      <c r="AP397" s="13">
        <v>0.29033799346710215</v>
      </c>
      <c r="AY397" s="1">
        <v>200.5</v>
      </c>
      <c r="AZ397" s="13">
        <v>5.0817955112219454E-2</v>
      </c>
      <c r="BA397" s="13">
        <v>0.16373889276807979</v>
      </c>
      <c r="BG397" s="13">
        <v>0.1593715710723192</v>
      </c>
      <c r="BI397" s="13">
        <v>2.3884704339152116</v>
      </c>
      <c r="BJ397" s="13">
        <v>1.4315725586034911</v>
      </c>
      <c r="BK397" s="13">
        <v>0.27577921197007477</v>
      </c>
      <c r="BL397" s="13"/>
      <c r="BM397" s="13"/>
      <c r="BT397" s="1">
        <v>0</v>
      </c>
      <c r="CO397" s="1">
        <v>0</v>
      </c>
      <c r="DJ397" s="1" t="s">
        <v>96</v>
      </c>
      <c r="DL397" s="1">
        <f t="shared" si="717"/>
        <v>0.14933920704845813</v>
      </c>
      <c r="DM397" s="1">
        <f t="shared" si="718"/>
        <v>0</v>
      </c>
      <c r="DN397" s="1" t="s">
        <v>73</v>
      </c>
      <c r="DO397" s="1" t="s">
        <v>2</v>
      </c>
      <c r="DP397" s="38">
        <f t="shared" si="640"/>
        <v>0.24924999999999997</v>
      </c>
      <c r="DQ397" s="38">
        <f t="shared" si="641"/>
        <v>82.116693999999995</v>
      </c>
      <c r="DR397" s="38">
        <f t="shared" si="642"/>
        <v>0</v>
      </c>
      <c r="DS397" s="38">
        <f t="shared" si="643"/>
        <v>0</v>
      </c>
      <c r="DT397" s="38">
        <f t="shared" si="644"/>
        <v>0</v>
      </c>
      <c r="DU397" s="38">
        <f t="shared" si="645"/>
        <v>0</v>
      </c>
      <c r="DV397" s="38">
        <f t="shared" si="646"/>
        <v>0</v>
      </c>
      <c r="DW397" s="38">
        <f t="shared" si="647"/>
        <v>0.84749999999999981</v>
      </c>
      <c r="DX397" s="38">
        <f t="shared" si="648"/>
        <v>0</v>
      </c>
      <c r="DY397" s="38">
        <f t="shared" si="649"/>
        <v>1323.625448</v>
      </c>
      <c r="DZ397" s="38">
        <f t="shared" si="650"/>
        <v>804.59247399999981</v>
      </c>
      <c r="EA397" s="38">
        <f t="shared" si="651"/>
        <v>162.293384</v>
      </c>
      <c r="EB397" s="38">
        <f t="shared" si="652"/>
        <v>0</v>
      </c>
      <c r="EC397" s="38">
        <f t="shared" si="653"/>
        <v>0</v>
      </c>
      <c r="ED397" s="38">
        <f t="shared" si="654"/>
        <v>0</v>
      </c>
      <c r="EE397" s="38">
        <f t="shared" si="655"/>
        <v>0</v>
      </c>
      <c r="EG397" s="38">
        <f t="shared" si="656"/>
        <v>0</v>
      </c>
      <c r="EH397" s="38">
        <f t="shared" si="657"/>
        <v>0</v>
      </c>
      <c r="EI397" s="38">
        <f t="shared" si="658"/>
        <v>1626.5097879999998</v>
      </c>
      <c r="EJ397" s="38">
        <f t="shared" si="659"/>
        <v>3358.5991886816714</v>
      </c>
      <c r="EK397" s="38">
        <f t="shared" si="660"/>
        <v>0</v>
      </c>
      <c r="EL397" s="38">
        <f t="shared" si="661"/>
        <v>0</v>
      </c>
      <c r="EM397" s="38">
        <f t="shared" si="662"/>
        <v>0</v>
      </c>
      <c r="EN397" s="38">
        <f t="shared" si="663"/>
        <v>0</v>
      </c>
      <c r="EO397" s="38">
        <f t="shared" si="664"/>
        <v>0</v>
      </c>
      <c r="EP397" s="38">
        <f t="shared" si="665"/>
        <v>11114.114999999998</v>
      </c>
      <c r="EQ397" s="38">
        <f t="shared" si="666"/>
        <v>0</v>
      </c>
      <c r="ER397" s="38">
        <f t="shared" si="667"/>
        <v>37566.277746999353</v>
      </c>
      <c r="ES397" s="38">
        <f t="shared" si="668"/>
        <v>26813.626296714465</v>
      </c>
      <c r="ET397" s="38">
        <f t="shared" si="669"/>
        <v>11612.587376694535</v>
      </c>
      <c r="EU397" s="38">
        <f t="shared" si="670"/>
        <v>0</v>
      </c>
      <c r="EV397" s="38">
        <f t="shared" si="671"/>
        <v>0</v>
      </c>
      <c r="EW397" s="38">
        <f t="shared" si="672"/>
        <v>0</v>
      </c>
      <c r="EX397" s="38">
        <f t="shared" si="673"/>
        <v>0</v>
      </c>
      <c r="EZ397" s="38">
        <f t="shared" si="674"/>
        <v>0</v>
      </c>
      <c r="FA397" s="38">
        <f t="shared" si="675"/>
        <v>0</v>
      </c>
      <c r="FB397" s="1">
        <f t="shared" si="676"/>
        <v>0</v>
      </c>
      <c r="FC397" s="1">
        <f t="shared" si="677"/>
        <v>0</v>
      </c>
      <c r="FD397" s="1">
        <f t="shared" si="678"/>
        <v>0</v>
      </c>
      <c r="FE397" s="1">
        <f t="shared" si="679"/>
        <v>0</v>
      </c>
      <c r="FF397" s="1">
        <f t="shared" si="680"/>
        <v>0</v>
      </c>
      <c r="FG397" s="1">
        <f t="shared" si="681"/>
        <v>0</v>
      </c>
      <c r="FH397" s="1">
        <f t="shared" si="682"/>
        <v>0</v>
      </c>
      <c r="FI397" s="1">
        <f t="shared" si="683"/>
        <v>0</v>
      </c>
      <c r="FJ397" s="1">
        <f t="shared" si="684"/>
        <v>0</v>
      </c>
      <c r="FK397" s="1">
        <f t="shared" si="685"/>
        <v>0</v>
      </c>
      <c r="FL397" s="1">
        <f t="shared" si="686"/>
        <v>0</v>
      </c>
      <c r="FM397" s="1">
        <f t="shared" si="687"/>
        <v>0</v>
      </c>
      <c r="FN397" s="1">
        <f t="shared" si="688"/>
        <v>0</v>
      </c>
      <c r="FO397" s="1">
        <f t="shared" si="689"/>
        <v>0</v>
      </c>
      <c r="FP397" s="1">
        <f t="shared" si="690"/>
        <v>0</v>
      </c>
      <c r="FQ397" s="1">
        <f t="shared" si="691"/>
        <v>0</v>
      </c>
      <c r="FS397" s="1">
        <f t="shared" si="692"/>
        <v>0</v>
      </c>
      <c r="FT397" s="1">
        <f t="shared" si="693"/>
        <v>0</v>
      </c>
      <c r="FU397" s="38">
        <f t="shared" si="694"/>
        <v>0</v>
      </c>
      <c r="FV397" s="38">
        <f t="shared" si="695"/>
        <v>0</v>
      </c>
      <c r="FW397" s="38">
        <f t="shared" si="696"/>
        <v>0</v>
      </c>
      <c r="FX397" s="38">
        <f t="shared" si="697"/>
        <v>0</v>
      </c>
      <c r="FY397" s="38">
        <f t="shared" si="698"/>
        <v>0</v>
      </c>
      <c r="FZ397" s="38">
        <f t="shared" si="699"/>
        <v>0</v>
      </c>
      <c r="GA397" s="38">
        <f t="shared" si="700"/>
        <v>0</v>
      </c>
      <c r="GB397" s="38">
        <f t="shared" si="701"/>
        <v>0</v>
      </c>
      <c r="GC397" s="38">
        <f t="shared" si="702"/>
        <v>0</v>
      </c>
      <c r="GD397" s="38">
        <f t="shared" si="703"/>
        <v>0</v>
      </c>
      <c r="GE397" s="38">
        <f t="shared" si="704"/>
        <v>0</v>
      </c>
      <c r="GF397" s="38">
        <f t="shared" si="705"/>
        <v>0</v>
      </c>
      <c r="GG397" s="38">
        <f t="shared" si="706"/>
        <v>0</v>
      </c>
      <c r="GH397" s="38">
        <f t="shared" si="707"/>
        <v>0</v>
      </c>
      <c r="GI397" s="38">
        <f t="shared" si="708"/>
        <v>0</v>
      </c>
      <c r="GJ397" s="38">
        <f t="shared" si="709"/>
        <v>0</v>
      </c>
      <c r="GL397" s="38">
        <f t="shared" si="710"/>
        <v>0</v>
      </c>
      <c r="GM397" s="38">
        <f t="shared" si="711"/>
        <v>0</v>
      </c>
      <c r="GN397" s="1" t="s">
        <v>2</v>
      </c>
      <c r="GO397" s="1">
        <f t="shared" si="719"/>
        <v>567.5</v>
      </c>
      <c r="GP397" s="13">
        <f t="shared" si="720"/>
        <v>0.14933920704845813</v>
      </c>
      <c r="GQ397" s="41">
        <f t="shared" si="721"/>
        <v>847.49999999999989</v>
      </c>
      <c r="GR397" s="41">
        <f t="shared" si="722"/>
        <v>92091.715397090025</v>
      </c>
      <c r="GS397" s="14">
        <f t="shared" si="723"/>
        <v>162.27615047945378</v>
      </c>
      <c r="GT397" s="1">
        <f t="shared" si="712"/>
        <v>218.94</v>
      </c>
      <c r="GU397" s="1">
        <f t="shared" si="713"/>
        <v>309.02</v>
      </c>
      <c r="GV397" s="1">
        <f t="shared" si="714"/>
        <v>319.53999999999996</v>
      </c>
      <c r="GW397" s="37">
        <f t="shared" si="724"/>
        <v>0</v>
      </c>
      <c r="GX397" s="37"/>
      <c r="GY397" s="37"/>
      <c r="GZ397" s="37"/>
      <c r="HB397" s="1">
        <f t="shared" si="715"/>
        <v>0</v>
      </c>
      <c r="HC397" s="1">
        <f t="shared" si="716"/>
        <v>0</v>
      </c>
      <c r="HD397" s="37" t="s">
        <v>2</v>
      </c>
      <c r="HE397" s="1" t="s">
        <v>113</v>
      </c>
      <c r="HF397" s="1" t="s">
        <v>261</v>
      </c>
      <c r="HG397" s="1" t="s">
        <v>589</v>
      </c>
      <c r="HH397" s="1" t="s">
        <v>1194</v>
      </c>
      <c r="HI397" s="1" t="s">
        <v>96</v>
      </c>
      <c r="HJ397" s="37" t="s">
        <v>2</v>
      </c>
      <c r="JH397" s="58" t="s">
        <v>2</v>
      </c>
    </row>
    <row r="398" spans="1:268" ht="16.25" customHeight="1" x14ac:dyDescent="0.2">
      <c r="A398" s="15" t="s">
        <v>1207</v>
      </c>
      <c r="F398" s="1" t="s">
        <v>1208</v>
      </c>
      <c r="I398" s="1">
        <v>32.33</v>
      </c>
      <c r="J398" s="1">
        <v>8.9999999999999993E-3</v>
      </c>
      <c r="K398" s="13">
        <v>3.5549999999999998E-2</v>
      </c>
      <c r="Q398" s="1">
        <v>9.7000000000000003E-2</v>
      </c>
      <c r="S398" s="13">
        <v>2.35025</v>
      </c>
      <c r="T398" s="13">
        <v>1.1573499999999999</v>
      </c>
      <c r="U398" s="13">
        <v>0.40289999999999998</v>
      </c>
      <c r="X398" s="14">
        <f>29.8*(2*52/(2*52+3*16.001))</f>
        <v>20.389071268330234</v>
      </c>
      <c r="AD398" s="1">
        <f>26.37+4.82</f>
        <v>31.19</v>
      </c>
      <c r="AE398" s="2">
        <f>(0.009*26.37+0.042*4.82)/AD398</f>
        <v>1.4099711445976274E-2</v>
      </c>
      <c r="AF398" s="13">
        <f>(0.03375*26.37+0.1113*4.82)/AD398</f>
        <v>4.5734321898044245E-2</v>
      </c>
      <c r="AL398" s="2">
        <f>(0.097*26.37+0.104*4.82)/AD398</f>
        <v>9.8081756973388903E-2</v>
      </c>
      <c r="AN398" s="13">
        <f>(2.23125*26.37+0.58065*4.82)/AD398</f>
        <v>1.976171705674896</v>
      </c>
      <c r="AO398" s="13">
        <f>(1.09875*26.37+0.32445*4.82)/AD398</f>
        <v>0.97909222507213844</v>
      </c>
      <c r="AP398" s="13">
        <f>(0.3825*26.37+0.0336*4.82)/AD398</f>
        <v>0.32858214171208716</v>
      </c>
      <c r="AS398" s="14">
        <f>((29.8*(2*52/(2*52+3*16.001)))*26.37+0.0336*4.82)/AD398</f>
        <v>17.243403698168269</v>
      </c>
      <c r="AY398" s="1">
        <v>88.73</v>
      </c>
      <c r="AZ398" s="1">
        <v>8.9999999999999993E-3</v>
      </c>
      <c r="BA398" s="13">
        <v>3.7440000000000001E-2</v>
      </c>
      <c r="BG398" s="1">
        <v>9.7000000000000003E-2</v>
      </c>
      <c r="BI398" s="13">
        <v>2.4752000000000001</v>
      </c>
      <c r="BJ398" s="13">
        <v>1.21888</v>
      </c>
      <c r="BK398" s="13">
        <v>0.42431999999999997</v>
      </c>
      <c r="BL398" s="13"/>
      <c r="BM398" s="13"/>
      <c r="BN398" s="14">
        <f>29.8*(2*52/(2*52+3*16.001))</f>
        <v>20.389071268330234</v>
      </c>
      <c r="BT398" s="1">
        <v>0</v>
      </c>
      <c r="CO398" s="1">
        <f>3.77+5.04</f>
        <v>8.81</v>
      </c>
      <c r="CP398" s="2">
        <f>(0.009*3.77+0.042*5.04)/CO398</f>
        <v>2.7878547105561858E-2</v>
      </c>
      <c r="CQ398" s="2">
        <f>(0.02826*3.77+0.09116*5.04)/CO398</f>
        <v>6.4243654937570935E-2</v>
      </c>
      <c r="CW398" s="13">
        <f>(0.097*3.77+0.104*5.04)/CO398</f>
        <v>0.10100454029511918</v>
      </c>
      <c r="CY398" s="13">
        <f>(1.8683*3.77+0.47558*5.04)/CO398</f>
        <v>1.0715566628830873</v>
      </c>
      <c r="CZ398" s="13">
        <f>(0.92002*3.77+0.26574*5.04)/CO398</f>
        <v>0.54572133938706013</v>
      </c>
      <c r="DA398" s="13">
        <f>(0.32028*3.77+0.02752*5.04)/CO398</f>
        <v>0.15279868331441546</v>
      </c>
      <c r="DB398" s="13"/>
      <c r="DC398" s="13"/>
      <c r="DD398" s="14">
        <f>((29.8*(2*52/(2*52+3*16.001)))*3.77+0.02752*5.04)/CO398</f>
        <v>8.740692336164015</v>
      </c>
      <c r="DJ398" s="1" t="s">
        <v>96</v>
      </c>
      <c r="DL398" s="1">
        <f t="shared" si="717"/>
        <v>9.7221609195402292E-2</v>
      </c>
      <c r="DM398" s="1">
        <f t="shared" si="718"/>
        <v>0</v>
      </c>
      <c r="DN398" s="1" t="s">
        <v>67</v>
      </c>
      <c r="DO398" s="1" t="s">
        <v>2</v>
      </c>
      <c r="DP398" s="38">
        <f t="shared" si="640"/>
        <v>1.5293099999999999E-2</v>
      </c>
      <c r="DQ398" s="38">
        <f t="shared" si="641"/>
        <v>5.8978362000000004</v>
      </c>
      <c r="DR398" s="38">
        <f t="shared" si="642"/>
        <v>0</v>
      </c>
      <c r="DS398" s="38">
        <f t="shared" si="643"/>
        <v>0</v>
      </c>
      <c r="DT398" s="38">
        <f t="shared" si="644"/>
        <v>0</v>
      </c>
      <c r="DU398" s="38">
        <f t="shared" si="645"/>
        <v>0</v>
      </c>
      <c r="DV398" s="38">
        <f t="shared" si="646"/>
        <v>0</v>
      </c>
      <c r="DW398" s="38">
        <f t="shared" si="647"/>
        <v>0.14801990000000001</v>
      </c>
      <c r="DX398" s="38">
        <f t="shared" si="648"/>
        <v>0</v>
      </c>
      <c r="DY398" s="38">
        <f t="shared" si="649"/>
        <v>357.24487400000004</v>
      </c>
      <c r="DZ398" s="38">
        <f t="shared" si="650"/>
        <v>176.10623440000001</v>
      </c>
      <c r="EA398" s="38">
        <f t="shared" si="651"/>
        <v>60.924147599999998</v>
      </c>
      <c r="EB398" s="38">
        <f t="shared" si="652"/>
        <v>0</v>
      </c>
      <c r="EC398" s="38">
        <f t="shared" si="653"/>
        <v>0</v>
      </c>
      <c r="ED398" s="38">
        <f t="shared" si="654"/>
        <v>30.061227290899264</v>
      </c>
      <c r="EE398" s="38">
        <f t="shared" si="655"/>
        <v>0</v>
      </c>
      <c r="EG398" s="38">
        <f t="shared" si="656"/>
        <v>0</v>
      </c>
      <c r="EH398" s="38">
        <f t="shared" si="657"/>
        <v>0</v>
      </c>
      <c r="EI398" s="38">
        <f t="shared" si="658"/>
        <v>99.796898049599989</v>
      </c>
      <c r="EJ398" s="38">
        <f t="shared" si="659"/>
        <v>241.22339699035371</v>
      </c>
      <c r="EK398" s="38">
        <f t="shared" si="660"/>
        <v>0</v>
      </c>
      <c r="EL398" s="38">
        <f t="shared" si="661"/>
        <v>0</v>
      </c>
      <c r="EM398" s="38">
        <f t="shared" si="662"/>
        <v>0</v>
      </c>
      <c r="EN398" s="38">
        <f t="shared" si="663"/>
        <v>0</v>
      </c>
      <c r="EO398" s="38">
        <f t="shared" si="664"/>
        <v>0</v>
      </c>
      <c r="EP398" s="38">
        <f t="shared" si="665"/>
        <v>1941.1329686000001</v>
      </c>
      <c r="EQ398" s="38">
        <f t="shared" si="666"/>
        <v>0</v>
      </c>
      <c r="ER398" s="38">
        <f t="shared" si="667"/>
        <v>10139.091977004502</v>
      </c>
      <c r="ES398" s="38">
        <f t="shared" si="668"/>
        <v>5868.8676694273954</v>
      </c>
      <c r="ET398" s="38">
        <f t="shared" si="669"/>
        <v>4359.3088634816722</v>
      </c>
      <c r="EU398" s="38">
        <f t="shared" si="670"/>
        <v>0</v>
      </c>
      <c r="EV398" s="38">
        <f t="shared" si="671"/>
        <v>0</v>
      </c>
      <c r="EW398" s="38">
        <f t="shared" si="672"/>
        <v>8387.0824141608955</v>
      </c>
      <c r="EX398" s="38">
        <f t="shared" si="673"/>
        <v>0</v>
      </c>
      <c r="EZ398" s="38">
        <f t="shared" si="674"/>
        <v>0</v>
      </c>
      <c r="FA398" s="38">
        <f t="shared" si="675"/>
        <v>0</v>
      </c>
      <c r="FB398" s="1">
        <f t="shared" si="676"/>
        <v>2.4561000000000001E-3</v>
      </c>
      <c r="FC398" s="1">
        <f t="shared" si="677"/>
        <v>0.56598660000000001</v>
      </c>
      <c r="FD398" s="1">
        <f t="shared" si="678"/>
        <v>0</v>
      </c>
      <c r="FE398" s="1">
        <f t="shared" si="679"/>
        <v>0</v>
      </c>
      <c r="FF398" s="1">
        <f t="shared" si="680"/>
        <v>0</v>
      </c>
      <c r="FG398" s="1">
        <f t="shared" si="681"/>
        <v>0</v>
      </c>
      <c r="FH398" s="1">
        <f t="shared" si="682"/>
        <v>0</v>
      </c>
      <c r="FI398" s="1">
        <f t="shared" si="683"/>
        <v>8.8985000000000002E-3</v>
      </c>
      <c r="FJ398" s="1">
        <f t="shared" si="684"/>
        <v>0</v>
      </c>
      <c r="FK398" s="1">
        <f t="shared" si="685"/>
        <v>9.4404141999999993</v>
      </c>
      <c r="FL398" s="1">
        <f t="shared" si="686"/>
        <v>4.8078050000000001</v>
      </c>
      <c r="FM398" s="1">
        <f t="shared" si="687"/>
        <v>1.3461564000000001</v>
      </c>
      <c r="FN398" s="1">
        <f t="shared" si="688"/>
        <v>0</v>
      </c>
      <c r="FO398" s="1">
        <f t="shared" si="689"/>
        <v>0</v>
      </c>
      <c r="FP398" s="1">
        <f t="shared" si="690"/>
        <v>0.77005499481604966</v>
      </c>
      <c r="FQ398" s="1">
        <f t="shared" si="691"/>
        <v>0</v>
      </c>
      <c r="FS398" s="1">
        <f t="shared" si="692"/>
        <v>0</v>
      </c>
      <c r="FT398" s="1">
        <f t="shared" si="693"/>
        <v>0</v>
      </c>
      <c r="FU398" s="38">
        <f t="shared" si="694"/>
        <v>16.027565457600002</v>
      </c>
      <c r="FV398" s="38">
        <f t="shared" si="695"/>
        <v>23.149033929260447</v>
      </c>
      <c r="FW398" s="38">
        <f t="shared" si="696"/>
        <v>0</v>
      </c>
      <c r="FX398" s="38">
        <f t="shared" si="697"/>
        <v>0</v>
      </c>
      <c r="FY398" s="38">
        <f t="shared" si="698"/>
        <v>0</v>
      </c>
      <c r="FZ398" s="38">
        <f t="shared" si="699"/>
        <v>0</v>
      </c>
      <c r="GA398" s="38">
        <f t="shared" si="700"/>
        <v>0</v>
      </c>
      <c r="GB398" s="38">
        <f t="shared" si="701"/>
        <v>116.694929</v>
      </c>
      <c r="GC398" s="38">
        <f t="shared" si="702"/>
        <v>0</v>
      </c>
      <c r="GD398" s="38">
        <f t="shared" si="703"/>
        <v>267.93170410842436</v>
      </c>
      <c r="GE398" s="38">
        <f t="shared" si="704"/>
        <v>160.22357994051447</v>
      </c>
      <c r="GF398" s="38">
        <f t="shared" si="705"/>
        <v>96.321602473311913</v>
      </c>
      <c r="GG398" s="38">
        <f t="shared" si="706"/>
        <v>0</v>
      </c>
      <c r="GH398" s="38">
        <f t="shared" si="707"/>
        <v>0</v>
      </c>
      <c r="GI398" s="38">
        <f t="shared" si="708"/>
        <v>214.84534355367785</v>
      </c>
      <c r="GJ398" s="38">
        <f t="shared" si="709"/>
        <v>0</v>
      </c>
      <c r="GL398" s="38">
        <f t="shared" si="710"/>
        <v>0</v>
      </c>
      <c r="GM398" s="38">
        <f t="shared" si="711"/>
        <v>0</v>
      </c>
      <c r="GN398" s="1" t="s">
        <v>2</v>
      </c>
      <c r="GO398" s="14">
        <f t="shared" si="719"/>
        <v>152.25</v>
      </c>
      <c r="GP398" s="13">
        <f t="shared" si="720"/>
        <v>9.7221609195402292E-2</v>
      </c>
      <c r="GQ398" s="41">
        <f t="shared" si="721"/>
        <v>148.01990000000001</v>
      </c>
      <c r="GR398" s="41">
        <f t="shared" si="722"/>
        <v>31036.504187714418</v>
      </c>
      <c r="GS398" s="14">
        <f t="shared" si="723"/>
        <v>203.85224425428189</v>
      </c>
      <c r="GT398" s="1">
        <f t="shared" si="712"/>
        <v>31.360099999999999</v>
      </c>
      <c r="GU398" s="1">
        <f t="shared" si="713"/>
        <v>30.591699999999999</v>
      </c>
      <c r="GV398" s="1">
        <f t="shared" si="714"/>
        <v>86.068100000000015</v>
      </c>
      <c r="GW398" s="37">
        <f t="shared" si="724"/>
        <v>8.81</v>
      </c>
      <c r="GX398" s="37">
        <f>(BT398*CB398+CO398*CW398)/GW398</f>
        <v>0.10100454029511918</v>
      </c>
      <c r="GY398" s="41">
        <f>1000*GW398*GX398/100</f>
        <v>8.8985000000000003</v>
      </c>
      <c r="GZ398" s="41">
        <f>SUM(FU398:GM398)</f>
        <v>895.19375846278899</v>
      </c>
      <c r="HA398" s="14">
        <f>GZ398/GW398</f>
        <v>101.61109630678649</v>
      </c>
      <c r="HB398" s="1">
        <f t="shared" si="715"/>
        <v>0</v>
      </c>
      <c r="HC398" s="1">
        <f t="shared" si="716"/>
        <v>8.8985000000000003</v>
      </c>
      <c r="HD398" s="37" t="s">
        <v>2</v>
      </c>
      <c r="HE398" s="1" t="s">
        <v>113</v>
      </c>
      <c r="HF398" s="1" t="s">
        <v>261</v>
      </c>
      <c r="HG398" s="1" t="s">
        <v>589</v>
      </c>
      <c r="HH398" s="1" t="s">
        <v>1182</v>
      </c>
      <c r="HI398" s="1" t="s">
        <v>96</v>
      </c>
      <c r="HJ398" s="37" t="s">
        <v>2</v>
      </c>
      <c r="JH398" s="58" t="s">
        <v>2</v>
      </c>
    </row>
    <row r="399" spans="1:268" ht="16.25" customHeight="1" x14ac:dyDescent="0.2">
      <c r="A399" s="15" t="s">
        <v>1209</v>
      </c>
      <c r="F399" s="1" t="s">
        <v>1210</v>
      </c>
      <c r="I399" s="1">
        <v>2.8</v>
      </c>
      <c r="J399" s="13">
        <v>2.9148595329822911E-2</v>
      </c>
      <c r="K399" s="13">
        <v>5.6096699999999999E-2</v>
      </c>
      <c r="Q399" s="13">
        <v>0.11240231217618901</v>
      </c>
      <c r="S399" s="13">
        <v>2.4316289999999996</v>
      </c>
      <c r="T399" s="13">
        <v>2.1438869999999999</v>
      </c>
      <c r="U399" s="13">
        <v>0.43780439999999998</v>
      </c>
      <c r="AD399" s="1">
        <v>0</v>
      </c>
      <c r="AY399" s="1">
        <v>0</v>
      </c>
      <c r="BT399" s="1">
        <v>0</v>
      </c>
      <c r="CO399" s="1">
        <v>0</v>
      </c>
      <c r="DL399" s="1">
        <f t="shared" si="717"/>
        <v>0.11240231217618901</v>
      </c>
      <c r="DM399" s="1">
        <f t="shared" si="718"/>
        <v>0</v>
      </c>
      <c r="DN399" s="1" t="s">
        <v>73</v>
      </c>
      <c r="DO399" s="1" t="s">
        <v>2</v>
      </c>
      <c r="DP399" s="38">
        <f t="shared" si="640"/>
        <v>8.1616066923504153E-4</v>
      </c>
      <c r="DQ399" s="38">
        <f t="shared" si="641"/>
        <v>0.15707075999999998</v>
      </c>
      <c r="DR399" s="38">
        <f t="shared" si="642"/>
        <v>0</v>
      </c>
      <c r="DS399" s="38">
        <f t="shared" si="643"/>
        <v>0</v>
      </c>
      <c r="DT399" s="38">
        <f t="shared" si="644"/>
        <v>0</v>
      </c>
      <c r="DU399" s="38">
        <f t="shared" si="645"/>
        <v>0</v>
      </c>
      <c r="DV399" s="38">
        <f t="shared" si="646"/>
        <v>0</v>
      </c>
      <c r="DW399" s="38">
        <f t="shared" si="647"/>
        <v>3.147264740933292E-3</v>
      </c>
      <c r="DX399" s="38">
        <f t="shared" si="648"/>
        <v>0</v>
      </c>
      <c r="DY399" s="38">
        <f t="shared" si="649"/>
        <v>6.8085611999999989</v>
      </c>
      <c r="DZ399" s="38">
        <f t="shared" si="650"/>
        <v>6.0028835999999997</v>
      </c>
      <c r="EA399" s="38">
        <f t="shared" si="651"/>
        <v>1.2258523199999998</v>
      </c>
      <c r="EB399" s="38">
        <f t="shared" si="652"/>
        <v>0</v>
      </c>
      <c r="EC399" s="38">
        <f t="shared" si="653"/>
        <v>0</v>
      </c>
      <c r="ED399" s="38">
        <f t="shared" si="654"/>
        <v>0</v>
      </c>
      <c r="EE399" s="38">
        <f t="shared" si="655"/>
        <v>0</v>
      </c>
      <c r="EG399" s="38">
        <f t="shared" si="656"/>
        <v>0</v>
      </c>
      <c r="EH399" s="38">
        <f t="shared" si="657"/>
        <v>0</v>
      </c>
      <c r="EI399" s="38">
        <f t="shared" si="658"/>
        <v>5.3259511217308946</v>
      </c>
      <c r="EJ399" s="38">
        <f t="shared" si="659"/>
        <v>6.4242445890675226</v>
      </c>
      <c r="EK399" s="38">
        <f t="shared" si="660"/>
        <v>0</v>
      </c>
      <c r="EL399" s="38">
        <f t="shared" si="661"/>
        <v>0</v>
      </c>
      <c r="EM399" s="38">
        <f t="shared" si="662"/>
        <v>0</v>
      </c>
      <c r="EN399" s="38">
        <f t="shared" si="663"/>
        <v>0</v>
      </c>
      <c r="EO399" s="38">
        <f t="shared" si="664"/>
        <v>0</v>
      </c>
      <c r="EP399" s="38">
        <f t="shared" si="665"/>
        <v>41.27322981259919</v>
      </c>
      <c r="EQ399" s="38">
        <f t="shared" si="666"/>
        <v>0</v>
      </c>
      <c r="ER399" s="38">
        <f t="shared" si="667"/>
        <v>193.23616169749192</v>
      </c>
      <c r="ES399" s="38">
        <f t="shared" si="668"/>
        <v>200.05043889221864</v>
      </c>
      <c r="ET399" s="38">
        <f t="shared" si="669"/>
        <v>87.713478060964633</v>
      </c>
      <c r="EU399" s="38">
        <f t="shared" si="670"/>
        <v>0</v>
      </c>
      <c r="EV399" s="38">
        <f t="shared" si="671"/>
        <v>0</v>
      </c>
      <c r="EW399" s="38">
        <f t="shared" si="672"/>
        <v>0</v>
      </c>
      <c r="EX399" s="38">
        <f t="shared" si="673"/>
        <v>0</v>
      </c>
      <c r="EZ399" s="38">
        <f t="shared" si="674"/>
        <v>0</v>
      </c>
      <c r="FA399" s="38">
        <f t="shared" si="675"/>
        <v>0</v>
      </c>
      <c r="FB399" s="1">
        <f t="shared" si="676"/>
        <v>0</v>
      </c>
      <c r="FC399" s="1">
        <f t="shared" si="677"/>
        <v>0</v>
      </c>
      <c r="FD399" s="1">
        <f t="shared" si="678"/>
        <v>0</v>
      </c>
      <c r="FE399" s="1">
        <f t="shared" si="679"/>
        <v>0</v>
      </c>
      <c r="FF399" s="1">
        <f t="shared" si="680"/>
        <v>0</v>
      </c>
      <c r="FG399" s="1">
        <f t="shared" si="681"/>
        <v>0</v>
      </c>
      <c r="FH399" s="1">
        <f t="shared" si="682"/>
        <v>0</v>
      </c>
      <c r="FI399" s="1">
        <f t="shared" si="683"/>
        <v>0</v>
      </c>
      <c r="FJ399" s="1">
        <f t="shared" si="684"/>
        <v>0</v>
      </c>
      <c r="FK399" s="1">
        <f t="shared" si="685"/>
        <v>0</v>
      </c>
      <c r="FL399" s="1">
        <f t="shared" si="686"/>
        <v>0</v>
      </c>
      <c r="FM399" s="1">
        <f t="shared" si="687"/>
        <v>0</v>
      </c>
      <c r="FN399" s="1">
        <f t="shared" si="688"/>
        <v>0</v>
      </c>
      <c r="FO399" s="1">
        <f t="shared" si="689"/>
        <v>0</v>
      </c>
      <c r="FP399" s="1">
        <f t="shared" si="690"/>
        <v>0</v>
      </c>
      <c r="FQ399" s="1">
        <f t="shared" si="691"/>
        <v>0</v>
      </c>
      <c r="FS399" s="1">
        <f t="shared" si="692"/>
        <v>0</v>
      </c>
      <c r="FT399" s="1">
        <f t="shared" si="693"/>
        <v>0</v>
      </c>
      <c r="FU399" s="38">
        <f t="shared" si="694"/>
        <v>0</v>
      </c>
      <c r="FV399" s="38">
        <f t="shared" si="695"/>
        <v>0</v>
      </c>
      <c r="FW399" s="38">
        <f t="shared" si="696"/>
        <v>0</v>
      </c>
      <c r="FX399" s="38">
        <f t="shared" si="697"/>
        <v>0</v>
      </c>
      <c r="FY399" s="38">
        <f t="shared" si="698"/>
        <v>0</v>
      </c>
      <c r="FZ399" s="38">
        <f t="shared" si="699"/>
        <v>0</v>
      </c>
      <c r="GA399" s="38">
        <f t="shared" si="700"/>
        <v>0</v>
      </c>
      <c r="GB399" s="38">
        <f t="shared" si="701"/>
        <v>0</v>
      </c>
      <c r="GC399" s="38">
        <f t="shared" si="702"/>
        <v>0</v>
      </c>
      <c r="GD399" s="38">
        <f t="shared" si="703"/>
        <v>0</v>
      </c>
      <c r="GE399" s="38">
        <f t="shared" si="704"/>
        <v>0</v>
      </c>
      <c r="GF399" s="38">
        <f t="shared" si="705"/>
        <v>0</v>
      </c>
      <c r="GG399" s="38">
        <f t="shared" si="706"/>
        <v>0</v>
      </c>
      <c r="GH399" s="38">
        <f t="shared" si="707"/>
        <v>0</v>
      </c>
      <c r="GI399" s="38">
        <f t="shared" si="708"/>
        <v>0</v>
      </c>
      <c r="GJ399" s="38">
        <f t="shared" si="709"/>
        <v>0</v>
      </c>
      <c r="GL399" s="38">
        <f t="shared" si="710"/>
        <v>0</v>
      </c>
      <c r="GM399" s="38">
        <f t="shared" si="711"/>
        <v>0</v>
      </c>
      <c r="GN399" s="1" t="s">
        <v>2</v>
      </c>
      <c r="GO399" s="1">
        <f t="shared" si="719"/>
        <v>2.8</v>
      </c>
      <c r="GP399" s="13">
        <f t="shared" si="720"/>
        <v>0.11240231217618901</v>
      </c>
      <c r="GQ399" s="41">
        <f t="shared" si="721"/>
        <v>3.1472647409332923</v>
      </c>
      <c r="GR399" s="41">
        <f t="shared" si="722"/>
        <v>534.02350417407274</v>
      </c>
      <c r="GS399" s="14">
        <f t="shared" si="723"/>
        <v>190.72268006216885</v>
      </c>
      <c r="GT399" s="1">
        <f t="shared" si="712"/>
        <v>3.1472647409332923</v>
      </c>
      <c r="GU399" s="1">
        <f t="shared" si="713"/>
        <v>0</v>
      </c>
      <c r="GV399" s="1">
        <f t="shared" si="714"/>
        <v>0</v>
      </c>
      <c r="GW399" s="37">
        <f t="shared" si="724"/>
        <v>0</v>
      </c>
      <c r="GX399" s="37"/>
      <c r="GY399" s="37"/>
      <c r="GZ399" s="37"/>
      <c r="HB399" s="1">
        <f t="shared" si="715"/>
        <v>0</v>
      </c>
      <c r="HC399" s="1">
        <f t="shared" si="716"/>
        <v>0</v>
      </c>
      <c r="HD399" s="37" t="s">
        <v>2</v>
      </c>
      <c r="HE399" s="1" t="s">
        <v>113</v>
      </c>
      <c r="HF399" s="1" t="s">
        <v>261</v>
      </c>
      <c r="HG399" s="1" t="s">
        <v>589</v>
      </c>
      <c r="HH399" s="1" t="s">
        <v>1194</v>
      </c>
      <c r="HI399" s="1" t="s">
        <v>96</v>
      </c>
      <c r="HJ399" s="37" t="s">
        <v>2</v>
      </c>
      <c r="JH399" s="58" t="s">
        <v>2</v>
      </c>
    </row>
    <row r="400" spans="1:268" ht="16.25" customHeight="1" x14ac:dyDescent="0.2">
      <c r="A400" s="15" t="s">
        <v>1211</v>
      </c>
      <c r="F400" s="1" t="s">
        <v>685</v>
      </c>
      <c r="I400" s="1">
        <v>0</v>
      </c>
      <c r="AD400" s="1">
        <v>2.71</v>
      </c>
      <c r="AE400" s="13">
        <v>2.9148595329822911E-2</v>
      </c>
      <c r="AF400" s="13">
        <v>5.3716840000000002E-2</v>
      </c>
      <c r="AL400" s="13">
        <v>0.11240231217618901</v>
      </c>
      <c r="AN400" s="13">
        <v>1.5066564</v>
      </c>
      <c r="AO400" s="13">
        <v>1.3283692</v>
      </c>
      <c r="AP400" s="13">
        <v>0.27126704000000001</v>
      </c>
      <c r="AY400" s="1">
        <v>3.89</v>
      </c>
      <c r="AZ400" s="13">
        <v>2.9148595329822911E-2</v>
      </c>
      <c r="BA400" s="2">
        <v>1.492537313432836E-2</v>
      </c>
      <c r="BG400" s="13">
        <v>0.11240231217618901</v>
      </c>
      <c r="BI400" s="2">
        <v>0.44402985074626866</v>
      </c>
      <c r="BJ400" s="2">
        <v>0.44402985074626866</v>
      </c>
      <c r="BK400" s="2">
        <v>9.7014925373134345E-2</v>
      </c>
      <c r="BL400" s="2"/>
      <c r="BM400" s="2"/>
      <c r="BT400" s="1">
        <v>0</v>
      </c>
      <c r="CO400" s="1">
        <v>0</v>
      </c>
      <c r="DL400" s="1">
        <f t="shared" si="717"/>
        <v>0.11240231217618901</v>
      </c>
      <c r="DM400" s="1">
        <f t="shared" si="718"/>
        <v>0</v>
      </c>
      <c r="DN400" s="1" t="s">
        <v>1087</v>
      </c>
      <c r="DO400" s="1" t="s">
        <v>2</v>
      </c>
      <c r="DP400" s="38">
        <f t="shared" si="640"/>
        <v>1.9238072917683122E-3</v>
      </c>
      <c r="DQ400" s="38">
        <f t="shared" si="641"/>
        <v>0.20363233789253732</v>
      </c>
      <c r="DR400" s="38">
        <f t="shared" si="642"/>
        <v>0</v>
      </c>
      <c r="DS400" s="38">
        <f t="shared" si="643"/>
        <v>0</v>
      </c>
      <c r="DT400" s="38">
        <f t="shared" si="644"/>
        <v>0</v>
      </c>
      <c r="DU400" s="38">
        <f t="shared" si="645"/>
        <v>0</v>
      </c>
      <c r="DV400" s="38">
        <f t="shared" si="646"/>
        <v>0</v>
      </c>
      <c r="DW400" s="38">
        <f t="shared" si="647"/>
        <v>7.4185526036284746E-3</v>
      </c>
      <c r="DX400" s="38">
        <f t="shared" si="648"/>
        <v>0</v>
      </c>
      <c r="DY400" s="38">
        <f t="shared" si="649"/>
        <v>5.8103149634029849</v>
      </c>
      <c r="DZ400" s="38">
        <f t="shared" si="650"/>
        <v>5.3271566514029853</v>
      </c>
      <c r="EA400" s="38">
        <f t="shared" si="651"/>
        <v>1.1125217381014927</v>
      </c>
      <c r="EB400" s="38">
        <f t="shared" si="652"/>
        <v>0</v>
      </c>
      <c r="EC400" s="38">
        <f t="shared" si="653"/>
        <v>0</v>
      </c>
      <c r="ED400" s="38">
        <f t="shared" si="654"/>
        <v>0</v>
      </c>
      <c r="EE400" s="38">
        <f t="shared" si="655"/>
        <v>0</v>
      </c>
      <c r="EG400" s="38">
        <f t="shared" si="656"/>
        <v>0</v>
      </c>
      <c r="EH400" s="38">
        <f t="shared" si="657"/>
        <v>0</v>
      </c>
      <c r="EI400" s="38">
        <f t="shared" si="658"/>
        <v>12.554027644079966</v>
      </c>
      <c r="EJ400" s="38">
        <f t="shared" si="659"/>
        <v>8.3286280964407542</v>
      </c>
      <c r="EK400" s="38">
        <f t="shared" si="660"/>
        <v>0</v>
      </c>
      <c r="EL400" s="38">
        <f t="shared" si="661"/>
        <v>0</v>
      </c>
      <c r="EM400" s="38">
        <f t="shared" si="662"/>
        <v>0</v>
      </c>
      <c r="EN400" s="38">
        <f t="shared" si="663"/>
        <v>0</v>
      </c>
      <c r="EO400" s="38">
        <f t="shared" si="664"/>
        <v>0</v>
      </c>
      <c r="EP400" s="38">
        <f t="shared" si="665"/>
        <v>97.28689884398382</v>
      </c>
      <c r="EQ400" s="38">
        <f t="shared" si="666"/>
        <v>0</v>
      </c>
      <c r="ER400" s="38">
        <f t="shared" si="667"/>
        <v>164.90458538898</v>
      </c>
      <c r="ES400" s="38">
        <f t="shared" si="668"/>
        <v>177.53134946024426</v>
      </c>
      <c r="ET400" s="38">
        <f t="shared" si="669"/>
        <v>79.604328739461479</v>
      </c>
      <c r="EU400" s="38">
        <f t="shared" si="670"/>
        <v>0</v>
      </c>
      <c r="EV400" s="38">
        <f t="shared" si="671"/>
        <v>0</v>
      </c>
      <c r="EW400" s="38">
        <f t="shared" si="672"/>
        <v>0</v>
      </c>
      <c r="EX400" s="38">
        <f t="shared" si="673"/>
        <v>0</v>
      </c>
      <c r="EZ400" s="38">
        <f t="shared" si="674"/>
        <v>0</v>
      </c>
      <c r="FA400" s="38">
        <f t="shared" si="675"/>
        <v>0</v>
      </c>
      <c r="FB400" s="1">
        <f t="shared" si="676"/>
        <v>0</v>
      </c>
      <c r="FC400" s="1">
        <f t="shared" si="677"/>
        <v>0</v>
      </c>
      <c r="FD400" s="1">
        <f t="shared" si="678"/>
        <v>0</v>
      </c>
      <c r="FE400" s="1">
        <f t="shared" si="679"/>
        <v>0</v>
      </c>
      <c r="FF400" s="1">
        <f t="shared" si="680"/>
        <v>0</v>
      </c>
      <c r="FG400" s="1">
        <f t="shared" si="681"/>
        <v>0</v>
      </c>
      <c r="FH400" s="1">
        <f t="shared" si="682"/>
        <v>0</v>
      </c>
      <c r="FI400" s="1">
        <f t="shared" si="683"/>
        <v>0</v>
      </c>
      <c r="FJ400" s="1">
        <f t="shared" si="684"/>
        <v>0</v>
      </c>
      <c r="FK400" s="1">
        <f t="shared" si="685"/>
        <v>0</v>
      </c>
      <c r="FL400" s="1">
        <f t="shared" si="686"/>
        <v>0</v>
      </c>
      <c r="FM400" s="1">
        <f t="shared" si="687"/>
        <v>0</v>
      </c>
      <c r="FN400" s="1">
        <f t="shared" si="688"/>
        <v>0</v>
      </c>
      <c r="FO400" s="1">
        <f t="shared" si="689"/>
        <v>0</v>
      </c>
      <c r="FP400" s="1">
        <f t="shared" si="690"/>
        <v>0</v>
      </c>
      <c r="FQ400" s="1">
        <f t="shared" si="691"/>
        <v>0</v>
      </c>
      <c r="FS400" s="1">
        <f t="shared" si="692"/>
        <v>0</v>
      </c>
      <c r="FT400" s="1">
        <f t="shared" si="693"/>
        <v>0</v>
      </c>
      <c r="FU400" s="38">
        <f t="shared" si="694"/>
        <v>0</v>
      </c>
      <c r="FV400" s="38">
        <f t="shared" si="695"/>
        <v>0</v>
      </c>
      <c r="FW400" s="38">
        <f t="shared" si="696"/>
        <v>0</v>
      </c>
      <c r="FX400" s="38">
        <f t="shared" si="697"/>
        <v>0</v>
      </c>
      <c r="FY400" s="38">
        <f t="shared" si="698"/>
        <v>0</v>
      </c>
      <c r="FZ400" s="38">
        <f t="shared" si="699"/>
        <v>0</v>
      </c>
      <c r="GA400" s="38">
        <f t="shared" si="700"/>
        <v>0</v>
      </c>
      <c r="GB400" s="38">
        <f t="shared" si="701"/>
        <v>0</v>
      </c>
      <c r="GC400" s="38">
        <f t="shared" si="702"/>
        <v>0</v>
      </c>
      <c r="GD400" s="38">
        <f t="shared" si="703"/>
        <v>0</v>
      </c>
      <c r="GE400" s="38">
        <f t="shared" si="704"/>
        <v>0</v>
      </c>
      <c r="GF400" s="38">
        <f t="shared" si="705"/>
        <v>0</v>
      </c>
      <c r="GG400" s="38">
        <f t="shared" si="706"/>
        <v>0</v>
      </c>
      <c r="GH400" s="38">
        <f t="shared" si="707"/>
        <v>0</v>
      </c>
      <c r="GI400" s="38">
        <f t="shared" si="708"/>
        <v>0</v>
      </c>
      <c r="GJ400" s="38">
        <f t="shared" si="709"/>
        <v>0</v>
      </c>
      <c r="GL400" s="38">
        <f t="shared" si="710"/>
        <v>0</v>
      </c>
      <c r="GM400" s="38">
        <f t="shared" si="711"/>
        <v>0</v>
      </c>
      <c r="GN400" s="1" t="s">
        <v>2</v>
      </c>
      <c r="GO400" s="1">
        <f t="shared" si="719"/>
        <v>6.6</v>
      </c>
      <c r="GP400" s="13">
        <f t="shared" si="720"/>
        <v>0.11240231217618901</v>
      </c>
      <c r="GQ400" s="41">
        <f t="shared" si="721"/>
        <v>7.4185526036284752</v>
      </c>
      <c r="GR400" s="41">
        <f t="shared" si="722"/>
        <v>540.20981817319023</v>
      </c>
      <c r="GS400" s="14">
        <f t="shared" si="723"/>
        <v>81.849972450483378</v>
      </c>
      <c r="GT400" s="1">
        <f t="shared" si="712"/>
        <v>0</v>
      </c>
      <c r="GU400" s="1">
        <f t="shared" si="713"/>
        <v>3.0461026599747218</v>
      </c>
      <c r="GV400" s="1">
        <f t="shared" si="714"/>
        <v>4.3724499436537529</v>
      </c>
      <c r="GW400" s="37">
        <f t="shared" si="724"/>
        <v>0</v>
      </c>
      <c r="GX400" s="37"/>
      <c r="GY400" s="37"/>
      <c r="GZ400" s="37"/>
      <c r="HB400" s="1">
        <f t="shared" si="715"/>
        <v>0</v>
      </c>
      <c r="HC400" s="1">
        <f t="shared" si="716"/>
        <v>0</v>
      </c>
      <c r="HD400" s="37" t="s">
        <v>2</v>
      </c>
      <c r="HE400" s="1" t="s">
        <v>113</v>
      </c>
      <c r="HF400" s="1" t="s">
        <v>261</v>
      </c>
      <c r="HG400" s="1" t="s">
        <v>589</v>
      </c>
      <c r="HH400" s="1" t="s">
        <v>1194</v>
      </c>
      <c r="HI400" s="1" t="s">
        <v>96</v>
      </c>
      <c r="HJ400" s="37" t="s">
        <v>2</v>
      </c>
      <c r="JH400" s="58" t="s">
        <v>2</v>
      </c>
    </row>
    <row r="401" spans="1:268" ht="16.25" customHeight="1" x14ac:dyDescent="0.2">
      <c r="A401" s="15" t="s">
        <v>1212</v>
      </c>
      <c r="F401" s="1" t="s">
        <v>1213</v>
      </c>
      <c r="I401" s="1">
        <v>67.224999999999994</v>
      </c>
      <c r="J401" s="13">
        <v>5.4018565140117075E-2</v>
      </c>
      <c r="K401" s="13">
        <v>0.1403371335068799</v>
      </c>
      <c r="Q401" s="13">
        <v>0.14504986907307207</v>
      </c>
      <c r="S401" s="13">
        <v>2.2807834912606917</v>
      </c>
      <c r="T401" s="13">
        <v>1.8898124554853106</v>
      </c>
      <c r="U401" s="13">
        <v>0.36908769535143177</v>
      </c>
      <c r="AD401" s="1">
        <v>137.98500000000001</v>
      </c>
      <c r="AE401" s="13">
        <v>8.38270200529182E-2</v>
      </c>
      <c r="AF401" s="13">
        <v>0.17986810160524694</v>
      </c>
      <c r="AL401" s="13">
        <v>0.18418032380209357</v>
      </c>
      <c r="AN401" s="13">
        <v>1.7779394861760334</v>
      </c>
      <c r="AO401" s="13">
        <v>1.0033939921005905</v>
      </c>
      <c r="AP401" s="13">
        <v>0.15246751458491861</v>
      </c>
      <c r="AY401" s="1">
        <v>149.76300000000001</v>
      </c>
      <c r="AZ401" s="13">
        <v>6.2464252950091399E-2</v>
      </c>
      <c r="BA401" s="13">
        <v>0.14772145389715749</v>
      </c>
      <c r="BG401" s="13">
        <v>0.156136777316737</v>
      </c>
      <c r="BI401" s="13">
        <v>2.0666478219586946</v>
      </c>
      <c r="BJ401" s="13">
        <v>1.5917558927104825</v>
      </c>
      <c r="BK401" s="13">
        <v>0.30358544086323058</v>
      </c>
      <c r="BL401" s="13"/>
      <c r="BM401" s="13"/>
      <c r="BT401" s="1">
        <v>0</v>
      </c>
      <c r="CO401" s="1">
        <v>0</v>
      </c>
      <c r="DJ401" s="1" t="s">
        <v>96</v>
      </c>
      <c r="DL401" s="1">
        <f t="shared" si="717"/>
        <v>0.16493821110212786</v>
      </c>
      <c r="DM401" s="1">
        <f t="shared" si="718"/>
        <v>0</v>
      </c>
      <c r="DN401" s="1" t="s">
        <v>101</v>
      </c>
      <c r="DO401" s="1" t="s">
        <v>2</v>
      </c>
      <c r="DP401" s="38">
        <f t="shared" si="640"/>
        <v>0.24553103318110828</v>
      </c>
      <c r="DQ401" s="38">
        <f t="shared" si="641"/>
        <v>56.376471899999999</v>
      </c>
      <c r="DR401" s="38">
        <f t="shared" si="642"/>
        <v>0</v>
      </c>
      <c r="DS401" s="38">
        <f t="shared" si="643"/>
        <v>0</v>
      </c>
      <c r="DT401" s="38">
        <f t="shared" si="644"/>
        <v>0</v>
      </c>
      <c r="DU401" s="38">
        <f t="shared" si="645"/>
        <v>0</v>
      </c>
      <c r="DV401" s="38">
        <f t="shared" si="646"/>
        <v>0</v>
      </c>
      <c r="DW401" s="38">
        <f t="shared" si="647"/>
        <v>0.58548611609555634</v>
      </c>
      <c r="DX401" s="38">
        <f t="shared" si="648"/>
        <v>0</v>
      </c>
      <c r="DY401" s="38">
        <f t="shared" si="649"/>
        <v>708.16202795999993</v>
      </c>
      <c r="DZ401" s="38">
        <f t="shared" si="650"/>
        <v>503.88210007999999</v>
      </c>
      <c r="EA401" s="38">
        <f t="shared" si="651"/>
        <v>91.316016700000006</v>
      </c>
      <c r="EB401" s="38">
        <f t="shared" si="652"/>
        <v>0</v>
      </c>
      <c r="EC401" s="38">
        <f t="shared" si="653"/>
        <v>0</v>
      </c>
      <c r="ED401" s="38">
        <f t="shared" si="654"/>
        <v>0</v>
      </c>
      <c r="EE401" s="38">
        <f t="shared" si="655"/>
        <v>0</v>
      </c>
      <c r="EG401" s="38">
        <f t="shared" si="656"/>
        <v>0</v>
      </c>
      <c r="EH401" s="38">
        <f t="shared" si="657"/>
        <v>0</v>
      </c>
      <c r="EI401" s="38">
        <f t="shared" si="658"/>
        <v>1602.2412386231711</v>
      </c>
      <c r="EJ401" s="38">
        <f t="shared" si="659"/>
        <v>2305.8158281929259</v>
      </c>
      <c r="EK401" s="38">
        <f t="shared" si="660"/>
        <v>0</v>
      </c>
      <c r="EL401" s="38">
        <f t="shared" si="661"/>
        <v>0</v>
      </c>
      <c r="EM401" s="38">
        <f t="shared" si="662"/>
        <v>0</v>
      </c>
      <c r="EN401" s="38">
        <f t="shared" si="663"/>
        <v>0</v>
      </c>
      <c r="EO401" s="38">
        <f t="shared" si="664"/>
        <v>0</v>
      </c>
      <c r="EP401" s="38">
        <f t="shared" si="665"/>
        <v>7678.0649264771255</v>
      </c>
      <c r="EQ401" s="38">
        <f t="shared" si="666"/>
        <v>0</v>
      </c>
      <c r="ER401" s="38">
        <f t="shared" si="667"/>
        <v>20098.59471379979</v>
      </c>
      <c r="ES401" s="38">
        <f t="shared" si="668"/>
        <v>16792.235530093709</v>
      </c>
      <c r="ET401" s="38">
        <f t="shared" si="669"/>
        <v>6533.939934485853</v>
      </c>
      <c r="EU401" s="38">
        <f t="shared" si="670"/>
        <v>0</v>
      </c>
      <c r="EV401" s="38">
        <f t="shared" si="671"/>
        <v>0</v>
      </c>
      <c r="EW401" s="38">
        <f t="shared" si="672"/>
        <v>0</v>
      </c>
      <c r="EX401" s="38">
        <f t="shared" si="673"/>
        <v>0</v>
      </c>
      <c r="EZ401" s="38">
        <f t="shared" si="674"/>
        <v>0</v>
      </c>
      <c r="FA401" s="38">
        <f t="shared" si="675"/>
        <v>0</v>
      </c>
      <c r="FB401" s="1">
        <f t="shared" si="676"/>
        <v>0</v>
      </c>
      <c r="FC401" s="1">
        <f t="shared" si="677"/>
        <v>0</v>
      </c>
      <c r="FD401" s="1">
        <f t="shared" si="678"/>
        <v>0</v>
      </c>
      <c r="FE401" s="1">
        <f t="shared" si="679"/>
        <v>0</v>
      </c>
      <c r="FF401" s="1">
        <f t="shared" si="680"/>
        <v>0</v>
      </c>
      <c r="FG401" s="1">
        <f t="shared" si="681"/>
        <v>0</v>
      </c>
      <c r="FH401" s="1">
        <f t="shared" si="682"/>
        <v>0</v>
      </c>
      <c r="FI401" s="1">
        <f t="shared" si="683"/>
        <v>0</v>
      </c>
      <c r="FJ401" s="1">
        <f t="shared" si="684"/>
        <v>0</v>
      </c>
      <c r="FK401" s="1">
        <f t="shared" si="685"/>
        <v>0</v>
      </c>
      <c r="FL401" s="1">
        <f t="shared" si="686"/>
        <v>0</v>
      </c>
      <c r="FM401" s="1">
        <f t="shared" si="687"/>
        <v>0</v>
      </c>
      <c r="FN401" s="1">
        <f t="shared" si="688"/>
        <v>0</v>
      </c>
      <c r="FO401" s="1">
        <f t="shared" si="689"/>
        <v>0</v>
      </c>
      <c r="FP401" s="1">
        <f t="shared" si="690"/>
        <v>0</v>
      </c>
      <c r="FQ401" s="1">
        <f t="shared" si="691"/>
        <v>0</v>
      </c>
      <c r="FS401" s="1">
        <f t="shared" si="692"/>
        <v>0</v>
      </c>
      <c r="FT401" s="1">
        <f t="shared" si="693"/>
        <v>0</v>
      </c>
      <c r="FU401" s="38">
        <f t="shared" si="694"/>
        <v>0</v>
      </c>
      <c r="FV401" s="38">
        <f t="shared" si="695"/>
        <v>0</v>
      </c>
      <c r="FW401" s="38">
        <f t="shared" si="696"/>
        <v>0</v>
      </c>
      <c r="FX401" s="38">
        <f t="shared" si="697"/>
        <v>0</v>
      </c>
      <c r="FY401" s="38">
        <f t="shared" si="698"/>
        <v>0</v>
      </c>
      <c r="FZ401" s="38">
        <f t="shared" si="699"/>
        <v>0</v>
      </c>
      <c r="GA401" s="38">
        <f t="shared" si="700"/>
        <v>0</v>
      </c>
      <c r="GB401" s="38">
        <f t="shared" si="701"/>
        <v>0</v>
      </c>
      <c r="GC401" s="38">
        <f t="shared" si="702"/>
        <v>0</v>
      </c>
      <c r="GD401" s="38">
        <f t="shared" si="703"/>
        <v>0</v>
      </c>
      <c r="GE401" s="38">
        <f t="shared" si="704"/>
        <v>0</v>
      </c>
      <c r="GF401" s="38">
        <f t="shared" si="705"/>
        <v>0</v>
      </c>
      <c r="GG401" s="38">
        <f t="shared" si="706"/>
        <v>0</v>
      </c>
      <c r="GH401" s="38">
        <f t="shared" si="707"/>
        <v>0</v>
      </c>
      <c r="GI401" s="38">
        <f t="shared" si="708"/>
        <v>0</v>
      </c>
      <c r="GJ401" s="38">
        <f t="shared" si="709"/>
        <v>0</v>
      </c>
      <c r="GL401" s="38">
        <f t="shared" si="710"/>
        <v>0</v>
      </c>
      <c r="GM401" s="38">
        <f t="shared" si="711"/>
        <v>0</v>
      </c>
      <c r="GN401" s="1" t="s">
        <v>2</v>
      </c>
      <c r="GO401" s="14">
        <f t="shared" si="719"/>
        <v>354.97300000000001</v>
      </c>
      <c r="GP401" s="13">
        <f t="shared" si="720"/>
        <v>0.16493821110212786</v>
      </c>
      <c r="GQ401" s="41">
        <f t="shared" si="721"/>
        <v>585.48611609555633</v>
      </c>
      <c r="GR401" s="41">
        <f t="shared" si="722"/>
        <v>55010.892171672574</v>
      </c>
      <c r="GS401" s="14">
        <f t="shared" si="723"/>
        <v>154.9720462448484</v>
      </c>
      <c r="GT401" s="1">
        <f t="shared" si="712"/>
        <v>97.509774484372699</v>
      </c>
      <c r="GU401" s="1">
        <f t="shared" si="713"/>
        <v>254.14121979831882</v>
      </c>
      <c r="GV401" s="1">
        <f t="shared" si="714"/>
        <v>233.83512181286486</v>
      </c>
      <c r="GW401" s="37">
        <f t="shared" si="724"/>
        <v>0</v>
      </c>
      <c r="GX401" s="37"/>
      <c r="GY401" s="37"/>
      <c r="GZ401" s="37"/>
      <c r="HB401" s="1">
        <f t="shared" si="715"/>
        <v>0</v>
      </c>
      <c r="HC401" s="1">
        <f t="shared" si="716"/>
        <v>0</v>
      </c>
      <c r="HD401" s="37" t="s">
        <v>2</v>
      </c>
      <c r="HE401" s="1" t="s">
        <v>113</v>
      </c>
      <c r="HF401" s="1" t="s">
        <v>261</v>
      </c>
      <c r="HG401" s="1" t="s">
        <v>589</v>
      </c>
      <c r="HH401" s="1" t="s">
        <v>1194</v>
      </c>
      <c r="HI401" s="1" t="s">
        <v>96</v>
      </c>
      <c r="HJ401" s="37" t="s">
        <v>2</v>
      </c>
      <c r="JH401" s="58" t="s">
        <v>2</v>
      </c>
    </row>
    <row r="402" spans="1:268" ht="16.25" customHeight="1" x14ac:dyDescent="0.2">
      <c r="A402" s="15" t="s">
        <v>1214</v>
      </c>
      <c r="F402" s="1" t="s">
        <v>1215</v>
      </c>
      <c r="I402" s="1">
        <v>0</v>
      </c>
      <c r="AD402" s="1">
        <v>12.2</v>
      </c>
      <c r="AE402" s="13">
        <v>6.0789089661712092E-2</v>
      </c>
      <c r="AF402" s="13">
        <v>6.0000000000000005E-2</v>
      </c>
      <c r="AL402" s="13">
        <v>0.15393774011700964</v>
      </c>
      <c r="AN402" s="13">
        <v>2.35</v>
      </c>
      <c r="AO402" s="13">
        <v>1.83</v>
      </c>
      <c r="AP402" s="13">
        <v>0.33999999999999997</v>
      </c>
      <c r="AY402" s="1">
        <v>0</v>
      </c>
      <c r="BT402" s="1">
        <v>0</v>
      </c>
      <c r="CO402" s="1">
        <v>0</v>
      </c>
      <c r="DJ402" s="1" t="s">
        <v>96</v>
      </c>
      <c r="DL402" s="1">
        <f t="shared" si="717"/>
        <v>0.15393774011700964</v>
      </c>
      <c r="DM402" s="1">
        <f t="shared" si="718"/>
        <v>0</v>
      </c>
      <c r="DN402" s="1" t="s">
        <v>1216</v>
      </c>
      <c r="DO402" s="1" t="s">
        <v>2</v>
      </c>
      <c r="DP402" s="38">
        <f t="shared" si="640"/>
        <v>7.4162689387288752E-3</v>
      </c>
      <c r="DQ402" s="38">
        <f t="shared" si="641"/>
        <v>0.73199999999999998</v>
      </c>
      <c r="DR402" s="38">
        <f t="shared" si="642"/>
        <v>0</v>
      </c>
      <c r="DS402" s="38">
        <f t="shared" si="643"/>
        <v>0</v>
      </c>
      <c r="DT402" s="38">
        <f t="shared" si="644"/>
        <v>0</v>
      </c>
      <c r="DU402" s="38">
        <f t="shared" si="645"/>
        <v>0</v>
      </c>
      <c r="DV402" s="38">
        <f t="shared" si="646"/>
        <v>0</v>
      </c>
      <c r="DW402" s="38">
        <f t="shared" si="647"/>
        <v>1.8780404294275174E-2</v>
      </c>
      <c r="DX402" s="38">
        <f t="shared" si="648"/>
        <v>0</v>
      </c>
      <c r="DY402" s="38">
        <f t="shared" si="649"/>
        <v>28.669999999999998</v>
      </c>
      <c r="DZ402" s="38">
        <f t="shared" si="650"/>
        <v>22.326000000000001</v>
      </c>
      <c r="EA402" s="38">
        <f t="shared" si="651"/>
        <v>4.1479999999999997</v>
      </c>
      <c r="EB402" s="38">
        <f t="shared" si="652"/>
        <v>0</v>
      </c>
      <c r="EC402" s="38">
        <f t="shared" si="653"/>
        <v>0</v>
      </c>
      <c r="ED402" s="38">
        <f t="shared" si="654"/>
        <v>0</v>
      </c>
      <c r="EE402" s="38">
        <f t="shared" si="655"/>
        <v>0</v>
      </c>
      <c r="EG402" s="38">
        <f t="shared" si="656"/>
        <v>0</v>
      </c>
      <c r="EH402" s="38">
        <f t="shared" si="657"/>
        <v>0</v>
      </c>
      <c r="EI402" s="38">
        <f t="shared" si="658"/>
        <v>48.395723246872166</v>
      </c>
      <c r="EJ402" s="38">
        <f t="shared" si="659"/>
        <v>29.939035369774917</v>
      </c>
      <c r="EK402" s="38">
        <f t="shared" si="660"/>
        <v>0</v>
      </c>
      <c r="EL402" s="38">
        <f t="shared" si="661"/>
        <v>0</v>
      </c>
      <c r="EM402" s="38">
        <f t="shared" si="662"/>
        <v>0</v>
      </c>
      <c r="EN402" s="38">
        <f t="shared" si="663"/>
        <v>0</v>
      </c>
      <c r="EO402" s="38">
        <f t="shared" si="664"/>
        <v>0</v>
      </c>
      <c r="EP402" s="38">
        <f t="shared" si="665"/>
        <v>246.28622191512463</v>
      </c>
      <c r="EQ402" s="38">
        <f t="shared" si="666"/>
        <v>0</v>
      </c>
      <c r="ER402" s="38">
        <f t="shared" si="667"/>
        <v>813.69331832797411</v>
      </c>
      <c r="ES402" s="38">
        <f t="shared" si="668"/>
        <v>744.03010225080391</v>
      </c>
      <c r="ET402" s="38">
        <f t="shared" si="669"/>
        <v>296.80207073954989</v>
      </c>
      <c r="EU402" s="38">
        <f t="shared" si="670"/>
        <v>0</v>
      </c>
      <c r="EV402" s="38">
        <f t="shared" si="671"/>
        <v>0</v>
      </c>
      <c r="EW402" s="38">
        <f t="shared" si="672"/>
        <v>0</v>
      </c>
      <c r="EX402" s="38">
        <f t="shared" si="673"/>
        <v>0</v>
      </c>
      <c r="EZ402" s="38">
        <f t="shared" si="674"/>
        <v>0</v>
      </c>
      <c r="FA402" s="38">
        <f t="shared" si="675"/>
        <v>0</v>
      </c>
      <c r="FB402" s="1">
        <f t="shared" si="676"/>
        <v>0</v>
      </c>
      <c r="FC402" s="1">
        <f t="shared" si="677"/>
        <v>0</v>
      </c>
      <c r="FD402" s="1">
        <f t="shared" si="678"/>
        <v>0</v>
      </c>
      <c r="FE402" s="1">
        <f t="shared" si="679"/>
        <v>0</v>
      </c>
      <c r="FF402" s="1">
        <f t="shared" si="680"/>
        <v>0</v>
      </c>
      <c r="FG402" s="1">
        <f t="shared" si="681"/>
        <v>0</v>
      </c>
      <c r="FH402" s="1">
        <f t="shared" si="682"/>
        <v>0</v>
      </c>
      <c r="FI402" s="1">
        <f t="shared" si="683"/>
        <v>0</v>
      </c>
      <c r="FJ402" s="1">
        <f t="shared" si="684"/>
        <v>0</v>
      </c>
      <c r="FK402" s="1">
        <f t="shared" si="685"/>
        <v>0</v>
      </c>
      <c r="FL402" s="1">
        <f t="shared" si="686"/>
        <v>0</v>
      </c>
      <c r="FM402" s="1">
        <f t="shared" si="687"/>
        <v>0</v>
      </c>
      <c r="FN402" s="1">
        <f t="shared" si="688"/>
        <v>0</v>
      </c>
      <c r="FO402" s="1">
        <f t="shared" si="689"/>
        <v>0</v>
      </c>
      <c r="FP402" s="1">
        <f t="shared" si="690"/>
        <v>0</v>
      </c>
      <c r="FQ402" s="1">
        <f t="shared" si="691"/>
        <v>0</v>
      </c>
      <c r="FS402" s="1">
        <f t="shared" si="692"/>
        <v>0</v>
      </c>
      <c r="FT402" s="1">
        <f t="shared" si="693"/>
        <v>0</v>
      </c>
      <c r="FU402" s="38">
        <f t="shared" si="694"/>
        <v>0</v>
      </c>
      <c r="FV402" s="38">
        <f t="shared" si="695"/>
        <v>0</v>
      </c>
      <c r="FW402" s="38">
        <f t="shared" si="696"/>
        <v>0</v>
      </c>
      <c r="FX402" s="38">
        <f t="shared" si="697"/>
        <v>0</v>
      </c>
      <c r="FY402" s="38">
        <f t="shared" si="698"/>
        <v>0</v>
      </c>
      <c r="FZ402" s="38">
        <f t="shared" si="699"/>
        <v>0</v>
      </c>
      <c r="GA402" s="38">
        <f t="shared" si="700"/>
        <v>0</v>
      </c>
      <c r="GB402" s="38">
        <f t="shared" si="701"/>
        <v>0</v>
      </c>
      <c r="GC402" s="38">
        <f t="shared" si="702"/>
        <v>0</v>
      </c>
      <c r="GD402" s="38">
        <f t="shared" si="703"/>
        <v>0</v>
      </c>
      <c r="GE402" s="38">
        <f t="shared" si="704"/>
        <v>0</v>
      </c>
      <c r="GF402" s="38">
        <f t="shared" si="705"/>
        <v>0</v>
      </c>
      <c r="GG402" s="38">
        <f t="shared" si="706"/>
        <v>0</v>
      </c>
      <c r="GH402" s="38">
        <f t="shared" si="707"/>
        <v>0</v>
      </c>
      <c r="GI402" s="38">
        <f t="shared" si="708"/>
        <v>0</v>
      </c>
      <c r="GJ402" s="38">
        <f t="shared" si="709"/>
        <v>0</v>
      </c>
      <c r="GL402" s="38">
        <f t="shared" si="710"/>
        <v>0</v>
      </c>
      <c r="GM402" s="38">
        <f t="shared" si="711"/>
        <v>0</v>
      </c>
      <c r="GN402" s="1" t="s">
        <v>2</v>
      </c>
      <c r="GO402" s="1">
        <f t="shared" si="719"/>
        <v>12.2</v>
      </c>
      <c r="GP402" s="13">
        <f t="shared" si="720"/>
        <v>0.15393774011700964</v>
      </c>
      <c r="GQ402" s="41">
        <f t="shared" si="721"/>
        <v>18.780404294275176</v>
      </c>
      <c r="GR402" s="41">
        <f t="shared" si="722"/>
        <v>2179.1464718500997</v>
      </c>
      <c r="GS402" s="14">
        <f t="shared" si="723"/>
        <v>178.61856326640162</v>
      </c>
      <c r="GT402" s="1">
        <f t="shared" si="712"/>
        <v>0</v>
      </c>
      <c r="GU402" s="1">
        <f t="shared" si="713"/>
        <v>18.780404294275176</v>
      </c>
      <c r="GV402" s="1">
        <f t="shared" si="714"/>
        <v>0</v>
      </c>
      <c r="GW402" s="37">
        <f t="shared" si="724"/>
        <v>0</v>
      </c>
      <c r="GX402" s="37"/>
      <c r="GY402" s="37"/>
      <c r="GZ402" s="37"/>
      <c r="HB402" s="1">
        <f t="shared" si="715"/>
        <v>0</v>
      </c>
      <c r="HC402" s="1">
        <f t="shared" si="716"/>
        <v>0</v>
      </c>
      <c r="HD402" s="37" t="s">
        <v>2</v>
      </c>
      <c r="HE402" s="1" t="s">
        <v>113</v>
      </c>
      <c r="HF402" s="1" t="s">
        <v>261</v>
      </c>
      <c r="HG402" s="1" t="s">
        <v>589</v>
      </c>
      <c r="HH402" s="1" t="s">
        <v>1194</v>
      </c>
      <c r="HI402" s="1" t="s">
        <v>96</v>
      </c>
      <c r="HJ402" s="37" t="s">
        <v>2</v>
      </c>
      <c r="JH402" s="58" t="s">
        <v>2</v>
      </c>
    </row>
    <row r="403" spans="1:268" ht="16.25" customHeight="1" x14ac:dyDescent="0.2">
      <c r="A403" s="15" t="s">
        <v>1217</v>
      </c>
      <c r="F403" s="1" t="s">
        <v>1203</v>
      </c>
      <c r="I403" s="1">
        <v>0</v>
      </c>
      <c r="AD403" s="1">
        <v>37.972972972972968</v>
      </c>
      <c r="AE403" s="13">
        <v>4.8053377393388851E-2</v>
      </c>
      <c r="AF403" s="13">
        <v>0.19408784213523131</v>
      </c>
      <c r="AL403" s="13">
        <v>0.1583219183197408</v>
      </c>
      <c r="AN403" s="13">
        <v>3.2778307402135236</v>
      </c>
      <c r="AO403" s="13">
        <v>1.6833978661921711</v>
      </c>
      <c r="AP403" s="13">
        <v>0.40021082014234877</v>
      </c>
      <c r="AY403" s="1">
        <v>6.0810810810810807</v>
      </c>
      <c r="AZ403" s="13">
        <v>6.5091859431719454E-2</v>
      </c>
      <c r="BA403" s="13">
        <v>0.25794948977777776</v>
      </c>
      <c r="BG403" s="13">
        <v>0.16593686374435782</v>
      </c>
      <c r="BI403" s="13">
        <v>3.3009859555555559</v>
      </c>
      <c r="BJ403" s="13">
        <v>1.7128986311111112</v>
      </c>
      <c r="BK403" s="13">
        <v>0.3281825244444444</v>
      </c>
      <c r="BL403" s="13"/>
      <c r="BM403" s="13"/>
      <c r="BT403" s="1">
        <v>0</v>
      </c>
      <c r="CO403" s="1">
        <v>0</v>
      </c>
      <c r="DJ403" s="1" t="s">
        <v>96</v>
      </c>
      <c r="DL403" s="1">
        <f t="shared" si="717"/>
        <v>0.1593730610930775</v>
      </c>
      <c r="DM403" s="1">
        <f t="shared" si="718"/>
        <v>0</v>
      </c>
      <c r="DN403" s="1" t="s">
        <v>67</v>
      </c>
      <c r="DO403" s="1" t="s">
        <v>2</v>
      </c>
      <c r="DP403" s="38">
        <f t="shared" si="640"/>
        <v>2.2205584759418431E-2</v>
      </c>
      <c r="DQ403" s="38">
        <f t="shared" si="641"/>
        <v>8.9387041459459446</v>
      </c>
      <c r="DR403" s="38">
        <f t="shared" si="642"/>
        <v>0</v>
      </c>
      <c r="DS403" s="38">
        <f t="shared" si="643"/>
        <v>0</v>
      </c>
      <c r="DT403" s="38">
        <f t="shared" si="644"/>
        <v>0</v>
      </c>
      <c r="DU403" s="38">
        <f t="shared" si="645"/>
        <v>0</v>
      </c>
      <c r="DV403" s="38">
        <f t="shared" si="646"/>
        <v>0</v>
      </c>
      <c r="DW403" s="38">
        <f t="shared" si="647"/>
        <v>7.0210294481544949E-2</v>
      </c>
      <c r="DX403" s="38">
        <f t="shared" si="648"/>
        <v>0</v>
      </c>
      <c r="DY403" s="38">
        <f t="shared" si="649"/>
        <v>144.54254135135136</v>
      </c>
      <c r="DZ403" s="38">
        <f t="shared" si="650"/>
        <v>74.339897135135146</v>
      </c>
      <c r="EA403" s="38">
        <f t="shared" si="651"/>
        <v>17.192899197297294</v>
      </c>
      <c r="EB403" s="38">
        <f t="shared" si="652"/>
        <v>0</v>
      </c>
      <c r="EC403" s="38">
        <f t="shared" si="653"/>
        <v>0</v>
      </c>
      <c r="ED403" s="38">
        <f t="shared" si="654"/>
        <v>0</v>
      </c>
      <c r="EE403" s="38">
        <f t="shared" si="655"/>
        <v>0</v>
      </c>
      <c r="EG403" s="38">
        <f t="shared" si="656"/>
        <v>0</v>
      </c>
      <c r="EH403" s="38">
        <f t="shared" si="657"/>
        <v>0</v>
      </c>
      <c r="EI403" s="38">
        <f t="shared" si="658"/>
        <v>144.90511919541706</v>
      </c>
      <c r="EJ403" s="38">
        <f t="shared" si="659"/>
        <v>365.59587375058652</v>
      </c>
      <c r="EK403" s="38">
        <f t="shared" si="660"/>
        <v>0</v>
      </c>
      <c r="EL403" s="38">
        <f t="shared" si="661"/>
        <v>0</v>
      </c>
      <c r="EM403" s="38">
        <f t="shared" si="662"/>
        <v>0</v>
      </c>
      <c r="EN403" s="38">
        <f t="shared" si="663"/>
        <v>0</v>
      </c>
      <c r="EO403" s="38">
        <f t="shared" si="664"/>
        <v>0</v>
      </c>
      <c r="EP403" s="38">
        <f t="shared" si="665"/>
        <v>920.73780183098052</v>
      </c>
      <c r="EQ403" s="38">
        <f t="shared" si="666"/>
        <v>0</v>
      </c>
      <c r="ER403" s="38">
        <f t="shared" si="667"/>
        <v>4102.3125256972271</v>
      </c>
      <c r="ES403" s="38">
        <f t="shared" si="668"/>
        <v>2477.4308549121583</v>
      </c>
      <c r="ET403" s="38">
        <f t="shared" si="669"/>
        <v>1230.2044560689926</v>
      </c>
      <c r="EU403" s="38">
        <f t="shared" si="670"/>
        <v>0</v>
      </c>
      <c r="EV403" s="38">
        <f t="shared" si="671"/>
        <v>0</v>
      </c>
      <c r="EW403" s="38">
        <f t="shared" si="672"/>
        <v>0</v>
      </c>
      <c r="EX403" s="38">
        <f t="shared" si="673"/>
        <v>0</v>
      </c>
      <c r="EZ403" s="38">
        <f t="shared" si="674"/>
        <v>0</v>
      </c>
      <c r="FA403" s="38">
        <f t="shared" si="675"/>
        <v>0</v>
      </c>
      <c r="FB403" s="1">
        <f t="shared" si="676"/>
        <v>0</v>
      </c>
      <c r="FC403" s="1">
        <f t="shared" si="677"/>
        <v>0</v>
      </c>
      <c r="FD403" s="1">
        <f t="shared" si="678"/>
        <v>0</v>
      </c>
      <c r="FE403" s="1">
        <f t="shared" si="679"/>
        <v>0</v>
      </c>
      <c r="FF403" s="1">
        <f t="shared" si="680"/>
        <v>0</v>
      </c>
      <c r="FG403" s="1">
        <f t="shared" si="681"/>
        <v>0</v>
      </c>
      <c r="FH403" s="1">
        <f t="shared" si="682"/>
        <v>0</v>
      </c>
      <c r="FI403" s="1">
        <f t="shared" si="683"/>
        <v>0</v>
      </c>
      <c r="FJ403" s="1">
        <f t="shared" si="684"/>
        <v>0</v>
      </c>
      <c r="FK403" s="1">
        <f t="shared" si="685"/>
        <v>0</v>
      </c>
      <c r="FL403" s="1">
        <f t="shared" si="686"/>
        <v>0</v>
      </c>
      <c r="FM403" s="1">
        <f t="shared" si="687"/>
        <v>0</v>
      </c>
      <c r="FN403" s="1">
        <f t="shared" si="688"/>
        <v>0</v>
      </c>
      <c r="FO403" s="1">
        <f t="shared" si="689"/>
        <v>0</v>
      </c>
      <c r="FP403" s="1">
        <f t="shared" si="690"/>
        <v>0</v>
      </c>
      <c r="FQ403" s="1">
        <f t="shared" si="691"/>
        <v>0</v>
      </c>
      <c r="FS403" s="1">
        <f t="shared" si="692"/>
        <v>0</v>
      </c>
      <c r="FT403" s="1">
        <f t="shared" si="693"/>
        <v>0</v>
      </c>
      <c r="FU403" s="38">
        <f t="shared" si="694"/>
        <v>0</v>
      </c>
      <c r="FV403" s="38">
        <f t="shared" si="695"/>
        <v>0</v>
      </c>
      <c r="FW403" s="38">
        <f t="shared" si="696"/>
        <v>0</v>
      </c>
      <c r="FX403" s="38">
        <f t="shared" si="697"/>
        <v>0</v>
      </c>
      <c r="FY403" s="38">
        <f t="shared" si="698"/>
        <v>0</v>
      </c>
      <c r="FZ403" s="38">
        <f t="shared" si="699"/>
        <v>0</v>
      </c>
      <c r="GA403" s="38">
        <f t="shared" si="700"/>
        <v>0</v>
      </c>
      <c r="GB403" s="38">
        <f t="shared" si="701"/>
        <v>0</v>
      </c>
      <c r="GC403" s="38">
        <f t="shared" si="702"/>
        <v>0</v>
      </c>
      <c r="GD403" s="38">
        <f t="shared" si="703"/>
        <v>0</v>
      </c>
      <c r="GE403" s="38">
        <f t="shared" si="704"/>
        <v>0</v>
      </c>
      <c r="GF403" s="38">
        <f t="shared" si="705"/>
        <v>0</v>
      </c>
      <c r="GG403" s="38">
        <f t="shared" si="706"/>
        <v>0</v>
      </c>
      <c r="GH403" s="38">
        <f t="shared" si="707"/>
        <v>0</v>
      </c>
      <c r="GI403" s="38">
        <f t="shared" si="708"/>
        <v>0</v>
      </c>
      <c r="GJ403" s="38">
        <f t="shared" si="709"/>
        <v>0</v>
      </c>
      <c r="GL403" s="38">
        <f t="shared" si="710"/>
        <v>0</v>
      </c>
      <c r="GM403" s="38">
        <f t="shared" si="711"/>
        <v>0</v>
      </c>
      <c r="GN403" s="1" t="s">
        <v>2</v>
      </c>
      <c r="GO403" s="13">
        <f t="shared" si="719"/>
        <v>44.054054054054049</v>
      </c>
      <c r="GP403" s="13">
        <f t="shared" si="720"/>
        <v>0.1593730610930775</v>
      </c>
      <c r="GQ403" s="41">
        <f t="shared" si="721"/>
        <v>70.210294481544949</v>
      </c>
      <c r="GR403" s="41">
        <f t="shared" si="722"/>
        <v>9241.1866314553608</v>
      </c>
      <c r="GS403" s="14">
        <f t="shared" si="723"/>
        <v>209.76926709438553</v>
      </c>
      <c r="GT403" s="1">
        <f t="shared" si="712"/>
        <v>0</v>
      </c>
      <c r="GU403" s="1">
        <f t="shared" si="713"/>
        <v>60.119539253847513</v>
      </c>
      <c r="GV403" s="1">
        <f t="shared" si="714"/>
        <v>10.090755227697434</v>
      </c>
      <c r="GW403" s="37">
        <f t="shared" si="724"/>
        <v>0</v>
      </c>
      <c r="GX403" s="37"/>
      <c r="GY403" s="37"/>
      <c r="GZ403" s="37"/>
      <c r="HB403" s="1">
        <f t="shared" si="715"/>
        <v>0</v>
      </c>
      <c r="HC403" s="1">
        <f t="shared" si="716"/>
        <v>0</v>
      </c>
      <c r="HD403" s="37" t="s">
        <v>2</v>
      </c>
      <c r="HE403" s="1" t="s">
        <v>113</v>
      </c>
      <c r="HF403" s="1" t="s">
        <v>261</v>
      </c>
      <c r="HG403" s="1" t="s">
        <v>589</v>
      </c>
      <c r="HH403" s="1" t="s">
        <v>1182</v>
      </c>
      <c r="HI403" s="1" t="s">
        <v>96</v>
      </c>
      <c r="HJ403" s="37" t="s">
        <v>2</v>
      </c>
      <c r="JH403" s="58" t="s">
        <v>2</v>
      </c>
    </row>
    <row r="404" spans="1:268" ht="16.25" customHeight="1" x14ac:dyDescent="0.2">
      <c r="A404" s="15" t="s">
        <v>1218</v>
      </c>
      <c r="F404" s="1" t="s">
        <v>1185</v>
      </c>
      <c r="I404" s="1">
        <v>289.39999999999998</v>
      </c>
      <c r="J404" s="13">
        <v>4.5936420179682101E-2</v>
      </c>
      <c r="K404" s="13">
        <v>0.12238103662750519</v>
      </c>
      <c r="Q404" s="13">
        <v>9.390463026952317E-2</v>
      </c>
      <c r="S404" s="13">
        <v>3.4919625224602631</v>
      </c>
      <c r="T404" s="13">
        <v>1.7102224326192124</v>
      </c>
      <c r="U404" s="13">
        <v>0.47217055286800286</v>
      </c>
      <c r="X404" s="14">
        <v>12.436120170599516</v>
      </c>
      <c r="AD404" s="1">
        <v>138.1</v>
      </c>
      <c r="AE404" s="13">
        <v>4.8870383779869658E-2</v>
      </c>
      <c r="AF404" s="13">
        <v>0.12790955829109341</v>
      </c>
      <c r="AL404" s="13">
        <v>0.1083055756698045</v>
      </c>
      <c r="AN404" s="13">
        <v>3.5147593772628536</v>
      </c>
      <c r="AO404" s="13">
        <v>1.7094128023171615</v>
      </c>
      <c r="AP404" s="13">
        <v>0.46352657494569155</v>
      </c>
      <c r="AS404" s="14">
        <v>11.608063892446808</v>
      </c>
      <c r="AY404" s="1">
        <v>25.299999999999997</v>
      </c>
      <c r="AZ404" s="13">
        <v>5.0158102766798413E-2</v>
      </c>
      <c r="BA404" s="13">
        <v>0.12696735177865615</v>
      </c>
      <c r="BG404" s="13">
        <v>2.0724110671936762</v>
      </c>
      <c r="BI404" s="13">
        <v>3.4321509090909093</v>
      </c>
      <c r="BJ404" s="13">
        <v>1.6640099604743084</v>
      </c>
      <c r="BK404" s="13">
        <v>0.44751446640316206</v>
      </c>
      <c r="BL404" s="13"/>
      <c r="BM404" s="13"/>
      <c r="BN404" s="14">
        <v>11.244629325107715</v>
      </c>
      <c r="BT404" s="1">
        <v>21.200000000000003</v>
      </c>
      <c r="BU404" s="13">
        <v>4.6981132075471693E-2</v>
      </c>
      <c r="BV404" s="13">
        <v>7.751320754716981E-2</v>
      </c>
      <c r="CB404" s="13">
        <v>9.5471698113207534E-2</v>
      </c>
      <c r="CD404" s="13">
        <v>2.2227316037735849</v>
      </c>
      <c r="CE404" s="13">
        <v>1.0895809433962265</v>
      </c>
      <c r="CF404" s="13">
        <v>0.30150613207547167</v>
      </c>
      <c r="CG404" s="13"/>
      <c r="CH404" s="13"/>
      <c r="CI404" s="14">
        <v>12.141269803637194</v>
      </c>
      <c r="CO404" s="1">
        <v>85.7</v>
      </c>
      <c r="CP404" s="13">
        <v>5.3407234539089847E-2</v>
      </c>
      <c r="CQ404" s="13">
        <v>8.8882380396732796E-2</v>
      </c>
      <c r="CW404" s="13">
        <v>6.0851808634772471E-2</v>
      </c>
      <c r="CY404" s="13">
        <v>2.3342361726954493</v>
      </c>
      <c r="CZ404" s="13">
        <v>1.1253003500583432</v>
      </c>
      <c r="DA404" s="13">
        <v>0.29808378063010499</v>
      </c>
      <c r="DB404" s="13"/>
      <c r="DC404" s="13"/>
      <c r="DD404" s="14">
        <v>10.327622732926624</v>
      </c>
      <c r="DJ404" s="1" t="s">
        <v>96</v>
      </c>
      <c r="DL404" s="1">
        <f t="shared" si="717"/>
        <v>0.20884496466431093</v>
      </c>
      <c r="DM404" s="1">
        <f t="shared" si="718"/>
        <v>0</v>
      </c>
      <c r="DN404" s="1" t="s">
        <v>73</v>
      </c>
      <c r="DO404" s="1" t="s">
        <v>2</v>
      </c>
      <c r="DP404" s="38">
        <f t="shared" si="640"/>
        <v>0.21311999999999998</v>
      </c>
      <c r="DQ404" s="38">
        <f t="shared" si="641"/>
        <v>56.293655999999999</v>
      </c>
      <c r="DR404" s="38">
        <f t="shared" si="642"/>
        <v>0</v>
      </c>
      <c r="DS404" s="38">
        <f t="shared" si="643"/>
        <v>0</v>
      </c>
      <c r="DT404" s="38">
        <f t="shared" si="644"/>
        <v>0</v>
      </c>
      <c r="DU404" s="38">
        <f t="shared" si="645"/>
        <v>0</v>
      </c>
      <c r="DV404" s="38">
        <f t="shared" si="646"/>
        <v>0</v>
      </c>
      <c r="DW404" s="38">
        <f t="shared" si="647"/>
        <v>0.94564999999999999</v>
      </c>
      <c r="DX404" s="38">
        <f t="shared" si="648"/>
        <v>0</v>
      </c>
      <c r="DY404" s="38">
        <f t="shared" si="649"/>
        <v>1582.795642</v>
      </c>
      <c r="DZ404" s="38">
        <f t="shared" si="650"/>
        <v>773.10773200000006</v>
      </c>
      <c r="EA404" s="38">
        <f t="shared" si="651"/>
        <v>211.98129399999999</v>
      </c>
      <c r="EB404" s="38">
        <f t="shared" si="652"/>
        <v>0</v>
      </c>
      <c r="EC404" s="38">
        <f t="shared" si="653"/>
        <v>0</v>
      </c>
      <c r="ED404" s="38">
        <f t="shared" si="654"/>
        <v>54.865759228436289</v>
      </c>
      <c r="EE404" s="38">
        <f t="shared" si="655"/>
        <v>0</v>
      </c>
      <c r="EG404" s="38">
        <f t="shared" si="656"/>
        <v>0</v>
      </c>
      <c r="EH404" s="38">
        <f t="shared" si="657"/>
        <v>0</v>
      </c>
      <c r="EI404" s="38">
        <f t="shared" si="658"/>
        <v>1390.7392819199999</v>
      </c>
      <c r="EJ404" s="38">
        <f t="shared" si="659"/>
        <v>2302.4286312540194</v>
      </c>
      <c r="EK404" s="38">
        <f t="shared" si="660"/>
        <v>0</v>
      </c>
      <c r="EL404" s="38">
        <f t="shared" si="661"/>
        <v>0</v>
      </c>
      <c r="EM404" s="38">
        <f t="shared" si="662"/>
        <v>0</v>
      </c>
      <c r="EN404" s="38">
        <f t="shared" si="663"/>
        <v>0</v>
      </c>
      <c r="EO404" s="38">
        <f t="shared" si="664"/>
        <v>0</v>
      </c>
      <c r="EP404" s="38">
        <f t="shared" si="665"/>
        <v>12401.2541</v>
      </c>
      <c r="EQ404" s="38">
        <f t="shared" si="666"/>
        <v>0</v>
      </c>
      <c r="ER404" s="38">
        <f t="shared" si="667"/>
        <v>44921.877857482956</v>
      </c>
      <c r="ES404" s="38">
        <f t="shared" si="668"/>
        <v>25764.374491214148</v>
      </c>
      <c r="ET404" s="38">
        <f t="shared" si="669"/>
        <v>15167.909116983923</v>
      </c>
      <c r="EU404" s="38">
        <f t="shared" si="670"/>
        <v>0</v>
      </c>
      <c r="EV404" s="38">
        <f t="shared" si="671"/>
        <v>0</v>
      </c>
      <c r="EW404" s="38">
        <f t="shared" si="672"/>
        <v>15307.546824733725</v>
      </c>
      <c r="EX404" s="38">
        <f t="shared" si="673"/>
        <v>0</v>
      </c>
      <c r="EZ404" s="38">
        <f t="shared" si="674"/>
        <v>0</v>
      </c>
      <c r="FA404" s="38">
        <f t="shared" si="675"/>
        <v>0</v>
      </c>
      <c r="FB404" s="1">
        <f t="shared" si="676"/>
        <v>5.5730000000000002E-2</v>
      </c>
      <c r="FC404" s="1">
        <f t="shared" si="677"/>
        <v>9.2605000000000004</v>
      </c>
      <c r="FD404" s="1">
        <f t="shared" si="678"/>
        <v>0</v>
      </c>
      <c r="FE404" s="1">
        <f t="shared" si="679"/>
        <v>0</v>
      </c>
      <c r="FF404" s="1">
        <f t="shared" si="680"/>
        <v>0</v>
      </c>
      <c r="FG404" s="1">
        <f t="shared" si="681"/>
        <v>0</v>
      </c>
      <c r="FH404" s="1">
        <f t="shared" si="682"/>
        <v>0</v>
      </c>
      <c r="FI404" s="1">
        <f t="shared" si="683"/>
        <v>7.239000000000001E-2</v>
      </c>
      <c r="FJ404" s="1">
        <f t="shared" si="684"/>
        <v>0</v>
      </c>
      <c r="FK404" s="1">
        <f t="shared" si="685"/>
        <v>247.16595000000001</v>
      </c>
      <c r="FL404" s="1">
        <f t="shared" si="686"/>
        <v>119.53735600000002</v>
      </c>
      <c r="FM404" s="1">
        <f t="shared" si="687"/>
        <v>31.937709999999996</v>
      </c>
      <c r="FN404" s="1">
        <f t="shared" si="688"/>
        <v>0</v>
      </c>
      <c r="FO404" s="1">
        <f t="shared" si="689"/>
        <v>0</v>
      </c>
      <c r="FP404" s="1">
        <f t="shared" si="690"/>
        <v>11.424721880489203</v>
      </c>
      <c r="FQ404" s="1">
        <f t="shared" si="691"/>
        <v>0</v>
      </c>
      <c r="FS404" s="1">
        <f t="shared" si="692"/>
        <v>0</v>
      </c>
      <c r="FT404" s="1">
        <f t="shared" si="693"/>
        <v>0</v>
      </c>
      <c r="FU404" s="38">
        <f t="shared" si="694"/>
        <v>363.67257968000001</v>
      </c>
      <c r="FV404" s="38">
        <f t="shared" si="695"/>
        <v>378.7574276527331</v>
      </c>
      <c r="FW404" s="38">
        <f t="shared" si="696"/>
        <v>0</v>
      </c>
      <c r="FX404" s="38">
        <f t="shared" si="697"/>
        <v>0</v>
      </c>
      <c r="FY404" s="38">
        <f t="shared" si="698"/>
        <v>0</v>
      </c>
      <c r="FZ404" s="38">
        <f t="shared" si="699"/>
        <v>0</v>
      </c>
      <c r="GA404" s="38">
        <f t="shared" si="700"/>
        <v>0</v>
      </c>
      <c r="GB404" s="38">
        <f t="shared" si="701"/>
        <v>949.32246000000009</v>
      </c>
      <c r="GC404" s="38">
        <f t="shared" si="702"/>
        <v>0</v>
      </c>
      <c r="GD404" s="38">
        <f t="shared" si="703"/>
        <v>7014.9034542443724</v>
      </c>
      <c r="GE404" s="38">
        <f t="shared" si="704"/>
        <v>3983.6688707099684</v>
      </c>
      <c r="GF404" s="38">
        <f t="shared" si="705"/>
        <v>2285.2407094212217</v>
      </c>
      <c r="GG404" s="38">
        <f t="shared" si="706"/>
        <v>0</v>
      </c>
      <c r="GH404" s="38">
        <f t="shared" si="707"/>
        <v>0</v>
      </c>
      <c r="GI404" s="38">
        <f t="shared" si="708"/>
        <v>3187.4974046564876</v>
      </c>
      <c r="GJ404" s="38">
        <f t="shared" si="709"/>
        <v>0</v>
      </c>
      <c r="GL404" s="38">
        <f t="shared" si="710"/>
        <v>0</v>
      </c>
      <c r="GM404" s="38">
        <f t="shared" si="711"/>
        <v>0</v>
      </c>
      <c r="GN404" s="1" t="s">
        <v>2</v>
      </c>
      <c r="GO404" s="1">
        <f t="shared" si="719"/>
        <v>452.8</v>
      </c>
      <c r="GP404" s="13">
        <f t="shared" si="720"/>
        <v>0.20884496466431093</v>
      </c>
      <c r="GQ404" s="41">
        <f t="shared" si="721"/>
        <v>945.64999999999986</v>
      </c>
      <c r="GR404" s="41">
        <f t="shared" si="722"/>
        <v>117256.13030358877</v>
      </c>
      <c r="GS404" s="14">
        <f t="shared" si="723"/>
        <v>258.95788494608826</v>
      </c>
      <c r="GT404" s="1">
        <f t="shared" si="712"/>
        <v>271.76000000000005</v>
      </c>
      <c r="GU404" s="1">
        <f t="shared" si="713"/>
        <v>149.57</v>
      </c>
      <c r="GV404" s="1">
        <f t="shared" si="714"/>
        <v>524.32000000000005</v>
      </c>
      <c r="GW404" s="37">
        <f t="shared" si="724"/>
        <v>106.9</v>
      </c>
      <c r="GX404" s="46">
        <f>(BT404*CB404+CO404*CW404)/GW404</f>
        <v>6.7717492984097294E-2</v>
      </c>
      <c r="GY404" s="41">
        <f>1000*GW404*GX404/100</f>
        <v>72.390000000000015</v>
      </c>
      <c r="GZ404" s="41">
        <f>SUM(FU404:GM404)</f>
        <v>18163.062906364779</v>
      </c>
      <c r="HA404" s="14">
        <f>GZ404/GW404</f>
        <v>169.90704309040953</v>
      </c>
      <c r="HB404" s="1">
        <f t="shared" si="715"/>
        <v>20.239999999999998</v>
      </c>
      <c r="HC404" s="1">
        <f t="shared" si="716"/>
        <v>52.150000000000006</v>
      </c>
      <c r="HD404" s="37" t="s">
        <v>2</v>
      </c>
      <c r="HE404" s="1" t="s">
        <v>113</v>
      </c>
      <c r="HF404" s="1" t="s">
        <v>261</v>
      </c>
      <c r="HG404" s="1" t="s">
        <v>589</v>
      </c>
      <c r="HH404" s="1" t="s">
        <v>1182</v>
      </c>
      <c r="HI404" s="1" t="s">
        <v>96</v>
      </c>
      <c r="HJ404" s="37" t="s">
        <v>2</v>
      </c>
      <c r="JH404" s="58" t="s">
        <v>2</v>
      </c>
    </row>
    <row r="405" spans="1:268" ht="16.25" customHeight="1" x14ac:dyDescent="0.2">
      <c r="A405" s="15" t="s">
        <v>1219</v>
      </c>
      <c r="F405" s="1" t="s">
        <v>1220</v>
      </c>
      <c r="I405" s="1">
        <v>3.8</v>
      </c>
      <c r="J405" s="13">
        <v>6.5547794945827784E-2</v>
      </c>
      <c r="K405" s="13">
        <v>0.33273793650526318</v>
      </c>
      <c r="Q405" s="13">
        <v>0.18303150006772359</v>
      </c>
      <c r="S405" s="13">
        <v>3.8078104547368419</v>
      </c>
      <c r="T405" s="13">
        <v>1.9858089715789475</v>
      </c>
      <c r="U405" s="13">
        <v>0.33642534631578946</v>
      </c>
      <c r="V405" s="13">
        <v>0.57867076368421055</v>
      </c>
      <c r="W405" s="13">
        <v>0.12118811863157895</v>
      </c>
      <c r="AD405" s="1">
        <v>4.4000000000000004</v>
      </c>
      <c r="AE405" s="13">
        <v>5.872885477093881E-2</v>
      </c>
      <c r="AF405" s="13">
        <v>0.31589743374090906</v>
      </c>
      <c r="AL405" s="13">
        <v>0.17340024717342339</v>
      </c>
      <c r="AN405" s="13">
        <v>4.0876368709090904</v>
      </c>
      <c r="AO405" s="13">
        <v>2.1201052127272724</v>
      </c>
      <c r="AP405" s="13">
        <v>0.41061160636363636</v>
      </c>
      <c r="AQ405" s="13">
        <v>0.69059013045454543</v>
      </c>
      <c r="AR405" s="13">
        <v>0.15153261145454544</v>
      </c>
      <c r="AY405" s="1">
        <v>3.2</v>
      </c>
      <c r="AZ405" s="13">
        <v>5.6652574909995049E-2</v>
      </c>
      <c r="BA405" s="13">
        <v>0.32884145944999998</v>
      </c>
      <c r="BG405" s="13">
        <v>0.17046765414471021</v>
      </c>
      <c r="BI405" s="13">
        <v>4.4112322799999992</v>
      </c>
      <c r="BJ405" s="13">
        <v>2.2845426449999997</v>
      </c>
      <c r="BK405" s="13">
        <v>0.45756833499999994</v>
      </c>
      <c r="BL405" s="13">
        <v>0.76553415749999987</v>
      </c>
      <c r="BM405" s="13">
        <v>0.16979201049999998</v>
      </c>
      <c r="BT405" s="1">
        <v>0</v>
      </c>
      <c r="CO405" s="1">
        <v>0</v>
      </c>
      <c r="DJ405" s="1" t="s">
        <v>96</v>
      </c>
      <c r="DL405" s="1">
        <f t="shared" si="717"/>
        <v>0.17578748079679699</v>
      </c>
      <c r="DM405" s="1">
        <f t="shared" si="718"/>
        <v>0</v>
      </c>
      <c r="DN405" s="1" t="s">
        <v>1181</v>
      </c>
      <c r="DO405" s="1" t="s">
        <v>2</v>
      </c>
      <c r="DP405" s="38">
        <f t="shared" si="640"/>
        <v>6.8877682149826045E-3</v>
      </c>
      <c r="DQ405" s="38">
        <f t="shared" si="641"/>
        <v>3.70664553742</v>
      </c>
      <c r="DR405" s="38">
        <f t="shared" si="642"/>
        <v>0</v>
      </c>
      <c r="DS405" s="38">
        <f t="shared" si="643"/>
        <v>0</v>
      </c>
      <c r="DT405" s="38">
        <f t="shared" si="644"/>
        <v>0</v>
      </c>
      <c r="DU405" s="38">
        <f t="shared" si="645"/>
        <v>0</v>
      </c>
      <c r="DV405" s="38">
        <f t="shared" si="646"/>
        <v>0</v>
      </c>
      <c r="DW405" s="38">
        <f t="shared" si="647"/>
        <v>2.0039772810834851E-2</v>
      </c>
      <c r="DX405" s="38">
        <f t="shared" si="648"/>
        <v>0</v>
      </c>
      <c r="DY405" s="38">
        <f t="shared" si="649"/>
        <v>46.571225255999991</v>
      </c>
      <c r="DZ405" s="38">
        <f t="shared" si="650"/>
        <v>24.185073491999997</v>
      </c>
      <c r="EA405" s="38">
        <f t="shared" si="651"/>
        <v>4.549326056</v>
      </c>
      <c r="EB405" s="38">
        <f t="shared" si="652"/>
        <v>7.68725478</v>
      </c>
      <c r="EC405" s="38">
        <f t="shared" si="653"/>
        <v>1.6705927748000002</v>
      </c>
      <c r="ED405" s="38">
        <f t="shared" si="654"/>
        <v>0</v>
      </c>
      <c r="EE405" s="38">
        <f t="shared" si="655"/>
        <v>0</v>
      </c>
      <c r="EG405" s="38">
        <f t="shared" si="656"/>
        <v>0</v>
      </c>
      <c r="EH405" s="38">
        <f t="shared" si="657"/>
        <v>0</v>
      </c>
      <c r="EI405" s="38">
        <f t="shared" si="658"/>
        <v>44.946930467981922</v>
      </c>
      <c r="EJ405" s="38">
        <f t="shared" si="659"/>
        <v>151.60299432791766</v>
      </c>
      <c r="EK405" s="38">
        <f t="shared" si="660"/>
        <v>0</v>
      </c>
      <c r="EL405" s="38">
        <f t="shared" si="661"/>
        <v>0</v>
      </c>
      <c r="EM405" s="38">
        <f t="shared" si="662"/>
        <v>0</v>
      </c>
      <c r="EN405" s="38">
        <f t="shared" si="663"/>
        <v>0</v>
      </c>
      <c r="EO405" s="38">
        <f t="shared" si="664"/>
        <v>0</v>
      </c>
      <c r="EP405" s="38">
        <f t="shared" si="665"/>
        <v>262.80158064128824</v>
      </c>
      <c r="EQ405" s="38">
        <f t="shared" si="666"/>
        <v>0</v>
      </c>
      <c r="ER405" s="38">
        <f t="shared" si="667"/>
        <v>1321.7542663813808</v>
      </c>
      <c r="ES405" s="38">
        <f t="shared" si="668"/>
        <v>805.98507136056458</v>
      </c>
      <c r="ET405" s="38">
        <f t="shared" si="669"/>
        <v>325.51817596195502</v>
      </c>
      <c r="EU405" s="38">
        <f t="shared" si="670"/>
        <v>60.412924140829581</v>
      </c>
      <c r="EV405" s="38">
        <f t="shared" si="671"/>
        <v>69.470338195035239</v>
      </c>
      <c r="EW405" s="38">
        <f t="shared" si="672"/>
        <v>0</v>
      </c>
      <c r="EX405" s="38">
        <f t="shared" si="673"/>
        <v>0</v>
      </c>
      <c r="EZ405" s="38">
        <f t="shared" si="674"/>
        <v>0</v>
      </c>
      <c r="FA405" s="38">
        <f t="shared" si="675"/>
        <v>0</v>
      </c>
      <c r="FB405" s="1">
        <f t="shared" si="676"/>
        <v>0</v>
      </c>
      <c r="FC405" s="1">
        <f t="shared" si="677"/>
        <v>0</v>
      </c>
      <c r="FD405" s="1">
        <f t="shared" si="678"/>
        <v>0</v>
      </c>
      <c r="FE405" s="1">
        <f t="shared" si="679"/>
        <v>0</v>
      </c>
      <c r="FF405" s="1">
        <f t="shared" si="680"/>
        <v>0</v>
      </c>
      <c r="FG405" s="1">
        <f t="shared" si="681"/>
        <v>0</v>
      </c>
      <c r="FH405" s="1">
        <f t="shared" si="682"/>
        <v>0</v>
      </c>
      <c r="FI405" s="1">
        <f t="shared" si="683"/>
        <v>0</v>
      </c>
      <c r="FJ405" s="1">
        <f t="shared" si="684"/>
        <v>0</v>
      </c>
      <c r="FK405" s="1">
        <f t="shared" si="685"/>
        <v>0</v>
      </c>
      <c r="FL405" s="1">
        <f t="shared" si="686"/>
        <v>0</v>
      </c>
      <c r="FM405" s="1">
        <f t="shared" si="687"/>
        <v>0</v>
      </c>
      <c r="FN405" s="1">
        <f t="shared" si="688"/>
        <v>0</v>
      </c>
      <c r="FO405" s="1">
        <f t="shared" si="689"/>
        <v>0</v>
      </c>
      <c r="FP405" s="1">
        <f t="shared" si="690"/>
        <v>0</v>
      </c>
      <c r="FQ405" s="1">
        <f t="shared" si="691"/>
        <v>0</v>
      </c>
      <c r="FS405" s="1">
        <f t="shared" si="692"/>
        <v>0</v>
      </c>
      <c r="FT405" s="1">
        <f t="shared" si="693"/>
        <v>0</v>
      </c>
      <c r="FU405" s="38">
        <f t="shared" si="694"/>
        <v>0</v>
      </c>
      <c r="FV405" s="38">
        <f t="shared" si="695"/>
        <v>0</v>
      </c>
      <c r="FW405" s="38">
        <f t="shared" si="696"/>
        <v>0</v>
      </c>
      <c r="FX405" s="38">
        <f t="shared" si="697"/>
        <v>0</v>
      </c>
      <c r="FY405" s="38">
        <f t="shared" si="698"/>
        <v>0</v>
      </c>
      <c r="FZ405" s="38">
        <f t="shared" si="699"/>
        <v>0</v>
      </c>
      <c r="GA405" s="38">
        <f t="shared" si="700"/>
        <v>0</v>
      </c>
      <c r="GB405" s="38">
        <f t="shared" si="701"/>
        <v>0</v>
      </c>
      <c r="GC405" s="38">
        <f t="shared" si="702"/>
        <v>0</v>
      </c>
      <c r="GD405" s="38">
        <f t="shared" si="703"/>
        <v>0</v>
      </c>
      <c r="GE405" s="38">
        <f t="shared" si="704"/>
        <v>0</v>
      </c>
      <c r="GF405" s="38">
        <f t="shared" si="705"/>
        <v>0</v>
      </c>
      <c r="GG405" s="38">
        <f t="shared" si="706"/>
        <v>0</v>
      </c>
      <c r="GH405" s="38">
        <f t="shared" si="707"/>
        <v>0</v>
      </c>
      <c r="GI405" s="38">
        <f t="shared" si="708"/>
        <v>0</v>
      </c>
      <c r="GJ405" s="38">
        <f t="shared" si="709"/>
        <v>0</v>
      </c>
      <c r="GL405" s="38">
        <f t="shared" si="710"/>
        <v>0</v>
      </c>
      <c r="GM405" s="38">
        <f t="shared" si="711"/>
        <v>0</v>
      </c>
      <c r="GN405" s="1" t="s">
        <v>2</v>
      </c>
      <c r="GO405" s="1">
        <f t="shared" si="719"/>
        <v>11.399999999999999</v>
      </c>
      <c r="GP405" s="13">
        <f t="shared" si="720"/>
        <v>0.17578748079679699</v>
      </c>
      <c r="GQ405" s="41">
        <f t="shared" si="721"/>
        <v>20.039772810834855</v>
      </c>
      <c r="GR405" s="41">
        <f t="shared" si="722"/>
        <v>3042.4922814769529</v>
      </c>
      <c r="GS405" s="14">
        <f t="shared" si="723"/>
        <v>266.88528784885557</v>
      </c>
      <c r="GT405" s="1">
        <f t="shared" si="712"/>
        <v>6.9551970025734962</v>
      </c>
      <c r="GU405" s="1">
        <f t="shared" si="713"/>
        <v>7.6296108756306307</v>
      </c>
      <c r="GV405" s="1">
        <f t="shared" si="714"/>
        <v>5.4549649326307268</v>
      </c>
      <c r="GW405" s="37">
        <f t="shared" si="724"/>
        <v>0</v>
      </c>
      <c r="GX405" s="37"/>
      <c r="GY405" s="37"/>
      <c r="GZ405" s="37"/>
      <c r="HB405" s="1">
        <f t="shared" si="715"/>
        <v>0</v>
      </c>
      <c r="HC405" s="1">
        <f t="shared" si="716"/>
        <v>0</v>
      </c>
      <c r="HD405" s="37" t="s">
        <v>2</v>
      </c>
      <c r="HE405" s="1" t="s">
        <v>113</v>
      </c>
      <c r="HF405" s="1" t="s">
        <v>261</v>
      </c>
      <c r="HG405" s="1" t="s">
        <v>589</v>
      </c>
      <c r="HH405" s="1" t="s">
        <v>1182</v>
      </c>
      <c r="HI405" s="1" t="s">
        <v>96</v>
      </c>
      <c r="HJ405" s="37" t="s">
        <v>2</v>
      </c>
      <c r="JH405" s="58" t="s">
        <v>2</v>
      </c>
    </row>
    <row r="406" spans="1:268" ht="16.25" customHeight="1" x14ac:dyDescent="0.2">
      <c r="A406" s="15" t="s">
        <v>1221</v>
      </c>
      <c r="F406" s="35" t="s">
        <v>151</v>
      </c>
      <c r="I406" s="1">
        <v>0</v>
      </c>
      <c r="AD406" s="1">
        <v>0</v>
      </c>
      <c r="AY406" s="1">
        <v>109.6</v>
      </c>
      <c r="AZ406" s="13">
        <v>2.9148595329822911E-2</v>
      </c>
      <c r="BA406" s="13">
        <v>3.9097699999999999E-2</v>
      </c>
      <c r="BG406" s="13">
        <v>0.11240231217618901</v>
      </c>
      <c r="BI406" s="13">
        <v>1.096617</v>
      </c>
      <c r="BJ406" s="13">
        <v>0.96685100000000002</v>
      </c>
      <c r="BK406" s="13">
        <v>0.19744119999999998</v>
      </c>
      <c r="BT406" s="1">
        <v>0</v>
      </c>
      <c r="CO406" s="1">
        <v>0</v>
      </c>
      <c r="DL406" s="1">
        <f t="shared" si="717"/>
        <v>0.11240231217618903</v>
      </c>
      <c r="DM406" s="1">
        <f t="shared" si="718"/>
        <v>0</v>
      </c>
      <c r="DN406" s="1" t="s">
        <v>1222</v>
      </c>
      <c r="DO406" s="1" t="s">
        <v>2</v>
      </c>
      <c r="DP406" s="38">
        <f t="shared" si="640"/>
        <v>3.1946860481485907E-2</v>
      </c>
      <c r="DQ406" s="38">
        <f t="shared" si="641"/>
        <v>4.2851079199999997</v>
      </c>
      <c r="DR406" s="38">
        <f t="shared" si="642"/>
        <v>0</v>
      </c>
      <c r="DS406" s="38">
        <f t="shared" si="643"/>
        <v>0</v>
      </c>
      <c r="DT406" s="38">
        <f t="shared" si="644"/>
        <v>0</v>
      </c>
      <c r="DU406" s="38">
        <f t="shared" si="645"/>
        <v>0</v>
      </c>
      <c r="DV406" s="38">
        <f t="shared" si="646"/>
        <v>0</v>
      </c>
      <c r="DW406" s="38">
        <f t="shared" si="647"/>
        <v>0.12319293414510316</v>
      </c>
      <c r="DX406" s="38">
        <f t="shared" si="648"/>
        <v>0</v>
      </c>
      <c r="DY406" s="38">
        <f t="shared" si="649"/>
        <v>120.18922319999999</v>
      </c>
      <c r="DZ406" s="38">
        <f t="shared" si="650"/>
        <v>105.9668696</v>
      </c>
      <c r="EA406" s="38">
        <f t="shared" si="651"/>
        <v>21.639555519999998</v>
      </c>
      <c r="EB406" s="38">
        <f t="shared" si="652"/>
        <v>0</v>
      </c>
      <c r="EC406" s="38">
        <f t="shared" si="653"/>
        <v>0</v>
      </c>
      <c r="ED406" s="38">
        <f t="shared" si="654"/>
        <v>0</v>
      </c>
      <c r="EE406" s="38">
        <f t="shared" si="655"/>
        <v>0</v>
      </c>
      <c r="EG406" s="38">
        <f t="shared" si="656"/>
        <v>0</v>
      </c>
      <c r="EH406" s="38">
        <f t="shared" si="657"/>
        <v>0</v>
      </c>
      <c r="EI406" s="38">
        <f t="shared" si="658"/>
        <v>208.47294390775215</v>
      </c>
      <c r="EJ406" s="38">
        <f t="shared" si="659"/>
        <v>175.26229177620576</v>
      </c>
      <c r="EK406" s="38">
        <f t="shared" si="660"/>
        <v>0</v>
      </c>
      <c r="EL406" s="38">
        <f t="shared" si="661"/>
        <v>0</v>
      </c>
      <c r="EM406" s="38">
        <f t="shared" si="662"/>
        <v>0</v>
      </c>
      <c r="EN406" s="38">
        <f t="shared" si="663"/>
        <v>0</v>
      </c>
      <c r="EO406" s="38">
        <f t="shared" si="664"/>
        <v>0</v>
      </c>
      <c r="EP406" s="38">
        <f t="shared" si="665"/>
        <v>1615.5521383788828</v>
      </c>
      <c r="EQ406" s="38">
        <f t="shared" si="666"/>
        <v>0</v>
      </c>
      <c r="ER406" s="38">
        <f t="shared" si="667"/>
        <v>3411.1324678363976</v>
      </c>
      <c r="ES406" s="38">
        <f t="shared" si="668"/>
        <v>3531.4225935539553</v>
      </c>
      <c r="ET406" s="38">
        <f t="shared" si="669"/>
        <v>1548.3762989921543</v>
      </c>
      <c r="EU406" s="38">
        <f t="shared" si="670"/>
        <v>0</v>
      </c>
      <c r="EV406" s="38">
        <f t="shared" si="671"/>
        <v>0</v>
      </c>
      <c r="EW406" s="38">
        <f t="shared" si="672"/>
        <v>0</v>
      </c>
      <c r="EX406" s="38">
        <f t="shared" si="673"/>
        <v>0</v>
      </c>
      <c r="EZ406" s="38">
        <f t="shared" si="674"/>
        <v>0</v>
      </c>
      <c r="FA406" s="38">
        <f t="shared" si="675"/>
        <v>0</v>
      </c>
      <c r="FB406" s="1">
        <f t="shared" si="676"/>
        <v>0</v>
      </c>
      <c r="FC406" s="1">
        <f t="shared" si="677"/>
        <v>0</v>
      </c>
      <c r="FD406" s="1">
        <f t="shared" si="678"/>
        <v>0</v>
      </c>
      <c r="FE406" s="1">
        <f t="shared" si="679"/>
        <v>0</v>
      </c>
      <c r="FF406" s="1">
        <f t="shared" si="680"/>
        <v>0</v>
      </c>
      <c r="FG406" s="1">
        <f t="shared" si="681"/>
        <v>0</v>
      </c>
      <c r="FH406" s="1">
        <f t="shared" si="682"/>
        <v>0</v>
      </c>
      <c r="FI406" s="1">
        <f t="shared" si="683"/>
        <v>0</v>
      </c>
      <c r="FJ406" s="1">
        <f t="shared" si="684"/>
        <v>0</v>
      </c>
      <c r="FK406" s="1">
        <f t="shared" si="685"/>
        <v>0</v>
      </c>
      <c r="FL406" s="1">
        <f t="shared" si="686"/>
        <v>0</v>
      </c>
      <c r="FM406" s="1">
        <f t="shared" si="687"/>
        <v>0</v>
      </c>
      <c r="FN406" s="1">
        <f t="shared" si="688"/>
        <v>0</v>
      </c>
      <c r="FO406" s="1">
        <f t="shared" si="689"/>
        <v>0</v>
      </c>
      <c r="FP406" s="1">
        <f t="shared" si="690"/>
        <v>0</v>
      </c>
      <c r="FQ406" s="1">
        <f t="shared" si="691"/>
        <v>0</v>
      </c>
      <c r="FS406" s="1">
        <f t="shared" si="692"/>
        <v>0</v>
      </c>
      <c r="FT406" s="1">
        <f t="shared" si="693"/>
        <v>0</v>
      </c>
      <c r="FU406" s="38">
        <f t="shared" si="694"/>
        <v>0</v>
      </c>
      <c r="FV406" s="38">
        <f t="shared" si="695"/>
        <v>0</v>
      </c>
      <c r="FW406" s="38">
        <f t="shared" si="696"/>
        <v>0</v>
      </c>
      <c r="FX406" s="38">
        <f t="shared" si="697"/>
        <v>0</v>
      </c>
      <c r="FY406" s="38">
        <f t="shared" si="698"/>
        <v>0</v>
      </c>
      <c r="FZ406" s="38">
        <f t="shared" si="699"/>
        <v>0</v>
      </c>
      <c r="GA406" s="38">
        <f t="shared" si="700"/>
        <v>0</v>
      </c>
      <c r="GB406" s="38">
        <f t="shared" si="701"/>
        <v>0</v>
      </c>
      <c r="GC406" s="38">
        <f t="shared" si="702"/>
        <v>0</v>
      </c>
      <c r="GD406" s="38">
        <f t="shared" si="703"/>
        <v>0</v>
      </c>
      <c r="GE406" s="38">
        <f t="shared" si="704"/>
        <v>0</v>
      </c>
      <c r="GF406" s="38">
        <f t="shared" si="705"/>
        <v>0</v>
      </c>
      <c r="GG406" s="38">
        <f t="shared" si="706"/>
        <v>0</v>
      </c>
      <c r="GH406" s="38">
        <f t="shared" si="707"/>
        <v>0</v>
      </c>
      <c r="GI406" s="38">
        <f t="shared" si="708"/>
        <v>0</v>
      </c>
      <c r="GJ406" s="38">
        <f t="shared" si="709"/>
        <v>0</v>
      </c>
      <c r="GL406" s="38">
        <f t="shared" si="710"/>
        <v>0</v>
      </c>
      <c r="GM406" s="38">
        <f t="shared" si="711"/>
        <v>0</v>
      </c>
      <c r="GN406" s="1" t="s">
        <v>2</v>
      </c>
      <c r="GO406" s="1">
        <f t="shared" si="719"/>
        <v>109.6</v>
      </c>
      <c r="GP406" s="13">
        <f t="shared" si="720"/>
        <v>0.11240231217618903</v>
      </c>
      <c r="GQ406" s="41">
        <f t="shared" si="721"/>
        <v>123.19293414510317</v>
      </c>
      <c r="GR406" s="41">
        <f t="shared" si="722"/>
        <v>10490.218734445347</v>
      </c>
      <c r="GS406" s="14">
        <f t="shared" si="723"/>
        <v>95.71367458435536</v>
      </c>
      <c r="GT406" s="1">
        <f t="shared" si="712"/>
        <v>0</v>
      </c>
      <c r="GU406" s="1">
        <f t="shared" si="713"/>
        <v>0</v>
      </c>
      <c r="GV406" s="1">
        <f t="shared" si="714"/>
        <v>123.19293414510315</v>
      </c>
      <c r="GW406" s="37">
        <f t="shared" si="724"/>
        <v>0</v>
      </c>
      <c r="GX406" s="37"/>
      <c r="GY406" s="37"/>
      <c r="GZ406" s="37"/>
      <c r="HB406" s="1">
        <f t="shared" si="715"/>
        <v>0</v>
      </c>
      <c r="HC406" s="1">
        <f t="shared" si="716"/>
        <v>0</v>
      </c>
      <c r="HD406" s="37" t="s">
        <v>2</v>
      </c>
      <c r="HE406" s="1" t="s">
        <v>113</v>
      </c>
      <c r="HF406" s="1" t="s">
        <v>261</v>
      </c>
      <c r="HG406" s="1" t="s">
        <v>589</v>
      </c>
      <c r="HH406" s="1" t="s">
        <v>1194</v>
      </c>
      <c r="HI406" s="1" t="s">
        <v>96</v>
      </c>
      <c r="HJ406" s="37" t="s">
        <v>2</v>
      </c>
      <c r="JH406" s="58" t="s">
        <v>2</v>
      </c>
    </row>
    <row r="407" spans="1:268" ht="16.25" customHeight="1" x14ac:dyDescent="0.2">
      <c r="A407" s="15" t="s">
        <v>1223</v>
      </c>
      <c r="F407" s="1" t="s">
        <v>1224</v>
      </c>
      <c r="I407" s="1">
        <v>38.6</v>
      </c>
      <c r="J407" s="1">
        <v>0.14000000000000001</v>
      </c>
      <c r="K407" s="13">
        <v>2.1090000000000001E-2</v>
      </c>
      <c r="Q407" s="1">
        <v>0.05</v>
      </c>
      <c r="R407" s="1">
        <v>7.0000000000000007E-2</v>
      </c>
      <c r="S407" s="13">
        <v>1.8381600000000002</v>
      </c>
      <c r="T407" s="13">
        <v>1.0089900000000001</v>
      </c>
      <c r="U407" s="13">
        <v>0.31486999999999998</v>
      </c>
      <c r="V407" s="13">
        <v>0.40515000000000001</v>
      </c>
      <c r="W407" s="13">
        <v>0.11174000000000001</v>
      </c>
      <c r="AD407" s="1">
        <v>4.9000000000000004</v>
      </c>
      <c r="AE407" s="1">
        <v>0.14000000000000001</v>
      </c>
      <c r="AF407" s="13">
        <v>2.5080000000000002E-2</v>
      </c>
      <c r="AL407" s="1">
        <v>0.05</v>
      </c>
      <c r="AM407" s="1">
        <v>7.0000000000000007E-2</v>
      </c>
      <c r="AN407" s="13">
        <v>2.1859200000000003</v>
      </c>
      <c r="AO407" s="13">
        <v>1.1998800000000001</v>
      </c>
      <c r="AP407" s="13">
        <v>0.37444</v>
      </c>
      <c r="AQ407" s="13">
        <v>0.48180000000000006</v>
      </c>
      <c r="AR407" s="13">
        <v>0.13288000000000003</v>
      </c>
      <c r="AY407" s="1">
        <v>0</v>
      </c>
      <c r="BT407" s="14">
        <v>16</v>
      </c>
      <c r="BU407" s="1">
        <v>0.14000000000000001</v>
      </c>
      <c r="BV407" s="13">
        <v>1.8283846153846154E-2</v>
      </c>
      <c r="CB407" s="1">
        <v>0.05</v>
      </c>
      <c r="CC407" s="1">
        <v>7.0000000000000007E-2</v>
      </c>
      <c r="CD407" s="13">
        <v>1.5935815384615384</v>
      </c>
      <c r="CE407" s="13">
        <v>0.87473769230769227</v>
      </c>
      <c r="CF407" s="13">
        <v>0.27297461538461537</v>
      </c>
      <c r="CG407" s="13">
        <v>0.35124230769230769</v>
      </c>
      <c r="CH407" s="13">
        <v>9.6872307692307688E-2</v>
      </c>
      <c r="CO407" s="1">
        <v>0</v>
      </c>
      <c r="DJ407" s="1" t="s">
        <v>96</v>
      </c>
      <c r="DK407" s="1" t="s">
        <v>96</v>
      </c>
      <c r="DL407" s="1">
        <f t="shared" si="717"/>
        <v>0.05</v>
      </c>
      <c r="DM407" s="1">
        <f t="shared" si="718"/>
        <v>7.0000000000000007E-2</v>
      </c>
      <c r="DN407" s="1" t="s">
        <v>73</v>
      </c>
      <c r="DO407" s="1" t="s">
        <v>2</v>
      </c>
      <c r="DP407" s="38">
        <f t="shared" si="640"/>
        <v>6.090000000000001E-2</v>
      </c>
      <c r="DQ407" s="38">
        <f t="shared" si="641"/>
        <v>0.93696600000000008</v>
      </c>
      <c r="DR407" s="38">
        <f t="shared" si="642"/>
        <v>0</v>
      </c>
      <c r="DS407" s="38">
        <f t="shared" si="643"/>
        <v>0</v>
      </c>
      <c r="DT407" s="38">
        <f t="shared" si="644"/>
        <v>0</v>
      </c>
      <c r="DU407" s="38">
        <f t="shared" si="645"/>
        <v>0</v>
      </c>
      <c r="DV407" s="38">
        <f t="shared" si="646"/>
        <v>0</v>
      </c>
      <c r="DW407" s="38">
        <f t="shared" si="647"/>
        <v>2.1750000000000002E-2</v>
      </c>
      <c r="DX407" s="38">
        <f t="shared" si="648"/>
        <v>3.0450000000000005E-2</v>
      </c>
      <c r="DY407" s="38">
        <f t="shared" si="649"/>
        <v>81.663984000000013</v>
      </c>
      <c r="DZ407" s="38">
        <f t="shared" si="650"/>
        <v>44.826426000000005</v>
      </c>
      <c r="EA407" s="38">
        <f t="shared" si="651"/>
        <v>13.988738</v>
      </c>
      <c r="EB407" s="38">
        <f t="shared" si="652"/>
        <v>17.999610000000001</v>
      </c>
      <c r="EC407" s="38">
        <f t="shared" si="653"/>
        <v>4.9642760000000008</v>
      </c>
      <c r="ED407" s="38">
        <f t="shared" si="654"/>
        <v>0</v>
      </c>
      <c r="EE407" s="38">
        <f t="shared" si="655"/>
        <v>0</v>
      </c>
      <c r="EG407" s="38">
        <f t="shared" si="656"/>
        <v>0</v>
      </c>
      <c r="EH407" s="38">
        <f t="shared" si="657"/>
        <v>0</v>
      </c>
      <c r="EI407" s="38">
        <f t="shared" si="658"/>
        <v>397.41001440000008</v>
      </c>
      <c r="EJ407" s="38">
        <f t="shared" si="659"/>
        <v>38.322210675241159</v>
      </c>
      <c r="EK407" s="38">
        <f t="shared" si="660"/>
        <v>0</v>
      </c>
      <c r="EL407" s="38">
        <f t="shared" si="661"/>
        <v>0</v>
      </c>
      <c r="EM407" s="38">
        <f t="shared" si="662"/>
        <v>0</v>
      </c>
      <c r="EN407" s="38">
        <f t="shared" si="663"/>
        <v>0</v>
      </c>
      <c r="EO407" s="38">
        <f t="shared" si="664"/>
        <v>0</v>
      </c>
      <c r="EP407" s="38">
        <f t="shared" si="665"/>
        <v>285.22950000000003</v>
      </c>
      <c r="EQ407" s="38">
        <f t="shared" si="666"/>
        <v>2211.2645058000003</v>
      </c>
      <c r="ER407" s="38">
        <f t="shared" si="667"/>
        <v>2317.7341516861734</v>
      </c>
      <c r="ES407" s="38">
        <f t="shared" si="668"/>
        <v>1493.8730771440519</v>
      </c>
      <c r="ET407" s="38">
        <f t="shared" si="669"/>
        <v>1000.9369347717043</v>
      </c>
      <c r="EU407" s="38">
        <f t="shared" si="670"/>
        <v>141.45609903858519</v>
      </c>
      <c r="EV407" s="38">
        <f t="shared" si="671"/>
        <v>206.43566631897107</v>
      </c>
      <c r="EW407" s="38">
        <f t="shared" si="672"/>
        <v>0</v>
      </c>
      <c r="EX407" s="38">
        <f t="shared" si="673"/>
        <v>0</v>
      </c>
      <c r="EZ407" s="38">
        <f t="shared" si="674"/>
        <v>0</v>
      </c>
      <c r="FA407" s="38">
        <f t="shared" si="675"/>
        <v>0</v>
      </c>
      <c r="FB407" s="1">
        <f t="shared" si="676"/>
        <v>2.2400000000000003E-2</v>
      </c>
      <c r="FC407" s="1">
        <f t="shared" si="677"/>
        <v>0.29254153846153846</v>
      </c>
      <c r="FD407" s="1">
        <f t="shared" si="678"/>
        <v>0</v>
      </c>
      <c r="FE407" s="1">
        <f t="shared" si="679"/>
        <v>0</v>
      </c>
      <c r="FF407" s="1">
        <f t="shared" si="680"/>
        <v>0</v>
      </c>
      <c r="FG407" s="1">
        <f t="shared" si="681"/>
        <v>0</v>
      </c>
      <c r="FH407" s="1">
        <f t="shared" si="682"/>
        <v>0</v>
      </c>
      <c r="FI407" s="1">
        <f t="shared" si="683"/>
        <v>8.0000000000000002E-3</v>
      </c>
      <c r="FJ407" s="1">
        <f t="shared" si="684"/>
        <v>1.1200000000000002E-2</v>
      </c>
      <c r="FK407" s="1">
        <f t="shared" si="685"/>
        <v>25.497304615384614</v>
      </c>
      <c r="FL407" s="1">
        <f t="shared" si="686"/>
        <v>13.995803076923076</v>
      </c>
      <c r="FM407" s="1">
        <f t="shared" si="687"/>
        <v>4.3675938461538459</v>
      </c>
      <c r="FN407" s="1">
        <f t="shared" si="688"/>
        <v>5.619876923076923</v>
      </c>
      <c r="FO407" s="1">
        <f t="shared" si="689"/>
        <v>1.549956923076923</v>
      </c>
      <c r="FP407" s="1">
        <f t="shared" si="690"/>
        <v>0</v>
      </c>
      <c r="FQ407" s="1">
        <f t="shared" si="691"/>
        <v>0</v>
      </c>
      <c r="FS407" s="1">
        <f t="shared" si="692"/>
        <v>0</v>
      </c>
      <c r="FT407" s="1">
        <f t="shared" si="693"/>
        <v>0</v>
      </c>
      <c r="FU407" s="38">
        <f t="shared" si="694"/>
        <v>146.17379840000001</v>
      </c>
      <c r="FV407" s="38">
        <f t="shared" si="695"/>
        <v>11.965042987880286</v>
      </c>
      <c r="FW407" s="38">
        <f t="shared" si="696"/>
        <v>0</v>
      </c>
      <c r="FX407" s="38">
        <f t="shared" si="697"/>
        <v>0</v>
      </c>
      <c r="FY407" s="38">
        <f t="shared" si="698"/>
        <v>0</v>
      </c>
      <c r="FZ407" s="38">
        <f t="shared" si="699"/>
        <v>0</v>
      </c>
      <c r="GA407" s="38">
        <f t="shared" si="700"/>
        <v>0</v>
      </c>
      <c r="GB407" s="38">
        <f t="shared" si="701"/>
        <v>104.91200000000001</v>
      </c>
      <c r="GC407" s="38">
        <f t="shared" si="702"/>
        <v>813.33866880000005</v>
      </c>
      <c r="GD407" s="38">
        <f t="shared" si="703"/>
        <v>723.64793864358137</v>
      </c>
      <c r="GE407" s="38">
        <f t="shared" si="704"/>
        <v>466.42026311946574</v>
      </c>
      <c r="GF407" s="38">
        <f t="shared" si="705"/>
        <v>312.51468121691818</v>
      </c>
      <c r="GG407" s="38">
        <f t="shared" si="706"/>
        <v>44.165727291615127</v>
      </c>
      <c r="GH407" s="38">
        <f t="shared" si="707"/>
        <v>64.453787456838967</v>
      </c>
      <c r="GI407" s="38">
        <f t="shared" si="708"/>
        <v>0</v>
      </c>
      <c r="GJ407" s="38">
        <f t="shared" si="709"/>
        <v>0</v>
      </c>
      <c r="GL407" s="38">
        <f t="shared" si="710"/>
        <v>0</v>
      </c>
      <c r="GM407" s="38">
        <f t="shared" si="711"/>
        <v>0</v>
      </c>
      <c r="GN407" s="1" t="s">
        <v>2</v>
      </c>
      <c r="GO407" s="1">
        <f t="shared" si="719"/>
        <v>43.5</v>
      </c>
      <c r="GP407" s="13">
        <f t="shared" si="720"/>
        <v>0.05</v>
      </c>
      <c r="GQ407" s="41">
        <f t="shared" si="721"/>
        <v>21.75</v>
      </c>
      <c r="GR407" s="41">
        <f t="shared" si="722"/>
        <v>8092.6621598347274</v>
      </c>
      <c r="GS407" s="14">
        <f t="shared" si="723"/>
        <v>186.03821057091326</v>
      </c>
      <c r="GT407" s="1">
        <f t="shared" si="712"/>
        <v>19.3</v>
      </c>
      <c r="GU407" s="1">
        <f t="shared" si="713"/>
        <v>2.4500000000000002</v>
      </c>
      <c r="GV407" s="1">
        <f t="shared" si="714"/>
        <v>0</v>
      </c>
      <c r="GW407" s="37">
        <f t="shared" si="724"/>
        <v>16</v>
      </c>
      <c r="GX407" s="37">
        <f>(BT407*CB407+CO407*CW407)/GW407</f>
        <v>0.05</v>
      </c>
      <c r="GY407" s="41">
        <f>1000*GW407*GX407/100</f>
        <v>8</v>
      </c>
      <c r="GZ407" s="41">
        <f>SUM(FU407:GM407)</f>
        <v>2687.5919079162995</v>
      </c>
      <c r="HA407" s="14">
        <f>GZ407/GW407</f>
        <v>167.97449424476872</v>
      </c>
      <c r="HB407" s="1">
        <f t="shared" si="715"/>
        <v>8</v>
      </c>
      <c r="HC407" s="1">
        <f t="shared" si="716"/>
        <v>0</v>
      </c>
      <c r="HD407" s="37" t="s">
        <v>2</v>
      </c>
      <c r="HE407" s="1" t="s">
        <v>113</v>
      </c>
      <c r="HF407" s="1" t="s">
        <v>261</v>
      </c>
      <c r="HG407" s="1" t="s">
        <v>589</v>
      </c>
      <c r="HH407" s="1" t="s">
        <v>1182</v>
      </c>
      <c r="HI407" s="1" t="s">
        <v>96</v>
      </c>
      <c r="HJ407" s="37" t="s">
        <v>2</v>
      </c>
      <c r="JH407" s="58" t="s">
        <v>2</v>
      </c>
    </row>
    <row r="408" spans="1:268" ht="16.25" customHeight="1" x14ac:dyDescent="0.2">
      <c r="A408" s="15" t="s">
        <v>1225</v>
      </c>
      <c r="F408" s="1" t="s">
        <v>1226</v>
      </c>
      <c r="I408" s="1">
        <v>0</v>
      </c>
      <c r="AD408" s="1">
        <v>0</v>
      </c>
      <c r="AY408" s="1">
        <v>148.80000000000001</v>
      </c>
      <c r="AZ408" s="13">
        <v>3.2000000000000001E-2</v>
      </c>
      <c r="BA408" s="13">
        <v>0.14000000000000001</v>
      </c>
      <c r="BG408" s="13">
        <v>0.13200000000000001</v>
      </c>
      <c r="BI408" s="13">
        <v>4.1100000000000003</v>
      </c>
      <c r="BJ408" s="13">
        <v>1.72</v>
      </c>
      <c r="BK408" s="13">
        <v>0.56000000000000005</v>
      </c>
      <c r="BT408" s="1">
        <v>0</v>
      </c>
      <c r="CO408" s="1">
        <v>0</v>
      </c>
      <c r="DJ408" s="1" t="s">
        <v>96</v>
      </c>
      <c r="DL408" s="1">
        <f t="shared" si="717"/>
        <v>0.13200000000000001</v>
      </c>
      <c r="DM408" s="1">
        <f t="shared" si="718"/>
        <v>0</v>
      </c>
      <c r="DN408" s="1" t="s">
        <v>1216</v>
      </c>
      <c r="DO408" s="1" t="s">
        <v>2</v>
      </c>
      <c r="DP408" s="38">
        <f t="shared" si="640"/>
        <v>4.7616000000000006E-2</v>
      </c>
      <c r="DQ408" s="38">
        <f t="shared" si="641"/>
        <v>20.832000000000004</v>
      </c>
      <c r="DR408" s="38">
        <f t="shared" si="642"/>
        <v>0</v>
      </c>
      <c r="DS408" s="38">
        <f t="shared" si="643"/>
        <v>0</v>
      </c>
      <c r="DT408" s="38">
        <f t="shared" si="644"/>
        <v>0</v>
      </c>
      <c r="DU408" s="38">
        <f t="shared" si="645"/>
        <v>0</v>
      </c>
      <c r="DV408" s="38">
        <f t="shared" si="646"/>
        <v>0</v>
      </c>
      <c r="DW408" s="38">
        <f t="shared" si="647"/>
        <v>0.19641600000000004</v>
      </c>
      <c r="DX408" s="38">
        <f t="shared" si="648"/>
        <v>0</v>
      </c>
      <c r="DY408" s="38">
        <f t="shared" si="649"/>
        <v>611.5680000000001</v>
      </c>
      <c r="DZ408" s="38">
        <f t="shared" si="650"/>
        <v>255.93600000000001</v>
      </c>
      <c r="EA408" s="38">
        <f t="shared" si="651"/>
        <v>83.328000000000017</v>
      </c>
      <c r="EB408" s="38">
        <f t="shared" si="652"/>
        <v>0</v>
      </c>
      <c r="EC408" s="38">
        <f t="shared" si="653"/>
        <v>0</v>
      </c>
      <c r="ED408" s="38">
        <f t="shared" si="654"/>
        <v>0</v>
      </c>
      <c r="EE408" s="38">
        <f t="shared" si="655"/>
        <v>0</v>
      </c>
      <c r="EG408" s="38">
        <f t="shared" si="656"/>
        <v>0</v>
      </c>
      <c r="EH408" s="38">
        <f t="shared" si="657"/>
        <v>0</v>
      </c>
      <c r="EI408" s="38">
        <f t="shared" si="658"/>
        <v>310.72373145600005</v>
      </c>
      <c r="EJ408" s="38">
        <f t="shared" si="659"/>
        <v>852.0354983922831</v>
      </c>
      <c r="EK408" s="38">
        <f t="shared" si="660"/>
        <v>0</v>
      </c>
      <c r="EL408" s="38">
        <f t="shared" si="661"/>
        <v>0</v>
      </c>
      <c r="EM408" s="38">
        <f t="shared" si="662"/>
        <v>0</v>
      </c>
      <c r="EN408" s="38">
        <f t="shared" si="663"/>
        <v>0</v>
      </c>
      <c r="EO408" s="38">
        <f t="shared" si="664"/>
        <v>0</v>
      </c>
      <c r="EP408" s="38">
        <f t="shared" si="665"/>
        <v>2575.7994240000003</v>
      </c>
      <c r="EQ408" s="38">
        <f t="shared" si="666"/>
        <v>0</v>
      </c>
      <c r="ER408" s="38">
        <f t="shared" si="667"/>
        <v>17357.12575176849</v>
      </c>
      <c r="ES408" s="38">
        <f t="shared" si="668"/>
        <v>8529.252362700965</v>
      </c>
      <c r="ET408" s="38">
        <f t="shared" si="669"/>
        <v>5962.3729389067548</v>
      </c>
      <c r="EU408" s="38">
        <f t="shared" si="670"/>
        <v>0</v>
      </c>
      <c r="EV408" s="38">
        <f t="shared" si="671"/>
        <v>0</v>
      </c>
      <c r="EW408" s="38">
        <f t="shared" si="672"/>
        <v>0</v>
      </c>
      <c r="EX408" s="38">
        <f t="shared" si="673"/>
        <v>0</v>
      </c>
      <c r="EZ408" s="38">
        <f t="shared" si="674"/>
        <v>0</v>
      </c>
      <c r="FA408" s="38">
        <f t="shared" si="675"/>
        <v>0</v>
      </c>
      <c r="FB408" s="1">
        <f t="shared" si="676"/>
        <v>0</v>
      </c>
      <c r="FC408" s="1">
        <f t="shared" si="677"/>
        <v>0</v>
      </c>
      <c r="FD408" s="1">
        <f t="shared" si="678"/>
        <v>0</v>
      </c>
      <c r="FE408" s="1">
        <f t="shared" si="679"/>
        <v>0</v>
      </c>
      <c r="FF408" s="1">
        <f t="shared" si="680"/>
        <v>0</v>
      </c>
      <c r="FG408" s="1">
        <f t="shared" si="681"/>
        <v>0</v>
      </c>
      <c r="FH408" s="1">
        <f t="shared" si="682"/>
        <v>0</v>
      </c>
      <c r="FI408" s="1">
        <f t="shared" si="683"/>
        <v>0</v>
      </c>
      <c r="FJ408" s="1">
        <f t="shared" si="684"/>
        <v>0</v>
      </c>
      <c r="FK408" s="1">
        <f t="shared" si="685"/>
        <v>0</v>
      </c>
      <c r="FL408" s="1">
        <f t="shared" si="686"/>
        <v>0</v>
      </c>
      <c r="FM408" s="1">
        <f t="shared" si="687"/>
        <v>0</v>
      </c>
      <c r="FN408" s="1">
        <f t="shared" si="688"/>
        <v>0</v>
      </c>
      <c r="FO408" s="1">
        <f t="shared" si="689"/>
        <v>0</v>
      </c>
      <c r="FP408" s="1">
        <f t="shared" si="690"/>
        <v>0</v>
      </c>
      <c r="FQ408" s="1">
        <f t="shared" si="691"/>
        <v>0</v>
      </c>
      <c r="FS408" s="1">
        <f t="shared" si="692"/>
        <v>0</v>
      </c>
      <c r="FT408" s="1">
        <f t="shared" si="693"/>
        <v>0</v>
      </c>
      <c r="FU408" s="38">
        <f t="shared" si="694"/>
        <v>0</v>
      </c>
      <c r="FV408" s="38">
        <f t="shared" si="695"/>
        <v>0</v>
      </c>
      <c r="FW408" s="38">
        <f t="shared" si="696"/>
        <v>0</v>
      </c>
      <c r="FX408" s="38">
        <f t="shared" si="697"/>
        <v>0</v>
      </c>
      <c r="FY408" s="38">
        <f t="shared" si="698"/>
        <v>0</v>
      </c>
      <c r="FZ408" s="38">
        <f t="shared" si="699"/>
        <v>0</v>
      </c>
      <c r="GA408" s="38">
        <f t="shared" si="700"/>
        <v>0</v>
      </c>
      <c r="GB408" s="38">
        <f t="shared" si="701"/>
        <v>0</v>
      </c>
      <c r="GC408" s="38">
        <f t="shared" si="702"/>
        <v>0</v>
      </c>
      <c r="GD408" s="38">
        <f t="shared" si="703"/>
        <v>0</v>
      </c>
      <c r="GE408" s="38">
        <f t="shared" si="704"/>
        <v>0</v>
      </c>
      <c r="GF408" s="38">
        <f t="shared" si="705"/>
        <v>0</v>
      </c>
      <c r="GG408" s="38">
        <f t="shared" si="706"/>
        <v>0</v>
      </c>
      <c r="GH408" s="38">
        <f t="shared" si="707"/>
        <v>0</v>
      </c>
      <c r="GI408" s="38">
        <f t="shared" si="708"/>
        <v>0</v>
      </c>
      <c r="GJ408" s="38">
        <f t="shared" si="709"/>
        <v>0</v>
      </c>
      <c r="GL408" s="38">
        <f t="shared" si="710"/>
        <v>0</v>
      </c>
      <c r="GM408" s="38">
        <f t="shared" si="711"/>
        <v>0</v>
      </c>
      <c r="GN408" s="1" t="s">
        <v>2</v>
      </c>
      <c r="GO408" s="1">
        <f t="shared" si="719"/>
        <v>148.80000000000001</v>
      </c>
      <c r="GP408" s="13">
        <f t="shared" si="720"/>
        <v>0.13200000000000001</v>
      </c>
      <c r="GQ408" s="41">
        <f t="shared" si="721"/>
        <v>196.41600000000003</v>
      </c>
      <c r="GR408" s="41">
        <f t="shared" si="722"/>
        <v>35587.309707224493</v>
      </c>
      <c r="GS408" s="14">
        <f t="shared" si="723"/>
        <v>239.16202760231513</v>
      </c>
      <c r="GT408" s="1">
        <f t="shared" si="712"/>
        <v>0</v>
      </c>
      <c r="GU408" s="1">
        <f t="shared" si="713"/>
        <v>0</v>
      </c>
      <c r="GV408" s="1">
        <f t="shared" si="714"/>
        <v>196.41600000000003</v>
      </c>
      <c r="GW408" s="37">
        <f t="shared" si="724"/>
        <v>0</v>
      </c>
      <c r="GX408" s="37"/>
      <c r="GY408" s="37"/>
      <c r="GZ408" s="37"/>
      <c r="HB408" s="1">
        <f t="shared" si="715"/>
        <v>0</v>
      </c>
      <c r="HC408" s="1">
        <f t="shared" si="716"/>
        <v>0</v>
      </c>
      <c r="HD408" s="37" t="s">
        <v>2</v>
      </c>
      <c r="HE408" s="1" t="s">
        <v>113</v>
      </c>
      <c r="HF408" s="1" t="s">
        <v>261</v>
      </c>
      <c r="HG408" s="1" t="s">
        <v>589</v>
      </c>
      <c r="HH408" s="1" t="s">
        <v>1182</v>
      </c>
      <c r="HI408" s="1" t="s">
        <v>96</v>
      </c>
      <c r="HJ408" s="37" t="s">
        <v>2</v>
      </c>
      <c r="JH408" s="58" t="s">
        <v>2</v>
      </c>
    </row>
    <row r="409" spans="1:268" ht="16.25" customHeight="1" x14ac:dyDescent="0.2">
      <c r="A409" s="15" t="s">
        <v>1227</v>
      </c>
      <c r="F409" s="1" t="s">
        <v>1228</v>
      </c>
      <c r="I409" s="1">
        <v>40.39</v>
      </c>
      <c r="J409" s="13">
        <v>6.3800445654865076E-2</v>
      </c>
      <c r="K409" s="13">
        <v>0.13392820252537757</v>
      </c>
      <c r="Q409" s="13">
        <v>0.1807006684822976</v>
      </c>
      <c r="S409" s="13">
        <v>2.2807774696707104</v>
      </c>
      <c r="T409" s="13">
        <v>1.939513226046051</v>
      </c>
      <c r="U409" s="13">
        <v>0.31708340430799703</v>
      </c>
      <c r="AD409" s="1">
        <v>128.85</v>
      </c>
      <c r="AE409" s="13">
        <v>7.9450523864959252E-2</v>
      </c>
      <c r="AF409" s="13">
        <v>0.19727657741559956</v>
      </c>
      <c r="AL409" s="13">
        <v>0.19786495925494763</v>
      </c>
      <c r="AN409" s="13">
        <v>2.8239773504074503</v>
      </c>
      <c r="AO409" s="13">
        <v>2.193101839348079</v>
      </c>
      <c r="AP409" s="13">
        <v>0.33253596740395808</v>
      </c>
      <c r="AY409" s="1">
        <v>110.55000000000001</v>
      </c>
      <c r="AZ409" s="13">
        <v>7.9213025780189947E-2</v>
      </c>
      <c r="BA409" s="13">
        <v>0.17888024423337853</v>
      </c>
      <c r="BG409" s="13">
        <v>0.19561736770691995</v>
      </c>
      <c r="BI409" s="13">
        <v>2.8650871370420621</v>
      </c>
      <c r="BJ409" s="13">
        <v>2.365907978290366</v>
      </c>
      <c r="BK409" s="13">
        <v>0.37799438263229318</v>
      </c>
      <c r="BT409" s="1">
        <v>0</v>
      </c>
      <c r="CO409" s="1">
        <v>0</v>
      </c>
      <c r="DJ409" s="1" t="s">
        <v>96</v>
      </c>
      <c r="DL409" s="1">
        <f t="shared" si="717"/>
        <v>0.19449908860216589</v>
      </c>
      <c r="DM409" s="1">
        <f t="shared" si="718"/>
        <v>0</v>
      </c>
      <c r="DN409" s="1" t="s">
        <v>1216</v>
      </c>
      <c r="DO409" s="1" t="s">
        <v>2</v>
      </c>
      <c r="DP409" s="38">
        <f t="shared" si="640"/>
        <v>0.21571100000000001</v>
      </c>
      <c r="DQ409" s="38">
        <f t="shared" si="641"/>
        <v>50.603658100000004</v>
      </c>
      <c r="DR409" s="38">
        <f t="shared" si="642"/>
        <v>0</v>
      </c>
      <c r="DS409" s="38">
        <f t="shared" si="643"/>
        <v>0</v>
      </c>
      <c r="DT409" s="38">
        <f t="shared" si="644"/>
        <v>0</v>
      </c>
      <c r="DU409" s="38">
        <f t="shared" si="645"/>
        <v>0</v>
      </c>
      <c r="DV409" s="38">
        <f t="shared" si="646"/>
        <v>0</v>
      </c>
      <c r="DW409" s="38">
        <f t="shared" si="647"/>
        <v>0.54418900000000003</v>
      </c>
      <c r="DX409" s="38">
        <f t="shared" si="648"/>
        <v>0</v>
      </c>
      <c r="DY409" s="38">
        <f t="shared" si="649"/>
        <v>772.72546659999989</v>
      </c>
      <c r="DZ409" s="38">
        <f t="shared" si="650"/>
        <v>622.46923820000006</v>
      </c>
      <c r="EA409" s="38">
        <f t="shared" si="651"/>
        <v>97.441537100000005</v>
      </c>
      <c r="EB409" s="38">
        <f t="shared" si="652"/>
        <v>0</v>
      </c>
      <c r="EC409" s="38">
        <f t="shared" si="653"/>
        <v>0</v>
      </c>
      <c r="ED409" s="38">
        <f t="shared" si="654"/>
        <v>0</v>
      </c>
      <c r="EE409" s="38">
        <f t="shared" si="655"/>
        <v>0</v>
      </c>
      <c r="EG409" s="38">
        <f t="shared" si="656"/>
        <v>0</v>
      </c>
      <c r="EH409" s="38">
        <f t="shared" si="657"/>
        <v>0</v>
      </c>
      <c r="EI409" s="38">
        <f t="shared" si="658"/>
        <v>1407.6471529760001</v>
      </c>
      <c r="EJ409" s="38">
        <f t="shared" si="659"/>
        <v>2069.7058875627008</v>
      </c>
      <c r="EK409" s="38">
        <f t="shared" si="660"/>
        <v>0</v>
      </c>
      <c r="EL409" s="38">
        <f t="shared" si="661"/>
        <v>0</v>
      </c>
      <c r="EM409" s="38">
        <f t="shared" si="662"/>
        <v>0</v>
      </c>
      <c r="EN409" s="38">
        <f t="shared" si="663"/>
        <v>0</v>
      </c>
      <c r="EO409" s="38">
        <f t="shared" si="664"/>
        <v>0</v>
      </c>
      <c r="EP409" s="38">
        <f t="shared" si="665"/>
        <v>7136.4945460000008</v>
      </c>
      <c r="EQ409" s="38">
        <f t="shared" si="666"/>
        <v>0</v>
      </c>
      <c r="ER409" s="38">
        <f t="shared" si="667"/>
        <v>21930.992294185075</v>
      </c>
      <c r="ES409" s="38">
        <f t="shared" si="668"/>
        <v>20744.237702496019</v>
      </c>
      <c r="ET409" s="38">
        <f t="shared" si="669"/>
        <v>6972.2396305025732</v>
      </c>
      <c r="EU409" s="38">
        <f t="shared" si="670"/>
        <v>0</v>
      </c>
      <c r="EV409" s="38">
        <f t="shared" si="671"/>
        <v>0</v>
      </c>
      <c r="EW409" s="38">
        <f t="shared" si="672"/>
        <v>0</v>
      </c>
      <c r="EX409" s="38">
        <f t="shared" si="673"/>
        <v>0</v>
      </c>
      <c r="EZ409" s="38">
        <f t="shared" si="674"/>
        <v>0</v>
      </c>
      <c r="FA409" s="38">
        <f t="shared" si="675"/>
        <v>0</v>
      </c>
      <c r="FB409" s="1">
        <f t="shared" si="676"/>
        <v>0</v>
      </c>
      <c r="FC409" s="1">
        <f t="shared" si="677"/>
        <v>0</v>
      </c>
      <c r="FD409" s="1">
        <f t="shared" si="678"/>
        <v>0</v>
      </c>
      <c r="FE409" s="1">
        <f t="shared" si="679"/>
        <v>0</v>
      </c>
      <c r="FF409" s="1">
        <f t="shared" si="680"/>
        <v>0</v>
      </c>
      <c r="FG409" s="1">
        <f t="shared" si="681"/>
        <v>0</v>
      </c>
      <c r="FH409" s="1">
        <f t="shared" si="682"/>
        <v>0</v>
      </c>
      <c r="FI409" s="1">
        <f t="shared" si="683"/>
        <v>0</v>
      </c>
      <c r="FJ409" s="1">
        <f t="shared" si="684"/>
        <v>0</v>
      </c>
      <c r="FK409" s="1">
        <f t="shared" si="685"/>
        <v>0</v>
      </c>
      <c r="FL409" s="1">
        <f t="shared" si="686"/>
        <v>0</v>
      </c>
      <c r="FM409" s="1">
        <f t="shared" si="687"/>
        <v>0</v>
      </c>
      <c r="FN409" s="1">
        <f t="shared" si="688"/>
        <v>0</v>
      </c>
      <c r="FO409" s="1">
        <f t="shared" si="689"/>
        <v>0</v>
      </c>
      <c r="FP409" s="1">
        <f t="shared" si="690"/>
        <v>0</v>
      </c>
      <c r="FQ409" s="1">
        <f t="shared" si="691"/>
        <v>0</v>
      </c>
      <c r="FS409" s="1">
        <f t="shared" si="692"/>
        <v>0</v>
      </c>
      <c r="FT409" s="1">
        <f t="shared" si="693"/>
        <v>0</v>
      </c>
      <c r="FU409" s="38">
        <f t="shared" si="694"/>
        <v>0</v>
      </c>
      <c r="FV409" s="38">
        <f t="shared" si="695"/>
        <v>0</v>
      </c>
      <c r="FW409" s="38">
        <f t="shared" si="696"/>
        <v>0</v>
      </c>
      <c r="FX409" s="38">
        <f t="shared" si="697"/>
        <v>0</v>
      </c>
      <c r="FY409" s="38">
        <f t="shared" si="698"/>
        <v>0</v>
      </c>
      <c r="FZ409" s="38">
        <f t="shared" si="699"/>
        <v>0</v>
      </c>
      <c r="GA409" s="38">
        <f t="shared" si="700"/>
        <v>0</v>
      </c>
      <c r="GB409" s="38">
        <f t="shared" si="701"/>
        <v>0</v>
      </c>
      <c r="GC409" s="38">
        <f t="shared" si="702"/>
        <v>0</v>
      </c>
      <c r="GD409" s="38">
        <f t="shared" si="703"/>
        <v>0</v>
      </c>
      <c r="GE409" s="38">
        <f t="shared" si="704"/>
        <v>0</v>
      </c>
      <c r="GF409" s="38">
        <f t="shared" si="705"/>
        <v>0</v>
      </c>
      <c r="GG409" s="38">
        <f t="shared" si="706"/>
        <v>0</v>
      </c>
      <c r="GH409" s="38">
        <f t="shared" si="707"/>
        <v>0</v>
      </c>
      <c r="GI409" s="38">
        <f t="shared" si="708"/>
        <v>0</v>
      </c>
      <c r="GJ409" s="38">
        <f t="shared" si="709"/>
        <v>0</v>
      </c>
      <c r="GL409" s="38">
        <f t="shared" si="710"/>
        <v>0</v>
      </c>
      <c r="GM409" s="38">
        <f t="shared" si="711"/>
        <v>0</v>
      </c>
      <c r="GN409" s="1" t="s">
        <v>2</v>
      </c>
      <c r="GO409" s="14">
        <f t="shared" si="719"/>
        <v>279.79000000000002</v>
      </c>
      <c r="GP409" s="13">
        <f t="shared" si="720"/>
        <v>0.19449908860216589</v>
      </c>
      <c r="GQ409" s="41">
        <f t="shared" si="721"/>
        <v>544.18899999999996</v>
      </c>
      <c r="GR409" s="41">
        <f t="shared" si="722"/>
        <v>60261.317213722374</v>
      </c>
      <c r="GS409" s="14">
        <f t="shared" si="723"/>
        <v>215.38052544309079</v>
      </c>
      <c r="GT409" s="1">
        <f t="shared" si="712"/>
        <v>72.984999999999999</v>
      </c>
      <c r="GU409" s="1">
        <f t="shared" si="713"/>
        <v>254.94900000000001</v>
      </c>
      <c r="GV409" s="1">
        <f t="shared" si="714"/>
        <v>216.25500000000002</v>
      </c>
      <c r="GW409" s="37">
        <f t="shared" si="724"/>
        <v>0</v>
      </c>
      <c r="GX409" s="37"/>
      <c r="GY409" s="37"/>
      <c r="GZ409" s="37"/>
      <c r="HB409" s="1">
        <f t="shared" si="715"/>
        <v>0</v>
      </c>
      <c r="HC409" s="1">
        <f t="shared" si="716"/>
        <v>0</v>
      </c>
      <c r="HD409" s="37" t="s">
        <v>2</v>
      </c>
      <c r="HE409" s="1" t="s">
        <v>113</v>
      </c>
      <c r="HF409" s="1" t="s">
        <v>261</v>
      </c>
      <c r="HG409" s="1" t="s">
        <v>589</v>
      </c>
      <c r="HH409" s="1" t="s">
        <v>1194</v>
      </c>
      <c r="HI409" s="1" t="s">
        <v>96</v>
      </c>
      <c r="HJ409" s="37" t="s">
        <v>2</v>
      </c>
      <c r="JH409" s="58" t="s">
        <v>2</v>
      </c>
    </row>
    <row r="410" spans="1:268" ht="16.25" customHeight="1" x14ac:dyDescent="0.2">
      <c r="A410" s="15" t="s">
        <v>1229</v>
      </c>
      <c r="F410" s="1" t="s">
        <v>1193</v>
      </c>
      <c r="I410" s="1">
        <v>0</v>
      </c>
      <c r="AD410" s="1">
        <v>0</v>
      </c>
      <c r="AY410" s="1">
        <v>9.5519999999999996</v>
      </c>
      <c r="AZ410" s="13">
        <v>6.6691870325387398E-2</v>
      </c>
      <c r="BA410" s="13">
        <v>0.30951319095477386</v>
      </c>
      <c r="BG410" s="13">
        <v>0.16168649771652202</v>
      </c>
      <c r="BI410" s="13">
        <v>2.514808417085427</v>
      </c>
      <c r="BJ410" s="13">
        <v>1.6989572864321607</v>
      </c>
      <c r="BK410" s="13">
        <v>0.22727701005025125</v>
      </c>
      <c r="BT410" s="1">
        <v>0</v>
      </c>
      <c r="CO410" s="1">
        <v>0</v>
      </c>
      <c r="DJ410" s="1" t="s">
        <v>96</v>
      </c>
      <c r="DL410" s="1">
        <f t="shared" si="717"/>
        <v>0.16168649771652202</v>
      </c>
      <c r="DM410" s="1">
        <f t="shared" si="718"/>
        <v>0</v>
      </c>
      <c r="DN410" s="1" t="s">
        <v>164</v>
      </c>
      <c r="DO410" s="1" t="s">
        <v>2</v>
      </c>
      <c r="DP410" s="38">
        <f t="shared" si="640"/>
        <v>6.3704074534810043E-3</v>
      </c>
      <c r="DQ410" s="38">
        <f t="shared" si="641"/>
        <v>2.9564699999999999</v>
      </c>
      <c r="DR410" s="38">
        <f t="shared" si="642"/>
        <v>0</v>
      </c>
      <c r="DS410" s="38">
        <f t="shared" si="643"/>
        <v>0</v>
      </c>
      <c r="DT410" s="38">
        <f t="shared" si="644"/>
        <v>0</v>
      </c>
      <c r="DU410" s="38">
        <f t="shared" si="645"/>
        <v>0</v>
      </c>
      <c r="DV410" s="38">
        <f t="shared" si="646"/>
        <v>0</v>
      </c>
      <c r="DW410" s="38">
        <f t="shared" si="647"/>
        <v>1.5444294261882183E-2</v>
      </c>
      <c r="DX410" s="38">
        <f t="shared" si="648"/>
        <v>0</v>
      </c>
      <c r="DY410" s="38">
        <f t="shared" si="649"/>
        <v>24.021449999999998</v>
      </c>
      <c r="DZ410" s="38">
        <f t="shared" si="650"/>
        <v>16.228439999999999</v>
      </c>
      <c r="EA410" s="38">
        <f t="shared" si="651"/>
        <v>2.1709499999999999</v>
      </c>
      <c r="EB410" s="38">
        <f t="shared" si="652"/>
        <v>0</v>
      </c>
      <c r="EC410" s="38">
        <f t="shared" si="653"/>
        <v>0</v>
      </c>
      <c r="ED410" s="38">
        <f t="shared" si="654"/>
        <v>0</v>
      </c>
      <c r="EE410" s="38">
        <f t="shared" si="655"/>
        <v>0</v>
      </c>
      <c r="EG410" s="38">
        <f t="shared" si="656"/>
        <v>0</v>
      </c>
      <c r="EH410" s="38">
        <f t="shared" si="657"/>
        <v>0</v>
      </c>
      <c r="EI410" s="38">
        <f t="shared" si="658"/>
        <v>41.570832804954897</v>
      </c>
      <c r="EJ410" s="38">
        <f t="shared" si="659"/>
        <v>120.9205736334405</v>
      </c>
      <c r="EK410" s="38">
        <f t="shared" si="660"/>
        <v>0</v>
      </c>
      <c r="EL410" s="38">
        <f t="shared" si="661"/>
        <v>0</v>
      </c>
      <c r="EM410" s="38">
        <f t="shared" si="662"/>
        <v>0</v>
      </c>
      <c r="EN410" s="38">
        <f t="shared" si="663"/>
        <v>0</v>
      </c>
      <c r="EO410" s="38">
        <f t="shared" si="664"/>
        <v>0</v>
      </c>
      <c r="EP410" s="38">
        <f t="shared" si="665"/>
        <v>202.53647495032294</v>
      </c>
      <c r="EQ410" s="38">
        <f t="shared" si="666"/>
        <v>0</v>
      </c>
      <c r="ER410" s="38">
        <f t="shared" si="667"/>
        <v>681.76119154340813</v>
      </c>
      <c r="ES410" s="38">
        <f t="shared" si="668"/>
        <v>540.8245038327974</v>
      </c>
      <c r="ET410" s="38">
        <f t="shared" si="669"/>
        <v>155.33810401929262</v>
      </c>
      <c r="EU410" s="38">
        <f t="shared" si="670"/>
        <v>0</v>
      </c>
      <c r="EV410" s="38">
        <f t="shared" si="671"/>
        <v>0</v>
      </c>
      <c r="EW410" s="38">
        <f t="shared" si="672"/>
        <v>0</v>
      </c>
      <c r="EX410" s="38">
        <f t="shared" si="673"/>
        <v>0</v>
      </c>
      <c r="EZ410" s="38">
        <f t="shared" si="674"/>
        <v>0</v>
      </c>
      <c r="FA410" s="38">
        <f t="shared" si="675"/>
        <v>0</v>
      </c>
      <c r="FB410" s="1">
        <f t="shared" si="676"/>
        <v>0</v>
      </c>
      <c r="FC410" s="1">
        <f t="shared" si="677"/>
        <v>0</v>
      </c>
      <c r="FD410" s="1">
        <f t="shared" si="678"/>
        <v>0</v>
      </c>
      <c r="FE410" s="1">
        <f t="shared" si="679"/>
        <v>0</v>
      </c>
      <c r="FF410" s="1">
        <f t="shared" si="680"/>
        <v>0</v>
      </c>
      <c r="FG410" s="1">
        <f t="shared" si="681"/>
        <v>0</v>
      </c>
      <c r="FH410" s="1">
        <f t="shared" si="682"/>
        <v>0</v>
      </c>
      <c r="FI410" s="1">
        <f t="shared" si="683"/>
        <v>0</v>
      </c>
      <c r="FJ410" s="1">
        <f t="shared" si="684"/>
        <v>0</v>
      </c>
      <c r="FK410" s="1">
        <f t="shared" si="685"/>
        <v>0</v>
      </c>
      <c r="FL410" s="1">
        <f t="shared" si="686"/>
        <v>0</v>
      </c>
      <c r="FM410" s="1">
        <f t="shared" si="687"/>
        <v>0</v>
      </c>
      <c r="FN410" s="1">
        <f t="shared" si="688"/>
        <v>0</v>
      </c>
      <c r="FO410" s="1">
        <f t="shared" si="689"/>
        <v>0</v>
      </c>
      <c r="FP410" s="1">
        <f t="shared" si="690"/>
        <v>0</v>
      </c>
      <c r="FQ410" s="1">
        <f t="shared" si="691"/>
        <v>0</v>
      </c>
      <c r="FS410" s="1">
        <f t="shared" si="692"/>
        <v>0</v>
      </c>
      <c r="FT410" s="1">
        <f t="shared" si="693"/>
        <v>0</v>
      </c>
      <c r="FU410" s="38">
        <f t="shared" si="694"/>
        <v>0</v>
      </c>
      <c r="FV410" s="38">
        <f t="shared" si="695"/>
        <v>0</v>
      </c>
      <c r="FW410" s="38">
        <f t="shared" si="696"/>
        <v>0</v>
      </c>
      <c r="FX410" s="38">
        <f t="shared" si="697"/>
        <v>0</v>
      </c>
      <c r="FY410" s="38">
        <f t="shared" si="698"/>
        <v>0</v>
      </c>
      <c r="FZ410" s="38">
        <f t="shared" si="699"/>
        <v>0</v>
      </c>
      <c r="GA410" s="38">
        <f t="shared" si="700"/>
        <v>0</v>
      </c>
      <c r="GB410" s="38">
        <f t="shared" si="701"/>
        <v>0</v>
      </c>
      <c r="GC410" s="38">
        <f t="shared" si="702"/>
        <v>0</v>
      </c>
      <c r="GD410" s="38">
        <f t="shared" si="703"/>
        <v>0</v>
      </c>
      <c r="GE410" s="38">
        <f t="shared" si="704"/>
        <v>0</v>
      </c>
      <c r="GF410" s="38">
        <f t="shared" si="705"/>
        <v>0</v>
      </c>
      <c r="GG410" s="38">
        <f t="shared" si="706"/>
        <v>0</v>
      </c>
      <c r="GH410" s="38">
        <f t="shared" si="707"/>
        <v>0</v>
      </c>
      <c r="GI410" s="38">
        <f t="shared" si="708"/>
        <v>0</v>
      </c>
      <c r="GJ410" s="38">
        <f t="shared" si="709"/>
        <v>0</v>
      </c>
      <c r="GL410" s="38">
        <f t="shared" si="710"/>
        <v>0</v>
      </c>
      <c r="GM410" s="38">
        <f t="shared" si="711"/>
        <v>0</v>
      </c>
      <c r="GN410" s="1" t="s">
        <v>2</v>
      </c>
      <c r="GO410" s="13">
        <f t="shared" si="719"/>
        <v>9.5519999999999996</v>
      </c>
      <c r="GP410" s="13">
        <f t="shared" si="720"/>
        <v>0.16168649771652202</v>
      </c>
      <c r="GQ410" s="41">
        <f t="shared" si="721"/>
        <v>15.444294261882183</v>
      </c>
      <c r="GR410" s="41">
        <f t="shared" si="722"/>
        <v>1742.9516807842165</v>
      </c>
      <c r="GS410" s="14">
        <f t="shared" si="723"/>
        <v>182.46981582749336</v>
      </c>
      <c r="GT410" s="1">
        <f t="shared" si="712"/>
        <v>0</v>
      </c>
      <c r="GU410" s="1">
        <f t="shared" si="713"/>
        <v>0</v>
      </c>
      <c r="GV410" s="1">
        <f t="shared" si="714"/>
        <v>15.444294261882183</v>
      </c>
      <c r="GW410" s="37">
        <f t="shared" si="724"/>
        <v>0</v>
      </c>
      <c r="GX410" s="37"/>
      <c r="GY410" s="37"/>
      <c r="GZ410" s="37"/>
      <c r="HB410" s="1">
        <f t="shared" si="715"/>
        <v>0</v>
      </c>
      <c r="HC410" s="1">
        <f t="shared" si="716"/>
        <v>0</v>
      </c>
      <c r="HD410" s="37" t="s">
        <v>2</v>
      </c>
      <c r="HE410" s="1" t="s">
        <v>113</v>
      </c>
      <c r="HF410" s="1" t="s">
        <v>261</v>
      </c>
      <c r="HG410" s="1" t="s">
        <v>589</v>
      </c>
      <c r="HH410" s="1" t="s">
        <v>1194</v>
      </c>
      <c r="HI410" s="1" t="s">
        <v>96</v>
      </c>
      <c r="HJ410" s="37" t="s">
        <v>2</v>
      </c>
      <c r="JH410" s="58" t="s">
        <v>2</v>
      </c>
    </row>
    <row r="411" spans="1:268" ht="16.25" customHeight="1" x14ac:dyDescent="0.2">
      <c r="A411" s="15" t="s">
        <v>1233</v>
      </c>
      <c r="F411" s="1" t="s">
        <v>1234</v>
      </c>
      <c r="I411" s="1">
        <v>11.7</v>
      </c>
      <c r="J411" s="13">
        <v>4.0000000000000001E-3</v>
      </c>
      <c r="K411" s="13">
        <v>0.02</v>
      </c>
      <c r="Q411" s="13">
        <v>1.4999999999999999E-2</v>
      </c>
      <c r="S411" s="13">
        <v>3.3700000000000006</v>
      </c>
      <c r="T411" s="13">
        <v>1.52</v>
      </c>
      <c r="U411" s="13">
        <v>0.68</v>
      </c>
      <c r="AD411" s="1">
        <v>71.7</v>
      </c>
      <c r="AE411" s="13">
        <v>2.7E-2</v>
      </c>
      <c r="AF411" s="13">
        <v>0.08</v>
      </c>
      <c r="AL411" s="13">
        <v>0.08</v>
      </c>
      <c r="AN411" s="13">
        <v>2.57</v>
      </c>
      <c r="AO411" s="13">
        <v>1.1499999999999999</v>
      </c>
      <c r="AP411" s="13">
        <v>0.37</v>
      </c>
      <c r="AY411" s="1">
        <v>97.9</v>
      </c>
      <c r="AZ411" s="13">
        <v>2.5000000000000001E-2</v>
      </c>
      <c r="BA411" s="13">
        <v>0.08</v>
      </c>
      <c r="BG411" s="13">
        <v>8.1000000000000003E-2</v>
      </c>
      <c r="BI411" s="13">
        <v>2.83</v>
      </c>
      <c r="BJ411" s="13">
        <v>1.26</v>
      </c>
      <c r="BK411" s="13">
        <v>0.4</v>
      </c>
      <c r="BT411" s="1">
        <v>0</v>
      </c>
      <c r="CO411" s="1">
        <v>28.5</v>
      </c>
      <c r="CP411" s="2">
        <v>4.0000000000000001E-3</v>
      </c>
      <c r="CQ411" s="13">
        <v>2.0160000000000001E-2</v>
      </c>
      <c r="CW411" s="2">
        <v>1.4999999999999999E-2</v>
      </c>
      <c r="CY411" s="13">
        <v>3.03912</v>
      </c>
      <c r="CZ411" s="13">
        <v>1.3708800000000001</v>
      </c>
      <c r="DA411" s="13">
        <v>0.61487999999999987</v>
      </c>
      <c r="DB411" s="13"/>
      <c r="DC411" s="13"/>
      <c r="DJ411" s="1" t="s">
        <v>96</v>
      </c>
      <c r="DL411" s="1">
        <f t="shared" si="717"/>
        <v>7.6345284059569765E-2</v>
      </c>
      <c r="DM411" s="1">
        <f t="shared" si="718"/>
        <v>0</v>
      </c>
      <c r="DN411" s="1" t="s">
        <v>1216</v>
      </c>
      <c r="DO411" s="1" t="s">
        <v>2</v>
      </c>
      <c r="DP411" s="38">
        <f t="shared" si="640"/>
        <v>4.4302000000000001E-2</v>
      </c>
      <c r="DQ411" s="38">
        <f t="shared" si="641"/>
        <v>13.802000000000001</v>
      </c>
      <c r="DR411" s="38">
        <f t="shared" si="642"/>
        <v>0</v>
      </c>
      <c r="DS411" s="38">
        <f t="shared" si="643"/>
        <v>0</v>
      </c>
      <c r="DT411" s="38">
        <f t="shared" si="644"/>
        <v>0</v>
      </c>
      <c r="DU411" s="38">
        <f t="shared" si="645"/>
        <v>0</v>
      </c>
      <c r="DV411" s="38">
        <f t="shared" si="646"/>
        <v>0</v>
      </c>
      <c r="DW411" s="38">
        <f t="shared" si="647"/>
        <v>0.13841400000000001</v>
      </c>
      <c r="DX411" s="38">
        <f t="shared" si="648"/>
        <v>0</v>
      </c>
      <c r="DY411" s="38">
        <f t="shared" si="649"/>
        <v>500.755</v>
      </c>
      <c r="DZ411" s="38">
        <f t="shared" si="650"/>
        <v>223.59300000000002</v>
      </c>
      <c r="EA411" s="38">
        <f t="shared" si="651"/>
        <v>73.64500000000001</v>
      </c>
      <c r="EB411" s="38">
        <f t="shared" si="652"/>
        <v>0</v>
      </c>
      <c r="EC411" s="38">
        <f t="shared" si="653"/>
        <v>0</v>
      </c>
      <c r="ED411" s="38">
        <f t="shared" si="654"/>
        <v>0</v>
      </c>
      <c r="EE411" s="38">
        <f t="shared" si="655"/>
        <v>0</v>
      </c>
      <c r="EG411" s="38">
        <f t="shared" si="656"/>
        <v>0</v>
      </c>
      <c r="EH411" s="38">
        <f t="shared" si="657"/>
        <v>0</v>
      </c>
      <c r="EI411" s="38">
        <f t="shared" si="658"/>
        <v>289.09784003200002</v>
      </c>
      <c r="EJ411" s="38">
        <f t="shared" si="659"/>
        <v>564.5062379421222</v>
      </c>
      <c r="EK411" s="38">
        <f t="shared" si="660"/>
        <v>0</v>
      </c>
      <c r="EL411" s="38">
        <f t="shared" si="661"/>
        <v>0</v>
      </c>
      <c r="EM411" s="38">
        <f t="shared" si="662"/>
        <v>0</v>
      </c>
      <c r="EN411" s="38">
        <f t="shared" si="663"/>
        <v>0</v>
      </c>
      <c r="EO411" s="38">
        <f t="shared" si="664"/>
        <v>0</v>
      </c>
      <c r="EP411" s="38">
        <f t="shared" si="665"/>
        <v>1815.161196</v>
      </c>
      <c r="EQ411" s="38">
        <f t="shared" si="666"/>
        <v>0</v>
      </c>
      <c r="ER411" s="38">
        <f t="shared" si="667"/>
        <v>14212.103160771701</v>
      </c>
      <c r="ES411" s="38">
        <f t="shared" si="668"/>
        <v>7451.3984884244383</v>
      </c>
      <c r="ET411" s="38">
        <f t="shared" si="669"/>
        <v>5269.5247106109337</v>
      </c>
      <c r="EU411" s="38">
        <f t="shared" si="670"/>
        <v>0</v>
      </c>
      <c r="EV411" s="38">
        <f t="shared" si="671"/>
        <v>0</v>
      </c>
      <c r="EW411" s="38">
        <f t="shared" si="672"/>
        <v>0</v>
      </c>
      <c r="EX411" s="38">
        <f t="shared" si="673"/>
        <v>0</v>
      </c>
      <c r="EZ411" s="38">
        <f t="shared" si="674"/>
        <v>0</v>
      </c>
      <c r="FA411" s="38">
        <f t="shared" si="675"/>
        <v>0</v>
      </c>
      <c r="FB411" s="1">
        <f t="shared" si="676"/>
        <v>1.14E-3</v>
      </c>
      <c r="FC411" s="1">
        <f t="shared" si="677"/>
        <v>0.57456000000000007</v>
      </c>
      <c r="FD411" s="1">
        <f t="shared" si="678"/>
        <v>0</v>
      </c>
      <c r="FE411" s="1">
        <f t="shared" si="679"/>
        <v>0</v>
      </c>
      <c r="FF411" s="1">
        <f t="shared" si="680"/>
        <v>0</v>
      </c>
      <c r="FG411" s="1">
        <f t="shared" si="681"/>
        <v>0</v>
      </c>
      <c r="FH411" s="1">
        <f t="shared" si="682"/>
        <v>0</v>
      </c>
      <c r="FI411" s="1">
        <f t="shared" si="683"/>
        <v>4.2750000000000002E-3</v>
      </c>
      <c r="FJ411" s="1">
        <f t="shared" si="684"/>
        <v>0</v>
      </c>
      <c r="FK411" s="1">
        <f t="shared" si="685"/>
        <v>86.614919999999998</v>
      </c>
      <c r="FL411" s="1">
        <f t="shared" si="686"/>
        <v>39.070080000000004</v>
      </c>
      <c r="FM411" s="1">
        <f t="shared" si="687"/>
        <v>17.524079999999998</v>
      </c>
      <c r="FN411" s="1">
        <f t="shared" si="688"/>
        <v>0</v>
      </c>
      <c r="FO411" s="1">
        <f t="shared" si="689"/>
        <v>0</v>
      </c>
      <c r="FP411" s="1">
        <f t="shared" si="690"/>
        <v>0</v>
      </c>
      <c r="FQ411" s="1">
        <f t="shared" si="691"/>
        <v>0</v>
      </c>
      <c r="FS411" s="1">
        <f t="shared" si="692"/>
        <v>0</v>
      </c>
      <c r="FT411" s="1">
        <f t="shared" si="693"/>
        <v>0</v>
      </c>
      <c r="FU411" s="38">
        <f t="shared" si="694"/>
        <v>7.4392022399999993</v>
      </c>
      <c r="FV411" s="38">
        <f t="shared" si="695"/>
        <v>23.499688745980709</v>
      </c>
      <c r="FW411" s="38">
        <f t="shared" si="696"/>
        <v>0</v>
      </c>
      <c r="FX411" s="38">
        <f t="shared" si="697"/>
        <v>0</v>
      </c>
      <c r="FY411" s="38">
        <f t="shared" si="698"/>
        <v>0</v>
      </c>
      <c r="FZ411" s="38">
        <f t="shared" si="699"/>
        <v>0</v>
      </c>
      <c r="GA411" s="38">
        <f t="shared" si="700"/>
        <v>0</v>
      </c>
      <c r="GB411" s="38">
        <f t="shared" si="701"/>
        <v>56.062350000000002</v>
      </c>
      <c r="GC411" s="38">
        <f t="shared" si="702"/>
        <v>0</v>
      </c>
      <c r="GD411" s="38">
        <f t="shared" si="703"/>
        <v>2458.2484015176847</v>
      </c>
      <c r="GE411" s="38">
        <f t="shared" si="704"/>
        <v>1302.0386821350485</v>
      </c>
      <c r="GF411" s="38">
        <f t="shared" si="705"/>
        <v>1253.9014541479098</v>
      </c>
      <c r="GG411" s="38">
        <f t="shared" si="706"/>
        <v>0</v>
      </c>
      <c r="GH411" s="38">
        <f t="shared" si="707"/>
        <v>0</v>
      </c>
      <c r="GI411" s="38">
        <f t="shared" si="708"/>
        <v>0</v>
      </c>
      <c r="GJ411" s="38">
        <f t="shared" si="709"/>
        <v>0</v>
      </c>
      <c r="GL411" s="38">
        <f t="shared" si="710"/>
        <v>0</v>
      </c>
      <c r="GM411" s="38">
        <f t="shared" si="711"/>
        <v>0</v>
      </c>
      <c r="GN411" s="1" t="s">
        <v>2</v>
      </c>
      <c r="GO411" s="1">
        <f t="shared" si="719"/>
        <v>181.3</v>
      </c>
      <c r="GP411" s="13">
        <f t="shared" si="720"/>
        <v>7.6345284059569765E-2</v>
      </c>
      <c r="GQ411" s="41">
        <f t="shared" si="721"/>
        <v>138.41399999999999</v>
      </c>
      <c r="GR411" s="41">
        <f t="shared" si="722"/>
        <v>29601.791633781198</v>
      </c>
      <c r="GS411" s="14">
        <f t="shared" si="723"/>
        <v>163.27518827237284</v>
      </c>
      <c r="GT411" s="1">
        <f t="shared" si="712"/>
        <v>1.7549999999999999</v>
      </c>
      <c r="GU411" s="1">
        <f t="shared" si="713"/>
        <v>57.360000000000007</v>
      </c>
      <c r="GV411" s="1">
        <f t="shared" si="714"/>
        <v>79.299000000000007</v>
      </c>
      <c r="GW411" s="37">
        <f t="shared" si="724"/>
        <v>28.5</v>
      </c>
      <c r="GX411" s="37">
        <f>(BT411*CB411+CO411*CW411)/GW411</f>
        <v>1.4999999999999999E-2</v>
      </c>
      <c r="GY411" s="41">
        <f>1000*GW411*GX411/100</f>
        <v>4.2750000000000004</v>
      </c>
      <c r="GZ411" s="41">
        <f>SUM(FU411:GM411)</f>
        <v>5101.1897787866237</v>
      </c>
      <c r="HA411" s="14">
        <f>GZ411/GW411</f>
        <v>178.9891150451447</v>
      </c>
      <c r="HB411" s="1">
        <f t="shared" si="715"/>
        <v>0</v>
      </c>
      <c r="HC411" s="1">
        <f t="shared" si="716"/>
        <v>4.2750000000000004</v>
      </c>
      <c r="HD411" s="37" t="s">
        <v>2</v>
      </c>
      <c r="HE411" s="1" t="s">
        <v>113</v>
      </c>
      <c r="HF411" s="1" t="s">
        <v>261</v>
      </c>
      <c r="HG411" s="1" t="s">
        <v>589</v>
      </c>
      <c r="HH411" s="1" t="s">
        <v>1182</v>
      </c>
      <c r="HI411" s="1" t="s">
        <v>96</v>
      </c>
      <c r="HJ411" s="37" t="s">
        <v>2</v>
      </c>
      <c r="JH411" s="58" t="s">
        <v>2</v>
      </c>
    </row>
    <row r="412" spans="1:268" ht="16.25" customHeight="1" x14ac:dyDescent="0.2">
      <c r="A412" s="15" t="s">
        <v>1235</v>
      </c>
      <c r="F412" s="1" t="s">
        <v>1236</v>
      </c>
      <c r="I412" s="1">
        <v>8.94</v>
      </c>
      <c r="J412" s="1">
        <v>3.5000000000000003E-2</v>
      </c>
      <c r="K412" s="13">
        <v>8.9414739999999993E-2</v>
      </c>
      <c r="Q412" s="1">
        <v>8.2000000000000003E-2</v>
      </c>
      <c r="S412" s="13">
        <v>2.5079153999999999</v>
      </c>
      <c r="T412" s="13">
        <v>2.2111462</v>
      </c>
      <c r="U412" s="13">
        <v>0.45153944000000001</v>
      </c>
      <c r="AD412" s="1">
        <v>6.95</v>
      </c>
      <c r="AE412" s="1">
        <v>1.4999999999999999E-2</v>
      </c>
      <c r="AF412" s="13">
        <v>3.722781E-2</v>
      </c>
      <c r="AL412" s="1">
        <v>5.6000000000000001E-2</v>
      </c>
      <c r="AN412" s="13">
        <v>1.0441700999999999</v>
      </c>
      <c r="AO412" s="13">
        <v>0.92061029999999999</v>
      </c>
      <c r="AP412" s="13">
        <v>0.18799836</v>
      </c>
      <c r="AY412" s="1">
        <v>0</v>
      </c>
      <c r="BT412" s="1">
        <v>0</v>
      </c>
      <c r="CO412" s="13">
        <v>4.5578099999999999</v>
      </c>
      <c r="CP412" s="13">
        <v>2.9148595329822911E-2</v>
      </c>
      <c r="CQ412" s="13">
        <v>6.7996000000000001E-2</v>
      </c>
      <c r="CW412" s="13">
        <v>0.11240231217618901</v>
      </c>
      <c r="CY412" s="13">
        <v>1.90716</v>
      </c>
      <c r="CZ412" s="13">
        <v>1.6814800000000001</v>
      </c>
      <c r="DA412" s="13">
        <v>0.34337600000000001</v>
      </c>
      <c r="DB412" s="13"/>
      <c r="DC412" s="13"/>
      <c r="DJ412" s="1" t="s">
        <v>96</v>
      </c>
      <c r="DL412" s="1">
        <f t="shared" si="717"/>
        <v>7.0628067967275013E-2</v>
      </c>
      <c r="DM412" s="1">
        <f t="shared" si="718"/>
        <v>0</v>
      </c>
      <c r="DN412" s="1" t="s">
        <v>185</v>
      </c>
      <c r="DO412" s="1" t="s">
        <v>2</v>
      </c>
      <c r="DP412" s="38">
        <f t="shared" si="640"/>
        <v>4.1714999999999999E-3</v>
      </c>
      <c r="DQ412" s="38">
        <f t="shared" si="641"/>
        <v>1.0581010550999999</v>
      </c>
      <c r="DR412" s="38">
        <f t="shared" si="642"/>
        <v>0</v>
      </c>
      <c r="DS412" s="38">
        <f t="shared" si="643"/>
        <v>0</v>
      </c>
      <c r="DT412" s="38">
        <f t="shared" si="644"/>
        <v>0</v>
      </c>
      <c r="DU412" s="38">
        <f t="shared" si="645"/>
        <v>0</v>
      </c>
      <c r="DV412" s="38">
        <f t="shared" si="646"/>
        <v>0</v>
      </c>
      <c r="DW412" s="38">
        <f t="shared" si="647"/>
        <v>1.12228E-2</v>
      </c>
      <c r="DX412" s="38">
        <f t="shared" si="648"/>
        <v>0</v>
      </c>
      <c r="DY412" s="38">
        <f t="shared" si="649"/>
        <v>29.677745870999996</v>
      </c>
      <c r="DZ412" s="38">
        <f t="shared" si="650"/>
        <v>26.165888613</v>
      </c>
      <c r="EA412" s="38">
        <f t="shared" si="651"/>
        <v>5.3433511956000004</v>
      </c>
      <c r="EB412" s="38">
        <f t="shared" si="652"/>
        <v>0</v>
      </c>
      <c r="EC412" s="38">
        <f t="shared" si="653"/>
        <v>0</v>
      </c>
      <c r="ED412" s="38">
        <f t="shared" si="654"/>
        <v>0</v>
      </c>
      <c r="EE412" s="38">
        <f t="shared" si="655"/>
        <v>0</v>
      </c>
      <c r="EG412" s="38">
        <f t="shared" si="656"/>
        <v>0</v>
      </c>
      <c r="EH412" s="38">
        <f t="shared" si="657"/>
        <v>0</v>
      </c>
      <c r="EI412" s="38">
        <f t="shared" si="658"/>
        <v>27.221607144</v>
      </c>
      <c r="EJ412" s="38">
        <f t="shared" si="659"/>
        <v>43.276673379009637</v>
      </c>
      <c r="EK412" s="38">
        <f t="shared" si="660"/>
        <v>0</v>
      </c>
      <c r="EL412" s="38">
        <f t="shared" si="661"/>
        <v>0</v>
      </c>
      <c r="EM412" s="38">
        <f t="shared" si="662"/>
        <v>0</v>
      </c>
      <c r="EN412" s="38">
        <f t="shared" si="663"/>
        <v>0</v>
      </c>
      <c r="EO412" s="38">
        <f t="shared" si="664"/>
        <v>0</v>
      </c>
      <c r="EP412" s="38">
        <f t="shared" si="665"/>
        <v>147.1757992</v>
      </c>
      <c r="EQ412" s="38">
        <f t="shared" si="666"/>
        <v>0</v>
      </c>
      <c r="ER412" s="38">
        <f t="shared" si="667"/>
        <v>842.2945070899309</v>
      </c>
      <c r="ES412" s="38">
        <f t="shared" si="668"/>
        <v>871.99716833349169</v>
      </c>
      <c r="ET412" s="38">
        <f t="shared" si="669"/>
        <v>382.33310017905728</v>
      </c>
      <c r="EU412" s="38">
        <f t="shared" si="670"/>
        <v>0</v>
      </c>
      <c r="EV412" s="38">
        <f t="shared" si="671"/>
        <v>0</v>
      </c>
      <c r="EW412" s="38">
        <f t="shared" si="672"/>
        <v>0</v>
      </c>
      <c r="EX412" s="38">
        <f t="shared" si="673"/>
        <v>0</v>
      </c>
      <c r="EZ412" s="38">
        <f t="shared" si="674"/>
        <v>0</v>
      </c>
      <c r="FA412" s="38">
        <f t="shared" si="675"/>
        <v>0</v>
      </c>
      <c r="FB412" s="1">
        <f t="shared" si="676"/>
        <v>1.3285375928022017E-3</v>
      </c>
      <c r="FC412" s="1">
        <f t="shared" si="677"/>
        <v>0.30991284876000003</v>
      </c>
      <c r="FD412" s="1">
        <f t="shared" si="678"/>
        <v>0</v>
      </c>
      <c r="FE412" s="1">
        <f t="shared" si="679"/>
        <v>0</v>
      </c>
      <c r="FF412" s="1">
        <f t="shared" si="680"/>
        <v>0</v>
      </c>
      <c r="FG412" s="1">
        <f t="shared" si="681"/>
        <v>0</v>
      </c>
      <c r="FH412" s="1">
        <f t="shared" si="682"/>
        <v>0</v>
      </c>
      <c r="FI412" s="1">
        <f t="shared" si="683"/>
        <v>5.1230838245975609E-3</v>
      </c>
      <c r="FJ412" s="1">
        <f t="shared" si="684"/>
        <v>0</v>
      </c>
      <c r="FK412" s="1">
        <f t="shared" si="685"/>
        <v>8.6924729196000001</v>
      </c>
      <c r="FL412" s="1">
        <f t="shared" si="686"/>
        <v>7.6638663588</v>
      </c>
      <c r="FM412" s="1">
        <f t="shared" si="687"/>
        <v>1.5650425665600001</v>
      </c>
      <c r="FN412" s="1">
        <f t="shared" si="688"/>
        <v>0</v>
      </c>
      <c r="FO412" s="1">
        <f t="shared" si="689"/>
        <v>0</v>
      </c>
      <c r="FP412" s="1">
        <f t="shared" si="690"/>
        <v>0</v>
      </c>
      <c r="FQ412" s="1">
        <f t="shared" si="691"/>
        <v>0</v>
      </c>
      <c r="FS412" s="1">
        <f t="shared" si="692"/>
        <v>0</v>
      </c>
      <c r="FT412" s="1">
        <f t="shared" si="693"/>
        <v>0</v>
      </c>
      <c r="FU412" s="38">
        <f t="shared" si="694"/>
        <v>8.6695261721915315</v>
      </c>
      <c r="FV412" s="38">
        <f t="shared" si="695"/>
        <v>12.675535164717685</v>
      </c>
      <c r="FW412" s="38">
        <f t="shared" si="696"/>
        <v>0</v>
      </c>
      <c r="FX412" s="38">
        <f t="shared" si="697"/>
        <v>0</v>
      </c>
      <c r="FY412" s="38">
        <f t="shared" si="698"/>
        <v>0</v>
      </c>
      <c r="FZ412" s="38">
        <f t="shared" si="699"/>
        <v>0</v>
      </c>
      <c r="GA412" s="38">
        <f t="shared" si="700"/>
        <v>0</v>
      </c>
      <c r="GB412" s="38">
        <f t="shared" si="701"/>
        <v>67.184121275772412</v>
      </c>
      <c r="GC412" s="38">
        <f t="shared" si="702"/>
        <v>0</v>
      </c>
      <c r="GD412" s="38">
        <f t="shared" si="703"/>
        <v>246.70412048920048</v>
      </c>
      <c r="GE412" s="38">
        <f t="shared" si="704"/>
        <v>255.40389100485802</v>
      </c>
      <c r="GF412" s="38">
        <f t="shared" si="705"/>
        <v>111.98357631401828</v>
      </c>
      <c r="GG412" s="38">
        <f t="shared" si="706"/>
        <v>0</v>
      </c>
      <c r="GH412" s="38">
        <f t="shared" si="707"/>
        <v>0</v>
      </c>
      <c r="GI412" s="38">
        <f t="shared" si="708"/>
        <v>0</v>
      </c>
      <c r="GJ412" s="38">
        <f t="shared" si="709"/>
        <v>0</v>
      </c>
      <c r="GL412" s="38">
        <f t="shared" si="710"/>
        <v>0</v>
      </c>
      <c r="GM412" s="38">
        <f t="shared" si="711"/>
        <v>0</v>
      </c>
      <c r="GN412" s="1" t="s">
        <v>2</v>
      </c>
      <c r="GO412" s="1">
        <f t="shared" si="719"/>
        <v>15.89</v>
      </c>
      <c r="GP412" s="13">
        <f t="shared" si="720"/>
        <v>7.0628067967275013E-2</v>
      </c>
      <c r="GQ412" s="41">
        <f t="shared" si="721"/>
        <v>11.222799999999999</v>
      </c>
      <c r="GR412" s="41">
        <f t="shared" si="722"/>
        <v>2314.2988553254891</v>
      </c>
      <c r="GS412" s="14">
        <f t="shared" si="723"/>
        <v>145.6449877486148</v>
      </c>
      <c r="GT412" s="1">
        <f t="shared" si="712"/>
        <v>7.3307999999999991</v>
      </c>
      <c r="GU412" s="1">
        <f t="shared" si="713"/>
        <v>3.8919999999999999</v>
      </c>
      <c r="GV412" s="1">
        <f t="shared" si="714"/>
        <v>0</v>
      </c>
      <c r="GW412" s="44">
        <f t="shared" si="724"/>
        <v>4.5578099999999999</v>
      </c>
      <c r="GX412" s="44">
        <f>(BT412*CB412+CO412*CW412)/GW412</f>
        <v>0.11240231217618903</v>
      </c>
      <c r="GY412" s="41">
        <f>1000*GW412*GX412/100</f>
        <v>5.1230838245975612</v>
      </c>
      <c r="GZ412" s="41">
        <f>SUM(FU412:GM412)</f>
        <v>702.62077042075839</v>
      </c>
      <c r="HA412" s="14">
        <f>GZ412/GW412</f>
        <v>154.15753847149364</v>
      </c>
      <c r="HB412" s="1">
        <f t="shared" si="715"/>
        <v>0</v>
      </c>
      <c r="HC412" s="1">
        <f t="shared" si="716"/>
        <v>5.1230838245975612</v>
      </c>
      <c r="HD412" s="37" t="s">
        <v>2</v>
      </c>
      <c r="HE412" s="1" t="s">
        <v>113</v>
      </c>
      <c r="HF412" s="1" t="s">
        <v>261</v>
      </c>
      <c r="HG412" s="1" t="s">
        <v>589</v>
      </c>
      <c r="HH412" s="1" t="s">
        <v>1194</v>
      </c>
      <c r="HI412" s="1" t="s">
        <v>96</v>
      </c>
      <c r="HJ412" s="37" t="s">
        <v>2</v>
      </c>
      <c r="JH412" s="58" t="s">
        <v>2</v>
      </c>
    </row>
    <row r="413" spans="1:268" ht="16.25" customHeight="1" x14ac:dyDescent="0.2">
      <c r="A413" s="15" t="s">
        <v>1237</v>
      </c>
      <c r="F413" s="1" t="s">
        <v>669</v>
      </c>
      <c r="I413" s="1">
        <v>41.219512195121951</v>
      </c>
      <c r="J413" s="13">
        <v>4.1922045008979877E-2</v>
      </c>
      <c r="K413" s="13">
        <v>0.11830024688183685</v>
      </c>
      <c r="Q413" s="13">
        <v>0.14966186100017109</v>
      </c>
      <c r="S413" s="13">
        <v>2.9807424278466153</v>
      </c>
      <c r="T413" s="13">
        <v>1.3451946547541811</v>
      </c>
      <c r="U413" s="13">
        <v>0.41246986798309898</v>
      </c>
      <c r="V413" s="13">
        <v>0.71239310651893939</v>
      </c>
      <c r="W413" s="13">
        <v>0.16511935921815282</v>
      </c>
      <c r="AD413" s="1">
        <v>448.17073170731715</v>
      </c>
      <c r="AE413" s="13">
        <v>4.7858752859494494E-2</v>
      </c>
      <c r="AF413" s="13">
        <v>0.13637585901501129</v>
      </c>
      <c r="AL413" s="13">
        <v>0.15804702543942561</v>
      </c>
      <c r="AN413" s="13">
        <v>3.0244988103390766</v>
      </c>
      <c r="AO413" s="13">
        <v>1.3588634576408731</v>
      </c>
      <c r="AP413" s="13">
        <v>0.38528676780752713</v>
      </c>
      <c r="AQ413" s="13">
        <v>0.68211025831433703</v>
      </c>
      <c r="AR413" s="13">
        <v>0.15242641278390434</v>
      </c>
      <c r="AY413" s="1">
        <v>174.8780487804878</v>
      </c>
      <c r="AZ413" s="13">
        <v>4.6050533759498698E-2</v>
      </c>
      <c r="BA413" s="13">
        <v>0.1344426792077984</v>
      </c>
      <c r="BG413" s="13">
        <v>0.14536417897999226</v>
      </c>
      <c r="BI413" s="13">
        <v>2.9999942299113873</v>
      </c>
      <c r="BJ413" s="13">
        <v>1.3460010755739806</v>
      </c>
      <c r="BK413" s="13">
        <v>0.39759064686851359</v>
      </c>
      <c r="BL413" s="13">
        <v>0.69063700184573018</v>
      </c>
      <c r="BM413" s="13">
        <v>0.15356300629004638</v>
      </c>
      <c r="BT413" s="1">
        <v>18.780487804878049</v>
      </c>
      <c r="BU413" s="13">
        <v>3.974572461373875E-2</v>
      </c>
      <c r="BV413" s="13">
        <v>8.5354036883116893E-2</v>
      </c>
      <c r="CB413" s="13">
        <v>0.14658796805375993</v>
      </c>
      <c r="CD413" s="13">
        <v>2.4069101681818181</v>
      </c>
      <c r="CE413" s="13">
        <v>1.0970836370129871</v>
      </c>
      <c r="CF413" s="13">
        <v>0.35463405246753255</v>
      </c>
      <c r="CG413" s="13">
        <v>0.60876095642857142</v>
      </c>
      <c r="CH413" s="13">
        <v>0.14019707064935064</v>
      </c>
      <c r="CO413" s="1">
        <v>264.75609756097566</v>
      </c>
      <c r="CP413" s="13">
        <v>3.4326876001730081E-2</v>
      </c>
      <c r="CQ413" s="13">
        <v>8.3690077088564338E-2</v>
      </c>
      <c r="CW413" s="13">
        <v>0.13893424180897254</v>
      </c>
      <c r="CY413" s="13">
        <v>2.4052624669237512</v>
      </c>
      <c r="CZ413" s="13">
        <v>1.1512607897369789</v>
      </c>
      <c r="DA413" s="13">
        <v>0.35214145811532527</v>
      </c>
      <c r="DB413" s="13">
        <v>0.56599523489674441</v>
      </c>
      <c r="DC413" s="13">
        <v>0.13766484105959487</v>
      </c>
      <c r="DJ413" s="1" t="s">
        <v>96</v>
      </c>
      <c r="DL413" s="1">
        <f t="shared" si="717"/>
        <v>0.15418776577294949</v>
      </c>
      <c r="DM413" s="1">
        <f t="shared" si="718"/>
        <v>0</v>
      </c>
      <c r="DN413" s="1" t="s">
        <v>73</v>
      </c>
      <c r="DO413" s="1" t="s">
        <v>2</v>
      </c>
      <c r="DP413" s="38">
        <f t="shared" si="640"/>
        <v>0.31230126022292515</v>
      </c>
      <c r="DQ413" s="38">
        <f t="shared" si="641"/>
        <v>89.507020403684194</v>
      </c>
      <c r="DR413" s="38">
        <f t="shared" si="642"/>
        <v>0</v>
      </c>
      <c r="DS413" s="38">
        <f t="shared" si="643"/>
        <v>0</v>
      </c>
      <c r="DT413" s="38">
        <f t="shared" si="644"/>
        <v>0</v>
      </c>
      <c r="DU413" s="38">
        <f t="shared" si="645"/>
        <v>0</v>
      </c>
      <c r="DV413" s="38">
        <f t="shared" si="646"/>
        <v>0</v>
      </c>
      <c r="DW413" s="38">
        <f t="shared" si="647"/>
        <v>1.024220439225922</v>
      </c>
      <c r="DX413" s="38">
        <f t="shared" si="648"/>
        <v>0</v>
      </c>
      <c r="DY413" s="38">
        <f t="shared" si="649"/>
        <v>2002.9897310123408</v>
      </c>
      <c r="DZ413" s="38">
        <f t="shared" si="650"/>
        <v>899.83713933051354</v>
      </c>
      <c r="EA413" s="38">
        <f t="shared" si="651"/>
        <v>259.20593593663398</v>
      </c>
      <c r="EB413" s="38">
        <f t="shared" si="652"/>
        <v>455.84360121406922</v>
      </c>
      <c r="EC413" s="38">
        <f t="shared" si="653"/>
        <v>101.97399529469642</v>
      </c>
      <c r="ED413" s="38">
        <f t="shared" si="654"/>
        <v>0</v>
      </c>
      <c r="EE413" s="38">
        <f t="shared" si="655"/>
        <v>0</v>
      </c>
      <c r="EG413" s="38">
        <f t="shared" si="656"/>
        <v>0</v>
      </c>
      <c r="EH413" s="38">
        <f t="shared" si="657"/>
        <v>0</v>
      </c>
      <c r="EI413" s="38">
        <f t="shared" si="658"/>
        <v>2037.9581005308839</v>
      </c>
      <c r="EJ413" s="38">
        <f t="shared" si="659"/>
        <v>3660.8659149030964</v>
      </c>
      <c r="EK413" s="38">
        <f t="shared" si="660"/>
        <v>0</v>
      </c>
      <c r="EL413" s="38">
        <f t="shared" si="661"/>
        <v>0</v>
      </c>
      <c r="EM413" s="38">
        <f t="shared" si="662"/>
        <v>0</v>
      </c>
      <c r="EN413" s="38">
        <f t="shared" si="663"/>
        <v>0</v>
      </c>
      <c r="EO413" s="38">
        <f t="shared" si="664"/>
        <v>0</v>
      </c>
      <c r="EP413" s="38">
        <f t="shared" si="665"/>
        <v>13431.626840008741</v>
      </c>
      <c r="EQ413" s="38">
        <f t="shared" si="666"/>
        <v>0</v>
      </c>
      <c r="ER413" s="38">
        <f t="shared" si="667"/>
        <v>56847.55356833931</v>
      </c>
      <c r="ES413" s="38">
        <f t="shared" si="668"/>
        <v>29987.723675766054</v>
      </c>
      <c r="ET413" s="38">
        <f t="shared" si="669"/>
        <v>18546.976502887192</v>
      </c>
      <c r="EU413" s="38">
        <f t="shared" si="670"/>
        <v>3582.4030409238148</v>
      </c>
      <c r="EV413" s="38">
        <f t="shared" si="671"/>
        <v>4240.5115400248233</v>
      </c>
      <c r="EW413" s="38">
        <f t="shared" si="672"/>
        <v>0</v>
      </c>
      <c r="EX413" s="38">
        <f t="shared" si="673"/>
        <v>0</v>
      </c>
      <c r="EZ413" s="38">
        <f t="shared" si="674"/>
        <v>0</v>
      </c>
      <c r="FA413" s="38">
        <f t="shared" si="675"/>
        <v>0</v>
      </c>
      <c r="FB413" s="1">
        <f t="shared" si="676"/>
        <v>9.8346938280819265E-2</v>
      </c>
      <c r="FC413" s="1">
        <f t="shared" si="677"/>
        <v>23.760448663326002</v>
      </c>
      <c r="FD413" s="1">
        <f t="shared" si="678"/>
        <v>0</v>
      </c>
      <c r="FE413" s="1">
        <f t="shared" si="679"/>
        <v>0</v>
      </c>
      <c r="FF413" s="1">
        <f t="shared" si="680"/>
        <v>0</v>
      </c>
      <c r="FG413" s="1">
        <f t="shared" si="681"/>
        <v>0</v>
      </c>
      <c r="FH413" s="1">
        <f t="shared" si="682"/>
        <v>0</v>
      </c>
      <c r="FI413" s="1">
        <f t="shared" si="683"/>
        <v>0.39536681225312009</v>
      </c>
      <c r="FJ413" s="1">
        <f t="shared" si="684"/>
        <v>0</v>
      </c>
      <c r="FK413" s="1">
        <f t="shared" si="685"/>
        <v>682.01085141359329</v>
      </c>
      <c r="FL413" s="1">
        <f t="shared" si="686"/>
        <v>325.40707983158313</v>
      </c>
      <c r="FM413" s="1">
        <f t="shared" si="687"/>
        <v>99.891798737606265</v>
      </c>
      <c r="FN413" s="1">
        <f t="shared" si="688"/>
        <v>161.2835173476625</v>
      </c>
      <c r="FO413" s="1">
        <f t="shared" si="689"/>
        <v>39.080575465900061</v>
      </c>
      <c r="FP413" s="1">
        <f t="shared" si="690"/>
        <v>0</v>
      </c>
      <c r="FQ413" s="1">
        <f t="shared" si="691"/>
        <v>0</v>
      </c>
      <c r="FS413" s="1">
        <f t="shared" si="692"/>
        <v>0</v>
      </c>
      <c r="FT413" s="1">
        <f t="shared" si="693"/>
        <v>0</v>
      </c>
      <c r="FU413" s="38">
        <f t="shared" si="694"/>
        <v>641.77435399632668</v>
      </c>
      <c r="FV413" s="38">
        <f t="shared" si="695"/>
        <v>971.80999034568083</v>
      </c>
      <c r="FW413" s="38">
        <f t="shared" si="696"/>
        <v>0</v>
      </c>
      <c r="FX413" s="38">
        <f t="shared" si="697"/>
        <v>0</v>
      </c>
      <c r="FY413" s="38">
        <f t="shared" si="698"/>
        <v>0</v>
      </c>
      <c r="FZ413" s="38">
        <f t="shared" si="699"/>
        <v>0</v>
      </c>
      <c r="GA413" s="38">
        <f t="shared" si="700"/>
        <v>0</v>
      </c>
      <c r="GB413" s="38">
        <f t="shared" si="701"/>
        <v>5184.8403758874165</v>
      </c>
      <c r="GC413" s="38">
        <f t="shared" si="702"/>
        <v>0</v>
      </c>
      <c r="GD413" s="38">
        <f t="shared" si="703"/>
        <v>19356.389006711324</v>
      </c>
      <c r="GE413" s="38">
        <f t="shared" si="704"/>
        <v>10844.426358516004</v>
      </c>
      <c r="GF413" s="38">
        <f t="shared" si="705"/>
        <v>7147.5633353953453</v>
      </c>
      <c r="GG413" s="38">
        <f t="shared" si="706"/>
        <v>1267.5017516058581</v>
      </c>
      <c r="GH413" s="38">
        <f t="shared" si="707"/>
        <v>1625.1362004110792</v>
      </c>
      <c r="GI413" s="38">
        <f t="shared" si="708"/>
        <v>0</v>
      </c>
      <c r="GJ413" s="38">
        <f t="shared" si="709"/>
        <v>0</v>
      </c>
      <c r="GL413" s="38">
        <f t="shared" si="710"/>
        <v>0</v>
      </c>
      <c r="GM413" s="38">
        <f t="shared" si="711"/>
        <v>0</v>
      </c>
      <c r="GN413" s="1" t="s">
        <v>2</v>
      </c>
      <c r="GO413" s="14">
        <f t="shared" si="719"/>
        <v>664.26829268292693</v>
      </c>
      <c r="GP413" s="13">
        <f t="shared" si="720"/>
        <v>0.15418776577294949</v>
      </c>
      <c r="GQ413" s="41">
        <f t="shared" si="721"/>
        <v>1024.2204392259218</v>
      </c>
      <c r="GR413" s="41">
        <f t="shared" si="722"/>
        <v>132335.61918338391</v>
      </c>
      <c r="GS413" s="14">
        <f t="shared" si="723"/>
        <v>199.22013535960124</v>
      </c>
      <c r="GT413" s="1">
        <f t="shared" si="712"/>
        <v>61.689889046411992</v>
      </c>
      <c r="GU413" s="1">
        <f t="shared" si="713"/>
        <v>708.32051035352356</v>
      </c>
      <c r="GV413" s="1">
        <f t="shared" si="714"/>
        <v>254.21003982598648</v>
      </c>
      <c r="GW413" s="41">
        <f t="shared" si="724"/>
        <v>283.53658536585374</v>
      </c>
      <c r="GX413" s="37">
        <f>(BT413*CB413+CO413*CW413)/GW413</f>
        <v>0.1394411983000251</v>
      </c>
      <c r="GY413" s="41">
        <f>1000*GW413*GX413/100</f>
        <v>395.36681225312009</v>
      </c>
      <c r="GZ413" s="41">
        <f>SUM(FU413:GM413)</f>
        <v>47039.441372869034</v>
      </c>
      <c r="HA413" s="14">
        <f>GZ413/GW413</f>
        <v>165.90254591721546</v>
      </c>
      <c r="HB413" s="1">
        <f t="shared" si="715"/>
        <v>27.529935463754914</v>
      </c>
      <c r="HC413" s="1">
        <f t="shared" si="716"/>
        <v>367.83687678936519</v>
      </c>
      <c r="HD413" s="37" t="s">
        <v>2</v>
      </c>
      <c r="HE413" s="1" t="s">
        <v>113</v>
      </c>
      <c r="HF413" s="1" t="s">
        <v>261</v>
      </c>
      <c r="HG413" s="1" t="s">
        <v>589</v>
      </c>
      <c r="HH413" s="1" t="s">
        <v>1182</v>
      </c>
      <c r="HI413" s="1" t="s">
        <v>96</v>
      </c>
      <c r="HJ413" s="37" t="s">
        <v>2</v>
      </c>
      <c r="JH413" s="58" t="s">
        <v>2</v>
      </c>
    </row>
    <row r="414" spans="1:268" ht="16.25" customHeight="1" x14ac:dyDescent="0.2">
      <c r="A414" s="15" t="s">
        <v>1238</v>
      </c>
      <c r="F414" s="1" t="s">
        <v>1224</v>
      </c>
      <c r="I414" s="1">
        <v>27.2</v>
      </c>
      <c r="J414" s="13">
        <v>1.5542233663308669E-2</v>
      </c>
      <c r="K414" s="13">
        <v>3.5934696000000002E-2</v>
      </c>
      <c r="Q414" s="13">
        <v>0.11240231217618901</v>
      </c>
      <c r="S414" s="13">
        <v>1.9450644500000001</v>
      </c>
      <c r="T414" s="13">
        <v>0.97660031000000003</v>
      </c>
      <c r="U414" s="13">
        <v>0.33240054400000002</v>
      </c>
      <c r="AD414" s="1">
        <v>9.4</v>
      </c>
      <c r="AE414" s="13">
        <v>1.5542233663308669E-2</v>
      </c>
      <c r="AF414" s="13">
        <v>4.0959000000000002E-2</v>
      </c>
      <c r="AL414" s="13">
        <v>0.11240231217618901</v>
      </c>
      <c r="AN414" s="13">
        <v>2.2170187499999998</v>
      </c>
      <c r="AO414" s="13">
        <v>1.11314625</v>
      </c>
      <c r="AP414" s="13">
        <v>0.37887599999999999</v>
      </c>
      <c r="AY414" s="14">
        <v>5</v>
      </c>
      <c r="AZ414" s="13">
        <v>1.5542233663308669E-2</v>
      </c>
      <c r="BA414" s="13">
        <v>3.2221080000000006E-2</v>
      </c>
      <c r="BG414" s="13">
        <v>0.11240231217618901</v>
      </c>
      <c r="BI414" s="13">
        <v>1.7440547500000001</v>
      </c>
      <c r="BJ414" s="13">
        <v>0.87567505000000012</v>
      </c>
      <c r="BK414" s="13">
        <v>0.29804912</v>
      </c>
      <c r="BT414" s="1">
        <v>0</v>
      </c>
      <c r="CO414" s="1">
        <v>0</v>
      </c>
      <c r="DL414" s="1">
        <f t="shared" si="717"/>
        <v>0.11240231217618901</v>
      </c>
      <c r="DM414" s="1">
        <f t="shared" si="718"/>
        <v>0</v>
      </c>
      <c r="DN414" s="1" t="s">
        <v>73</v>
      </c>
      <c r="DO414" s="1" t="s">
        <v>2</v>
      </c>
      <c r="DP414" s="38">
        <f t="shared" ref="DP414:DP477" si="725">(J414*$I414+AE414*$AD414+AZ414*$AY414)/100</f>
        <v>6.4655692039364068E-3</v>
      </c>
      <c r="DQ414" s="38">
        <f t="shared" ref="DQ414:DQ477" si="726">K414*$I414+AF414*$AD414+BA414*$AY414</f>
        <v>1.5235437312000002</v>
      </c>
      <c r="DR414" s="38">
        <f t="shared" ref="DR414:DR477" si="727">L414*$I414+AG414*$AD414+BB414*$AY414</f>
        <v>0</v>
      </c>
      <c r="DS414" s="38">
        <f t="shared" ref="DS414:DS477" si="728">(M414*$I414+AH414*$AD414+BC414*$AY414)/100</f>
        <v>0</v>
      </c>
      <c r="DT414" s="38">
        <f t="shared" ref="DT414:DT477" si="729">(N414*$I414+AI414*$AD414+BD414*$AY414)/100</f>
        <v>0</v>
      </c>
      <c r="DU414" s="38">
        <f t="shared" ref="DU414:DU477" si="730">(O414*$I414+AJ414*$AD414+BE414*$AY414)/100</f>
        <v>0</v>
      </c>
      <c r="DV414" s="38">
        <f t="shared" ref="DV414:DV477" si="731">(P414*$I414+AK414*$AD414+BF414*$AY414)/100</f>
        <v>0</v>
      </c>
      <c r="DW414" s="38">
        <f t="shared" ref="DW414:DW477" si="732">(Q414*$I414+AL414*$AD414+BG414*$AY414)/100</f>
        <v>4.6759361865294634E-2</v>
      </c>
      <c r="DX414" s="38">
        <f t="shared" ref="DX414:DX477" si="733">(R414*$I414+AM414*$AD414+BH414*$AY414)/100</f>
        <v>0</v>
      </c>
      <c r="DY414" s="38">
        <f t="shared" ref="DY414:DY477" si="734">S414*$I414+AN414*$AD414+BI414*$AY414</f>
        <v>82.466003040000004</v>
      </c>
      <c r="DZ414" s="38">
        <f t="shared" ref="DZ414:DZ477" si="735">T414*$I414+AO414*$AD414+BJ414*$AY414</f>
        <v>41.405478432000002</v>
      </c>
      <c r="EA414" s="38">
        <f t="shared" ref="EA414:EA477" si="736">U414*$I414+AP414*$AD414+BK414*$AY414</f>
        <v>14.0929747968</v>
      </c>
      <c r="EB414" s="38">
        <f t="shared" ref="EB414:EB477" si="737">V414*$I414+AQ414*$AD414+BL414*$AY414</f>
        <v>0</v>
      </c>
      <c r="EC414" s="38">
        <f t="shared" ref="EC414:EC477" si="738">W414*$I414+AR414*$AD414+BM414*$AY414</f>
        <v>0</v>
      </c>
      <c r="ED414" s="38">
        <f t="shared" ref="ED414:ED477" si="739">(X414*$I414+AS414*$AD414+BN414*$AY414)/100</f>
        <v>0</v>
      </c>
      <c r="EE414" s="38">
        <f t="shared" ref="EE414:EE477" si="740">(Y414*$I414+AT414*$AD414+BO414*$AY414)/100</f>
        <v>0</v>
      </c>
      <c r="EG414" s="38">
        <f t="shared" ref="EG414:EG477" si="741">AA414*$I414+AV414*$AD414+BQ414*$AY414</f>
        <v>0</v>
      </c>
      <c r="EH414" s="38">
        <f t="shared" ref="EH414:EH477" si="742">(AB414*$I414+AW414*$AD414+BR414*$AY414)/100</f>
        <v>0</v>
      </c>
      <c r="EI414" s="38">
        <f t="shared" ref="EI414:EI477" si="743">EI$1*DP414</f>
        <v>42.191821846314681</v>
      </c>
      <c r="EJ414" s="38">
        <f t="shared" ref="EJ414:EJ477" si="744">EJ$1*DQ414/1000000</f>
        <v>62.313428491524114</v>
      </c>
      <c r="EK414" s="38">
        <f t="shared" ref="EK414:EK477" si="745">EK$1*DR414/1000000</f>
        <v>0</v>
      </c>
      <c r="EL414" s="38">
        <f t="shared" ref="EL414:EL477" si="746">EL$1*DS414</f>
        <v>0</v>
      </c>
      <c r="EM414" s="38">
        <f t="shared" ref="EM414:EM477" si="747">EM$1*DT414</f>
        <v>0</v>
      </c>
      <c r="EN414" s="38">
        <f t="shared" ref="EN414:EN477" si="748">EN$1*DU414</f>
        <v>0</v>
      </c>
      <c r="EO414" s="38">
        <f t="shared" ref="EO414:EO477" si="749">EO$1*DV414</f>
        <v>0</v>
      </c>
      <c r="EP414" s="38">
        <f t="shared" ref="EP414:EP477" si="750">EP$1*DW414</f>
        <v>613.20227150147377</v>
      </c>
      <c r="EQ414" s="38">
        <f t="shared" ref="EQ414:EQ477" si="751">EQ$1*DX414</f>
        <v>0</v>
      </c>
      <c r="ER414" s="38">
        <f t="shared" ref="ER414:ER477" si="752">ER$1*DY414/1000000</f>
        <v>2340.4965351539036</v>
      </c>
      <c r="ES414" s="38">
        <f t="shared" ref="ES414:ES477" si="753">ES$1*DZ414/1000000</f>
        <v>1379.8675244783847</v>
      </c>
      <c r="ET414" s="38">
        <f t="shared" ref="ET414:ET477" si="754">ET$1*EA414/1000000</f>
        <v>1008.3953959909661</v>
      </c>
      <c r="EU414" s="38">
        <f t="shared" ref="EU414:EU477" si="755">EU$1*EB414/1000000</f>
        <v>0</v>
      </c>
      <c r="EV414" s="38">
        <f t="shared" ref="EV414:EV477" si="756">EV$1*EC414/1000000</f>
        <v>0</v>
      </c>
      <c r="EW414" s="38">
        <f t="shared" ref="EW414:EW477" si="757">EW$1*ED414</f>
        <v>0</v>
      </c>
      <c r="EX414" s="38">
        <f t="shared" ref="EX414:EX477" si="758">EX$1*EE414</f>
        <v>0</v>
      </c>
      <c r="EZ414" s="38">
        <f t="shared" ref="EZ414:EZ477" si="759">EZ$1*EG414/1000000</f>
        <v>0</v>
      </c>
      <c r="FA414" s="38">
        <f t="shared" ref="FA414:FA477" si="760">FA$1*EH414</f>
        <v>0</v>
      </c>
      <c r="FB414" s="1">
        <f t="shared" ref="FB414:FB477" si="761">(BU414*$BT414+CP414*$CO414)/100</f>
        <v>0</v>
      </c>
      <c r="FC414" s="1">
        <f t="shared" ref="FC414:FC477" si="762">BV414*$BT414+CQ414*$CO414</f>
        <v>0</v>
      </c>
      <c r="FD414" s="1">
        <f t="shared" ref="FD414:FD477" si="763">BW414*$BT414+CR414*$CO414</f>
        <v>0</v>
      </c>
      <c r="FE414" s="1">
        <f t="shared" ref="FE414:FE477" si="764">(BX414*$BT414+CS414*$CO414)/100</f>
        <v>0</v>
      </c>
      <c r="FF414" s="1">
        <f t="shared" ref="FF414:FF477" si="765">(BY414*$BT414+CT414*$CO414)/100</f>
        <v>0</v>
      </c>
      <c r="FG414" s="1">
        <f t="shared" ref="FG414:FG477" si="766">(BZ414*$BT414+CU414*$CO414)/100</f>
        <v>0</v>
      </c>
      <c r="FH414" s="1">
        <f t="shared" ref="FH414:FH477" si="767">(CA414*$BT414+CV414*$CO414)/100</f>
        <v>0</v>
      </c>
      <c r="FI414" s="1">
        <f t="shared" ref="FI414:FI477" si="768">(CB414*$BT414+CW414*$CO414)/100</f>
        <v>0</v>
      </c>
      <c r="FJ414" s="1">
        <f t="shared" ref="FJ414:FJ477" si="769">(CC414*$BT414+CX414*$CO414)/100</f>
        <v>0</v>
      </c>
      <c r="FK414" s="1">
        <f t="shared" ref="FK414:FK477" si="770">CD414*$BT414+CY414*$CO414</f>
        <v>0</v>
      </c>
      <c r="FL414" s="1">
        <f t="shared" ref="FL414:FL477" si="771">CE414*$BT414+CZ414*$CO414</f>
        <v>0</v>
      </c>
      <c r="FM414" s="1">
        <f t="shared" ref="FM414:FM477" si="772">CF414*$BT414+DA414*$CO414</f>
        <v>0</v>
      </c>
      <c r="FN414" s="1">
        <f t="shared" ref="FN414:FN477" si="773">CG414*$BT414+DB414*$CO414</f>
        <v>0</v>
      </c>
      <c r="FO414" s="1">
        <f t="shared" ref="FO414:FO477" si="774">CH414*$BT414+DC414*$CO414</f>
        <v>0</v>
      </c>
      <c r="FP414" s="1">
        <f t="shared" ref="FP414:FP477" si="775">(CI414*$BT414+DD414*$CO414)/100</f>
        <v>0</v>
      </c>
      <c r="FQ414" s="1">
        <f t="shared" ref="FQ414:FQ477" si="776">(CJ414*$BT414+DE414*$CO414)/100</f>
        <v>0</v>
      </c>
      <c r="FS414" s="1">
        <f t="shared" ref="FS414:FS477" si="777">CL414*$BT414+DG414*$CO414</f>
        <v>0</v>
      </c>
      <c r="FT414" s="1">
        <f t="shared" ref="FT414:FT477" si="778">(CM414*$BT414+DH414*$CO414)/100</f>
        <v>0</v>
      </c>
      <c r="FU414" s="38">
        <f t="shared" ref="FU414:FU477" si="779">FU$1*FB414</f>
        <v>0</v>
      </c>
      <c r="FV414" s="38">
        <f t="shared" ref="FV414:FV477" si="780">FV$1*FC414/1000000</f>
        <v>0</v>
      </c>
      <c r="FW414" s="38">
        <f t="shared" ref="FW414:FW477" si="781">FW$1*FD414/1000000</f>
        <v>0</v>
      </c>
      <c r="FX414" s="38">
        <f t="shared" ref="FX414:FX477" si="782">FX$1*FE414</f>
        <v>0</v>
      </c>
      <c r="FY414" s="38">
        <f t="shared" ref="FY414:FY477" si="783">FY$1*FF414</f>
        <v>0</v>
      </c>
      <c r="FZ414" s="38">
        <f t="shared" ref="FZ414:FZ477" si="784">FZ$1*FG414</f>
        <v>0</v>
      </c>
      <c r="GA414" s="38">
        <f t="shared" ref="GA414:GA477" si="785">GA$1*FH414</f>
        <v>0</v>
      </c>
      <c r="GB414" s="38">
        <f t="shared" ref="GB414:GB477" si="786">GB$1*FI414</f>
        <v>0</v>
      </c>
      <c r="GC414" s="38">
        <f t="shared" ref="GC414:GC477" si="787">GC$1*FJ414</f>
        <v>0</v>
      </c>
      <c r="GD414" s="38">
        <f t="shared" ref="GD414:GD477" si="788">GD$1*FK414/1000000</f>
        <v>0</v>
      </c>
      <c r="GE414" s="38">
        <f t="shared" ref="GE414:GE477" si="789">GE$1*FL414/1000000</f>
        <v>0</v>
      </c>
      <c r="GF414" s="38">
        <f t="shared" ref="GF414:GF477" si="790">GF$1*FM414/1000000</f>
        <v>0</v>
      </c>
      <c r="GG414" s="38">
        <f t="shared" ref="GG414:GG477" si="791">GG$1*FN414/1000000</f>
        <v>0</v>
      </c>
      <c r="GH414" s="38">
        <f t="shared" ref="GH414:GH477" si="792">GH$1*FO414/1000000</f>
        <v>0</v>
      </c>
      <c r="GI414" s="38">
        <f t="shared" ref="GI414:GI477" si="793">GI$1*FP414</f>
        <v>0</v>
      </c>
      <c r="GJ414" s="38">
        <f t="shared" ref="GJ414:GJ477" si="794">GJ$1*FQ414</f>
        <v>0</v>
      </c>
      <c r="GL414" s="38">
        <f t="shared" ref="GL414:GL477" si="795">GL$1*FS414/1000000</f>
        <v>0</v>
      </c>
      <c r="GM414" s="38">
        <f t="shared" ref="GM414:GM477" si="796">GM$1*FT414</f>
        <v>0</v>
      </c>
      <c r="GN414" s="1" t="s">
        <v>2</v>
      </c>
      <c r="GO414" s="1">
        <f t="shared" si="719"/>
        <v>41.6</v>
      </c>
      <c r="GP414" s="13">
        <f t="shared" si="720"/>
        <v>0.11240231217618901</v>
      </c>
      <c r="GQ414" s="41">
        <f t="shared" si="721"/>
        <v>46.759361865294629</v>
      </c>
      <c r="GR414" s="41">
        <f t="shared" si="722"/>
        <v>5446.4669774625663</v>
      </c>
      <c r="GS414" s="14">
        <f t="shared" si="723"/>
        <v>130.92468695823476</v>
      </c>
      <c r="GT414" s="1">
        <f t="shared" ref="GT414:GT477" si="797">1000*(Q414*$I414)/100</f>
        <v>30.573428911923411</v>
      </c>
      <c r="GU414" s="1">
        <f t="shared" ref="GU414:GU477" si="798">1000*(AL414*$AD414)/100</f>
        <v>10.565817344561767</v>
      </c>
      <c r="GV414" s="1">
        <f t="shared" ref="GV414:GV477" si="799">1000*(BG414*$AY414)/100</f>
        <v>5.6201156088094502</v>
      </c>
      <c r="GW414" s="37">
        <f t="shared" si="724"/>
        <v>0</v>
      </c>
      <c r="GX414" s="37"/>
      <c r="GY414" s="37"/>
      <c r="GZ414" s="37"/>
      <c r="HB414" s="1">
        <f t="shared" ref="HB414:HB477" si="800">1000*(CB414*$BT414)/100</f>
        <v>0</v>
      </c>
      <c r="HC414" s="1">
        <f t="shared" ref="HC414:HC477" si="801">1000*(CW414*$CO414)/100</f>
        <v>0</v>
      </c>
      <c r="HD414" s="37" t="s">
        <v>2</v>
      </c>
      <c r="HE414" s="1" t="s">
        <v>113</v>
      </c>
      <c r="HF414" s="1" t="s">
        <v>261</v>
      </c>
      <c r="HG414" s="1" t="s">
        <v>589</v>
      </c>
      <c r="HH414" s="1" t="s">
        <v>1182</v>
      </c>
      <c r="HI414" s="1" t="s">
        <v>96</v>
      </c>
      <c r="HJ414" s="37" t="s">
        <v>2</v>
      </c>
      <c r="JH414" s="58" t="s">
        <v>2</v>
      </c>
    </row>
    <row r="415" spans="1:268" ht="16.25" customHeight="1" x14ac:dyDescent="0.2">
      <c r="A415" s="15" t="s">
        <v>1239</v>
      </c>
      <c r="F415" s="1" t="s">
        <v>1185</v>
      </c>
      <c r="I415" s="1">
        <v>84.3</v>
      </c>
      <c r="J415" s="13">
        <v>5.6619217081850533E-2</v>
      </c>
      <c r="K415" s="13">
        <v>0.17425822064056937</v>
      </c>
      <c r="Q415" s="13">
        <v>0.10510083036773428</v>
      </c>
      <c r="S415" s="13">
        <v>2.6258794306049822</v>
      </c>
      <c r="T415" s="13">
        <v>2.1737101779359431</v>
      </c>
      <c r="U415" s="13">
        <v>0.39030861209964413</v>
      </c>
      <c r="V415" s="13">
        <v>0.582597153024911</v>
      </c>
      <c r="W415" s="13">
        <v>0.1655417793594306</v>
      </c>
      <c r="AD415" s="1">
        <v>30</v>
      </c>
      <c r="AE415" s="13">
        <v>4.2799999999999991E-2</v>
      </c>
      <c r="AF415" s="13">
        <v>0.1350733333333333</v>
      </c>
      <c r="AL415" s="13">
        <v>8.5466666666666663E-2</v>
      </c>
      <c r="AN415" s="13">
        <v>2.6803599999999999</v>
      </c>
      <c r="AO415" s="13">
        <v>2.4053333333333331</v>
      </c>
      <c r="AP415" s="13">
        <v>0.46384666666666663</v>
      </c>
      <c r="AQ415" s="13">
        <v>0.6744066666666666</v>
      </c>
      <c r="AR415" s="13">
        <v>0.19972666666666669</v>
      </c>
      <c r="AY415" s="1">
        <v>11.600000000000001</v>
      </c>
      <c r="AZ415" s="13">
        <v>6.0344827586206892E-2</v>
      </c>
      <c r="BA415" s="13">
        <v>0.1709896551724138</v>
      </c>
      <c r="BG415" s="13">
        <v>0.11724137931034483</v>
      </c>
      <c r="BI415" s="13">
        <v>2.5390772413793101</v>
      </c>
      <c r="BJ415" s="13">
        <v>2.0909958620689655</v>
      </c>
      <c r="BK415" s="13">
        <v>0.37359655172413792</v>
      </c>
      <c r="BL415" s="13">
        <v>0.55869724137931032</v>
      </c>
      <c r="BM415" s="13">
        <v>0.15827931034482759</v>
      </c>
      <c r="BT415" s="1">
        <v>2.8</v>
      </c>
      <c r="BU415" s="13">
        <v>0.02</v>
      </c>
      <c r="BV415" s="13">
        <v>5.28E-2</v>
      </c>
      <c r="CB415" s="13">
        <v>0.04</v>
      </c>
      <c r="CD415" s="13">
        <v>2.0116800000000001</v>
      </c>
      <c r="CE415" s="13">
        <v>2.0169600000000001</v>
      </c>
      <c r="CF415" s="13">
        <v>0.4224</v>
      </c>
      <c r="CG415" s="13">
        <v>0.59664000000000006</v>
      </c>
      <c r="CH415" s="13">
        <v>0.18480000000000002</v>
      </c>
      <c r="CO415" s="1">
        <v>19.5</v>
      </c>
      <c r="CP415" s="13">
        <v>0.02</v>
      </c>
      <c r="CQ415" s="13">
        <v>4.8300000000000003E-2</v>
      </c>
      <c r="CW415" s="13">
        <v>0.05</v>
      </c>
      <c r="CY415" s="13">
        <v>1.8402299999999998</v>
      </c>
      <c r="CZ415" s="13">
        <v>1.8450600000000001</v>
      </c>
      <c r="DA415" s="13">
        <v>0.38640000000000002</v>
      </c>
      <c r="DB415" s="13">
        <v>0.54579</v>
      </c>
      <c r="DC415" s="13">
        <v>0.16905000000000001</v>
      </c>
      <c r="DJ415" s="1" t="s">
        <v>96</v>
      </c>
      <c r="DL415" s="1">
        <f t="shared" si="717"/>
        <v>0.10154090548054009</v>
      </c>
      <c r="DM415" s="1">
        <f t="shared" si="718"/>
        <v>0</v>
      </c>
      <c r="DN415" s="1" t="s">
        <v>73</v>
      </c>
      <c r="DO415" s="1" t="s">
        <v>2</v>
      </c>
      <c r="DP415" s="38">
        <f t="shared" si="725"/>
        <v>6.7569999999999991E-2</v>
      </c>
      <c r="DQ415" s="38">
        <f t="shared" si="726"/>
        <v>20.725647999999996</v>
      </c>
      <c r="DR415" s="38">
        <f t="shared" si="727"/>
        <v>0</v>
      </c>
      <c r="DS415" s="38">
        <f t="shared" si="728"/>
        <v>0</v>
      </c>
      <c r="DT415" s="38">
        <f t="shared" si="729"/>
        <v>0</v>
      </c>
      <c r="DU415" s="38">
        <f t="shared" si="730"/>
        <v>0</v>
      </c>
      <c r="DV415" s="38">
        <f t="shared" si="731"/>
        <v>0</v>
      </c>
      <c r="DW415" s="38">
        <f t="shared" si="732"/>
        <v>0.12783999999999998</v>
      </c>
      <c r="DX415" s="38">
        <f t="shared" si="733"/>
        <v>0</v>
      </c>
      <c r="DY415" s="38">
        <f t="shared" si="734"/>
        <v>331.22573199999999</v>
      </c>
      <c r="DZ415" s="38">
        <f t="shared" si="735"/>
        <v>279.65931999999998</v>
      </c>
      <c r="EA415" s="38">
        <f t="shared" si="736"/>
        <v>51.152135999999999</v>
      </c>
      <c r="EB415" s="38">
        <f t="shared" si="737"/>
        <v>75.82602799999998</v>
      </c>
      <c r="EC415" s="38">
        <f t="shared" si="738"/>
        <v>21.783011999999999</v>
      </c>
      <c r="ED415" s="38">
        <f t="shared" si="739"/>
        <v>0</v>
      </c>
      <c r="EE415" s="38">
        <f t="shared" si="740"/>
        <v>0</v>
      </c>
      <c r="EG415" s="38">
        <f t="shared" si="741"/>
        <v>0</v>
      </c>
      <c r="EH415" s="38">
        <f t="shared" si="742"/>
        <v>0</v>
      </c>
      <c r="EI415" s="38">
        <f t="shared" si="743"/>
        <v>440.93587311999994</v>
      </c>
      <c r="EJ415" s="38">
        <f t="shared" si="744"/>
        <v>847.68566739549817</v>
      </c>
      <c r="EK415" s="38">
        <f t="shared" si="745"/>
        <v>0</v>
      </c>
      <c r="EL415" s="38">
        <f t="shared" si="746"/>
        <v>0</v>
      </c>
      <c r="EM415" s="38">
        <f t="shared" si="747"/>
        <v>0</v>
      </c>
      <c r="EN415" s="38">
        <f t="shared" si="748"/>
        <v>0</v>
      </c>
      <c r="EO415" s="38">
        <f t="shared" si="749"/>
        <v>0</v>
      </c>
      <c r="EP415" s="38">
        <f t="shared" si="750"/>
        <v>1676.4937599999998</v>
      </c>
      <c r="EQ415" s="38">
        <f t="shared" si="751"/>
        <v>0</v>
      </c>
      <c r="ER415" s="38">
        <f t="shared" si="752"/>
        <v>9400.6335886533743</v>
      </c>
      <c r="ES415" s="38">
        <f t="shared" si="753"/>
        <v>9319.8491648745967</v>
      </c>
      <c r="ET415" s="38">
        <f t="shared" si="754"/>
        <v>3660.0915833054664</v>
      </c>
      <c r="EU415" s="38">
        <f t="shared" si="755"/>
        <v>595.90480718585184</v>
      </c>
      <c r="EV415" s="38">
        <f t="shared" si="756"/>
        <v>905.83009418778124</v>
      </c>
      <c r="EW415" s="38">
        <f t="shared" si="757"/>
        <v>0</v>
      </c>
      <c r="EX415" s="38">
        <f t="shared" si="758"/>
        <v>0</v>
      </c>
      <c r="EZ415" s="38">
        <f t="shared" si="759"/>
        <v>0</v>
      </c>
      <c r="FA415" s="38">
        <f t="shared" si="760"/>
        <v>0</v>
      </c>
      <c r="FB415" s="1">
        <f t="shared" si="761"/>
        <v>4.4600000000000004E-3</v>
      </c>
      <c r="FC415" s="1">
        <f t="shared" si="762"/>
        <v>1.08969</v>
      </c>
      <c r="FD415" s="1">
        <f t="shared" si="763"/>
        <v>0</v>
      </c>
      <c r="FE415" s="1">
        <f t="shared" si="764"/>
        <v>0</v>
      </c>
      <c r="FF415" s="1">
        <f t="shared" si="765"/>
        <v>0</v>
      </c>
      <c r="FG415" s="1">
        <f t="shared" si="766"/>
        <v>0</v>
      </c>
      <c r="FH415" s="1">
        <f t="shared" si="767"/>
        <v>0</v>
      </c>
      <c r="FI415" s="1">
        <f t="shared" si="768"/>
        <v>1.0870000000000001E-2</v>
      </c>
      <c r="FJ415" s="1">
        <f t="shared" si="769"/>
        <v>0</v>
      </c>
      <c r="FK415" s="1">
        <f t="shared" si="770"/>
        <v>41.517189000000002</v>
      </c>
      <c r="FL415" s="1">
        <f t="shared" si="771"/>
        <v>41.626158000000004</v>
      </c>
      <c r="FM415" s="1">
        <f t="shared" si="772"/>
        <v>8.7175200000000004</v>
      </c>
      <c r="FN415" s="1">
        <f t="shared" si="773"/>
        <v>12.313497000000002</v>
      </c>
      <c r="FO415" s="1">
        <f t="shared" si="774"/>
        <v>3.8139150000000002</v>
      </c>
      <c r="FP415" s="1">
        <f t="shared" si="775"/>
        <v>0</v>
      </c>
      <c r="FQ415" s="1">
        <f t="shared" si="776"/>
        <v>0</v>
      </c>
      <c r="FS415" s="1">
        <f t="shared" si="777"/>
        <v>0</v>
      </c>
      <c r="FT415" s="1">
        <f t="shared" si="778"/>
        <v>0</v>
      </c>
      <c r="FU415" s="38">
        <f t="shared" si="779"/>
        <v>29.104247360000002</v>
      </c>
      <c r="FV415" s="38">
        <f t="shared" si="780"/>
        <v>44.568671382636651</v>
      </c>
      <c r="FW415" s="38">
        <f t="shared" si="781"/>
        <v>0</v>
      </c>
      <c r="FX415" s="38">
        <f t="shared" si="782"/>
        <v>0</v>
      </c>
      <c r="FY415" s="38">
        <f t="shared" si="783"/>
        <v>0</v>
      </c>
      <c r="FZ415" s="38">
        <f t="shared" si="784"/>
        <v>0</v>
      </c>
      <c r="GA415" s="38">
        <f t="shared" si="785"/>
        <v>0</v>
      </c>
      <c r="GB415" s="38">
        <f t="shared" si="786"/>
        <v>142.54918000000001</v>
      </c>
      <c r="GC415" s="38">
        <f t="shared" si="787"/>
        <v>0</v>
      </c>
      <c r="GD415" s="38">
        <f t="shared" si="788"/>
        <v>1178.3138920495176</v>
      </c>
      <c r="GE415" s="38">
        <f t="shared" si="789"/>
        <v>1387.2218307376208</v>
      </c>
      <c r="GF415" s="38">
        <f t="shared" si="790"/>
        <v>623.76518508038589</v>
      </c>
      <c r="GG415" s="38">
        <f t="shared" si="791"/>
        <v>96.769832854340834</v>
      </c>
      <c r="GH415" s="38">
        <f t="shared" si="792"/>
        <v>158.5987733778135</v>
      </c>
      <c r="GI415" s="38">
        <f t="shared" si="793"/>
        <v>0</v>
      </c>
      <c r="GJ415" s="38">
        <f t="shared" si="794"/>
        <v>0</v>
      </c>
      <c r="GL415" s="38">
        <f t="shared" si="795"/>
        <v>0</v>
      </c>
      <c r="GM415" s="38">
        <f t="shared" si="796"/>
        <v>0</v>
      </c>
      <c r="GN415" s="1" t="s">
        <v>2</v>
      </c>
      <c r="GO415" s="1">
        <f t="shared" si="719"/>
        <v>125.9</v>
      </c>
      <c r="GP415" s="13">
        <f t="shared" si="720"/>
        <v>0.10154090548054009</v>
      </c>
      <c r="GQ415" s="41">
        <f t="shared" si="721"/>
        <v>127.83999999999997</v>
      </c>
      <c r="GR415" s="41">
        <f t="shared" si="722"/>
        <v>26847.424538722571</v>
      </c>
      <c r="GS415" s="14">
        <f t="shared" si="723"/>
        <v>213.24403922734368</v>
      </c>
      <c r="GT415" s="1">
        <f t="shared" si="797"/>
        <v>88.6</v>
      </c>
      <c r="GU415" s="1">
        <f t="shared" si="798"/>
        <v>25.64</v>
      </c>
      <c r="GV415" s="1">
        <f t="shared" si="799"/>
        <v>13.6</v>
      </c>
      <c r="GW415" s="37">
        <f t="shared" si="724"/>
        <v>22.3</v>
      </c>
      <c r="GX415" s="46">
        <f>(BT415*CB415+CO415*CW415)/GW415</f>
        <v>4.8744394618834085E-2</v>
      </c>
      <c r="GY415" s="41">
        <f>1000*GW415*GX415/100</f>
        <v>10.87</v>
      </c>
      <c r="GZ415" s="41">
        <f>SUM(FU415:GM415)</f>
        <v>3660.8916128423152</v>
      </c>
      <c r="HA415" s="14">
        <f>GZ415/GW415</f>
        <v>164.16554317678543</v>
      </c>
      <c r="HB415" s="1">
        <f t="shared" si="800"/>
        <v>1.1199999999999999</v>
      </c>
      <c r="HC415" s="1">
        <f t="shared" si="801"/>
        <v>9.7500000000000018</v>
      </c>
      <c r="HD415" s="37" t="s">
        <v>2</v>
      </c>
      <c r="HE415" s="1" t="s">
        <v>113</v>
      </c>
      <c r="HF415" s="1" t="s">
        <v>261</v>
      </c>
      <c r="HG415" s="1" t="s">
        <v>589</v>
      </c>
      <c r="HH415" s="1" t="s">
        <v>1194</v>
      </c>
      <c r="HI415" s="1" t="s">
        <v>96</v>
      </c>
      <c r="HJ415" s="37" t="s">
        <v>2</v>
      </c>
      <c r="JH415" s="58" t="s">
        <v>2</v>
      </c>
    </row>
    <row r="416" spans="1:268" ht="16.25" customHeight="1" x14ac:dyDescent="0.2">
      <c r="A416" s="15" t="s">
        <v>1240</v>
      </c>
      <c r="F416" s="1" t="s">
        <v>1241</v>
      </c>
      <c r="I416" s="1">
        <v>158.05847953216374</v>
      </c>
      <c r="J416" s="13">
        <v>4.0597956748293522E-2</v>
      </c>
      <c r="K416" s="13">
        <v>0.14943690360130235</v>
      </c>
      <c r="Q416" s="13">
        <v>0.1477916834409066</v>
      </c>
      <c r="S416" s="13">
        <v>2.7918750695093979</v>
      </c>
      <c r="T416" s="13">
        <v>1.4293515323464554</v>
      </c>
      <c r="U416" s="13">
        <v>0.3598952825193133</v>
      </c>
      <c r="AD416" s="1">
        <v>191.12280701754383</v>
      </c>
      <c r="AE416" s="13">
        <v>4.3611616243099526E-2</v>
      </c>
      <c r="AF416" s="13">
        <v>0.14836226488980137</v>
      </c>
      <c r="AL416" s="13">
        <v>0.15204825645479994</v>
      </c>
      <c r="AN416" s="13">
        <v>1.5520134426094139</v>
      </c>
      <c r="AO416" s="13">
        <v>0.81297937432676814</v>
      </c>
      <c r="AP416" s="13">
        <v>0.12185858504972867</v>
      </c>
      <c r="AQ416" s="13"/>
      <c r="AR416" s="13"/>
      <c r="AY416" s="1">
        <v>33.89473684210526</v>
      </c>
      <c r="AZ416" s="13">
        <v>9.242958399360128E-2</v>
      </c>
      <c r="BA416" s="13">
        <v>6.3006893782608694E-2</v>
      </c>
      <c r="BG416" s="13">
        <v>0.19547316805783027</v>
      </c>
      <c r="BI416" s="13">
        <v>0.56653257434782611</v>
      </c>
      <c r="BJ416" s="13">
        <v>0.29925627198260873</v>
      </c>
      <c r="BK416" s="13">
        <v>3.3880862092000003E-2</v>
      </c>
      <c r="BT416" s="1">
        <v>0</v>
      </c>
      <c r="CO416" s="1">
        <v>0</v>
      </c>
      <c r="DJ416" s="1" t="s">
        <v>96</v>
      </c>
      <c r="DL416" s="1">
        <f t="shared" si="717"/>
        <v>0.15413423533050072</v>
      </c>
      <c r="DM416" s="1">
        <f t="shared" si="718"/>
        <v>0</v>
      </c>
      <c r="DN416" s="1" t="s">
        <v>101</v>
      </c>
      <c r="DO416" s="1" t="s">
        <v>2</v>
      </c>
      <c r="DP416" s="38">
        <f t="shared" si="725"/>
        <v>0.17884902256589291</v>
      </c>
      <c r="DQ416" s="38">
        <f t="shared" si="726"/>
        <v>54.110784374435596</v>
      </c>
      <c r="DR416" s="38">
        <f t="shared" si="727"/>
        <v>0</v>
      </c>
      <c r="DS416" s="38">
        <f t="shared" si="728"/>
        <v>0</v>
      </c>
      <c r="DT416" s="38">
        <f t="shared" si="729"/>
        <v>0</v>
      </c>
      <c r="DU416" s="38">
        <f t="shared" si="730"/>
        <v>0</v>
      </c>
      <c r="DV416" s="38">
        <f t="shared" si="731"/>
        <v>0</v>
      </c>
      <c r="DW416" s="38">
        <f t="shared" si="732"/>
        <v>0.59045129938946073</v>
      </c>
      <c r="DX416" s="38">
        <f t="shared" si="733"/>
        <v>0</v>
      </c>
      <c r="DY416" s="38">
        <f t="shared" si="734"/>
        <v>757.10716673088223</v>
      </c>
      <c r="DZ416" s="38">
        <f t="shared" si="735"/>
        <v>391.44324257554757</v>
      </c>
      <c r="EA416" s="38">
        <f t="shared" si="736"/>
        <v>81.322838884283414</v>
      </c>
      <c r="EB416" s="38">
        <f t="shared" si="737"/>
        <v>0</v>
      </c>
      <c r="EC416" s="38">
        <f t="shared" si="738"/>
        <v>0</v>
      </c>
      <c r="ED416" s="38">
        <f t="shared" si="739"/>
        <v>0</v>
      </c>
      <c r="EE416" s="38">
        <f t="shared" si="740"/>
        <v>0</v>
      </c>
      <c r="EG416" s="38">
        <f t="shared" si="741"/>
        <v>0</v>
      </c>
      <c r="EH416" s="38">
        <f t="shared" si="742"/>
        <v>0</v>
      </c>
      <c r="EI416" s="38">
        <f t="shared" si="743"/>
        <v>1167.1000432403519</v>
      </c>
      <c r="EJ416" s="38">
        <f t="shared" si="744"/>
        <v>2213.1484798804527</v>
      </c>
      <c r="EK416" s="38">
        <f t="shared" si="745"/>
        <v>0</v>
      </c>
      <c r="EL416" s="38">
        <f t="shared" si="746"/>
        <v>0</v>
      </c>
      <c r="EM416" s="38">
        <f t="shared" si="747"/>
        <v>0</v>
      </c>
      <c r="EN416" s="38">
        <f t="shared" si="748"/>
        <v>0</v>
      </c>
      <c r="EO416" s="38">
        <f t="shared" si="749"/>
        <v>0</v>
      </c>
      <c r="EP416" s="38">
        <f t="shared" si="750"/>
        <v>7743.1783401933881</v>
      </c>
      <c r="EQ416" s="38">
        <f t="shared" si="751"/>
        <v>0</v>
      </c>
      <c r="ER416" s="38">
        <f t="shared" si="752"/>
        <v>21487.723851661751</v>
      </c>
      <c r="ES416" s="38">
        <f t="shared" si="753"/>
        <v>13045.129257317516</v>
      </c>
      <c r="ET416" s="38">
        <f t="shared" si="754"/>
        <v>5818.8975359870064</v>
      </c>
      <c r="EU416" s="38">
        <f t="shared" si="755"/>
        <v>0</v>
      </c>
      <c r="EV416" s="38">
        <f t="shared" si="756"/>
        <v>0</v>
      </c>
      <c r="EW416" s="38">
        <f t="shared" si="757"/>
        <v>0</v>
      </c>
      <c r="EX416" s="38">
        <f t="shared" si="758"/>
        <v>0</v>
      </c>
      <c r="EZ416" s="38">
        <f t="shared" si="759"/>
        <v>0</v>
      </c>
      <c r="FA416" s="38">
        <f t="shared" si="760"/>
        <v>0</v>
      </c>
      <c r="FB416" s="1">
        <f t="shared" si="761"/>
        <v>0</v>
      </c>
      <c r="FC416" s="1">
        <f t="shared" si="762"/>
        <v>0</v>
      </c>
      <c r="FD416" s="1">
        <f t="shared" si="763"/>
        <v>0</v>
      </c>
      <c r="FE416" s="1">
        <f t="shared" si="764"/>
        <v>0</v>
      </c>
      <c r="FF416" s="1">
        <f t="shared" si="765"/>
        <v>0</v>
      </c>
      <c r="FG416" s="1">
        <f t="shared" si="766"/>
        <v>0</v>
      </c>
      <c r="FH416" s="1">
        <f t="shared" si="767"/>
        <v>0</v>
      </c>
      <c r="FI416" s="1">
        <f t="shared" si="768"/>
        <v>0</v>
      </c>
      <c r="FJ416" s="1">
        <f t="shared" si="769"/>
        <v>0</v>
      </c>
      <c r="FK416" s="1">
        <f t="shared" si="770"/>
        <v>0</v>
      </c>
      <c r="FL416" s="1">
        <f t="shared" si="771"/>
        <v>0</v>
      </c>
      <c r="FM416" s="1">
        <f t="shared" si="772"/>
        <v>0</v>
      </c>
      <c r="FN416" s="1">
        <f t="shared" si="773"/>
        <v>0</v>
      </c>
      <c r="FO416" s="1">
        <f t="shared" si="774"/>
        <v>0</v>
      </c>
      <c r="FP416" s="1">
        <f t="shared" si="775"/>
        <v>0</v>
      </c>
      <c r="FQ416" s="1">
        <f t="shared" si="776"/>
        <v>0</v>
      </c>
      <c r="FS416" s="1">
        <f t="shared" si="777"/>
        <v>0</v>
      </c>
      <c r="FT416" s="1">
        <f t="shared" si="778"/>
        <v>0</v>
      </c>
      <c r="FU416" s="38">
        <f t="shared" si="779"/>
        <v>0</v>
      </c>
      <c r="FV416" s="38">
        <f t="shared" si="780"/>
        <v>0</v>
      </c>
      <c r="FW416" s="38">
        <f t="shared" si="781"/>
        <v>0</v>
      </c>
      <c r="FX416" s="38">
        <f t="shared" si="782"/>
        <v>0</v>
      </c>
      <c r="FY416" s="38">
        <f t="shared" si="783"/>
        <v>0</v>
      </c>
      <c r="FZ416" s="38">
        <f t="shared" si="784"/>
        <v>0</v>
      </c>
      <c r="GA416" s="38">
        <f t="shared" si="785"/>
        <v>0</v>
      </c>
      <c r="GB416" s="38">
        <f t="shared" si="786"/>
        <v>0</v>
      </c>
      <c r="GC416" s="38">
        <f t="shared" si="787"/>
        <v>0</v>
      </c>
      <c r="GD416" s="38">
        <f t="shared" si="788"/>
        <v>0</v>
      </c>
      <c r="GE416" s="38">
        <f t="shared" si="789"/>
        <v>0</v>
      </c>
      <c r="GF416" s="38">
        <f t="shared" si="790"/>
        <v>0</v>
      </c>
      <c r="GG416" s="38">
        <f t="shared" si="791"/>
        <v>0</v>
      </c>
      <c r="GH416" s="38">
        <f t="shared" si="792"/>
        <v>0</v>
      </c>
      <c r="GI416" s="38">
        <f t="shared" si="793"/>
        <v>0</v>
      </c>
      <c r="GJ416" s="38">
        <f t="shared" si="794"/>
        <v>0</v>
      </c>
      <c r="GL416" s="38">
        <f t="shared" si="795"/>
        <v>0</v>
      </c>
      <c r="GM416" s="38">
        <f t="shared" si="796"/>
        <v>0</v>
      </c>
      <c r="GN416" s="1" t="s">
        <v>2</v>
      </c>
      <c r="GO416" s="14">
        <f t="shared" si="719"/>
        <v>383.07602339181284</v>
      </c>
      <c r="GP416" s="13">
        <f t="shared" si="720"/>
        <v>0.15413423533050072</v>
      </c>
      <c r="GQ416" s="41">
        <f t="shared" si="721"/>
        <v>590.45129938946081</v>
      </c>
      <c r="GR416" s="41">
        <f t="shared" si="722"/>
        <v>51475.177508280467</v>
      </c>
      <c r="GS416" s="14">
        <f t="shared" si="723"/>
        <v>134.37326892064789</v>
      </c>
      <c r="GT416" s="1">
        <f t="shared" si="797"/>
        <v>233.5972877216856</v>
      </c>
      <c r="GU416" s="1">
        <f t="shared" si="798"/>
        <v>290.59889575764743</v>
      </c>
      <c r="GV416" s="1">
        <f t="shared" si="799"/>
        <v>66.255115910127728</v>
      </c>
      <c r="GW416" s="37">
        <f t="shared" si="724"/>
        <v>0</v>
      </c>
      <c r="GX416" s="37"/>
      <c r="GY416" s="37"/>
      <c r="GZ416" s="37"/>
      <c r="HB416" s="1">
        <f t="shared" si="800"/>
        <v>0</v>
      </c>
      <c r="HC416" s="1">
        <f t="shared" si="801"/>
        <v>0</v>
      </c>
      <c r="HD416" s="37" t="s">
        <v>2</v>
      </c>
      <c r="HE416" s="1" t="s">
        <v>113</v>
      </c>
      <c r="HF416" s="1" t="s">
        <v>261</v>
      </c>
      <c r="HG416" s="1" t="s">
        <v>589</v>
      </c>
      <c r="HH416" s="1" t="s">
        <v>1182</v>
      </c>
      <c r="HI416" s="1" t="s">
        <v>96</v>
      </c>
      <c r="HJ416" s="37" t="s">
        <v>2</v>
      </c>
      <c r="JH416" s="58" t="s">
        <v>2</v>
      </c>
    </row>
    <row r="417" spans="1:268" ht="16.25" customHeight="1" x14ac:dyDescent="0.2">
      <c r="A417" s="15" t="s">
        <v>1242</v>
      </c>
      <c r="F417" s="1" t="s">
        <v>685</v>
      </c>
      <c r="I417" s="1">
        <v>0</v>
      </c>
      <c r="AD417" s="1">
        <v>14.51</v>
      </c>
      <c r="AE417" s="13">
        <v>2.9148595329822911E-2</v>
      </c>
      <c r="AF417" s="13">
        <v>5.2186929999999999E-2</v>
      </c>
      <c r="AL417" s="13">
        <v>0.11240231217618901</v>
      </c>
      <c r="AN417" s="13">
        <v>1.4637452999999998</v>
      </c>
      <c r="AO417" s="13">
        <v>1.2905359000000001</v>
      </c>
      <c r="AP417" s="13">
        <v>0.26354107999999998</v>
      </c>
      <c r="AQ417" s="13"/>
      <c r="AR417" s="13"/>
      <c r="AY417" s="1">
        <v>2.96</v>
      </c>
      <c r="AZ417" s="13">
        <v>2.9148595329822911E-2</v>
      </c>
      <c r="BA417" s="13">
        <v>5.2186929999999999E-2</v>
      </c>
      <c r="BG417" s="13">
        <v>0.11240231217618901</v>
      </c>
      <c r="BI417" s="13">
        <v>1.4637452999999998</v>
      </c>
      <c r="BJ417" s="13">
        <v>1.2905359000000001</v>
      </c>
      <c r="BK417" s="13">
        <v>0.26354107999999998</v>
      </c>
      <c r="BT417" s="1">
        <v>0</v>
      </c>
      <c r="CO417" s="1">
        <v>0</v>
      </c>
      <c r="DL417" s="1">
        <f t="shared" si="717"/>
        <v>0.11240231217618901</v>
      </c>
      <c r="DM417" s="1">
        <f t="shared" si="718"/>
        <v>0</v>
      </c>
      <c r="DN417" s="1" t="s">
        <v>1087</v>
      </c>
      <c r="DO417" s="1" t="s">
        <v>2</v>
      </c>
      <c r="DP417" s="38">
        <f t="shared" si="725"/>
        <v>5.0922596041200622E-3</v>
      </c>
      <c r="DQ417" s="38">
        <f t="shared" si="726"/>
        <v>0.91170566710000001</v>
      </c>
      <c r="DR417" s="38">
        <f t="shared" si="727"/>
        <v>0</v>
      </c>
      <c r="DS417" s="38">
        <f t="shared" si="728"/>
        <v>0</v>
      </c>
      <c r="DT417" s="38">
        <f t="shared" si="729"/>
        <v>0</v>
      </c>
      <c r="DU417" s="38">
        <f t="shared" si="730"/>
        <v>0</v>
      </c>
      <c r="DV417" s="38">
        <f t="shared" si="731"/>
        <v>0</v>
      </c>
      <c r="DW417" s="38">
        <f t="shared" si="732"/>
        <v>1.9636683937180221E-2</v>
      </c>
      <c r="DX417" s="38">
        <f t="shared" si="733"/>
        <v>0</v>
      </c>
      <c r="DY417" s="38">
        <f t="shared" si="734"/>
        <v>25.571630390999996</v>
      </c>
      <c r="DZ417" s="38">
        <f t="shared" si="735"/>
        <v>22.545662173</v>
      </c>
      <c r="EA417" s="38">
        <f t="shared" si="736"/>
        <v>4.6040626675999992</v>
      </c>
      <c r="EB417" s="38">
        <f t="shared" si="737"/>
        <v>0</v>
      </c>
      <c r="EC417" s="38">
        <f t="shared" si="738"/>
        <v>0</v>
      </c>
      <c r="ED417" s="38">
        <f t="shared" si="739"/>
        <v>0</v>
      </c>
      <c r="EE417" s="38">
        <f t="shared" si="740"/>
        <v>0</v>
      </c>
      <c r="EG417" s="38">
        <f t="shared" si="741"/>
        <v>0</v>
      </c>
      <c r="EH417" s="38">
        <f t="shared" si="742"/>
        <v>0</v>
      </c>
      <c r="EI417" s="38">
        <f t="shared" si="743"/>
        <v>33.230130748799546</v>
      </c>
      <c r="EJ417" s="38">
        <f t="shared" si="744"/>
        <v>37.289054937337617</v>
      </c>
      <c r="EK417" s="38">
        <f t="shared" si="745"/>
        <v>0</v>
      </c>
      <c r="EL417" s="38">
        <f t="shared" si="746"/>
        <v>0</v>
      </c>
      <c r="EM417" s="38">
        <f t="shared" si="747"/>
        <v>0</v>
      </c>
      <c r="EN417" s="38">
        <f t="shared" si="748"/>
        <v>0</v>
      </c>
      <c r="EO417" s="38">
        <f t="shared" si="749"/>
        <v>0</v>
      </c>
      <c r="EP417" s="38">
        <f t="shared" si="750"/>
        <v>257.51547315218141</v>
      </c>
      <c r="EQ417" s="38">
        <f t="shared" si="751"/>
        <v>0</v>
      </c>
      <c r="ER417" s="38">
        <f t="shared" si="752"/>
        <v>725.75740453119147</v>
      </c>
      <c r="ES417" s="38">
        <f t="shared" si="753"/>
        <v>751.35050308560744</v>
      </c>
      <c r="ET417" s="38">
        <f t="shared" si="754"/>
        <v>329.43474772380318</v>
      </c>
      <c r="EU417" s="38">
        <f t="shared" si="755"/>
        <v>0</v>
      </c>
      <c r="EV417" s="38">
        <f t="shared" si="756"/>
        <v>0</v>
      </c>
      <c r="EW417" s="38">
        <f t="shared" si="757"/>
        <v>0</v>
      </c>
      <c r="EX417" s="38">
        <f t="shared" si="758"/>
        <v>0</v>
      </c>
      <c r="EZ417" s="38">
        <f t="shared" si="759"/>
        <v>0</v>
      </c>
      <c r="FA417" s="38">
        <f t="shared" si="760"/>
        <v>0</v>
      </c>
      <c r="FB417" s="1">
        <f t="shared" si="761"/>
        <v>0</v>
      </c>
      <c r="FC417" s="1">
        <f t="shared" si="762"/>
        <v>0</v>
      </c>
      <c r="FD417" s="1">
        <f t="shared" si="763"/>
        <v>0</v>
      </c>
      <c r="FE417" s="1">
        <f t="shared" si="764"/>
        <v>0</v>
      </c>
      <c r="FF417" s="1">
        <f t="shared" si="765"/>
        <v>0</v>
      </c>
      <c r="FG417" s="1">
        <f t="shared" si="766"/>
        <v>0</v>
      </c>
      <c r="FH417" s="1">
        <f t="shared" si="767"/>
        <v>0</v>
      </c>
      <c r="FI417" s="1">
        <f t="shared" si="768"/>
        <v>0</v>
      </c>
      <c r="FJ417" s="1">
        <f t="shared" si="769"/>
        <v>0</v>
      </c>
      <c r="FK417" s="1">
        <f t="shared" si="770"/>
        <v>0</v>
      </c>
      <c r="FL417" s="1">
        <f t="shared" si="771"/>
        <v>0</v>
      </c>
      <c r="FM417" s="1">
        <f t="shared" si="772"/>
        <v>0</v>
      </c>
      <c r="FN417" s="1">
        <f t="shared" si="773"/>
        <v>0</v>
      </c>
      <c r="FO417" s="1">
        <f t="shared" si="774"/>
        <v>0</v>
      </c>
      <c r="FP417" s="1">
        <f t="shared" si="775"/>
        <v>0</v>
      </c>
      <c r="FQ417" s="1">
        <f t="shared" si="776"/>
        <v>0</v>
      </c>
      <c r="FS417" s="1">
        <f t="shared" si="777"/>
        <v>0</v>
      </c>
      <c r="FT417" s="1">
        <f t="shared" si="778"/>
        <v>0</v>
      </c>
      <c r="FU417" s="38">
        <f t="shared" si="779"/>
        <v>0</v>
      </c>
      <c r="FV417" s="38">
        <f t="shared" si="780"/>
        <v>0</v>
      </c>
      <c r="FW417" s="38">
        <f t="shared" si="781"/>
        <v>0</v>
      </c>
      <c r="FX417" s="38">
        <f t="shared" si="782"/>
        <v>0</v>
      </c>
      <c r="FY417" s="38">
        <f t="shared" si="783"/>
        <v>0</v>
      </c>
      <c r="FZ417" s="38">
        <f t="shared" si="784"/>
        <v>0</v>
      </c>
      <c r="GA417" s="38">
        <f t="shared" si="785"/>
        <v>0</v>
      </c>
      <c r="GB417" s="38">
        <f t="shared" si="786"/>
        <v>0</v>
      </c>
      <c r="GC417" s="38">
        <f t="shared" si="787"/>
        <v>0</v>
      </c>
      <c r="GD417" s="38">
        <f t="shared" si="788"/>
        <v>0</v>
      </c>
      <c r="GE417" s="38">
        <f t="shared" si="789"/>
        <v>0</v>
      </c>
      <c r="GF417" s="38">
        <f t="shared" si="790"/>
        <v>0</v>
      </c>
      <c r="GG417" s="38">
        <f t="shared" si="791"/>
        <v>0</v>
      </c>
      <c r="GH417" s="38">
        <f t="shared" si="792"/>
        <v>0</v>
      </c>
      <c r="GI417" s="38">
        <f t="shared" si="793"/>
        <v>0</v>
      </c>
      <c r="GJ417" s="38">
        <f t="shared" si="794"/>
        <v>0</v>
      </c>
      <c r="GL417" s="38">
        <f t="shared" si="795"/>
        <v>0</v>
      </c>
      <c r="GM417" s="38">
        <f t="shared" si="796"/>
        <v>0</v>
      </c>
      <c r="GN417" s="1" t="s">
        <v>2</v>
      </c>
      <c r="GO417" s="1">
        <f t="shared" si="719"/>
        <v>17.47</v>
      </c>
      <c r="GP417" s="13">
        <f t="shared" si="720"/>
        <v>0.11240231217618901</v>
      </c>
      <c r="GQ417" s="41">
        <f t="shared" si="721"/>
        <v>19.636683937180223</v>
      </c>
      <c r="GR417" s="41">
        <f t="shared" si="722"/>
        <v>2134.5773141789205</v>
      </c>
      <c r="GS417" s="14">
        <f t="shared" si="723"/>
        <v>122.18530705088268</v>
      </c>
      <c r="GT417" s="1">
        <f t="shared" si="797"/>
        <v>0</v>
      </c>
      <c r="GU417" s="1">
        <f t="shared" si="798"/>
        <v>16.309575496765024</v>
      </c>
      <c r="GV417" s="1">
        <f t="shared" si="799"/>
        <v>3.3271084404151945</v>
      </c>
      <c r="GW417" s="37">
        <f t="shared" si="724"/>
        <v>0</v>
      </c>
      <c r="GX417" s="37"/>
      <c r="GY417" s="37"/>
      <c r="GZ417" s="37"/>
      <c r="HB417" s="1">
        <f t="shared" si="800"/>
        <v>0</v>
      </c>
      <c r="HC417" s="1">
        <f t="shared" si="801"/>
        <v>0</v>
      </c>
      <c r="HD417" s="37" t="s">
        <v>2</v>
      </c>
      <c r="HE417" s="1" t="s">
        <v>113</v>
      </c>
      <c r="HF417" s="1" t="s">
        <v>261</v>
      </c>
      <c r="HG417" s="1" t="s">
        <v>589</v>
      </c>
      <c r="HH417" s="1" t="s">
        <v>1194</v>
      </c>
      <c r="HI417" s="1" t="s">
        <v>96</v>
      </c>
      <c r="HJ417" s="37" t="s">
        <v>2</v>
      </c>
      <c r="JH417" s="58" t="s">
        <v>2</v>
      </c>
    </row>
    <row r="418" spans="1:268" ht="16.25" customHeight="1" x14ac:dyDescent="0.2">
      <c r="A418" s="15" t="s">
        <v>1243</v>
      </c>
      <c r="F418" s="1" t="s">
        <v>1244</v>
      </c>
      <c r="I418" s="1">
        <v>105.4</v>
      </c>
      <c r="J418" s="13">
        <v>3.3529411764705877E-2</v>
      </c>
      <c r="K418" s="13">
        <v>0.10157647058823531</v>
      </c>
      <c r="Q418" s="13">
        <v>0.13176470588235295</v>
      </c>
      <c r="S418" s="13">
        <v>2.4494876470588234</v>
      </c>
      <c r="T418" s="13">
        <v>2.4063635294117645</v>
      </c>
      <c r="U418" s="13">
        <v>0.45139588235294115</v>
      </c>
      <c r="AD418" s="1">
        <v>158.19999999999999</v>
      </c>
      <c r="AE418" s="13">
        <v>3.7054361567635904E-2</v>
      </c>
      <c r="AF418" s="13">
        <v>0.11504788874841972</v>
      </c>
      <c r="AL418" s="13">
        <v>0.13352718078381798</v>
      </c>
      <c r="AN418" s="13">
        <v>2.2530583059418459</v>
      </c>
      <c r="AO418" s="13">
        <v>2.0524148672566374</v>
      </c>
      <c r="AP418" s="13">
        <v>0.37078108723135278</v>
      </c>
      <c r="AQ418" s="13"/>
      <c r="AR418" s="13"/>
      <c r="AY418" s="1">
        <v>215.8</v>
      </c>
      <c r="AZ418" s="13">
        <v>4.2845227062094524E-2</v>
      </c>
      <c r="BA418" s="13">
        <v>0.14017957367933273</v>
      </c>
      <c r="BG418" s="13">
        <v>0.13642261353104726</v>
      </c>
      <c r="BI418" s="13">
        <v>2.0018118906394808</v>
      </c>
      <c r="BJ418" s="13">
        <v>1.5408547729379054</v>
      </c>
      <c r="BK418" s="13">
        <v>0.25143550509731233</v>
      </c>
      <c r="BT418" s="1">
        <v>15.8</v>
      </c>
      <c r="BU418" s="13">
        <v>0.03</v>
      </c>
      <c r="BV418" s="13">
        <v>6.2859999999999999E-2</v>
      </c>
      <c r="CB418" s="13">
        <v>0.13</v>
      </c>
      <c r="CD418" s="13">
        <v>1.9621300000000002</v>
      </c>
      <c r="CE418" s="13">
        <v>2.0654000000000003</v>
      </c>
      <c r="CF418" s="13">
        <v>0.39961000000000002</v>
      </c>
      <c r="CO418" s="1">
        <v>31.8</v>
      </c>
      <c r="CP418" s="13">
        <v>0.03</v>
      </c>
      <c r="CQ418" s="13">
        <v>5.9779999999999993E-2</v>
      </c>
      <c r="CW418" s="13">
        <v>0.13</v>
      </c>
      <c r="CY418" s="13">
        <v>1.8659899999999998</v>
      </c>
      <c r="CZ418" s="13">
        <v>1.9641999999999999</v>
      </c>
      <c r="DA418" s="13">
        <v>0.38002999999999992</v>
      </c>
      <c r="DJ418" s="1" t="s">
        <v>96</v>
      </c>
      <c r="DL418" s="1">
        <f t="shared" si="717"/>
        <v>0.13444305381727156</v>
      </c>
      <c r="DM418" s="1">
        <f t="shared" si="718"/>
        <v>0</v>
      </c>
      <c r="DN418" s="1" t="s">
        <v>73</v>
      </c>
      <c r="DO418" s="1" t="s">
        <v>2</v>
      </c>
      <c r="DP418" s="38">
        <f t="shared" si="725"/>
        <v>0.18642</v>
      </c>
      <c r="DQ418" s="38">
        <f t="shared" si="726"/>
        <v>59.157488000000008</v>
      </c>
      <c r="DR418" s="38">
        <f t="shared" si="727"/>
        <v>0</v>
      </c>
      <c r="DS418" s="38">
        <f t="shared" si="728"/>
        <v>0</v>
      </c>
      <c r="DT418" s="38">
        <f t="shared" si="729"/>
        <v>0</v>
      </c>
      <c r="DU418" s="38">
        <f t="shared" si="730"/>
        <v>0</v>
      </c>
      <c r="DV418" s="38">
        <f t="shared" si="731"/>
        <v>0</v>
      </c>
      <c r="DW418" s="38">
        <f t="shared" si="732"/>
        <v>0.64451999999999998</v>
      </c>
      <c r="DX418" s="38">
        <f t="shared" si="733"/>
        <v>0</v>
      </c>
      <c r="DY418" s="38">
        <f t="shared" si="734"/>
        <v>1046.6008280000001</v>
      </c>
      <c r="DZ418" s="38">
        <f t="shared" si="735"/>
        <v>910.83920799999987</v>
      </c>
      <c r="EA418" s="38">
        <f t="shared" si="736"/>
        <v>160.49447600000002</v>
      </c>
      <c r="EB418" s="38">
        <f t="shared" si="737"/>
        <v>0</v>
      </c>
      <c r="EC418" s="38">
        <f t="shared" si="738"/>
        <v>0</v>
      </c>
      <c r="ED418" s="38">
        <f t="shared" si="739"/>
        <v>0</v>
      </c>
      <c r="EE418" s="38">
        <f t="shared" si="740"/>
        <v>0</v>
      </c>
      <c r="EG418" s="38">
        <f t="shared" si="741"/>
        <v>0</v>
      </c>
      <c r="EH418" s="38">
        <f t="shared" si="742"/>
        <v>0</v>
      </c>
      <c r="EI418" s="38">
        <f t="shared" si="743"/>
        <v>1216.5053347200001</v>
      </c>
      <c r="EJ418" s="38">
        <f t="shared" si="744"/>
        <v>2419.5602809003217</v>
      </c>
      <c r="EK418" s="38">
        <f t="shared" si="745"/>
        <v>0</v>
      </c>
      <c r="EL418" s="38">
        <f t="shared" si="746"/>
        <v>0</v>
      </c>
      <c r="EM418" s="38">
        <f t="shared" si="747"/>
        <v>0</v>
      </c>
      <c r="EN418" s="38">
        <f t="shared" si="748"/>
        <v>0</v>
      </c>
      <c r="EO418" s="38">
        <f t="shared" si="749"/>
        <v>0</v>
      </c>
      <c r="EP418" s="38">
        <f t="shared" si="750"/>
        <v>8452.235279999999</v>
      </c>
      <c r="EQ418" s="38">
        <f t="shared" si="751"/>
        <v>0</v>
      </c>
      <c r="ER418" s="38">
        <f t="shared" si="752"/>
        <v>29703.944914549193</v>
      </c>
      <c r="ES418" s="38">
        <f t="shared" si="753"/>
        <v>30354.375573872665</v>
      </c>
      <c r="ET418" s="38">
        <f t="shared" si="754"/>
        <v>11483.870014237946</v>
      </c>
      <c r="EU418" s="38">
        <f t="shared" si="755"/>
        <v>0</v>
      </c>
      <c r="EV418" s="38">
        <f t="shared" si="756"/>
        <v>0</v>
      </c>
      <c r="EW418" s="38">
        <f t="shared" si="757"/>
        <v>0</v>
      </c>
      <c r="EX418" s="38">
        <f t="shared" si="758"/>
        <v>0</v>
      </c>
      <c r="EZ418" s="38">
        <f t="shared" si="759"/>
        <v>0</v>
      </c>
      <c r="FA418" s="38">
        <f t="shared" si="760"/>
        <v>0</v>
      </c>
      <c r="FB418" s="1">
        <f t="shared" si="761"/>
        <v>1.4279999999999999E-2</v>
      </c>
      <c r="FC418" s="1">
        <f t="shared" si="762"/>
        <v>2.8941919999999999</v>
      </c>
      <c r="FD418" s="1">
        <f t="shared" si="763"/>
        <v>0</v>
      </c>
      <c r="FE418" s="1">
        <f t="shared" si="764"/>
        <v>0</v>
      </c>
      <c r="FF418" s="1">
        <f t="shared" si="765"/>
        <v>0</v>
      </c>
      <c r="FG418" s="1">
        <f t="shared" si="766"/>
        <v>0</v>
      </c>
      <c r="FH418" s="1">
        <f t="shared" si="767"/>
        <v>0</v>
      </c>
      <c r="FI418" s="1">
        <f t="shared" si="768"/>
        <v>6.1880000000000004E-2</v>
      </c>
      <c r="FJ418" s="1">
        <f t="shared" si="769"/>
        <v>0</v>
      </c>
      <c r="FK418" s="1">
        <f t="shared" si="770"/>
        <v>90.340136000000001</v>
      </c>
      <c r="FL418" s="1">
        <f t="shared" si="771"/>
        <v>95.094880000000003</v>
      </c>
      <c r="FM418" s="1">
        <f t="shared" si="772"/>
        <v>18.398792</v>
      </c>
      <c r="FN418" s="1">
        <f t="shared" si="773"/>
        <v>0</v>
      </c>
      <c r="FO418" s="1">
        <f t="shared" si="774"/>
        <v>0</v>
      </c>
      <c r="FP418" s="1">
        <f t="shared" si="775"/>
        <v>0</v>
      </c>
      <c r="FQ418" s="1">
        <f t="shared" si="776"/>
        <v>0</v>
      </c>
      <c r="FS418" s="1">
        <f t="shared" si="777"/>
        <v>0</v>
      </c>
      <c r="FT418" s="1">
        <f t="shared" si="778"/>
        <v>0</v>
      </c>
      <c r="FU418" s="38">
        <f t="shared" si="779"/>
        <v>93.185796479999993</v>
      </c>
      <c r="FV418" s="38">
        <f t="shared" si="780"/>
        <v>118.37338340836011</v>
      </c>
      <c r="FW418" s="38">
        <f t="shared" si="781"/>
        <v>0</v>
      </c>
      <c r="FX418" s="38">
        <f t="shared" si="782"/>
        <v>0</v>
      </c>
      <c r="FY418" s="38">
        <f t="shared" si="783"/>
        <v>0</v>
      </c>
      <c r="FZ418" s="38">
        <f t="shared" si="784"/>
        <v>0</v>
      </c>
      <c r="GA418" s="38">
        <f t="shared" si="785"/>
        <v>0</v>
      </c>
      <c r="GB418" s="38">
        <f t="shared" si="786"/>
        <v>811.49432000000002</v>
      </c>
      <c r="GC418" s="38">
        <f t="shared" si="787"/>
        <v>0</v>
      </c>
      <c r="GD418" s="38">
        <f t="shared" si="788"/>
        <v>2563.9750624360122</v>
      </c>
      <c r="GE418" s="38">
        <f t="shared" si="789"/>
        <v>3169.105674546624</v>
      </c>
      <c r="GF418" s="38">
        <f t="shared" si="790"/>
        <v>1316.4897696977494</v>
      </c>
      <c r="GG418" s="38">
        <f t="shared" si="791"/>
        <v>0</v>
      </c>
      <c r="GH418" s="38">
        <f t="shared" si="792"/>
        <v>0</v>
      </c>
      <c r="GI418" s="38">
        <f t="shared" si="793"/>
        <v>0</v>
      </c>
      <c r="GJ418" s="38">
        <f t="shared" si="794"/>
        <v>0</v>
      </c>
      <c r="GL418" s="38">
        <f t="shared" si="795"/>
        <v>0</v>
      </c>
      <c r="GM418" s="38">
        <f t="shared" si="796"/>
        <v>0</v>
      </c>
      <c r="GN418" s="1" t="s">
        <v>2</v>
      </c>
      <c r="GO418" s="1">
        <f t="shared" si="719"/>
        <v>479.40000000000003</v>
      </c>
      <c r="GP418" s="13">
        <f t="shared" si="720"/>
        <v>0.13444305381727156</v>
      </c>
      <c r="GQ418" s="41">
        <f t="shared" si="721"/>
        <v>644.52</v>
      </c>
      <c r="GR418" s="41">
        <f t="shared" si="722"/>
        <v>83630.491398280137</v>
      </c>
      <c r="GS418" s="14">
        <f t="shared" si="723"/>
        <v>174.44825072649172</v>
      </c>
      <c r="GT418" s="1">
        <f t="shared" si="797"/>
        <v>138.88000000000002</v>
      </c>
      <c r="GU418" s="1">
        <f t="shared" si="798"/>
        <v>211.24000000000004</v>
      </c>
      <c r="GV418" s="1">
        <f t="shared" si="799"/>
        <v>294.39999999999998</v>
      </c>
      <c r="GW418" s="37">
        <f t="shared" si="724"/>
        <v>47.6</v>
      </c>
      <c r="GX418" s="37">
        <f>(BT418*CB418+CO418*CW418)/GW418</f>
        <v>0.13</v>
      </c>
      <c r="GY418" s="41">
        <f>1000*GW418*GX418/100</f>
        <v>61.88</v>
      </c>
      <c r="GZ418" s="41">
        <f>SUM(FU418:GM418)</f>
        <v>8072.6240065687462</v>
      </c>
      <c r="HA418" s="14">
        <f>GZ418/GW418</f>
        <v>169.59294131446944</v>
      </c>
      <c r="HB418" s="1">
        <f t="shared" si="800"/>
        <v>20.540000000000006</v>
      </c>
      <c r="HC418" s="1">
        <f t="shared" si="801"/>
        <v>41.34</v>
      </c>
      <c r="HD418" s="37" t="s">
        <v>2</v>
      </c>
      <c r="HE418" s="1" t="s">
        <v>113</v>
      </c>
      <c r="HF418" s="1" t="s">
        <v>261</v>
      </c>
      <c r="HG418" s="1" t="s">
        <v>589</v>
      </c>
      <c r="HH418" s="1" t="s">
        <v>1194</v>
      </c>
      <c r="HI418" s="1" t="s">
        <v>96</v>
      </c>
      <c r="HJ418" s="37" t="s">
        <v>2</v>
      </c>
      <c r="JH418" s="58" t="s">
        <v>2</v>
      </c>
    </row>
    <row r="419" spans="1:268" ht="16.25" customHeight="1" x14ac:dyDescent="0.2">
      <c r="A419" s="15" t="s">
        <v>1245</v>
      </c>
      <c r="F419" s="1" t="s">
        <v>1009</v>
      </c>
      <c r="I419" s="1">
        <v>21.2</v>
      </c>
      <c r="J419" s="13">
        <v>2.9148595329822911E-2</v>
      </c>
      <c r="K419" s="13">
        <v>5.6096699999999999E-2</v>
      </c>
      <c r="Q419" s="13">
        <v>0.11240231217618901</v>
      </c>
      <c r="S419" s="13">
        <v>1.9977501000000002</v>
      </c>
      <c r="T419" s="13">
        <v>1.7613503000000001</v>
      </c>
      <c r="U419" s="13">
        <v>0.35968636000000004</v>
      </c>
      <c r="AD419" s="1">
        <v>0</v>
      </c>
      <c r="AY419" s="1">
        <v>0</v>
      </c>
      <c r="BT419" s="1">
        <v>11.9</v>
      </c>
      <c r="BU419" s="13">
        <v>2.9148595329822911E-2</v>
      </c>
      <c r="BV419" s="13">
        <v>7.0715840000000002E-2</v>
      </c>
      <c r="CB419" s="13">
        <v>0.11240231217618901</v>
      </c>
      <c r="CD419" s="13">
        <v>1.9834464000000001</v>
      </c>
      <c r="CE419" s="13">
        <v>1.7487392000000002</v>
      </c>
      <c r="CF419" s="13">
        <v>0.35711104000000005</v>
      </c>
      <c r="CO419" s="1">
        <v>0</v>
      </c>
      <c r="DL419" s="1">
        <f t="shared" si="717"/>
        <v>0.11240231217618901</v>
      </c>
      <c r="DM419" s="1">
        <f t="shared" si="718"/>
        <v>0</v>
      </c>
      <c r="DN419" s="1" t="s">
        <v>73</v>
      </c>
      <c r="DO419" s="1" t="s">
        <v>2</v>
      </c>
      <c r="DP419" s="38">
        <f t="shared" si="725"/>
        <v>6.1795022099224569E-3</v>
      </c>
      <c r="DQ419" s="38">
        <f t="shared" si="726"/>
        <v>1.1892500399999999</v>
      </c>
      <c r="DR419" s="38">
        <f t="shared" si="727"/>
        <v>0</v>
      </c>
      <c r="DS419" s="38">
        <f t="shared" si="728"/>
        <v>0</v>
      </c>
      <c r="DT419" s="38">
        <f t="shared" si="729"/>
        <v>0</v>
      </c>
      <c r="DU419" s="38">
        <f t="shared" si="730"/>
        <v>0</v>
      </c>
      <c r="DV419" s="38">
        <f t="shared" si="731"/>
        <v>0</v>
      </c>
      <c r="DW419" s="38">
        <f t="shared" si="732"/>
        <v>2.3829290181352068E-2</v>
      </c>
      <c r="DX419" s="38">
        <f t="shared" si="733"/>
        <v>0</v>
      </c>
      <c r="DY419" s="38">
        <f t="shared" si="734"/>
        <v>42.352302120000004</v>
      </c>
      <c r="DZ419" s="38">
        <f t="shared" si="735"/>
        <v>37.340626360000002</v>
      </c>
      <c r="EA419" s="38">
        <f t="shared" si="736"/>
        <v>7.6253508320000005</v>
      </c>
      <c r="EB419" s="38">
        <f t="shared" si="737"/>
        <v>0</v>
      </c>
      <c r="EC419" s="38">
        <f t="shared" si="738"/>
        <v>0</v>
      </c>
      <c r="ED419" s="38">
        <f t="shared" si="739"/>
        <v>0</v>
      </c>
      <c r="EE419" s="38">
        <f t="shared" si="740"/>
        <v>0</v>
      </c>
      <c r="EG419" s="38">
        <f t="shared" si="741"/>
        <v>0</v>
      </c>
      <c r="EH419" s="38">
        <f t="shared" si="742"/>
        <v>0</v>
      </c>
      <c r="EI419" s="38">
        <f t="shared" si="743"/>
        <v>40.325058493105345</v>
      </c>
      <c r="EJ419" s="38">
        <f t="shared" si="744"/>
        <v>48.64070903151125</v>
      </c>
      <c r="EK419" s="38">
        <f t="shared" si="745"/>
        <v>0</v>
      </c>
      <c r="EL419" s="38">
        <f t="shared" si="746"/>
        <v>0</v>
      </c>
      <c r="EM419" s="38">
        <f t="shared" si="747"/>
        <v>0</v>
      </c>
      <c r="EN419" s="38">
        <f t="shared" si="748"/>
        <v>0</v>
      </c>
      <c r="EO419" s="38">
        <f t="shared" si="749"/>
        <v>0</v>
      </c>
      <c r="EP419" s="38">
        <f t="shared" si="750"/>
        <v>312.49731143825102</v>
      </c>
      <c r="EQ419" s="38">
        <f t="shared" si="751"/>
        <v>0</v>
      </c>
      <c r="ER419" s="38">
        <f t="shared" si="752"/>
        <v>1202.0155302006174</v>
      </c>
      <c r="ES419" s="38">
        <f t="shared" si="753"/>
        <v>1244.4033883696079</v>
      </c>
      <c r="ET419" s="38">
        <f t="shared" si="754"/>
        <v>545.6171449019165</v>
      </c>
      <c r="EU419" s="38">
        <f t="shared" si="755"/>
        <v>0</v>
      </c>
      <c r="EV419" s="38">
        <f t="shared" si="756"/>
        <v>0</v>
      </c>
      <c r="EW419" s="38">
        <f t="shared" si="757"/>
        <v>0</v>
      </c>
      <c r="EX419" s="38">
        <f t="shared" si="758"/>
        <v>0</v>
      </c>
      <c r="EZ419" s="38">
        <f t="shared" si="759"/>
        <v>0</v>
      </c>
      <c r="FA419" s="38">
        <f t="shared" si="760"/>
        <v>0</v>
      </c>
      <c r="FB419" s="1">
        <f t="shared" si="761"/>
        <v>3.4686828442489267E-3</v>
      </c>
      <c r="FC419" s="1">
        <f t="shared" si="762"/>
        <v>0.84151849600000006</v>
      </c>
      <c r="FD419" s="1">
        <f t="shared" si="763"/>
        <v>0</v>
      </c>
      <c r="FE419" s="1">
        <f t="shared" si="764"/>
        <v>0</v>
      </c>
      <c r="FF419" s="1">
        <f t="shared" si="765"/>
        <v>0</v>
      </c>
      <c r="FG419" s="1">
        <f t="shared" si="766"/>
        <v>0</v>
      </c>
      <c r="FH419" s="1">
        <f t="shared" si="767"/>
        <v>0</v>
      </c>
      <c r="FI419" s="1">
        <f t="shared" si="768"/>
        <v>1.3375875148966493E-2</v>
      </c>
      <c r="FJ419" s="1">
        <f t="shared" si="769"/>
        <v>0</v>
      </c>
      <c r="FK419" s="1">
        <f t="shared" si="770"/>
        <v>23.603012160000002</v>
      </c>
      <c r="FL419" s="1">
        <f t="shared" si="771"/>
        <v>20.809996480000002</v>
      </c>
      <c r="FM419" s="1">
        <f t="shared" si="772"/>
        <v>4.2496213760000003</v>
      </c>
      <c r="FN419" s="1">
        <f t="shared" si="773"/>
        <v>0</v>
      </c>
      <c r="FO419" s="1">
        <f t="shared" si="774"/>
        <v>0</v>
      </c>
      <c r="FP419" s="1">
        <f t="shared" si="775"/>
        <v>0</v>
      </c>
      <c r="FQ419" s="1">
        <f t="shared" si="776"/>
        <v>0</v>
      </c>
      <c r="FS419" s="1">
        <f t="shared" si="777"/>
        <v>0</v>
      </c>
      <c r="FT419" s="1">
        <f t="shared" si="778"/>
        <v>0</v>
      </c>
      <c r="FU419" s="38">
        <f t="shared" si="779"/>
        <v>22.635292267356302</v>
      </c>
      <c r="FV419" s="38">
        <f t="shared" si="780"/>
        <v>34.418377071125406</v>
      </c>
      <c r="FW419" s="38">
        <f t="shared" si="781"/>
        <v>0</v>
      </c>
      <c r="FX419" s="38">
        <f t="shared" si="782"/>
        <v>0</v>
      </c>
      <c r="FY419" s="38">
        <f t="shared" si="783"/>
        <v>0</v>
      </c>
      <c r="FZ419" s="38">
        <f t="shared" si="784"/>
        <v>0</v>
      </c>
      <c r="GA419" s="38">
        <f t="shared" si="785"/>
        <v>0</v>
      </c>
      <c r="GB419" s="38">
        <f t="shared" si="786"/>
        <v>175.41122670354659</v>
      </c>
      <c r="GC419" s="38">
        <f t="shared" si="787"/>
        <v>0</v>
      </c>
      <c r="GD419" s="38">
        <f t="shared" si="788"/>
        <v>669.88536055130544</v>
      </c>
      <c r="GE419" s="38">
        <f t="shared" si="789"/>
        <v>693.50818815969149</v>
      </c>
      <c r="GF419" s="38">
        <f t="shared" si="790"/>
        <v>304.07339061134411</v>
      </c>
      <c r="GG419" s="38">
        <f t="shared" si="791"/>
        <v>0</v>
      </c>
      <c r="GH419" s="38">
        <f t="shared" si="792"/>
        <v>0</v>
      </c>
      <c r="GI419" s="38">
        <f t="shared" si="793"/>
        <v>0</v>
      </c>
      <c r="GJ419" s="38">
        <f t="shared" si="794"/>
        <v>0</v>
      </c>
      <c r="GL419" s="38">
        <f t="shared" si="795"/>
        <v>0</v>
      </c>
      <c r="GM419" s="38">
        <f t="shared" si="796"/>
        <v>0</v>
      </c>
      <c r="GN419" s="1" t="s">
        <v>2</v>
      </c>
      <c r="GO419" s="1">
        <f t="shared" si="719"/>
        <v>21.2</v>
      </c>
      <c r="GP419" s="13">
        <f t="shared" si="720"/>
        <v>0.11240231217618901</v>
      </c>
      <c r="GQ419" s="41">
        <f t="shared" si="721"/>
        <v>23.829290181352071</v>
      </c>
      <c r="GR419" s="41">
        <f t="shared" si="722"/>
        <v>3393.4991424350096</v>
      </c>
      <c r="GS419" s="14">
        <f t="shared" si="723"/>
        <v>160.07071426580234</v>
      </c>
      <c r="GT419" s="1">
        <f t="shared" si="797"/>
        <v>23.829290181352071</v>
      </c>
      <c r="GU419" s="1">
        <f t="shared" si="798"/>
        <v>0</v>
      </c>
      <c r="GV419" s="1">
        <f t="shared" si="799"/>
        <v>0</v>
      </c>
      <c r="GW419" s="37">
        <f t="shared" si="724"/>
        <v>11.9</v>
      </c>
      <c r="GX419" s="44">
        <f>(BT419*CB419+CO419*CW419)/GW419</f>
        <v>0.112402312176189</v>
      </c>
      <c r="GY419" s="41">
        <f>1000*GW419*GX419/100</f>
        <v>13.375875148966491</v>
      </c>
      <c r="GZ419" s="41">
        <f>SUM(FU419:GM419)</f>
        <v>1899.9318353643694</v>
      </c>
      <c r="HA419" s="14">
        <f>GZ419/GW419</f>
        <v>159.65813742557725</v>
      </c>
      <c r="HB419" s="1">
        <f t="shared" si="800"/>
        <v>13.375875148966493</v>
      </c>
      <c r="HC419" s="1">
        <f t="shared" si="801"/>
        <v>0</v>
      </c>
      <c r="HD419" s="37" t="s">
        <v>2</v>
      </c>
      <c r="HE419" s="1" t="s">
        <v>113</v>
      </c>
      <c r="HF419" s="1" t="s">
        <v>261</v>
      </c>
      <c r="HG419" s="1" t="s">
        <v>589</v>
      </c>
      <c r="HH419" s="1" t="s">
        <v>1194</v>
      </c>
      <c r="HI419" s="1" t="s">
        <v>96</v>
      </c>
      <c r="HJ419" s="37" t="s">
        <v>2</v>
      </c>
      <c r="JH419" s="58" t="s">
        <v>2</v>
      </c>
    </row>
    <row r="420" spans="1:268" ht="16.25" customHeight="1" x14ac:dyDescent="0.2">
      <c r="A420" s="15" t="s">
        <v>1246</v>
      </c>
      <c r="F420" s="1" t="s">
        <v>1215</v>
      </c>
      <c r="I420" s="1">
        <v>0</v>
      </c>
      <c r="AD420" s="1">
        <v>49.6</v>
      </c>
      <c r="AE420" s="13">
        <v>2.7E-2</v>
      </c>
      <c r="AF420" s="13">
        <v>0.16</v>
      </c>
      <c r="AL420" s="13">
        <v>0.08</v>
      </c>
      <c r="AN420" s="13">
        <v>2.2000000000000002</v>
      </c>
      <c r="AO420" s="13">
        <v>1.51</v>
      </c>
      <c r="AP420" s="13">
        <v>0.3</v>
      </c>
      <c r="AQ420" s="13"/>
      <c r="AR420" s="13"/>
      <c r="AY420" s="1">
        <v>71.900000000000006</v>
      </c>
      <c r="AZ420" s="13">
        <v>9.5000000000000001E-2</v>
      </c>
      <c r="BA420" s="13">
        <v>0.16</v>
      </c>
      <c r="BG420" s="13">
        <v>0.128</v>
      </c>
      <c r="BI420" s="13">
        <v>1.9699999999999998</v>
      </c>
      <c r="BJ420" s="13">
        <v>1.38</v>
      </c>
      <c r="BK420" s="13">
        <v>0.25</v>
      </c>
      <c r="BT420" s="1">
        <v>0</v>
      </c>
      <c r="CO420" s="1">
        <v>44.1</v>
      </c>
      <c r="CP420" s="13">
        <v>2.7E-2</v>
      </c>
      <c r="CQ420" s="13">
        <v>0.12692000000000001</v>
      </c>
      <c r="CW420" s="13">
        <v>0.08</v>
      </c>
      <c r="CY420" s="13">
        <v>1.76352</v>
      </c>
      <c r="CZ420" s="13">
        <v>1.2090799999999999</v>
      </c>
      <c r="DA420" s="13">
        <v>0.24047999999999997</v>
      </c>
      <c r="DJ420" s="1" t="s">
        <v>96</v>
      </c>
      <c r="DL420" s="1">
        <f t="shared" si="717"/>
        <v>0.10840493827160494</v>
      </c>
      <c r="DM420" s="1">
        <f t="shared" si="718"/>
        <v>0</v>
      </c>
      <c r="DN420" s="1" t="s">
        <v>1216</v>
      </c>
      <c r="DO420" s="1" t="s">
        <v>2</v>
      </c>
      <c r="DP420" s="38">
        <f t="shared" si="725"/>
        <v>8.1697000000000006E-2</v>
      </c>
      <c r="DQ420" s="38">
        <f t="shared" si="726"/>
        <v>19.440000000000001</v>
      </c>
      <c r="DR420" s="38">
        <f t="shared" si="727"/>
        <v>0</v>
      </c>
      <c r="DS420" s="38">
        <f t="shared" si="728"/>
        <v>0</v>
      </c>
      <c r="DT420" s="38">
        <f t="shared" si="729"/>
        <v>0</v>
      </c>
      <c r="DU420" s="38">
        <f t="shared" si="730"/>
        <v>0</v>
      </c>
      <c r="DV420" s="38">
        <f t="shared" si="731"/>
        <v>0</v>
      </c>
      <c r="DW420" s="38">
        <f t="shared" si="732"/>
        <v>0.131712</v>
      </c>
      <c r="DX420" s="38">
        <f t="shared" si="733"/>
        <v>0</v>
      </c>
      <c r="DY420" s="38">
        <f t="shared" si="734"/>
        <v>250.76300000000003</v>
      </c>
      <c r="DZ420" s="38">
        <f t="shared" si="735"/>
        <v>174.11799999999999</v>
      </c>
      <c r="EA420" s="38">
        <f t="shared" si="736"/>
        <v>32.855000000000004</v>
      </c>
      <c r="EB420" s="38">
        <f t="shared" si="737"/>
        <v>0</v>
      </c>
      <c r="EC420" s="38">
        <f t="shared" si="738"/>
        <v>0</v>
      </c>
      <c r="ED420" s="38">
        <f t="shared" si="739"/>
        <v>0</v>
      </c>
      <c r="EE420" s="38">
        <f t="shared" si="740"/>
        <v>0</v>
      </c>
      <c r="EG420" s="38">
        <f t="shared" si="741"/>
        <v>0</v>
      </c>
      <c r="EH420" s="38">
        <f t="shared" si="742"/>
        <v>0</v>
      </c>
      <c r="EI420" s="38">
        <f t="shared" si="743"/>
        <v>533.12325035200001</v>
      </c>
      <c r="EJ420" s="38">
        <f t="shared" si="744"/>
        <v>795.10225080385851</v>
      </c>
      <c r="EK420" s="38">
        <f t="shared" si="745"/>
        <v>0</v>
      </c>
      <c r="EL420" s="38">
        <f t="shared" si="746"/>
        <v>0</v>
      </c>
      <c r="EM420" s="38">
        <f t="shared" si="747"/>
        <v>0</v>
      </c>
      <c r="EN420" s="38">
        <f t="shared" si="748"/>
        <v>0</v>
      </c>
      <c r="EO420" s="38">
        <f t="shared" si="749"/>
        <v>0</v>
      </c>
      <c r="EP420" s="38">
        <f t="shared" si="750"/>
        <v>1727.271168</v>
      </c>
      <c r="EQ420" s="38">
        <f t="shared" si="751"/>
        <v>0</v>
      </c>
      <c r="ER420" s="38">
        <f t="shared" si="752"/>
        <v>7116.9925909967842</v>
      </c>
      <c r="ES420" s="38">
        <f t="shared" si="753"/>
        <v>5802.6083196141481</v>
      </c>
      <c r="ET420" s="38">
        <f t="shared" si="754"/>
        <v>2350.8756109324763</v>
      </c>
      <c r="EU420" s="38">
        <f t="shared" si="755"/>
        <v>0</v>
      </c>
      <c r="EV420" s="38">
        <f t="shared" si="756"/>
        <v>0</v>
      </c>
      <c r="EW420" s="38">
        <f t="shared" si="757"/>
        <v>0</v>
      </c>
      <c r="EX420" s="38">
        <f t="shared" si="758"/>
        <v>0</v>
      </c>
      <c r="EZ420" s="38">
        <f t="shared" si="759"/>
        <v>0</v>
      </c>
      <c r="FA420" s="38">
        <f t="shared" si="760"/>
        <v>0</v>
      </c>
      <c r="FB420" s="1">
        <f t="shared" si="761"/>
        <v>1.1907000000000001E-2</v>
      </c>
      <c r="FC420" s="1">
        <f t="shared" si="762"/>
        <v>5.5971720000000005</v>
      </c>
      <c r="FD420" s="1">
        <f t="shared" si="763"/>
        <v>0</v>
      </c>
      <c r="FE420" s="1">
        <f t="shared" si="764"/>
        <v>0</v>
      </c>
      <c r="FF420" s="1">
        <f t="shared" si="765"/>
        <v>0</v>
      </c>
      <c r="FG420" s="1">
        <f t="shared" si="766"/>
        <v>0</v>
      </c>
      <c r="FH420" s="1">
        <f t="shared" si="767"/>
        <v>0</v>
      </c>
      <c r="FI420" s="1">
        <f t="shared" si="768"/>
        <v>3.5279999999999999E-2</v>
      </c>
      <c r="FJ420" s="1">
        <f t="shared" si="769"/>
        <v>0</v>
      </c>
      <c r="FK420" s="1">
        <f t="shared" si="770"/>
        <v>77.771231999999998</v>
      </c>
      <c r="FL420" s="1">
        <f t="shared" si="771"/>
        <v>53.320428</v>
      </c>
      <c r="FM420" s="1">
        <f t="shared" si="772"/>
        <v>10.605167999999999</v>
      </c>
      <c r="FN420" s="1">
        <f t="shared" si="773"/>
        <v>0</v>
      </c>
      <c r="FO420" s="1">
        <f t="shared" si="774"/>
        <v>0</v>
      </c>
      <c r="FP420" s="1">
        <f t="shared" si="775"/>
        <v>0</v>
      </c>
      <c r="FQ420" s="1">
        <f t="shared" si="776"/>
        <v>0</v>
      </c>
      <c r="FS420" s="1">
        <f t="shared" si="777"/>
        <v>0</v>
      </c>
      <c r="FT420" s="1">
        <f t="shared" si="778"/>
        <v>0</v>
      </c>
      <c r="FU420" s="38">
        <f t="shared" si="779"/>
        <v>77.700509711999999</v>
      </c>
      <c r="FV420" s="38">
        <f t="shared" si="780"/>
        <v>228.92613453376208</v>
      </c>
      <c r="FW420" s="38">
        <f t="shared" si="781"/>
        <v>0</v>
      </c>
      <c r="FX420" s="38">
        <f t="shared" si="782"/>
        <v>0</v>
      </c>
      <c r="FY420" s="38">
        <f t="shared" si="783"/>
        <v>0</v>
      </c>
      <c r="FZ420" s="38">
        <f t="shared" si="784"/>
        <v>0</v>
      </c>
      <c r="GA420" s="38">
        <f t="shared" si="785"/>
        <v>0</v>
      </c>
      <c r="GB420" s="38">
        <f t="shared" si="786"/>
        <v>462.66192000000001</v>
      </c>
      <c r="GC420" s="38">
        <f t="shared" si="787"/>
        <v>0</v>
      </c>
      <c r="GD420" s="38">
        <f t="shared" si="788"/>
        <v>2207.2525928334403</v>
      </c>
      <c r="GE420" s="38">
        <f t="shared" si="789"/>
        <v>1776.9418389723473</v>
      </c>
      <c r="GF420" s="38">
        <f t="shared" si="790"/>
        <v>758.832165607717</v>
      </c>
      <c r="GG420" s="38">
        <f t="shared" si="791"/>
        <v>0</v>
      </c>
      <c r="GH420" s="38">
        <f t="shared" si="792"/>
        <v>0</v>
      </c>
      <c r="GI420" s="38">
        <f t="shared" si="793"/>
        <v>0</v>
      </c>
      <c r="GJ420" s="38">
        <f t="shared" si="794"/>
        <v>0</v>
      </c>
      <c r="GL420" s="38">
        <f t="shared" si="795"/>
        <v>0</v>
      </c>
      <c r="GM420" s="38">
        <f t="shared" si="796"/>
        <v>0</v>
      </c>
      <c r="GN420" s="1" t="s">
        <v>2</v>
      </c>
      <c r="GO420" s="1">
        <f t="shared" si="719"/>
        <v>121.5</v>
      </c>
      <c r="GP420" s="13">
        <f t="shared" si="720"/>
        <v>0.10840493827160494</v>
      </c>
      <c r="GQ420" s="41">
        <f t="shared" si="721"/>
        <v>131.71200000000002</v>
      </c>
      <c r="GR420" s="41">
        <f t="shared" si="722"/>
        <v>18325.973190699267</v>
      </c>
      <c r="GS420" s="14">
        <f t="shared" si="723"/>
        <v>150.83105506748367</v>
      </c>
      <c r="GT420" s="1">
        <f t="shared" si="797"/>
        <v>0</v>
      </c>
      <c r="GU420" s="1">
        <f t="shared" si="798"/>
        <v>39.680000000000007</v>
      </c>
      <c r="GV420" s="1">
        <f t="shared" si="799"/>
        <v>92.032000000000011</v>
      </c>
      <c r="GW420" s="37">
        <f t="shared" si="724"/>
        <v>44.1</v>
      </c>
      <c r="GX420" s="45">
        <f>(BT420*CB420+CO420*CW420)/GW420</f>
        <v>0.08</v>
      </c>
      <c r="GY420" s="41">
        <f>1000*GW420*GX420/100</f>
        <v>35.28</v>
      </c>
      <c r="GZ420" s="41">
        <f>SUM(FU420:GM420)</f>
        <v>5512.3151616592659</v>
      </c>
      <c r="HA420" s="14">
        <f>GZ420/GW420</f>
        <v>124.99580865440512</v>
      </c>
      <c r="HB420" s="1">
        <f t="shared" si="800"/>
        <v>0</v>
      </c>
      <c r="HC420" s="1">
        <f t="shared" si="801"/>
        <v>35.28</v>
      </c>
      <c r="HD420" s="37" t="s">
        <v>2</v>
      </c>
      <c r="HE420" s="1" t="s">
        <v>113</v>
      </c>
      <c r="HF420" s="1" t="s">
        <v>261</v>
      </c>
      <c r="HG420" s="1" t="s">
        <v>589</v>
      </c>
      <c r="HH420" s="1" t="s">
        <v>1194</v>
      </c>
      <c r="HI420" s="1" t="s">
        <v>96</v>
      </c>
      <c r="HJ420" s="37" t="s">
        <v>2</v>
      </c>
      <c r="JH420" s="58" t="s">
        <v>2</v>
      </c>
    </row>
    <row r="421" spans="1:268" ht="16.25" customHeight="1" x14ac:dyDescent="0.2">
      <c r="A421" s="15" t="s">
        <v>1247</v>
      </c>
      <c r="F421" s="1" t="s">
        <v>669</v>
      </c>
      <c r="I421" s="14">
        <v>21.341463414634148</v>
      </c>
      <c r="J421" s="13">
        <v>1.5542233663308669E-2</v>
      </c>
      <c r="K421" s="13">
        <v>1.536E-2</v>
      </c>
      <c r="Q421" s="13">
        <v>0.11240231217618901</v>
      </c>
      <c r="S421" s="13">
        <v>2.9145599999999998</v>
      </c>
      <c r="T421" s="13">
        <v>1.33728</v>
      </c>
      <c r="U421" s="13">
        <v>0.53279999999999994</v>
      </c>
      <c r="AD421" s="14">
        <v>147.6829268292683</v>
      </c>
      <c r="AE421" s="13">
        <v>1.5542233663308669E-2</v>
      </c>
      <c r="AF421" s="13">
        <v>1.4719999999999999E-2</v>
      </c>
      <c r="AL421" s="13">
        <v>0.11240231217618901</v>
      </c>
      <c r="AN421" s="13">
        <v>2.7931199999999996</v>
      </c>
      <c r="AO421" s="13">
        <v>1.28156</v>
      </c>
      <c r="AP421" s="13">
        <v>0.51059999999999994</v>
      </c>
      <c r="AQ421" s="13"/>
      <c r="AR421" s="13"/>
      <c r="AY421" s="14">
        <v>21.09756097560976</v>
      </c>
      <c r="AZ421" s="13">
        <v>1.5542233663308669E-2</v>
      </c>
      <c r="BA421" s="13">
        <v>1.5103999999999999E-2</v>
      </c>
      <c r="BG421" s="13">
        <v>0.11240231217618901</v>
      </c>
      <c r="BI421" s="13">
        <v>2.8659839999999996</v>
      </c>
      <c r="BJ421" s="13">
        <v>1.3149919999999999</v>
      </c>
      <c r="BK421" s="13">
        <v>0.52391999999999994</v>
      </c>
      <c r="BT421" s="1">
        <v>0</v>
      </c>
      <c r="CO421" s="1">
        <v>0</v>
      </c>
      <c r="DL421" s="1">
        <f t="shared" si="717"/>
        <v>0.11240231217618901</v>
      </c>
      <c r="DM421" s="1">
        <f t="shared" si="718"/>
        <v>0</v>
      </c>
      <c r="DN421" s="1" t="s">
        <v>73</v>
      </c>
      <c r="DO421" s="1" t="s">
        <v>2</v>
      </c>
      <c r="DP421" s="38">
        <f t="shared" si="725"/>
        <v>2.9549197903778312E-2</v>
      </c>
      <c r="DQ421" s="38">
        <f t="shared" si="726"/>
        <v>2.8203551219512195</v>
      </c>
      <c r="DR421" s="38">
        <f t="shared" si="727"/>
        <v>0</v>
      </c>
      <c r="DS421" s="38">
        <f t="shared" si="728"/>
        <v>0</v>
      </c>
      <c r="DT421" s="38">
        <f t="shared" si="729"/>
        <v>0</v>
      </c>
      <c r="DU421" s="38">
        <f t="shared" si="730"/>
        <v>0</v>
      </c>
      <c r="DV421" s="38">
        <f t="shared" si="731"/>
        <v>0</v>
      </c>
      <c r="DW421" s="38">
        <f t="shared" si="732"/>
        <v>0.2137014691252179</v>
      </c>
      <c r="DX421" s="38">
        <f t="shared" si="733"/>
        <v>0</v>
      </c>
      <c r="DY421" s="38">
        <f t="shared" si="734"/>
        <v>535.16238439024391</v>
      </c>
      <c r="DZ421" s="38">
        <f t="shared" si="735"/>
        <v>245.54716780487806</v>
      </c>
      <c r="EA421" s="38">
        <f t="shared" si="736"/>
        <v>97.831068292682914</v>
      </c>
      <c r="EB421" s="38">
        <f t="shared" si="737"/>
        <v>0</v>
      </c>
      <c r="EC421" s="38">
        <f t="shared" si="738"/>
        <v>0</v>
      </c>
      <c r="ED421" s="38">
        <f t="shared" si="739"/>
        <v>0</v>
      </c>
      <c r="EE421" s="38">
        <f t="shared" si="740"/>
        <v>0</v>
      </c>
      <c r="EG421" s="38">
        <f t="shared" si="741"/>
        <v>0</v>
      </c>
      <c r="EH421" s="38">
        <f t="shared" si="742"/>
        <v>0</v>
      </c>
      <c r="EI421" s="38">
        <f t="shared" si="743"/>
        <v>192.82671862806222</v>
      </c>
      <c r="EJ421" s="38">
        <f t="shared" si="744"/>
        <v>115.35343135440357</v>
      </c>
      <c r="EK421" s="38">
        <f t="shared" si="745"/>
        <v>0</v>
      </c>
      <c r="EL421" s="38">
        <f t="shared" si="746"/>
        <v>0</v>
      </c>
      <c r="EM421" s="38">
        <f t="shared" si="747"/>
        <v>0</v>
      </c>
      <c r="EN421" s="38">
        <f t="shared" si="748"/>
        <v>0</v>
      </c>
      <c r="EO421" s="38">
        <f t="shared" si="749"/>
        <v>0</v>
      </c>
      <c r="EP421" s="38">
        <f t="shared" si="750"/>
        <v>2802.4810661081074</v>
      </c>
      <c r="EQ421" s="38">
        <f t="shared" si="751"/>
        <v>0</v>
      </c>
      <c r="ER421" s="38">
        <f t="shared" si="752"/>
        <v>15188.631196330951</v>
      </c>
      <c r="ES421" s="38">
        <f t="shared" si="753"/>
        <v>8183.0370137623722</v>
      </c>
      <c r="ET421" s="38">
        <f t="shared" si="754"/>
        <v>7000.1117772253147</v>
      </c>
      <c r="EU421" s="38">
        <f t="shared" si="755"/>
        <v>0</v>
      </c>
      <c r="EV421" s="38">
        <f t="shared" si="756"/>
        <v>0</v>
      </c>
      <c r="EW421" s="38">
        <f t="shared" si="757"/>
        <v>0</v>
      </c>
      <c r="EX421" s="38">
        <f t="shared" si="758"/>
        <v>0</v>
      </c>
      <c r="EZ421" s="38">
        <f t="shared" si="759"/>
        <v>0</v>
      </c>
      <c r="FA421" s="38">
        <f t="shared" si="760"/>
        <v>0</v>
      </c>
      <c r="FB421" s="1">
        <f t="shared" si="761"/>
        <v>0</v>
      </c>
      <c r="FC421" s="1">
        <f t="shared" si="762"/>
        <v>0</v>
      </c>
      <c r="FD421" s="1">
        <f t="shared" si="763"/>
        <v>0</v>
      </c>
      <c r="FE421" s="1">
        <f t="shared" si="764"/>
        <v>0</v>
      </c>
      <c r="FF421" s="1">
        <f t="shared" si="765"/>
        <v>0</v>
      </c>
      <c r="FG421" s="1">
        <f t="shared" si="766"/>
        <v>0</v>
      </c>
      <c r="FH421" s="1">
        <f t="shared" si="767"/>
        <v>0</v>
      </c>
      <c r="FI421" s="1">
        <f t="shared" si="768"/>
        <v>0</v>
      </c>
      <c r="FJ421" s="1">
        <f t="shared" si="769"/>
        <v>0</v>
      </c>
      <c r="FK421" s="1">
        <f t="shared" si="770"/>
        <v>0</v>
      </c>
      <c r="FL421" s="1">
        <f t="shared" si="771"/>
        <v>0</v>
      </c>
      <c r="FM421" s="1">
        <f t="shared" si="772"/>
        <v>0</v>
      </c>
      <c r="FN421" s="1">
        <f t="shared" si="773"/>
        <v>0</v>
      </c>
      <c r="FO421" s="1">
        <f t="shared" si="774"/>
        <v>0</v>
      </c>
      <c r="FP421" s="1">
        <f t="shared" si="775"/>
        <v>0</v>
      </c>
      <c r="FQ421" s="1">
        <f t="shared" si="776"/>
        <v>0</v>
      </c>
      <c r="FS421" s="1">
        <f t="shared" si="777"/>
        <v>0</v>
      </c>
      <c r="FT421" s="1">
        <f t="shared" si="778"/>
        <v>0</v>
      </c>
      <c r="FU421" s="38">
        <f t="shared" si="779"/>
        <v>0</v>
      </c>
      <c r="FV421" s="38">
        <f t="shared" si="780"/>
        <v>0</v>
      </c>
      <c r="FW421" s="38">
        <f t="shared" si="781"/>
        <v>0</v>
      </c>
      <c r="FX421" s="38">
        <f t="shared" si="782"/>
        <v>0</v>
      </c>
      <c r="FY421" s="38">
        <f t="shared" si="783"/>
        <v>0</v>
      </c>
      <c r="FZ421" s="38">
        <f t="shared" si="784"/>
        <v>0</v>
      </c>
      <c r="GA421" s="38">
        <f t="shared" si="785"/>
        <v>0</v>
      </c>
      <c r="GB421" s="38">
        <f t="shared" si="786"/>
        <v>0</v>
      </c>
      <c r="GC421" s="38">
        <f t="shared" si="787"/>
        <v>0</v>
      </c>
      <c r="GD421" s="38">
        <f t="shared" si="788"/>
        <v>0</v>
      </c>
      <c r="GE421" s="38">
        <f t="shared" si="789"/>
        <v>0</v>
      </c>
      <c r="GF421" s="38">
        <f t="shared" si="790"/>
        <v>0</v>
      </c>
      <c r="GG421" s="38">
        <f t="shared" si="791"/>
        <v>0</v>
      </c>
      <c r="GH421" s="38">
        <f t="shared" si="792"/>
        <v>0</v>
      </c>
      <c r="GI421" s="38">
        <f t="shared" si="793"/>
        <v>0</v>
      </c>
      <c r="GJ421" s="38">
        <f t="shared" si="794"/>
        <v>0</v>
      </c>
      <c r="GL421" s="38">
        <f t="shared" si="795"/>
        <v>0</v>
      </c>
      <c r="GM421" s="38">
        <f t="shared" si="796"/>
        <v>0</v>
      </c>
      <c r="GN421" s="1" t="s">
        <v>2</v>
      </c>
      <c r="GO421" s="14">
        <f t="shared" si="719"/>
        <v>190.1219512195122</v>
      </c>
      <c r="GP421" s="13">
        <f t="shared" si="720"/>
        <v>0.11240231217618901</v>
      </c>
      <c r="GQ421" s="41">
        <f t="shared" si="721"/>
        <v>213.70146912521793</v>
      </c>
      <c r="GR421" s="41">
        <f t="shared" si="722"/>
        <v>33482.441203409209</v>
      </c>
      <c r="GS421" s="14">
        <f t="shared" si="723"/>
        <v>176.11033859394195</v>
      </c>
      <c r="GT421" s="1">
        <f t="shared" si="797"/>
        <v>23.988298330284241</v>
      </c>
      <c r="GU421" s="1">
        <f t="shared" si="798"/>
        <v>165.99902444556693</v>
      </c>
      <c r="GV421" s="1">
        <f t="shared" si="799"/>
        <v>23.714146349366711</v>
      </c>
      <c r="GW421" s="37">
        <f t="shared" si="724"/>
        <v>0</v>
      </c>
      <c r="GX421" s="37"/>
      <c r="GY421" s="37"/>
      <c r="GZ421" s="37"/>
      <c r="HB421" s="1">
        <f t="shared" si="800"/>
        <v>0</v>
      </c>
      <c r="HC421" s="1">
        <f t="shared" si="801"/>
        <v>0</v>
      </c>
      <c r="HD421" s="37" t="s">
        <v>2</v>
      </c>
      <c r="HE421" s="1" t="s">
        <v>113</v>
      </c>
      <c r="HF421" s="1" t="s">
        <v>261</v>
      </c>
      <c r="HG421" s="1" t="s">
        <v>589</v>
      </c>
      <c r="HH421" s="1" t="s">
        <v>1182</v>
      </c>
      <c r="HI421" s="1" t="s">
        <v>96</v>
      </c>
      <c r="HJ421" s="37" t="s">
        <v>2</v>
      </c>
      <c r="JH421" s="58" t="s">
        <v>2</v>
      </c>
    </row>
    <row r="422" spans="1:268" ht="16.25" customHeight="1" x14ac:dyDescent="0.2">
      <c r="A422" s="15" t="s">
        <v>1249</v>
      </c>
      <c r="F422" s="1" t="s">
        <v>1250</v>
      </c>
      <c r="I422" s="1">
        <v>4.3499999999999996</v>
      </c>
      <c r="J422" s="13">
        <v>7.7000000000000002E-3</v>
      </c>
      <c r="K422" s="13">
        <v>3.328735632183908E-2</v>
      </c>
      <c r="Q422" s="13">
        <v>0.12306206896551723</v>
      </c>
      <c r="S422" s="13">
        <v>3.1031954022988506</v>
      </c>
      <c r="T422" s="13">
        <v>1.416666666666667</v>
      </c>
      <c r="U422" s="13">
        <v>0.60804597701149432</v>
      </c>
      <c r="V422" s="13">
        <v>2.8122534505747129E-2</v>
      </c>
      <c r="W422" s="2">
        <v>4.8881757011494257E-3</v>
      </c>
      <c r="AD422" s="1">
        <v>5.5699999999999994</v>
      </c>
      <c r="AE422" s="13">
        <v>2.6854937163375222E-2</v>
      </c>
      <c r="AF422" s="13">
        <v>7.7307001795332148E-2</v>
      </c>
      <c r="AL422" s="13">
        <v>0.13902800718132854</v>
      </c>
      <c r="AN422" s="13">
        <v>3.5112028725314182</v>
      </c>
      <c r="AO422" s="13">
        <v>1.5075942549371635</v>
      </c>
      <c r="AP422" s="13">
        <v>0.58725314183123878</v>
      </c>
      <c r="AQ422" s="13">
        <v>0.11587212560143627</v>
      </c>
      <c r="AR422" s="2">
        <v>2.0140549874326751E-2</v>
      </c>
      <c r="AY422" s="1">
        <v>5.4399999999999995</v>
      </c>
      <c r="AZ422" s="13">
        <v>4.8637867647058838E-2</v>
      </c>
      <c r="BA422" s="13">
        <v>0.13887867647058827</v>
      </c>
      <c r="BG422" s="13">
        <v>0.16053970588235295</v>
      </c>
      <c r="BI422" s="13">
        <v>4.0003492647058829</v>
      </c>
      <c r="BJ422" s="13">
        <v>1.6913602941176473</v>
      </c>
      <c r="BK422" s="13">
        <v>0.56391544117647063</v>
      </c>
      <c r="BL422" s="13">
        <v>0.22305620091911768</v>
      </c>
      <c r="BM422" s="2">
        <v>3.877096856617647E-2</v>
      </c>
      <c r="BT422" s="1">
        <v>0</v>
      </c>
      <c r="CO422" s="1">
        <v>0</v>
      </c>
      <c r="DJ422" s="1" t="s">
        <v>96</v>
      </c>
      <c r="DL422" s="1">
        <f t="shared" si="717"/>
        <v>0.14212513020833331</v>
      </c>
      <c r="DM422" s="1">
        <f t="shared" si="718"/>
        <v>0</v>
      </c>
      <c r="DN422" s="1" t="s">
        <v>164</v>
      </c>
      <c r="DO422" s="1" t="s">
        <v>2</v>
      </c>
      <c r="DP422" s="38">
        <f t="shared" si="725"/>
        <v>4.4766700000000003E-3</v>
      </c>
      <c r="DQ422" s="38">
        <f t="shared" si="726"/>
        <v>1.3309000000000002</v>
      </c>
      <c r="DR422" s="38">
        <f t="shared" si="727"/>
        <v>0</v>
      </c>
      <c r="DS422" s="38">
        <f t="shared" si="728"/>
        <v>0</v>
      </c>
      <c r="DT422" s="38">
        <f t="shared" si="729"/>
        <v>0</v>
      </c>
      <c r="DU422" s="38">
        <f t="shared" si="730"/>
        <v>0</v>
      </c>
      <c r="DV422" s="38">
        <f t="shared" si="731"/>
        <v>0</v>
      </c>
      <c r="DW422" s="38">
        <f t="shared" si="732"/>
        <v>2.1830419999999996E-2</v>
      </c>
      <c r="DX422" s="38">
        <f t="shared" si="733"/>
        <v>0</v>
      </c>
      <c r="DY422" s="38">
        <f t="shared" si="734"/>
        <v>54.81819999999999</v>
      </c>
      <c r="DZ422" s="38">
        <f t="shared" si="735"/>
        <v>23.7608</v>
      </c>
      <c r="EA422" s="38">
        <f t="shared" si="736"/>
        <v>8.9836999999999989</v>
      </c>
      <c r="EB422" s="38">
        <f t="shared" si="737"/>
        <v>1.9811664976999999</v>
      </c>
      <c r="EC422" s="38">
        <f t="shared" si="738"/>
        <v>0.34436049609999997</v>
      </c>
      <c r="ED422" s="38">
        <f t="shared" si="739"/>
        <v>0</v>
      </c>
      <c r="EE422" s="38">
        <f t="shared" si="740"/>
        <v>0</v>
      </c>
      <c r="EG422" s="38">
        <f t="shared" si="741"/>
        <v>0</v>
      </c>
      <c r="EH422" s="38">
        <f t="shared" si="742"/>
        <v>0</v>
      </c>
      <c r="EI422" s="38">
        <f t="shared" si="743"/>
        <v>29.213029378720002</v>
      </c>
      <c r="EJ422" s="38">
        <f t="shared" si="744"/>
        <v>54.434237942122188</v>
      </c>
      <c r="EK422" s="38">
        <f t="shared" si="745"/>
        <v>0</v>
      </c>
      <c r="EL422" s="38">
        <f t="shared" si="746"/>
        <v>0</v>
      </c>
      <c r="EM422" s="38">
        <f t="shared" si="747"/>
        <v>0</v>
      </c>
      <c r="EN422" s="38">
        <f t="shared" si="748"/>
        <v>0</v>
      </c>
      <c r="EO422" s="38">
        <f t="shared" si="749"/>
        <v>0</v>
      </c>
      <c r="EP422" s="38">
        <f t="shared" si="750"/>
        <v>286.28412787999997</v>
      </c>
      <c r="EQ422" s="38">
        <f t="shared" si="751"/>
        <v>0</v>
      </c>
      <c r="ER422" s="38">
        <f t="shared" si="752"/>
        <v>1555.8145470096456</v>
      </c>
      <c r="ES422" s="38">
        <f t="shared" si="753"/>
        <v>791.84585028938909</v>
      </c>
      <c r="ET422" s="38">
        <f t="shared" si="754"/>
        <v>642.81117717041798</v>
      </c>
      <c r="EU422" s="38">
        <f t="shared" si="755"/>
        <v>15.569675360220479</v>
      </c>
      <c r="EV422" s="38">
        <f t="shared" si="756"/>
        <v>14.319971022226589</v>
      </c>
      <c r="EW422" s="38">
        <f t="shared" si="757"/>
        <v>0</v>
      </c>
      <c r="EX422" s="38">
        <f t="shared" si="758"/>
        <v>0</v>
      </c>
      <c r="EZ422" s="38">
        <f t="shared" si="759"/>
        <v>0</v>
      </c>
      <c r="FA422" s="38">
        <f t="shared" si="760"/>
        <v>0</v>
      </c>
      <c r="FB422" s="1">
        <f t="shared" si="761"/>
        <v>0</v>
      </c>
      <c r="FC422" s="1">
        <f t="shared" si="762"/>
        <v>0</v>
      </c>
      <c r="FD422" s="1">
        <f t="shared" si="763"/>
        <v>0</v>
      </c>
      <c r="FE422" s="1">
        <f t="shared" si="764"/>
        <v>0</v>
      </c>
      <c r="FF422" s="1">
        <f t="shared" si="765"/>
        <v>0</v>
      </c>
      <c r="FG422" s="1">
        <f t="shared" si="766"/>
        <v>0</v>
      </c>
      <c r="FH422" s="1">
        <f t="shared" si="767"/>
        <v>0</v>
      </c>
      <c r="FI422" s="1">
        <f t="shared" si="768"/>
        <v>0</v>
      </c>
      <c r="FJ422" s="1">
        <f t="shared" si="769"/>
        <v>0</v>
      </c>
      <c r="FK422" s="1">
        <f t="shared" si="770"/>
        <v>0</v>
      </c>
      <c r="FL422" s="1">
        <f t="shared" si="771"/>
        <v>0</v>
      </c>
      <c r="FM422" s="1">
        <f t="shared" si="772"/>
        <v>0</v>
      </c>
      <c r="FN422" s="1">
        <f t="shared" si="773"/>
        <v>0</v>
      </c>
      <c r="FO422" s="1">
        <f t="shared" si="774"/>
        <v>0</v>
      </c>
      <c r="FP422" s="1">
        <f t="shared" si="775"/>
        <v>0</v>
      </c>
      <c r="FQ422" s="1">
        <f t="shared" si="776"/>
        <v>0</v>
      </c>
      <c r="FS422" s="1">
        <f t="shared" si="777"/>
        <v>0</v>
      </c>
      <c r="FT422" s="1">
        <f t="shared" si="778"/>
        <v>0</v>
      </c>
      <c r="FU422" s="38">
        <f t="shared" si="779"/>
        <v>0</v>
      </c>
      <c r="FV422" s="38">
        <f t="shared" si="780"/>
        <v>0</v>
      </c>
      <c r="FW422" s="38">
        <f t="shared" si="781"/>
        <v>0</v>
      </c>
      <c r="FX422" s="38">
        <f t="shared" si="782"/>
        <v>0</v>
      </c>
      <c r="FY422" s="38">
        <f t="shared" si="783"/>
        <v>0</v>
      </c>
      <c r="FZ422" s="38">
        <f t="shared" si="784"/>
        <v>0</v>
      </c>
      <c r="GA422" s="38">
        <f t="shared" si="785"/>
        <v>0</v>
      </c>
      <c r="GB422" s="38">
        <f t="shared" si="786"/>
        <v>0</v>
      </c>
      <c r="GC422" s="38">
        <f t="shared" si="787"/>
        <v>0</v>
      </c>
      <c r="GD422" s="38">
        <f t="shared" si="788"/>
        <v>0</v>
      </c>
      <c r="GE422" s="38">
        <f t="shared" si="789"/>
        <v>0</v>
      </c>
      <c r="GF422" s="38">
        <f t="shared" si="790"/>
        <v>0</v>
      </c>
      <c r="GG422" s="38">
        <f t="shared" si="791"/>
        <v>0</v>
      </c>
      <c r="GH422" s="38">
        <f t="shared" si="792"/>
        <v>0</v>
      </c>
      <c r="GI422" s="38">
        <f t="shared" si="793"/>
        <v>0</v>
      </c>
      <c r="GJ422" s="38">
        <f t="shared" si="794"/>
        <v>0</v>
      </c>
      <c r="GL422" s="38">
        <f t="shared" si="795"/>
        <v>0</v>
      </c>
      <c r="GM422" s="38">
        <f t="shared" si="796"/>
        <v>0</v>
      </c>
      <c r="GN422" s="1" t="s">
        <v>2</v>
      </c>
      <c r="GO422" s="1">
        <f t="shared" si="719"/>
        <v>15.359999999999998</v>
      </c>
      <c r="GP422" s="13">
        <f t="shared" si="720"/>
        <v>0.14212513020833331</v>
      </c>
      <c r="GQ422" s="41">
        <f t="shared" si="721"/>
        <v>21.830419999999993</v>
      </c>
      <c r="GR422" s="41">
        <f t="shared" si="722"/>
        <v>3390.2926160527418</v>
      </c>
      <c r="GS422" s="14">
        <f t="shared" si="723"/>
        <v>220.72217552426707</v>
      </c>
      <c r="GT422" s="1">
        <f t="shared" si="797"/>
        <v>5.3531999999999993</v>
      </c>
      <c r="GU422" s="1">
        <f t="shared" si="798"/>
        <v>7.7438599999999989</v>
      </c>
      <c r="GV422" s="1">
        <f t="shared" si="799"/>
        <v>8.7333599999999993</v>
      </c>
      <c r="GW422" s="37">
        <f t="shared" si="724"/>
        <v>0</v>
      </c>
      <c r="GX422" s="37"/>
      <c r="GY422" s="37"/>
      <c r="GZ422" s="37"/>
      <c r="HB422" s="1">
        <f t="shared" si="800"/>
        <v>0</v>
      </c>
      <c r="HC422" s="1">
        <f t="shared" si="801"/>
        <v>0</v>
      </c>
      <c r="HD422" s="37" t="s">
        <v>2</v>
      </c>
      <c r="HE422" s="1" t="s">
        <v>113</v>
      </c>
      <c r="HF422" s="1" t="s">
        <v>261</v>
      </c>
      <c r="HG422" s="1" t="s">
        <v>589</v>
      </c>
      <c r="HH422" s="1" t="s">
        <v>1182</v>
      </c>
      <c r="HI422" s="1" t="s">
        <v>96</v>
      </c>
      <c r="HJ422" s="37" t="s">
        <v>2</v>
      </c>
      <c r="JH422" s="58" t="s">
        <v>2</v>
      </c>
    </row>
    <row r="423" spans="1:268" ht="16.25" customHeight="1" x14ac:dyDescent="0.2">
      <c r="A423" s="15" t="s">
        <v>1251</v>
      </c>
      <c r="F423" s="1" t="s">
        <v>1215</v>
      </c>
      <c r="I423" s="1">
        <v>0</v>
      </c>
      <c r="AD423" s="1">
        <v>0</v>
      </c>
      <c r="AY423" s="1">
        <v>7.6499999999999995</v>
      </c>
      <c r="AZ423" s="13">
        <v>0.03</v>
      </c>
      <c r="BA423" s="13">
        <v>0.12</v>
      </c>
      <c r="BG423" s="13">
        <v>0.05</v>
      </c>
      <c r="BI423" s="13">
        <v>2.9</v>
      </c>
      <c r="BJ423" s="13">
        <v>1.41</v>
      </c>
      <c r="BK423" s="13">
        <v>0.33000000000000007</v>
      </c>
      <c r="BL423" s="13"/>
      <c r="BM423" s="13"/>
      <c r="BT423" s="1">
        <v>0</v>
      </c>
      <c r="CO423" s="1">
        <v>0</v>
      </c>
      <c r="DJ423" s="1" t="s">
        <v>96</v>
      </c>
      <c r="DL423" s="1">
        <f t="shared" si="717"/>
        <v>0.05</v>
      </c>
      <c r="DM423" s="1">
        <f t="shared" si="718"/>
        <v>0</v>
      </c>
      <c r="DN423" s="1" t="s">
        <v>1216</v>
      </c>
      <c r="DO423" s="1" t="s">
        <v>2</v>
      </c>
      <c r="DP423" s="38">
        <f t="shared" si="725"/>
        <v>2.2949999999999997E-3</v>
      </c>
      <c r="DQ423" s="38">
        <f t="shared" si="726"/>
        <v>0.91799999999999993</v>
      </c>
      <c r="DR423" s="38">
        <f t="shared" si="727"/>
        <v>0</v>
      </c>
      <c r="DS423" s="38">
        <f t="shared" si="728"/>
        <v>0</v>
      </c>
      <c r="DT423" s="38">
        <f t="shared" si="729"/>
        <v>0</v>
      </c>
      <c r="DU423" s="38">
        <f t="shared" si="730"/>
        <v>0</v>
      </c>
      <c r="DV423" s="38">
        <f t="shared" si="731"/>
        <v>0</v>
      </c>
      <c r="DW423" s="38">
        <f t="shared" si="732"/>
        <v>3.8250000000000003E-3</v>
      </c>
      <c r="DX423" s="38">
        <f t="shared" si="733"/>
        <v>0</v>
      </c>
      <c r="DY423" s="38">
        <f t="shared" si="734"/>
        <v>22.184999999999999</v>
      </c>
      <c r="DZ423" s="38">
        <f t="shared" si="735"/>
        <v>10.786499999999998</v>
      </c>
      <c r="EA423" s="38">
        <f t="shared" si="736"/>
        <v>2.5245000000000002</v>
      </c>
      <c r="EB423" s="38">
        <f t="shared" si="737"/>
        <v>0</v>
      </c>
      <c r="EC423" s="38">
        <f t="shared" si="738"/>
        <v>0</v>
      </c>
      <c r="ED423" s="38">
        <f t="shared" si="739"/>
        <v>0</v>
      </c>
      <c r="EE423" s="38">
        <f t="shared" si="740"/>
        <v>0</v>
      </c>
      <c r="EG423" s="38">
        <f t="shared" si="741"/>
        <v>0</v>
      </c>
      <c r="EH423" s="38">
        <f t="shared" si="742"/>
        <v>0</v>
      </c>
      <c r="EI423" s="38">
        <f t="shared" si="743"/>
        <v>14.976288719999998</v>
      </c>
      <c r="EJ423" s="38">
        <f t="shared" si="744"/>
        <v>37.546495176848865</v>
      </c>
      <c r="EK423" s="38">
        <f t="shared" si="745"/>
        <v>0</v>
      </c>
      <c r="EL423" s="38">
        <f t="shared" si="746"/>
        <v>0</v>
      </c>
      <c r="EM423" s="38">
        <f t="shared" si="747"/>
        <v>0</v>
      </c>
      <c r="EN423" s="38">
        <f t="shared" si="748"/>
        <v>0</v>
      </c>
      <c r="EO423" s="38">
        <f t="shared" si="749"/>
        <v>0</v>
      </c>
      <c r="EP423" s="38">
        <f t="shared" si="750"/>
        <v>50.161050000000003</v>
      </c>
      <c r="EQ423" s="38">
        <f t="shared" si="751"/>
        <v>0</v>
      </c>
      <c r="ER423" s="38">
        <f t="shared" si="752"/>
        <v>629.64026045016067</v>
      </c>
      <c r="ES423" s="38">
        <f t="shared" si="753"/>
        <v>359.46791623794212</v>
      </c>
      <c r="ET423" s="38">
        <f t="shared" si="754"/>
        <v>180.63568649517688</v>
      </c>
      <c r="EU423" s="38">
        <f t="shared" si="755"/>
        <v>0</v>
      </c>
      <c r="EV423" s="38">
        <f t="shared" si="756"/>
        <v>0</v>
      </c>
      <c r="EW423" s="38">
        <f t="shared" si="757"/>
        <v>0</v>
      </c>
      <c r="EX423" s="38">
        <f t="shared" si="758"/>
        <v>0</v>
      </c>
      <c r="EZ423" s="38">
        <f t="shared" si="759"/>
        <v>0</v>
      </c>
      <c r="FA423" s="38">
        <f t="shared" si="760"/>
        <v>0</v>
      </c>
      <c r="FB423" s="1">
        <f t="shared" si="761"/>
        <v>0</v>
      </c>
      <c r="FC423" s="1">
        <f t="shared" si="762"/>
        <v>0</v>
      </c>
      <c r="FD423" s="1">
        <f t="shared" si="763"/>
        <v>0</v>
      </c>
      <c r="FE423" s="1">
        <f t="shared" si="764"/>
        <v>0</v>
      </c>
      <c r="FF423" s="1">
        <f t="shared" si="765"/>
        <v>0</v>
      </c>
      <c r="FG423" s="1">
        <f t="shared" si="766"/>
        <v>0</v>
      </c>
      <c r="FH423" s="1">
        <f t="shared" si="767"/>
        <v>0</v>
      </c>
      <c r="FI423" s="1">
        <f t="shared" si="768"/>
        <v>0</v>
      </c>
      <c r="FJ423" s="1">
        <f t="shared" si="769"/>
        <v>0</v>
      </c>
      <c r="FK423" s="1">
        <f t="shared" si="770"/>
        <v>0</v>
      </c>
      <c r="FL423" s="1">
        <f t="shared" si="771"/>
        <v>0</v>
      </c>
      <c r="FM423" s="1">
        <f t="shared" si="772"/>
        <v>0</v>
      </c>
      <c r="FN423" s="1">
        <f t="shared" si="773"/>
        <v>0</v>
      </c>
      <c r="FO423" s="1">
        <f t="shared" si="774"/>
        <v>0</v>
      </c>
      <c r="FP423" s="1">
        <f t="shared" si="775"/>
        <v>0</v>
      </c>
      <c r="FQ423" s="1">
        <f t="shared" si="776"/>
        <v>0</v>
      </c>
      <c r="FS423" s="1">
        <f t="shared" si="777"/>
        <v>0</v>
      </c>
      <c r="FT423" s="1">
        <f t="shared" si="778"/>
        <v>0</v>
      </c>
      <c r="FU423" s="38">
        <f t="shared" si="779"/>
        <v>0</v>
      </c>
      <c r="FV423" s="38">
        <f t="shared" si="780"/>
        <v>0</v>
      </c>
      <c r="FW423" s="38">
        <f t="shared" si="781"/>
        <v>0</v>
      </c>
      <c r="FX423" s="38">
        <f t="shared" si="782"/>
        <v>0</v>
      </c>
      <c r="FY423" s="38">
        <f t="shared" si="783"/>
        <v>0</v>
      </c>
      <c r="FZ423" s="38">
        <f t="shared" si="784"/>
        <v>0</v>
      </c>
      <c r="GA423" s="38">
        <f t="shared" si="785"/>
        <v>0</v>
      </c>
      <c r="GB423" s="38">
        <f t="shared" si="786"/>
        <v>0</v>
      </c>
      <c r="GC423" s="38">
        <f t="shared" si="787"/>
        <v>0</v>
      </c>
      <c r="GD423" s="38">
        <f t="shared" si="788"/>
        <v>0</v>
      </c>
      <c r="GE423" s="38">
        <f t="shared" si="789"/>
        <v>0</v>
      </c>
      <c r="GF423" s="38">
        <f t="shared" si="790"/>
        <v>0</v>
      </c>
      <c r="GG423" s="38">
        <f t="shared" si="791"/>
        <v>0</v>
      </c>
      <c r="GH423" s="38">
        <f t="shared" si="792"/>
        <v>0</v>
      </c>
      <c r="GI423" s="38">
        <f t="shared" si="793"/>
        <v>0</v>
      </c>
      <c r="GJ423" s="38">
        <f t="shared" si="794"/>
        <v>0</v>
      </c>
      <c r="GL423" s="38">
        <f t="shared" si="795"/>
        <v>0</v>
      </c>
      <c r="GM423" s="38">
        <f t="shared" si="796"/>
        <v>0</v>
      </c>
      <c r="GN423" s="1" t="s">
        <v>2</v>
      </c>
      <c r="GO423" s="1">
        <f t="shared" si="719"/>
        <v>7.6499999999999995</v>
      </c>
      <c r="GP423" s="13">
        <f t="shared" si="720"/>
        <v>0.05</v>
      </c>
      <c r="GQ423" s="41">
        <f t="shared" si="721"/>
        <v>3.8250000000000002</v>
      </c>
      <c r="GR423" s="41">
        <f t="shared" si="722"/>
        <v>1272.4276970801286</v>
      </c>
      <c r="GS423" s="14">
        <f t="shared" si="723"/>
        <v>166.33041791897108</v>
      </c>
      <c r="GT423" s="1">
        <f t="shared" si="797"/>
        <v>0</v>
      </c>
      <c r="GU423" s="1">
        <f t="shared" si="798"/>
        <v>0</v>
      </c>
      <c r="GV423" s="1">
        <f t="shared" si="799"/>
        <v>3.8250000000000002</v>
      </c>
      <c r="GW423" s="37">
        <f t="shared" si="724"/>
        <v>0</v>
      </c>
      <c r="GX423" s="37"/>
      <c r="GY423" s="37"/>
      <c r="GZ423" s="37"/>
      <c r="HB423" s="1">
        <f t="shared" si="800"/>
        <v>0</v>
      </c>
      <c r="HC423" s="1">
        <f t="shared" si="801"/>
        <v>0</v>
      </c>
      <c r="HD423" s="37" t="s">
        <v>2</v>
      </c>
      <c r="HE423" s="1" t="s">
        <v>113</v>
      </c>
      <c r="HF423" s="1" t="s">
        <v>261</v>
      </c>
      <c r="HG423" s="1" t="s">
        <v>589</v>
      </c>
      <c r="HH423" s="1" t="s">
        <v>1182</v>
      </c>
      <c r="HI423" s="1" t="s">
        <v>96</v>
      </c>
      <c r="HJ423" s="37" t="s">
        <v>2</v>
      </c>
      <c r="JH423" s="58" t="s">
        <v>2</v>
      </c>
    </row>
    <row r="424" spans="1:268" ht="16.25" customHeight="1" x14ac:dyDescent="0.2">
      <c r="A424" s="15" t="s">
        <v>1252</v>
      </c>
      <c r="F424" s="1" t="s">
        <v>1253</v>
      </c>
      <c r="I424" s="1">
        <v>0</v>
      </c>
      <c r="AD424" s="1">
        <v>12.2</v>
      </c>
      <c r="AE424" s="13">
        <v>1.9E-2</v>
      </c>
      <c r="AF424" s="13">
        <v>0.09</v>
      </c>
      <c r="AL424" s="13">
        <v>8.3000000000000004E-2</v>
      </c>
      <c r="AN424" s="13">
        <v>1.9099999999999997</v>
      </c>
      <c r="AO424" s="13">
        <v>0.85</v>
      </c>
      <c r="AP424" s="13">
        <v>0.22</v>
      </c>
      <c r="AY424" s="1">
        <v>0</v>
      </c>
      <c r="BT424" s="1">
        <v>0</v>
      </c>
      <c r="CO424" s="1">
        <v>5.0999999999999996</v>
      </c>
      <c r="CP424" s="13">
        <v>1.9E-2</v>
      </c>
      <c r="CQ424" s="13">
        <v>9.0770000000000003E-2</v>
      </c>
      <c r="CW424" s="13">
        <v>8.3000000000000004E-2</v>
      </c>
      <c r="CY424" s="13">
        <v>1.9468600000000003</v>
      </c>
      <c r="CZ424" s="13">
        <v>0.86701000000000017</v>
      </c>
      <c r="DA424" s="13">
        <v>0.22536</v>
      </c>
      <c r="DJ424" s="1" t="s">
        <v>96</v>
      </c>
      <c r="DL424" s="1">
        <f t="shared" si="717"/>
        <v>8.3000000000000004E-2</v>
      </c>
      <c r="DM424" s="1">
        <f t="shared" si="718"/>
        <v>0</v>
      </c>
      <c r="DN424" s="1" t="s">
        <v>1216</v>
      </c>
      <c r="DO424" s="1" t="s">
        <v>2</v>
      </c>
      <c r="DP424" s="38">
        <f t="shared" si="725"/>
        <v>2.3179999999999997E-3</v>
      </c>
      <c r="DQ424" s="38">
        <f t="shared" si="726"/>
        <v>1.0979999999999999</v>
      </c>
      <c r="DR424" s="38">
        <f t="shared" si="727"/>
        <v>0</v>
      </c>
      <c r="DS424" s="38">
        <f t="shared" si="728"/>
        <v>0</v>
      </c>
      <c r="DT424" s="38">
        <f t="shared" si="729"/>
        <v>0</v>
      </c>
      <c r="DU424" s="38">
        <f t="shared" si="730"/>
        <v>0</v>
      </c>
      <c r="DV424" s="38">
        <f t="shared" si="731"/>
        <v>0</v>
      </c>
      <c r="DW424" s="38">
        <f t="shared" si="732"/>
        <v>1.0126E-2</v>
      </c>
      <c r="DX424" s="38">
        <f t="shared" si="733"/>
        <v>0</v>
      </c>
      <c r="DY424" s="38">
        <f t="shared" si="734"/>
        <v>23.301999999999996</v>
      </c>
      <c r="DZ424" s="38">
        <f t="shared" si="735"/>
        <v>10.37</v>
      </c>
      <c r="EA424" s="38">
        <f t="shared" si="736"/>
        <v>2.6839999999999997</v>
      </c>
      <c r="EB424" s="38">
        <f t="shared" si="737"/>
        <v>0</v>
      </c>
      <c r="EC424" s="38">
        <f t="shared" si="738"/>
        <v>0</v>
      </c>
      <c r="ED424" s="38">
        <f t="shared" si="739"/>
        <v>0</v>
      </c>
      <c r="EE424" s="38">
        <f t="shared" si="740"/>
        <v>0</v>
      </c>
      <c r="EG424" s="38">
        <f t="shared" si="741"/>
        <v>0</v>
      </c>
      <c r="EH424" s="38">
        <f t="shared" si="742"/>
        <v>0</v>
      </c>
      <c r="EI424" s="38">
        <f t="shared" si="743"/>
        <v>15.126377887999999</v>
      </c>
      <c r="EJ424" s="38">
        <f t="shared" si="744"/>
        <v>44.90855305466237</v>
      </c>
      <c r="EK424" s="38">
        <f t="shared" si="745"/>
        <v>0</v>
      </c>
      <c r="EL424" s="38">
        <f t="shared" si="746"/>
        <v>0</v>
      </c>
      <c r="EM424" s="38">
        <f t="shared" si="747"/>
        <v>0</v>
      </c>
      <c r="EN424" s="38">
        <f t="shared" si="748"/>
        <v>0</v>
      </c>
      <c r="EO424" s="38">
        <f t="shared" si="749"/>
        <v>0</v>
      </c>
      <c r="EP424" s="38">
        <f t="shared" si="750"/>
        <v>132.79236399999999</v>
      </c>
      <c r="EQ424" s="38">
        <f t="shared" si="751"/>
        <v>0</v>
      </c>
      <c r="ER424" s="38">
        <f t="shared" si="752"/>
        <v>661.3422289389066</v>
      </c>
      <c r="ES424" s="38">
        <f t="shared" si="753"/>
        <v>345.58775241157554</v>
      </c>
      <c r="ET424" s="38">
        <f t="shared" si="754"/>
        <v>192.04839871382634</v>
      </c>
      <c r="EU424" s="38">
        <f t="shared" si="755"/>
        <v>0</v>
      </c>
      <c r="EV424" s="38">
        <f t="shared" si="756"/>
        <v>0</v>
      </c>
      <c r="EW424" s="38">
        <f t="shared" si="757"/>
        <v>0</v>
      </c>
      <c r="EX424" s="38">
        <f t="shared" si="758"/>
        <v>0</v>
      </c>
      <c r="EZ424" s="38">
        <f t="shared" si="759"/>
        <v>0</v>
      </c>
      <c r="FA424" s="38">
        <f t="shared" si="760"/>
        <v>0</v>
      </c>
      <c r="FB424" s="1">
        <f t="shared" si="761"/>
        <v>9.6899999999999981E-4</v>
      </c>
      <c r="FC424" s="1">
        <f t="shared" si="762"/>
        <v>0.46292699999999998</v>
      </c>
      <c r="FD424" s="1">
        <f t="shared" si="763"/>
        <v>0</v>
      </c>
      <c r="FE424" s="1">
        <f t="shared" si="764"/>
        <v>0</v>
      </c>
      <c r="FF424" s="1">
        <f t="shared" si="765"/>
        <v>0</v>
      </c>
      <c r="FG424" s="1">
        <f t="shared" si="766"/>
        <v>0</v>
      </c>
      <c r="FH424" s="1">
        <f t="shared" si="767"/>
        <v>0</v>
      </c>
      <c r="FI424" s="1">
        <f t="shared" si="768"/>
        <v>4.2329999999999998E-3</v>
      </c>
      <c r="FJ424" s="1">
        <f t="shared" si="769"/>
        <v>0</v>
      </c>
      <c r="FK424" s="1">
        <f t="shared" si="770"/>
        <v>9.9289860000000001</v>
      </c>
      <c r="FL424" s="1">
        <f t="shared" si="771"/>
        <v>4.4217510000000004</v>
      </c>
      <c r="FM424" s="1">
        <f t="shared" si="772"/>
        <v>1.1493359999999999</v>
      </c>
      <c r="FN424" s="1">
        <f t="shared" si="773"/>
        <v>0</v>
      </c>
      <c r="FO424" s="1">
        <f t="shared" si="774"/>
        <v>0</v>
      </c>
      <c r="FP424" s="1">
        <f t="shared" si="775"/>
        <v>0</v>
      </c>
      <c r="FQ424" s="1">
        <f t="shared" si="776"/>
        <v>0</v>
      </c>
      <c r="FS424" s="1">
        <f t="shared" si="777"/>
        <v>0</v>
      </c>
      <c r="FT424" s="1">
        <f t="shared" si="778"/>
        <v>0</v>
      </c>
      <c r="FU424" s="38">
        <f t="shared" si="779"/>
        <v>6.3233219039999984</v>
      </c>
      <c r="FV424" s="38">
        <f t="shared" si="780"/>
        <v>18.933863151125397</v>
      </c>
      <c r="FW424" s="38">
        <f t="shared" si="781"/>
        <v>0</v>
      </c>
      <c r="FX424" s="38">
        <f t="shared" si="782"/>
        <v>0</v>
      </c>
      <c r="FY424" s="38">
        <f t="shared" si="783"/>
        <v>0</v>
      </c>
      <c r="FZ424" s="38">
        <f t="shared" si="784"/>
        <v>0</v>
      </c>
      <c r="GA424" s="38">
        <f t="shared" si="785"/>
        <v>0</v>
      </c>
      <c r="GB424" s="38">
        <f t="shared" si="786"/>
        <v>55.511561999999998</v>
      </c>
      <c r="GC424" s="38">
        <f t="shared" si="787"/>
        <v>0</v>
      </c>
      <c r="GD424" s="38">
        <f t="shared" si="788"/>
        <v>281.79803159999994</v>
      </c>
      <c r="GE424" s="38">
        <f t="shared" si="789"/>
        <v>147.35805109099681</v>
      </c>
      <c r="GF424" s="38">
        <f t="shared" si="790"/>
        <v>82.238501633440521</v>
      </c>
      <c r="GG424" s="38">
        <f t="shared" si="791"/>
        <v>0</v>
      </c>
      <c r="GH424" s="38">
        <f t="shared" si="792"/>
        <v>0</v>
      </c>
      <c r="GI424" s="38">
        <f t="shared" si="793"/>
        <v>0</v>
      </c>
      <c r="GJ424" s="38">
        <f t="shared" si="794"/>
        <v>0</v>
      </c>
      <c r="GL424" s="38">
        <f t="shared" si="795"/>
        <v>0</v>
      </c>
      <c r="GM424" s="38">
        <f t="shared" si="796"/>
        <v>0</v>
      </c>
      <c r="GN424" s="1" t="s">
        <v>2</v>
      </c>
      <c r="GO424" s="1">
        <f t="shared" si="719"/>
        <v>12.2</v>
      </c>
      <c r="GP424" s="13">
        <f t="shared" si="720"/>
        <v>8.3000000000000004E-2</v>
      </c>
      <c r="GQ424" s="41">
        <f t="shared" si="721"/>
        <v>10.125999999999999</v>
      </c>
      <c r="GR424" s="41">
        <f t="shared" si="722"/>
        <v>1391.8056750069709</v>
      </c>
      <c r="GS424" s="14">
        <f t="shared" si="723"/>
        <v>114.08243237762058</v>
      </c>
      <c r="GT424" s="1">
        <f t="shared" si="797"/>
        <v>0</v>
      </c>
      <c r="GU424" s="1">
        <f t="shared" si="798"/>
        <v>10.125999999999999</v>
      </c>
      <c r="GV424" s="1">
        <f t="shared" si="799"/>
        <v>0</v>
      </c>
      <c r="GW424" s="37">
        <f t="shared" si="724"/>
        <v>5.0999999999999996</v>
      </c>
      <c r="GX424" s="37">
        <f>(BT424*CB424+CO424*CW424)/GW424</f>
        <v>8.3000000000000004E-2</v>
      </c>
      <c r="GY424" s="41">
        <f>1000*GW424*GX424/100</f>
        <v>4.2330000000000005</v>
      </c>
      <c r="GZ424" s="41">
        <f>SUM(FU424:GM424)</f>
        <v>592.16333137956269</v>
      </c>
      <c r="HA424" s="14">
        <f>GZ424/GW424</f>
        <v>116.11045713324759</v>
      </c>
      <c r="HB424" s="1">
        <f t="shared" si="800"/>
        <v>0</v>
      </c>
      <c r="HC424" s="1">
        <f t="shared" si="801"/>
        <v>4.2330000000000005</v>
      </c>
      <c r="HD424" s="37" t="s">
        <v>2</v>
      </c>
      <c r="HE424" s="1" t="s">
        <v>113</v>
      </c>
      <c r="HF424" s="1" t="s">
        <v>261</v>
      </c>
      <c r="HG424" s="1" t="s">
        <v>589</v>
      </c>
      <c r="HH424" s="1" t="s">
        <v>1182</v>
      </c>
      <c r="HI424" s="1" t="s">
        <v>96</v>
      </c>
      <c r="HJ424" s="37" t="s">
        <v>2</v>
      </c>
      <c r="JH424" s="58" t="s">
        <v>2</v>
      </c>
    </row>
    <row r="425" spans="1:268" ht="16.25" customHeight="1" x14ac:dyDescent="0.2">
      <c r="A425" s="15" t="s">
        <v>1254</v>
      </c>
      <c r="F425" s="1" t="s">
        <v>685</v>
      </c>
      <c r="I425" s="1">
        <v>371.9</v>
      </c>
      <c r="J425" s="13">
        <v>2.5586188436830835E-2</v>
      </c>
      <c r="K425" s="13">
        <v>8.3063179871520343E-2</v>
      </c>
      <c r="Q425" s="13">
        <v>0.12904978586723767</v>
      </c>
      <c r="R425" s="13">
        <v>5.7877408993576011E-2</v>
      </c>
      <c r="S425" s="13">
        <v>2.7849919245182013</v>
      </c>
      <c r="T425" s="13">
        <v>1.6236448019271947</v>
      </c>
      <c r="U425" s="13">
        <v>0.45124615899357601</v>
      </c>
      <c r="X425" s="14">
        <v>12.026949315958646</v>
      </c>
      <c r="AD425" s="1">
        <v>123.50000000000003</v>
      </c>
      <c r="AE425" s="13">
        <v>4.109223300970874E-2</v>
      </c>
      <c r="AF425" s="13">
        <v>0.12646404530744337</v>
      </c>
      <c r="AL425" s="13">
        <v>0.14800161812297732</v>
      </c>
      <c r="AM425" s="13">
        <v>4.5817152103559869E-2</v>
      </c>
      <c r="AN425" s="13">
        <v>3.0783247006472494</v>
      </c>
      <c r="AO425" s="13">
        <v>1.680931148867314</v>
      </c>
      <c r="AP425" s="13">
        <v>0.42573352750809057</v>
      </c>
      <c r="AS425" s="14">
        <v>9.5208229900589387</v>
      </c>
      <c r="AY425" s="1">
        <v>15.399999999999999</v>
      </c>
      <c r="AZ425" s="13">
        <v>7.5454545454545455E-2</v>
      </c>
      <c r="BA425" s="13">
        <v>0.21530181818181823</v>
      </c>
      <c r="BG425" s="13">
        <v>0.19000000000000003</v>
      </c>
      <c r="BH425" s="13">
        <v>1.9090909090909096E-2</v>
      </c>
      <c r="BI425" s="13">
        <v>3.415570909090909</v>
      </c>
      <c r="BJ425" s="13">
        <v>1.618996363636364</v>
      </c>
      <c r="BK425" s="13">
        <v>0.31432363636363636</v>
      </c>
      <c r="BL425" s="13"/>
      <c r="BM425" s="13"/>
      <c r="BN425" s="14">
        <v>3.967098735491466</v>
      </c>
      <c r="BT425" s="1">
        <v>107.95987932715748</v>
      </c>
      <c r="BU425" s="13">
        <v>1.7454454391786139E-2</v>
      </c>
      <c r="BV425" s="13">
        <v>4.8746351968947589E-2</v>
      </c>
      <c r="CB425" s="13">
        <v>0.11911099981218305</v>
      </c>
      <c r="CC425" s="13">
        <v>6.4202091028610783E-2</v>
      </c>
      <c r="CD425" s="13">
        <v>2.1234864702936207</v>
      </c>
      <c r="CE425" s="13">
        <v>1.2858628122456648</v>
      </c>
      <c r="CF425" s="13">
        <v>0.37481125148688416</v>
      </c>
      <c r="CI425" s="14">
        <v>13.34122083566956</v>
      </c>
      <c r="CO425" s="1">
        <v>115.73261214041931</v>
      </c>
      <c r="CP425" s="13">
        <v>9.0759796764585648E-2</v>
      </c>
      <c r="CQ425" s="13">
        <v>0.21977825147462479</v>
      </c>
      <c r="CW425" s="13">
        <v>0.2087064182678269</v>
      </c>
      <c r="CX425" s="13">
        <v>7.1868247386556094E-3</v>
      </c>
      <c r="CY425" s="13">
        <v>3.0399090912807343</v>
      </c>
      <c r="CZ425" s="13">
        <v>1.3485233580564153</v>
      </c>
      <c r="DA425" s="13">
        <v>0.22040386497693165</v>
      </c>
      <c r="DJ425" s="1" t="s">
        <v>96</v>
      </c>
      <c r="DK425" s="1" t="s">
        <v>96</v>
      </c>
      <c r="DL425" s="1">
        <f t="shared" si="717"/>
        <v>0.13546948943268089</v>
      </c>
      <c r="DM425" s="1">
        <f t="shared" si="718"/>
        <v>5.3792143088293984E-2</v>
      </c>
      <c r="DN425" s="1" t="s">
        <v>73</v>
      </c>
      <c r="DO425" s="1" t="s">
        <v>2</v>
      </c>
      <c r="DP425" s="38">
        <f t="shared" si="725"/>
        <v>0.15752394256356417</v>
      </c>
      <c r="DQ425" s="38">
        <f t="shared" si="726"/>
        <v>49.825154189687673</v>
      </c>
      <c r="DR425" s="38">
        <f t="shared" si="727"/>
        <v>0</v>
      </c>
      <c r="DS425" s="38">
        <f t="shared" si="728"/>
        <v>0</v>
      </c>
      <c r="DT425" s="38">
        <f t="shared" si="729"/>
        <v>0</v>
      </c>
      <c r="DU425" s="38">
        <f t="shared" si="730"/>
        <v>0</v>
      </c>
      <c r="DV425" s="38">
        <f t="shared" si="731"/>
        <v>0</v>
      </c>
      <c r="DW425" s="38">
        <f t="shared" si="732"/>
        <v>0.69197815202213386</v>
      </c>
      <c r="DX425" s="38">
        <f t="shared" si="733"/>
        <v>0.27477026689500567</v>
      </c>
      <c r="DY425" s="38">
        <f t="shared" si="734"/>
        <v>1468.5113892582544</v>
      </c>
      <c r="DZ425" s="38">
        <f t="shared" si="735"/>
        <v>836.36104272183707</v>
      </c>
      <c r="EA425" s="38">
        <f t="shared" si="736"/>
        <v>225.23712117696013</v>
      </c>
      <c r="EB425" s="38">
        <f t="shared" si="737"/>
        <v>0</v>
      </c>
      <c r="EC425" s="38">
        <f t="shared" si="738"/>
        <v>0</v>
      </c>
      <c r="ED425" s="38">
        <f t="shared" si="739"/>
        <v>57.097374104038678</v>
      </c>
      <c r="EE425" s="38">
        <f t="shared" si="740"/>
        <v>0</v>
      </c>
      <c r="EG425" s="38">
        <f t="shared" si="741"/>
        <v>0</v>
      </c>
      <c r="EH425" s="38">
        <f t="shared" si="742"/>
        <v>0</v>
      </c>
      <c r="EI425" s="38">
        <f t="shared" si="743"/>
        <v>1027.9407599758754</v>
      </c>
      <c r="EJ425" s="38">
        <f t="shared" si="744"/>
        <v>2037.864827308126</v>
      </c>
      <c r="EK425" s="38">
        <f t="shared" si="745"/>
        <v>0</v>
      </c>
      <c r="EL425" s="38">
        <f t="shared" si="746"/>
        <v>0</v>
      </c>
      <c r="EM425" s="38">
        <f t="shared" si="747"/>
        <v>0</v>
      </c>
      <c r="EN425" s="38">
        <f t="shared" si="748"/>
        <v>0</v>
      </c>
      <c r="EO425" s="38">
        <f t="shared" si="749"/>
        <v>0</v>
      </c>
      <c r="EP425" s="38">
        <f t="shared" si="750"/>
        <v>9074.6014856182628</v>
      </c>
      <c r="EQ425" s="38">
        <f t="shared" si="751"/>
        <v>19953.685991268267</v>
      </c>
      <c r="ER425" s="38">
        <f t="shared" si="752"/>
        <v>41678.33642580999</v>
      </c>
      <c r="ES425" s="38">
        <f t="shared" si="753"/>
        <v>27872.33683306089</v>
      </c>
      <c r="ET425" s="38">
        <f t="shared" si="754"/>
        <v>16116.404043572009</v>
      </c>
      <c r="EU425" s="38">
        <f t="shared" si="755"/>
        <v>0</v>
      </c>
      <c r="EV425" s="38">
        <f t="shared" si="756"/>
        <v>0</v>
      </c>
      <c r="EW425" s="38">
        <f t="shared" si="757"/>
        <v>15930.167375026791</v>
      </c>
      <c r="EX425" s="38">
        <f t="shared" si="758"/>
        <v>0</v>
      </c>
      <c r="EZ425" s="38">
        <f t="shared" si="759"/>
        <v>0</v>
      </c>
      <c r="FA425" s="38">
        <f t="shared" si="760"/>
        <v>0</v>
      </c>
      <c r="FB425" s="1">
        <f t="shared" si="761"/>
        <v>0.12388249146757679</v>
      </c>
      <c r="FC425" s="1">
        <f t="shared" si="762"/>
        <v>30.698161411019015</v>
      </c>
      <c r="FD425" s="1">
        <f t="shared" si="763"/>
        <v>0</v>
      </c>
      <c r="FE425" s="1">
        <f t="shared" si="764"/>
        <v>0</v>
      </c>
      <c r="FF425" s="1">
        <f t="shared" si="765"/>
        <v>0</v>
      </c>
      <c r="FG425" s="1">
        <f t="shared" si="766"/>
        <v>0</v>
      </c>
      <c r="FH425" s="1">
        <f t="shared" si="767"/>
        <v>0</v>
      </c>
      <c r="FI425" s="1">
        <f t="shared" si="768"/>
        <v>0.37013348122866896</v>
      </c>
      <c r="FJ425" s="1">
        <f t="shared" si="769"/>
        <v>7.7630000000000005E-2</v>
      </c>
      <c r="FK425" s="1">
        <f t="shared" si="770"/>
        <v>581.06796288907867</v>
      </c>
      <c r="FL425" s="1">
        <f t="shared" si="771"/>
        <v>294.88972480156025</v>
      </c>
      <c r="FM425" s="1">
        <f t="shared" si="772"/>
        <v>65.972492500609462</v>
      </c>
      <c r="FN425" s="1">
        <f t="shared" si="773"/>
        <v>0</v>
      </c>
      <c r="FO425" s="1">
        <f t="shared" si="774"/>
        <v>0</v>
      </c>
      <c r="FP425" s="1">
        <f t="shared" si="775"/>
        <v>14.403165914958446</v>
      </c>
      <c r="FQ425" s="1">
        <f t="shared" si="776"/>
        <v>0</v>
      </c>
      <c r="FS425" s="1">
        <f t="shared" si="777"/>
        <v>0</v>
      </c>
      <c r="FT425" s="1">
        <f t="shared" si="778"/>
        <v>0</v>
      </c>
      <c r="FU425" s="38">
        <f t="shared" si="779"/>
        <v>808.40956844068262</v>
      </c>
      <c r="FV425" s="38">
        <f t="shared" si="780"/>
        <v>1255.5646725021281</v>
      </c>
      <c r="FW425" s="38">
        <f t="shared" si="781"/>
        <v>0</v>
      </c>
      <c r="FX425" s="38">
        <f t="shared" si="782"/>
        <v>0</v>
      </c>
      <c r="FY425" s="38">
        <f t="shared" si="783"/>
        <v>0</v>
      </c>
      <c r="FZ425" s="38">
        <f t="shared" si="784"/>
        <v>0</v>
      </c>
      <c r="GA425" s="38">
        <f t="shared" si="785"/>
        <v>0</v>
      </c>
      <c r="GB425" s="38">
        <f t="shared" si="786"/>
        <v>4853.9304728327643</v>
      </c>
      <c r="GC425" s="38">
        <f t="shared" si="787"/>
        <v>5637.4536481199993</v>
      </c>
      <c r="GD425" s="38">
        <f t="shared" si="788"/>
        <v>16491.493508799809</v>
      </c>
      <c r="GE425" s="38">
        <f t="shared" si="789"/>
        <v>9827.4134236682039</v>
      </c>
      <c r="GF425" s="38">
        <f t="shared" si="790"/>
        <v>4720.533362109526</v>
      </c>
      <c r="GG425" s="38">
        <f t="shared" si="791"/>
        <v>0</v>
      </c>
      <c r="GH425" s="38">
        <f t="shared" si="792"/>
        <v>0</v>
      </c>
      <c r="GI425" s="38">
        <f t="shared" si="793"/>
        <v>4018.4832902734065</v>
      </c>
      <c r="GJ425" s="38">
        <f t="shared" si="794"/>
        <v>0</v>
      </c>
      <c r="GL425" s="38">
        <f t="shared" si="795"/>
        <v>0</v>
      </c>
      <c r="GM425" s="38">
        <f t="shared" si="796"/>
        <v>0</v>
      </c>
      <c r="GN425" s="1" t="s">
        <v>2</v>
      </c>
      <c r="GO425" s="1">
        <f t="shared" si="719"/>
        <v>510.79999999999995</v>
      </c>
      <c r="GP425" s="13">
        <f t="shared" si="720"/>
        <v>0.13546948943268089</v>
      </c>
      <c r="GQ425" s="41">
        <f t="shared" si="721"/>
        <v>691.97815202213383</v>
      </c>
      <c r="GR425" s="41">
        <f t="shared" si="722"/>
        <v>133691.33774164022</v>
      </c>
      <c r="GS425" s="14">
        <f t="shared" si="723"/>
        <v>261.72932212537245</v>
      </c>
      <c r="GT425" s="1">
        <f t="shared" si="797"/>
        <v>479.93615364025686</v>
      </c>
      <c r="GU425" s="1">
        <f t="shared" si="798"/>
        <v>182.78199838187703</v>
      </c>
      <c r="GV425" s="1">
        <f t="shared" si="799"/>
        <v>29.26</v>
      </c>
      <c r="GW425" s="41">
        <f t="shared" si="724"/>
        <v>223.69249146757679</v>
      </c>
      <c r="GX425" s="37">
        <f>(BT425*CB425+CO425*CW425)/GW425</f>
        <v>0.1654653130287648</v>
      </c>
      <c r="GY425" s="41">
        <f>1000*GW425*GX425/100</f>
        <v>370.13348122866887</v>
      </c>
      <c r="GZ425" s="41">
        <f>SUM(FU425:GM425)</f>
        <v>47613.281946746523</v>
      </c>
      <c r="HA425" s="14">
        <f>GZ425/GW425</f>
        <v>212.85149820796667</v>
      </c>
      <c r="HB425" s="1">
        <f t="shared" si="800"/>
        <v>128.59209166260359</v>
      </c>
      <c r="HC425" s="1">
        <f t="shared" si="801"/>
        <v>241.54138956606533</v>
      </c>
      <c r="HD425" s="37" t="s">
        <v>2</v>
      </c>
      <c r="HE425" s="1" t="s">
        <v>113</v>
      </c>
      <c r="HF425" s="1" t="s">
        <v>261</v>
      </c>
      <c r="HG425" s="1" t="s">
        <v>589</v>
      </c>
      <c r="HH425" s="1" t="s">
        <v>1182</v>
      </c>
      <c r="HI425" s="1" t="s">
        <v>96</v>
      </c>
      <c r="HJ425" s="37" t="s">
        <v>2</v>
      </c>
      <c r="JH425" s="58" t="s">
        <v>2</v>
      </c>
    </row>
    <row r="426" spans="1:268" ht="16.25" customHeight="1" x14ac:dyDescent="0.2">
      <c r="A426" s="15" t="s">
        <v>1255</v>
      </c>
      <c r="F426" s="1" t="s">
        <v>1256</v>
      </c>
      <c r="I426" s="1">
        <v>5.85</v>
      </c>
      <c r="J426" s="2">
        <v>4.0000000000000001E-3</v>
      </c>
      <c r="K426" s="13">
        <v>0.02</v>
      </c>
      <c r="Q426" s="13">
        <v>1.4999999999999999E-2</v>
      </c>
      <c r="S426" s="13">
        <v>3.3700000000000006</v>
      </c>
      <c r="T426" s="13">
        <v>1.52</v>
      </c>
      <c r="U426" s="13">
        <v>0.68</v>
      </c>
      <c r="AD426" s="1">
        <v>54.150000000000006</v>
      </c>
      <c r="AE426" s="13">
        <v>2.5310249307479219E-2</v>
      </c>
      <c r="AF426" s="13">
        <v>7.3240997229916893E-2</v>
      </c>
      <c r="AL426" s="13">
        <v>7.5918744228993543E-2</v>
      </c>
      <c r="AN426" s="13">
        <v>2.8239796860572479</v>
      </c>
      <c r="AO426" s="13">
        <v>1.2989566020313943</v>
      </c>
      <c r="AP426" s="13">
        <v>0.40706371191135732</v>
      </c>
      <c r="AY426" s="1">
        <v>48.95</v>
      </c>
      <c r="AZ426" s="13">
        <v>2.5000000000000001E-2</v>
      </c>
      <c r="BA426" s="13">
        <v>0.08</v>
      </c>
      <c r="BG426" s="13">
        <v>8.1000000000000003E-2</v>
      </c>
      <c r="BI426" s="13">
        <v>2.83</v>
      </c>
      <c r="BJ426" s="13">
        <v>1.26</v>
      </c>
      <c r="BK426" s="13">
        <v>0.4</v>
      </c>
      <c r="BL426" s="13"/>
      <c r="BM426" s="13"/>
      <c r="BT426" s="1">
        <v>0</v>
      </c>
      <c r="CO426" s="1">
        <v>26.6</v>
      </c>
      <c r="CP426" s="13">
        <v>2.1999999999999995E-2</v>
      </c>
      <c r="CQ426" s="13">
        <v>4.9609999999999994E-2</v>
      </c>
      <c r="CW426" s="13">
        <v>6.7923497267759564E-2</v>
      </c>
      <c r="CY426" s="13">
        <v>2.7465899999999994</v>
      </c>
      <c r="CZ426" s="13">
        <v>1.3169199999999999</v>
      </c>
      <c r="DA426" s="13">
        <v>0.39687999999999996</v>
      </c>
      <c r="DJ426" s="1" t="s">
        <v>96</v>
      </c>
      <c r="DL426" s="1">
        <f t="shared" si="717"/>
        <v>7.4930702156952717E-2</v>
      </c>
      <c r="DM426" s="1">
        <f t="shared" si="718"/>
        <v>0</v>
      </c>
      <c r="DN426" s="1" t="s">
        <v>1216</v>
      </c>
      <c r="DO426" s="1" t="s">
        <v>2</v>
      </c>
      <c r="DP426" s="38">
        <f t="shared" si="725"/>
        <v>2.6177000000000002E-2</v>
      </c>
      <c r="DQ426" s="38">
        <f t="shared" si="726"/>
        <v>7.9990000000000006</v>
      </c>
      <c r="DR426" s="38">
        <f t="shared" si="727"/>
        <v>0</v>
      </c>
      <c r="DS426" s="38">
        <f t="shared" si="728"/>
        <v>0</v>
      </c>
      <c r="DT426" s="38">
        <f t="shared" si="729"/>
        <v>0</v>
      </c>
      <c r="DU426" s="38">
        <f t="shared" si="730"/>
        <v>0</v>
      </c>
      <c r="DV426" s="38">
        <f t="shared" si="731"/>
        <v>0</v>
      </c>
      <c r="DW426" s="38">
        <f t="shared" si="732"/>
        <v>8.1637000000000001E-2</v>
      </c>
      <c r="DX426" s="38">
        <f t="shared" si="733"/>
        <v>0</v>
      </c>
      <c r="DY426" s="38">
        <f t="shared" si="734"/>
        <v>311.16149999999999</v>
      </c>
      <c r="DZ426" s="38">
        <f t="shared" si="735"/>
        <v>140.90750000000003</v>
      </c>
      <c r="EA426" s="38">
        <f t="shared" si="736"/>
        <v>45.600500000000004</v>
      </c>
      <c r="EB426" s="38">
        <f t="shared" si="737"/>
        <v>0</v>
      </c>
      <c r="EC426" s="38">
        <f t="shared" si="738"/>
        <v>0</v>
      </c>
      <c r="ED426" s="38">
        <f t="shared" si="739"/>
        <v>0</v>
      </c>
      <c r="EE426" s="38">
        <f t="shared" si="740"/>
        <v>0</v>
      </c>
      <c r="EG426" s="38">
        <f t="shared" si="741"/>
        <v>0</v>
      </c>
      <c r="EH426" s="38">
        <f t="shared" si="742"/>
        <v>0</v>
      </c>
      <c r="EI426" s="38">
        <f t="shared" si="743"/>
        <v>170.82105003200002</v>
      </c>
      <c r="EJ426" s="38">
        <f t="shared" si="744"/>
        <v>327.16167202572348</v>
      </c>
      <c r="EK426" s="38">
        <f t="shared" si="745"/>
        <v>0</v>
      </c>
      <c r="EL426" s="38">
        <f t="shared" si="746"/>
        <v>0</v>
      </c>
      <c r="EM426" s="38">
        <f t="shared" si="747"/>
        <v>0</v>
      </c>
      <c r="EN426" s="38">
        <f t="shared" si="748"/>
        <v>0</v>
      </c>
      <c r="EO426" s="38">
        <f t="shared" si="749"/>
        <v>0</v>
      </c>
      <c r="EP426" s="38">
        <f t="shared" si="750"/>
        <v>1070.587618</v>
      </c>
      <c r="EQ426" s="38">
        <f t="shared" si="751"/>
        <v>0</v>
      </c>
      <c r="ER426" s="38">
        <f t="shared" si="752"/>
        <v>8831.1835881028928</v>
      </c>
      <c r="ES426" s="38">
        <f t="shared" si="753"/>
        <v>4695.8443802250813</v>
      </c>
      <c r="ET426" s="38">
        <f t="shared" si="754"/>
        <v>3262.8550691318337</v>
      </c>
      <c r="EU426" s="38">
        <f t="shared" si="755"/>
        <v>0</v>
      </c>
      <c r="EV426" s="38">
        <f t="shared" si="756"/>
        <v>0</v>
      </c>
      <c r="EW426" s="38">
        <f t="shared" si="757"/>
        <v>0</v>
      </c>
      <c r="EX426" s="38">
        <f t="shared" si="758"/>
        <v>0</v>
      </c>
      <c r="EZ426" s="38">
        <f t="shared" si="759"/>
        <v>0</v>
      </c>
      <c r="FA426" s="38">
        <f t="shared" si="760"/>
        <v>0</v>
      </c>
      <c r="FB426" s="1">
        <f t="shared" si="761"/>
        <v>5.8519999999999996E-3</v>
      </c>
      <c r="FC426" s="1">
        <f t="shared" si="762"/>
        <v>1.319626</v>
      </c>
      <c r="FD426" s="1">
        <f t="shared" si="763"/>
        <v>0</v>
      </c>
      <c r="FE426" s="1">
        <f t="shared" si="764"/>
        <v>0</v>
      </c>
      <c r="FF426" s="1">
        <f t="shared" si="765"/>
        <v>0</v>
      </c>
      <c r="FG426" s="1">
        <f t="shared" si="766"/>
        <v>0</v>
      </c>
      <c r="FH426" s="1">
        <f t="shared" si="767"/>
        <v>0</v>
      </c>
      <c r="FI426" s="1">
        <f t="shared" si="768"/>
        <v>1.8067650273224045E-2</v>
      </c>
      <c r="FJ426" s="1">
        <f t="shared" si="769"/>
        <v>0</v>
      </c>
      <c r="FK426" s="1">
        <f t="shared" si="770"/>
        <v>73.059293999999994</v>
      </c>
      <c r="FL426" s="1">
        <f t="shared" si="771"/>
        <v>35.030071999999997</v>
      </c>
      <c r="FM426" s="1">
        <f t="shared" si="772"/>
        <v>10.557008</v>
      </c>
      <c r="FN426" s="1">
        <f t="shared" si="773"/>
        <v>0</v>
      </c>
      <c r="FO426" s="1">
        <f t="shared" si="774"/>
        <v>0</v>
      </c>
      <c r="FP426" s="1">
        <f t="shared" si="775"/>
        <v>0</v>
      </c>
      <c r="FQ426" s="1">
        <f t="shared" si="776"/>
        <v>0</v>
      </c>
      <c r="FS426" s="1">
        <f t="shared" si="777"/>
        <v>0</v>
      </c>
      <c r="FT426" s="1">
        <f t="shared" si="778"/>
        <v>0</v>
      </c>
      <c r="FU426" s="38">
        <f t="shared" si="779"/>
        <v>38.187904831999994</v>
      </c>
      <c r="FV426" s="38">
        <f t="shared" si="780"/>
        <v>53.973127717041798</v>
      </c>
      <c r="FW426" s="38">
        <f t="shared" si="781"/>
        <v>0</v>
      </c>
      <c r="FX426" s="38">
        <f t="shared" si="782"/>
        <v>0</v>
      </c>
      <c r="FY426" s="38">
        <f t="shared" si="783"/>
        <v>0</v>
      </c>
      <c r="FZ426" s="38">
        <f t="shared" si="784"/>
        <v>0</v>
      </c>
      <c r="GA426" s="38">
        <f t="shared" si="785"/>
        <v>0</v>
      </c>
      <c r="GB426" s="38">
        <f t="shared" si="786"/>
        <v>236.93916568306014</v>
      </c>
      <c r="GC426" s="38">
        <f t="shared" si="787"/>
        <v>0</v>
      </c>
      <c r="GD426" s="38">
        <f t="shared" si="788"/>
        <v>2073.521429004501</v>
      </c>
      <c r="GE426" s="38">
        <f t="shared" si="789"/>
        <v>1167.4024926996785</v>
      </c>
      <c r="GF426" s="38">
        <f t="shared" si="790"/>
        <v>755.38617049517688</v>
      </c>
      <c r="GG426" s="38">
        <f t="shared" si="791"/>
        <v>0</v>
      </c>
      <c r="GH426" s="38">
        <f t="shared" si="792"/>
        <v>0</v>
      </c>
      <c r="GI426" s="38">
        <f t="shared" si="793"/>
        <v>0</v>
      </c>
      <c r="GJ426" s="38">
        <f t="shared" si="794"/>
        <v>0</v>
      </c>
      <c r="GL426" s="38">
        <f t="shared" si="795"/>
        <v>0</v>
      </c>
      <c r="GM426" s="38">
        <f t="shared" si="796"/>
        <v>0</v>
      </c>
      <c r="GN426" s="1" t="s">
        <v>2</v>
      </c>
      <c r="GO426" s="14">
        <f t="shared" si="719"/>
        <v>108.95000000000002</v>
      </c>
      <c r="GP426" s="13">
        <f t="shared" si="720"/>
        <v>7.4930702156952717E-2</v>
      </c>
      <c r="GQ426" s="41">
        <f t="shared" si="721"/>
        <v>81.637</v>
      </c>
      <c r="GR426" s="41">
        <f t="shared" si="722"/>
        <v>18358.453377517533</v>
      </c>
      <c r="GS426" s="14">
        <f t="shared" si="723"/>
        <v>168.50347294646656</v>
      </c>
      <c r="GT426" s="1">
        <f t="shared" si="797"/>
        <v>0.87749999999999995</v>
      </c>
      <c r="GU426" s="1">
        <f t="shared" si="798"/>
        <v>41.110000000000007</v>
      </c>
      <c r="GV426" s="1">
        <f t="shared" si="799"/>
        <v>39.649500000000003</v>
      </c>
      <c r="GW426" s="37">
        <f t="shared" si="724"/>
        <v>26.6</v>
      </c>
      <c r="GX426" s="46">
        <f>(BT426*CB426+CO426*CW426)/GW426</f>
        <v>6.7923497267759564E-2</v>
      </c>
      <c r="GY426" s="41">
        <f>1000*GW426*GX426/100</f>
        <v>18.067650273224043</v>
      </c>
      <c r="GZ426" s="41">
        <f>SUM(FU426:GM426)</f>
        <v>4325.4102904314586</v>
      </c>
      <c r="HA426" s="14">
        <f>GZ426/GW426</f>
        <v>162.60940941471648</v>
      </c>
      <c r="HB426" s="1">
        <f t="shared" si="800"/>
        <v>0</v>
      </c>
      <c r="HC426" s="1">
        <f t="shared" si="801"/>
        <v>18.067650273224043</v>
      </c>
      <c r="HD426" s="37" t="s">
        <v>2</v>
      </c>
      <c r="HE426" s="1" t="s">
        <v>113</v>
      </c>
      <c r="HF426" s="1" t="s">
        <v>261</v>
      </c>
      <c r="HG426" s="1" t="s">
        <v>589</v>
      </c>
      <c r="HH426" s="1" t="s">
        <v>1182</v>
      </c>
      <c r="HI426" s="1" t="s">
        <v>96</v>
      </c>
      <c r="HJ426" s="37" t="s">
        <v>2</v>
      </c>
      <c r="JH426" s="58" t="s">
        <v>2</v>
      </c>
    </row>
    <row r="427" spans="1:268" ht="16.25" customHeight="1" x14ac:dyDescent="0.2">
      <c r="A427" s="15" t="s">
        <v>1257</v>
      </c>
      <c r="F427" s="1" t="s">
        <v>1009</v>
      </c>
      <c r="I427" s="1">
        <v>30.2</v>
      </c>
      <c r="J427" s="13">
        <v>1.5542233663308669E-2</v>
      </c>
      <c r="K427" s="13">
        <v>3.2985647999999999E-2</v>
      </c>
      <c r="Q427" s="13">
        <v>0.11240231217618901</v>
      </c>
      <c r="S427" s="13">
        <v>1.7854391000000001</v>
      </c>
      <c r="T427" s="13">
        <v>0.89645378000000009</v>
      </c>
      <c r="U427" s="13">
        <v>0.305121472</v>
      </c>
      <c r="AD427" s="1">
        <v>0</v>
      </c>
      <c r="AY427" s="1">
        <v>0</v>
      </c>
      <c r="BT427" s="1">
        <v>20.7</v>
      </c>
      <c r="BU427" s="13">
        <v>1.5542233663308669E-2</v>
      </c>
      <c r="BV427" s="13">
        <v>2.6869104000000001E-2</v>
      </c>
      <c r="CB427" s="13">
        <v>0.11240231217618901</v>
      </c>
      <c r="CD427" s="13">
        <v>1.4543642999999999</v>
      </c>
      <c r="CE427" s="13">
        <v>0.73022394000000002</v>
      </c>
      <c r="CF427" s="13">
        <v>0.248542656</v>
      </c>
      <c r="CO427" s="1">
        <v>0</v>
      </c>
      <c r="DL427" s="1">
        <f t="shared" si="717"/>
        <v>0.11240231217618903</v>
      </c>
      <c r="DM427" s="1">
        <f t="shared" si="718"/>
        <v>0</v>
      </c>
      <c r="DN427" s="1" t="s">
        <v>73</v>
      </c>
      <c r="DO427" s="1" t="s">
        <v>2</v>
      </c>
      <c r="DP427" s="38">
        <f t="shared" si="725"/>
        <v>4.6937545663192186E-3</v>
      </c>
      <c r="DQ427" s="38">
        <f t="shared" si="726"/>
        <v>0.99616656959999994</v>
      </c>
      <c r="DR427" s="38">
        <f t="shared" si="727"/>
        <v>0</v>
      </c>
      <c r="DS427" s="38">
        <f t="shared" si="728"/>
        <v>0</v>
      </c>
      <c r="DT427" s="38">
        <f t="shared" si="729"/>
        <v>0</v>
      </c>
      <c r="DU427" s="38">
        <f t="shared" si="730"/>
        <v>0</v>
      </c>
      <c r="DV427" s="38">
        <f t="shared" si="731"/>
        <v>0</v>
      </c>
      <c r="DW427" s="38">
        <f t="shared" si="732"/>
        <v>3.394549827720908E-2</v>
      </c>
      <c r="DX427" s="38">
        <f t="shared" si="733"/>
        <v>0</v>
      </c>
      <c r="DY427" s="38">
        <f t="shared" si="734"/>
        <v>53.920260820000003</v>
      </c>
      <c r="DZ427" s="38">
        <f t="shared" si="735"/>
        <v>27.072904156000003</v>
      </c>
      <c r="EA427" s="38">
        <f t="shared" si="736"/>
        <v>9.2146684543999999</v>
      </c>
      <c r="EB427" s="38">
        <f t="shared" si="737"/>
        <v>0</v>
      </c>
      <c r="EC427" s="38">
        <f t="shared" si="738"/>
        <v>0</v>
      </c>
      <c r="ED427" s="38">
        <f t="shared" si="739"/>
        <v>0</v>
      </c>
      <c r="EE427" s="38">
        <f t="shared" si="740"/>
        <v>0</v>
      </c>
      <c r="EG427" s="38">
        <f t="shared" si="741"/>
        <v>0</v>
      </c>
      <c r="EH427" s="38">
        <f t="shared" si="742"/>
        <v>0</v>
      </c>
      <c r="EI427" s="38">
        <f t="shared" si="743"/>
        <v>30.629639898045752</v>
      </c>
      <c r="EJ427" s="38">
        <f t="shared" si="744"/>
        <v>40.743533007434074</v>
      </c>
      <c r="EK427" s="38">
        <f t="shared" si="745"/>
        <v>0</v>
      </c>
      <c r="EL427" s="38">
        <f t="shared" si="746"/>
        <v>0</v>
      </c>
      <c r="EM427" s="38">
        <f t="shared" si="747"/>
        <v>0</v>
      </c>
      <c r="EN427" s="38">
        <f t="shared" si="748"/>
        <v>0</v>
      </c>
      <c r="EO427" s="38">
        <f t="shared" si="749"/>
        <v>0</v>
      </c>
      <c r="EP427" s="38">
        <f t="shared" si="750"/>
        <v>445.16126440731989</v>
      </c>
      <c r="EQ427" s="38">
        <f t="shared" si="751"/>
        <v>0</v>
      </c>
      <c r="ER427" s="38">
        <f t="shared" si="752"/>
        <v>1530.3298204302635</v>
      </c>
      <c r="ES427" s="38">
        <f t="shared" si="753"/>
        <v>902.22411750492245</v>
      </c>
      <c r="ET427" s="38">
        <f t="shared" si="754"/>
        <v>659.33767561338652</v>
      </c>
      <c r="EU427" s="38">
        <f t="shared" si="755"/>
        <v>0</v>
      </c>
      <c r="EV427" s="38">
        <f t="shared" si="756"/>
        <v>0</v>
      </c>
      <c r="EW427" s="38">
        <f t="shared" si="757"/>
        <v>0</v>
      </c>
      <c r="EX427" s="38">
        <f t="shared" si="758"/>
        <v>0</v>
      </c>
      <c r="EZ427" s="38">
        <f t="shared" si="759"/>
        <v>0</v>
      </c>
      <c r="FA427" s="38">
        <f t="shared" si="760"/>
        <v>0</v>
      </c>
      <c r="FB427" s="1">
        <f t="shared" si="761"/>
        <v>3.2172423683048943E-3</v>
      </c>
      <c r="FC427" s="1">
        <f t="shared" si="762"/>
        <v>0.55619045280000001</v>
      </c>
      <c r="FD427" s="1">
        <f t="shared" si="763"/>
        <v>0</v>
      </c>
      <c r="FE427" s="1">
        <f t="shared" si="764"/>
        <v>0</v>
      </c>
      <c r="FF427" s="1">
        <f t="shared" si="765"/>
        <v>0</v>
      </c>
      <c r="FG427" s="1">
        <f t="shared" si="766"/>
        <v>0</v>
      </c>
      <c r="FH427" s="1">
        <f t="shared" si="767"/>
        <v>0</v>
      </c>
      <c r="FI427" s="1">
        <f t="shared" si="768"/>
        <v>2.3267278620471125E-2</v>
      </c>
      <c r="FJ427" s="1">
        <f t="shared" si="769"/>
        <v>0</v>
      </c>
      <c r="FK427" s="1">
        <f t="shared" si="770"/>
        <v>30.105341009999997</v>
      </c>
      <c r="FL427" s="1">
        <f t="shared" si="771"/>
        <v>15.115635557999999</v>
      </c>
      <c r="FM427" s="1">
        <f t="shared" si="772"/>
        <v>5.1448329792000003</v>
      </c>
      <c r="FN427" s="1">
        <f t="shared" si="773"/>
        <v>0</v>
      </c>
      <c r="FO427" s="1">
        <f t="shared" si="774"/>
        <v>0</v>
      </c>
      <c r="FP427" s="1">
        <f t="shared" si="775"/>
        <v>0</v>
      </c>
      <c r="FQ427" s="1">
        <f t="shared" si="776"/>
        <v>0</v>
      </c>
      <c r="FS427" s="1">
        <f t="shared" si="777"/>
        <v>0</v>
      </c>
      <c r="FT427" s="1">
        <f t="shared" si="778"/>
        <v>0</v>
      </c>
      <c r="FU427" s="38">
        <f t="shared" si="779"/>
        <v>20.994488274488312</v>
      </c>
      <c r="FV427" s="38">
        <f t="shared" si="780"/>
        <v>22.748368358893892</v>
      </c>
      <c r="FW427" s="38">
        <f t="shared" si="781"/>
        <v>0</v>
      </c>
      <c r="FX427" s="38">
        <f t="shared" si="782"/>
        <v>0</v>
      </c>
      <c r="FY427" s="38">
        <f t="shared" si="783"/>
        <v>0</v>
      </c>
      <c r="FZ427" s="38">
        <f t="shared" si="784"/>
        <v>0</v>
      </c>
      <c r="GA427" s="38">
        <f t="shared" si="785"/>
        <v>0</v>
      </c>
      <c r="GB427" s="38">
        <f t="shared" si="786"/>
        <v>305.12709182885834</v>
      </c>
      <c r="GC427" s="38">
        <f t="shared" si="787"/>
        <v>0</v>
      </c>
      <c r="GD427" s="38">
        <f t="shared" si="788"/>
        <v>854.43023459442429</v>
      </c>
      <c r="GE427" s="38">
        <f t="shared" si="789"/>
        <v>503.73949071954792</v>
      </c>
      <c r="GF427" s="38">
        <f t="shared" si="790"/>
        <v>368.12851538951003</v>
      </c>
      <c r="GG427" s="38">
        <f t="shared" si="791"/>
        <v>0</v>
      </c>
      <c r="GH427" s="38">
        <f t="shared" si="792"/>
        <v>0</v>
      </c>
      <c r="GI427" s="38">
        <f t="shared" si="793"/>
        <v>0</v>
      </c>
      <c r="GJ427" s="38">
        <f t="shared" si="794"/>
        <v>0</v>
      </c>
      <c r="GL427" s="38">
        <f t="shared" si="795"/>
        <v>0</v>
      </c>
      <c r="GM427" s="38">
        <f t="shared" si="796"/>
        <v>0</v>
      </c>
      <c r="GN427" s="1" t="s">
        <v>2</v>
      </c>
      <c r="GO427" s="1">
        <f t="shared" si="719"/>
        <v>30.2</v>
      </c>
      <c r="GP427" s="13">
        <f t="shared" si="720"/>
        <v>0.11240231217618903</v>
      </c>
      <c r="GQ427" s="41">
        <f t="shared" si="721"/>
        <v>33.945498277209083</v>
      </c>
      <c r="GR427" s="41">
        <f t="shared" si="722"/>
        <v>3608.4260508613725</v>
      </c>
      <c r="GS427" s="14">
        <f t="shared" si="723"/>
        <v>119.484306319913</v>
      </c>
      <c r="GT427" s="1">
        <f t="shared" si="797"/>
        <v>33.945498277209083</v>
      </c>
      <c r="GU427" s="1">
        <f t="shared" si="798"/>
        <v>0</v>
      </c>
      <c r="GV427" s="1">
        <f t="shared" si="799"/>
        <v>0</v>
      </c>
      <c r="GW427" s="37">
        <f t="shared" si="724"/>
        <v>20.7</v>
      </c>
      <c r="GX427" s="44">
        <f>(BT427*CB427+CO427*CW427)/GW427</f>
        <v>0.11240231217618901</v>
      </c>
      <c r="GY427" s="41">
        <f>1000*GW427*GX427/100</f>
        <v>23.267278620471124</v>
      </c>
      <c r="GZ427" s="41">
        <f>SUM(FU427:GM427)</f>
        <v>2075.1681891657227</v>
      </c>
      <c r="HA427" s="14">
        <f>GZ427/GW427</f>
        <v>100.2496709741895</v>
      </c>
      <c r="HB427" s="1">
        <f t="shared" si="800"/>
        <v>23.267278620471124</v>
      </c>
      <c r="HC427" s="1">
        <f t="shared" si="801"/>
        <v>0</v>
      </c>
      <c r="HD427" s="37" t="s">
        <v>2</v>
      </c>
      <c r="HE427" s="1" t="s">
        <v>113</v>
      </c>
      <c r="HF427" s="1" t="s">
        <v>261</v>
      </c>
      <c r="HG427" s="1" t="s">
        <v>589</v>
      </c>
      <c r="HH427" s="1" t="s">
        <v>1182</v>
      </c>
      <c r="HI427" s="1" t="s">
        <v>96</v>
      </c>
      <c r="HJ427" s="37" t="s">
        <v>2</v>
      </c>
      <c r="JH427" s="58" t="s">
        <v>2</v>
      </c>
    </row>
    <row r="428" spans="1:268" ht="16.25" customHeight="1" x14ac:dyDescent="0.2">
      <c r="A428" s="15" t="s">
        <v>1258</v>
      </c>
      <c r="F428" s="1" t="s">
        <v>1259</v>
      </c>
      <c r="I428" s="13">
        <v>2.5259659999999999</v>
      </c>
      <c r="J428" s="13">
        <v>2.9148595329822911E-2</v>
      </c>
      <c r="K428" s="13">
        <v>5.6096699999999999E-2</v>
      </c>
      <c r="Q428" s="13">
        <v>0.11240231217618901</v>
      </c>
      <c r="S428" s="13">
        <v>2.6700239999999997</v>
      </c>
      <c r="T428" s="13">
        <v>2.3540719999999999</v>
      </c>
      <c r="U428" s="13">
        <v>0.4807264</v>
      </c>
      <c r="AD428" s="13">
        <v>1.525439</v>
      </c>
      <c r="AE428" s="13">
        <v>2.9148595329822911E-2</v>
      </c>
      <c r="AF428" s="13">
        <v>9.5874359999999992E-2</v>
      </c>
      <c r="AL428" s="13">
        <v>0.11240231217618901</v>
      </c>
      <c r="AN428" s="13">
        <v>2.6890955999999999</v>
      </c>
      <c r="AO428" s="13">
        <v>2.3708868000000001</v>
      </c>
      <c r="AP428" s="13">
        <v>0.48416016000000001</v>
      </c>
      <c r="AY428" s="1">
        <v>0</v>
      </c>
      <c r="BT428" s="13">
        <v>1.9098869999999999</v>
      </c>
      <c r="BU428" s="13">
        <v>2.9148595329822911E-2</v>
      </c>
      <c r="BV428" s="13">
        <v>7.7175460000000001E-2</v>
      </c>
      <c r="CB428" s="13">
        <v>0.11240231217618901</v>
      </c>
      <c r="CD428" s="13">
        <v>2.1646266000000001</v>
      </c>
      <c r="CE428" s="13">
        <v>1.9084798000000001</v>
      </c>
      <c r="CF428" s="13">
        <v>0.38973176000000004</v>
      </c>
      <c r="CO428" s="13">
        <v>0.97917799999999999</v>
      </c>
      <c r="CP428" s="13">
        <v>2.9148595329822911E-2</v>
      </c>
      <c r="CQ428" s="13">
        <v>4.5899999999999996E-2</v>
      </c>
      <c r="CW428" s="13">
        <v>0.11240231217618901</v>
      </c>
      <c r="CY428" s="13">
        <v>2.0196000000000001</v>
      </c>
      <c r="CZ428" s="13">
        <v>2.0655000000000001</v>
      </c>
      <c r="DA428" s="13">
        <v>0.45900000000000002</v>
      </c>
      <c r="DL428" s="1">
        <f t="shared" si="717"/>
        <v>0.112402312176189</v>
      </c>
      <c r="DM428" s="1">
        <f t="shared" si="718"/>
        <v>0</v>
      </c>
      <c r="DN428" s="1" t="s">
        <v>185</v>
      </c>
      <c r="DO428" s="1" t="s">
        <v>2</v>
      </c>
      <c r="DP428" s="38">
        <f t="shared" si="725"/>
        <v>1.1809276486222119E-3</v>
      </c>
      <c r="DQ428" s="38">
        <f t="shared" si="726"/>
        <v>0.28794884475624</v>
      </c>
      <c r="DR428" s="38">
        <f t="shared" si="727"/>
        <v>0</v>
      </c>
      <c r="DS428" s="38">
        <f t="shared" si="728"/>
        <v>0</v>
      </c>
      <c r="DT428" s="38">
        <f t="shared" si="729"/>
        <v>0</v>
      </c>
      <c r="DU428" s="38">
        <f t="shared" si="730"/>
        <v>0</v>
      </c>
      <c r="DV428" s="38">
        <f t="shared" si="731"/>
        <v>0</v>
      </c>
      <c r="DW428" s="38">
        <f t="shared" si="732"/>
        <v>4.55387289562173E-3</v>
      </c>
      <c r="DX428" s="38">
        <f t="shared" si="733"/>
        <v>0</v>
      </c>
      <c r="DY428" s="38">
        <f t="shared" si="734"/>
        <v>10.846441146152399</v>
      </c>
      <c r="DZ428" s="38">
        <f t="shared" si="735"/>
        <v>9.5629490228572003</v>
      </c>
      <c r="EA428" s="38">
        <f t="shared" si="736"/>
        <v>1.9528553320126401</v>
      </c>
      <c r="EB428" s="38">
        <f t="shared" si="737"/>
        <v>0</v>
      </c>
      <c r="EC428" s="38">
        <f t="shared" si="738"/>
        <v>0</v>
      </c>
      <c r="ED428" s="38">
        <f t="shared" si="739"/>
        <v>0</v>
      </c>
      <c r="EE428" s="38">
        <f t="shared" si="740"/>
        <v>0</v>
      </c>
      <c r="EG428" s="38">
        <f t="shared" si="741"/>
        <v>0</v>
      </c>
      <c r="EH428" s="38">
        <f t="shared" si="742"/>
        <v>0</v>
      </c>
      <c r="EI428" s="38">
        <f t="shared" si="743"/>
        <v>7.7062803586914841</v>
      </c>
      <c r="EJ428" s="38">
        <f t="shared" si="744"/>
        <v>11.777200338583192</v>
      </c>
      <c r="EK428" s="38">
        <f t="shared" si="745"/>
        <v>0</v>
      </c>
      <c r="EL428" s="38">
        <f t="shared" si="746"/>
        <v>0</v>
      </c>
      <c r="EM428" s="38">
        <f t="shared" si="747"/>
        <v>0</v>
      </c>
      <c r="EN428" s="38">
        <f t="shared" si="748"/>
        <v>0</v>
      </c>
      <c r="EO428" s="38">
        <f t="shared" si="749"/>
        <v>0</v>
      </c>
      <c r="EP428" s="38">
        <f t="shared" si="750"/>
        <v>59.719489153183368</v>
      </c>
      <c r="EQ428" s="38">
        <f t="shared" si="751"/>
        <v>0</v>
      </c>
      <c r="ER428" s="38">
        <f t="shared" si="752"/>
        <v>307.83664765475481</v>
      </c>
      <c r="ES428" s="38">
        <f t="shared" si="753"/>
        <v>318.69219471896747</v>
      </c>
      <c r="ET428" s="38">
        <f t="shared" si="754"/>
        <v>139.73276431921957</v>
      </c>
      <c r="EU428" s="38">
        <f t="shared" si="755"/>
        <v>0</v>
      </c>
      <c r="EV428" s="38">
        <f t="shared" si="756"/>
        <v>0</v>
      </c>
      <c r="EW428" s="38">
        <f t="shared" si="757"/>
        <v>0</v>
      </c>
      <c r="EX428" s="38">
        <f t="shared" si="758"/>
        <v>0</v>
      </c>
      <c r="EZ428" s="38">
        <f t="shared" si="759"/>
        <v>0</v>
      </c>
      <c r="FA428" s="38">
        <f t="shared" si="760"/>
        <v>0</v>
      </c>
      <c r="FB428" s="1">
        <f t="shared" si="761"/>
        <v>8.4212186566554829E-4</v>
      </c>
      <c r="FC428" s="1">
        <f t="shared" si="762"/>
        <v>0.19234067797301999</v>
      </c>
      <c r="FD428" s="1">
        <f t="shared" si="763"/>
        <v>0</v>
      </c>
      <c r="FE428" s="1">
        <f t="shared" si="764"/>
        <v>0</v>
      </c>
      <c r="FF428" s="1">
        <f t="shared" si="765"/>
        <v>0</v>
      </c>
      <c r="FG428" s="1">
        <f t="shared" si="766"/>
        <v>0</v>
      </c>
      <c r="FH428" s="1">
        <f t="shared" si="767"/>
        <v>0</v>
      </c>
      <c r="FI428" s="1">
        <f t="shared" si="768"/>
        <v>3.247375860273015E-3</v>
      </c>
      <c r="FJ428" s="1">
        <f t="shared" si="769"/>
        <v>0</v>
      </c>
      <c r="FK428" s="1">
        <f t="shared" si="770"/>
        <v>6.1117400919942</v>
      </c>
      <c r="FL428" s="1">
        <f t="shared" si="771"/>
        <v>5.6674729187826003</v>
      </c>
      <c r="FM428" s="1">
        <f t="shared" si="772"/>
        <v>1.1937863239111199</v>
      </c>
      <c r="FN428" s="1">
        <f t="shared" si="773"/>
        <v>0</v>
      </c>
      <c r="FO428" s="1">
        <f t="shared" si="774"/>
        <v>0</v>
      </c>
      <c r="FP428" s="1">
        <f t="shared" si="775"/>
        <v>0</v>
      </c>
      <c r="FQ428" s="1">
        <f t="shared" si="776"/>
        <v>0</v>
      </c>
      <c r="FS428" s="1">
        <f t="shared" si="777"/>
        <v>0</v>
      </c>
      <c r="FT428" s="1">
        <f t="shared" si="778"/>
        <v>0</v>
      </c>
      <c r="FU428" s="38">
        <f t="shared" si="779"/>
        <v>5.4953639205369527</v>
      </c>
      <c r="FV428" s="38">
        <f t="shared" si="780"/>
        <v>7.8667955749736782</v>
      </c>
      <c r="FW428" s="38">
        <f t="shared" si="781"/>
        <v>0</v>
      </c>
      <c r="FX428" s="38">
        <f t="shared" si="782"/>
        <v>0</v>
      </c>
      <c r="FY428" s="38">
        <f t="shared" si="783"/>
        <v>0</v>
      </c>
      <c r="FZ428" s="38">
        <f t="shared" si="784"/>
        <v>0</v>
      </c>
      <c r="GA428" s="38">
        <f t="shared" si="785"/>
        <v>0</v>
      </c>
      <c r="GB428" s="38">
        <f t="shared" si="786"/>
        <v>42.586087031620316</v>
      </c>
      <c r="GC428" s="38">
        <f t="shared" si="787"/>
        <v>0</v>
      </c>
      <c r="GD428" s="38">
        <f t="shared" si="788"/>
        <v>173.45943760770416</v>
      </c>
      <c r="GE428" s="38">
        <f t="shared" si="789"/>
        <v>188.87263528018812</v>
      </c>
      <c r="GF428" s="38">
        <f t="shared" si="790"/>
        <v>85.419058090013351</v>
      </c>
      <c r="GG428" s="38">
        <f t="shared" si="791"/>
        <v>0</v>
      </c>
      <c r="GH428" s="38">
        <f t="shared" si="792"/>
        <v>0</v>
      </c>
      <c r="GI428" s="38">
        <f t="shared" si="793"/>
        <v>0</v>
      </c>
      <c r="GJ428" s="38">
        <f t="shared" si="794"/>
        <v>0</v>
      </c>
      <c r="GL428" s="38">
        <f t="shared" si="795"/>
        <v>0</v>
      </c>
      <c r="GM428" s="38">
        <f t="shared" si="796"/>
        <v>0</v>
      </c>
      <c r="GN428" s="1" t="s">
        <v>2</v>
      </c>
      <c r="GO428" s="13">
        <f t="shared" si="719"/>
        <v>4.0514049999999999</v>
      </c>
      <c r="GP428" s="13">
        <f t="shared" si="720"/>
        <v>0.112402312176189</v>
      </c>
      <c r="GQ428" s="41">
        <f t="shared" si="721"/>
        <v>4.5538728956217298</v>
      </c>
      <c r="GR428" s="41">
        <f t="shared" si="722"/>
        <v>845.46457654339986</v>
      </c>
      <c r="GS428" s="14">
        <f t="shared" si="723"/>
        <v>208.68429015203364</v>
      </c>
      <c r="GT428" s="1">
        <f t="shared" si="797"/>
        <v>2.8392441887843942</v>
      </c>
      <c r="GU428" s="1">
        <f t="shared" si="798"/>
        <v>1.714628706837336</v>
      </c>
      <c r="GV428" s="1">
        <f t="shared" si="799"/>
        <v>0</v>
      </c>
      <c r="GW428" s="46">
        <f t="shared" si="724"/>
        <v>2.889065</v>
      </c>
      <c r="GX428" s="44">
        <f>(BT428*CB428+CO428*CW428)/GW428</f>
        <v>0.11240231217618901</v>
      </c>
      <c r="GY428" s="41">
        <f>1000*GW428*GX428/100</f>
        <v>3.2473758602730154</v>
      </c>
      <c r="GZ428" s="41">
        <f>SUM(FU428:GM428)</f>
        <v>503.69937750503652</v>
      </c>
      <c r="HA428" s="14">
        <f>GZ428/GW428</f>
        <v>174.34684837656354</v>
      </c>
      <c r="HB428" s="1">
        <f t="shared" si="800"/>
        <v>2.1467571479524508</v>
      </c>
      <c r="HC428" s="1">
        <f t="shared" si="801"/>
        <v>1.100618712320564</v>
      </c>
      <c r="HD428" s="37" t="s">
        <v>2</v>
      </c>
      <c r="HE428" s="1" t="s">
        <v>113</v>
      </c>
      <c r="HF428" s="1" t="s">
        <v>261</v>
      </c>
      <c r="HG428" s="1" t="s">
        <v>589</v>
      </c>
      <c r="HH428" s="1" t="s">
        <v>1194</v>
      </c>
      <c r="HI428" s="1" t="s">
        <v>96</v>
      </c>
      <c r="HJ428" s="37" t="s">
        <v>2</v>
      </c>
      <c r="JH428" s="58" t="s">
        <v>2</v>
      </c>
    </row>
    <row r="429" spans="1:268" ht="16.25" customHeight="1" x14ac:dyDescent="0.2">
      <c r="A429" s="15" t="s">
        <v>1260</v>
      </c>
      <c r="F429" s="1" t="s">
        <v>1236</v>
      </c>
      <c r="I429" s="1">
        <v>294.75</v>
      </c>
      <c r="J429" s="13">
        <v>4.3032502120441053E-2</v>
      </c>
      <c r="K429" s="13">
        <v>0.12014079728583546</v>
      </c>
      <c r="Q429" s="13">
        <v>8.6632111959287536E-2</v>
      </c>
      <c r="S429" s="13">
        <v>2.0048532654792193</v>
      </c>
      <c r="T429" s="13">
        <v>1.2415368956743003</v>
      </c>
      <c r="U429" s="13">
        <v>0.28224088210347753</v>
      </c>
      <c r="AD429" s="1">
        <v>141.86000000000001</v>
      </c>
      <c r="AE429" s="13">
        <v>4.6565007754123776E-2</v>
      </c>
      <c r="AF429" s="13">
        <v>0.14311292823910898</v>
      </c>
      <c r="AL429" s="13">
        <v>0.1009392922599746</v>
      </c>
      <c r="AN429" s="13">
        <v>2.0430762723812204</v>
      </c>
      <c r="AO429" s="13">
        <v>1.2765289722261381</v>
      </c>
      <c r="AP429" s="13">
        <v>0.24998167207105595</v>
      </c>
      <c r="AY429" s="1">
        <v>169.18</v>
      </c>
      <c r="AZ429" s="13">
        <v>4.0914954486345897E-2</v>
      </c>
      <c r="BA429" s="13">
        <v>0.12229223312448279</v>
      </c>
      <c r="BG429" s="13">
        <v>0.1023679985813926</v>
      </c>
      <c r="BI429" s="13">
        <v>2.0696607163967369</v>
      </c>
      <c r="BJ429" s="13">
        <v>1.3596607163967371</v>
      </c>
      <c r="BK429" s="13">
        <v>0.28424518264570281</v>
      </c>
      <c r="BL429" s="13"/>
      <c r="BM429" s="13"/>
      <c r="BT429" s="1">
        <v>0</v>
      </c>
      <c r="CO429" s="1">
        <v>0</v>
      </c>
      <c r="DJ429" s="1" t="s">
        <v>96</v>
      </c>
      <c r="DL429" s="1">
        <f t="shared" si="717"/>
        <v>9.4377063008633355E-2</v>
      </c>
      <c r="DM429" s="1">
        <f t="shared" si="718"/>
        <v>0</v>
      </c>
      <c r="DN429" s="1" t="s">
        <v>185</v>
      </c>
      <c r="DO429" s="1" t="s">
        <v>2</v>
      </c>
      <c r="DP429" s="38">
        <f t="shared" si="725"/>
        <v>0.26211534000000003</v>
      </c>
      <c r="DQ429" s="38">
        <f t="shared" si="726"/>
        <v>76.402900000000017</v>
      </c>
      <c r="DR429" s="38">
        <f t="shared" si="727"/>
        <v>0</v>
      </c>
      <c r="DS429" s="38">
        <f t="shared" si="728"/>
        <v>0</v>
      </c>
      <c r="DT429" s="38">
        <f t="shared" si="729"/>
        <v>0</v>
      </c>
      <c r="DU429" s="38">
        <f t="shared" si="730"/>
        <v>0</v>
      </c>
      <c r="DV429" s="38">
        <f t="shared" si="731"/>
        <v>0</v>
      </c>
      <c r="DW429" s="38">
        <f t="shared" si="732"/>
        <v>0.57172680999999992</v>
      </c>
      <c r="DX429" s="38">
        <f t="shared" si="733"/>
        <v>0</v>
      </c>
      <c r="DY429" s="38">
        <f t="shared" si="734"/>
        <v>1230.9064999999996</v>
      </c>
      <c r="DZ429" s="38">
        <f t="shared" si="735"/>
        <v>777.05880000000002</v>
      </c>
      <c r="EA429" s="38">
        <f t="shared" si="736"/>
        <v>166.7415</v>
      </c>
      <c r="EB429" s="38">
        <f t="shared" si="737"/>
        <v>0</v>
      </c>
      <c r="EC429" s="38">
        <f t="shared" si="738"/>
        <v>0</v>
      </c>
      <c r="ED429" s="38">
        <f t="shared" si="739"/>
        <v>0</v>
      </c>
      <c r="EE429" s="38">
        <f t="shared" si="740"/>
        <v>0</v>
      </c>
      <c r="EG429" s="38">
        <f t="shared" si="741"/>
        <v>0</v>
      </c>
      <c r="EH429" s="38">
        <f t="shared" si="742"/>
        <v>0</v>
      </c>
      <c r="EI429" s="38">
        <f t="shared" si="743"/>
        <v>1710.4640565494401</v>
      </c>
      <c r="EJ429" s="38">
        <f t="shared" si="744"/>
        <v>3124.9031768488749</v>
      </c>
      <c r="EK429" s="38">
        <f t="shared" si="745"/>
        <v>0</v>
      </c>
      <c r="EL429" s="38">
        <f t="shared" si="746"/>
        <v>0</v>
      </c>
      <c r="EM429" s="38">
        <f t="shared" si="747"/>
        <v>0</v>
      </c>
      <c r="EN429" s="38">
        <f t="shared" si="748"/>
        <v>0</v>
      </c>
      <c r="EO429" s="38">
        <f t="shared" si="749"/>
        <v>0</v>
      </c>
      <c r="EP429" s="38">
        <f t="shared" si="750"/>
        <v>7497.6253863399988</v>
      </c>
      <c r="EQ429" s="38">
        <f t="shared" si="751"/>
        <v>0</v>
      </c>
      <c r="ER429" s="38">
        <f t="shared" si="752"/>
        <v>34934.788787459795</v>
      </c>
      <c r="ES429" s="38">
        <f t="shared" si="753"/>
        <v>25896.046690803858</v>
      </c>
      <c r="ET429" s="38">
        <f t="shared" si="754"/>
        <v>11930.863663987138</v>
      </c>
      <c r="EU429" s="38">
        <f t="shared" si="755"/>
        <v>0</v>
      </c>
      <c r="EV429" s="38">
        <f t="shared" si="756"/>
        <v>0</v>
      </c>
      <c r="EW429" s="38">
        <f t="shared" si="757"/>
        <v>0</v>
      </c>
      <c r="EX429" s="38">
        <f t="shared" si="758"/>
        <v>0</v>
      </c>
      <c r="EZ429" s="38">
        <f t="shared" si="759"/>
        <v>0</v>
      </c>
      <c r="FA429" s="38">
        <f t="shared" si="760"/>
        <v>0</v>
      </c>
      <c r="FB429" s="1">
        <f t="shared" si="761"/>
        <v>0</v>
      </c>
      <c r="FC429" s="1">
        <f t="shared" si="762"/>
        <v>0</v>
      </c>
      <c r="FD429" s="1">
        <f t="shared" si="763"/>
        <v>0</v>
      </c>
      <c r="FE429" s="1">
        <f t="shared" si="764"/>
        <v>0</v>
      </c>
      <c r="FF429" s="1">
        <f t="shared" si="765"/>
        <v>0</v>
      </c>
      <c r="FG429" s="1">
        <f t="shared" si="766"/>
        <v>0</v>
      </c>
      <c r="FH429" s="1">
        <f t="shared" si="767"/>
        <v>0</v>
      </c>
      <c r="FI429" s="1">
        <f t="shared" si="768"/>
        <v>0</v>
      </c>
      <c r="FJ429" s="1">
        <f t="shared" si="769"/>
        <v>0</v>
      </c>
      <c r="FK429" s="1">
        <f t="shared" si="770"/>
        <v>0</v>
      </c>
      <c r="FL429" s="1">
        <f t="shared" si="771"/>
        <v>0</v>
      </c>
      <c r="FM429" s="1">
        <f t="shared" si="772"/>
        <v>0</v>
      </c>
      <c r="FN429" s="1">
        <f t="shared" si="773"/>
        <v>0</v>
      </c>
      <c r="FO429" s="1">
        <f t="shared" si="774"/>
        <v>0</v>
      </c>
      <c r="FP429" s="1">
        <f t="shared" si="775"/>
        <v>0</v>
      </c>
      <c r="FQ429" s="1">
        <f t="shared" si="776"/>
        <v>0</v>
      </c>
      <c r="FS429" s="1">
        <f t="shared" si="777"/>
        <v>0</v>
      </c>
      <c r="FT429" s="1">
        <f t="shared" si="778"/>
        <v>0</v>
      </c>
      <c r="FU429" s="38">
        <f t="shared" si="779"/>
        <v>0</v>
      </c>
      <c r="FV429" s="38">
        <f t="shared" si="780"/>
        <v>0</v>
      </c>
      <c r="FW429" s="38">
        <f t="shared" si="781"/>
        <v>0</v>
      </c>
      <c r="FX429" s="38">
        <f t="shared" si="782"/>
        <v>0</v>
      </c>
      <c r="FY429" s="38">
        <f t="shared" si="783"/>
        <v>0</v>
      </c>
      <c r="FZ429" s="38">
        <f t="shared" si="784"/>
        <v>0</v>
      </c>
      <c r="GA429" s="38">
        <f t="shared" si="785"/>
        <v>0</v>
      </c>
      <c r="GB429" s="38">
        <f t="shared" si="786"/>
        <v>0</v>
      </c>
      <c r="GC429" s="38">
        <f t="shared" si="787"/>
        <v>0</v>
      </c>
      <c r="GD429" s="38">
        <f t="shared" si="788"/>
        <v>0</v>
      </c>
      <c r="GE429" s="38">
        <f t="shared" si="789"/>
        <v>0</v>
      </c>
      <c r="GF429" s="38">
        <f t="shared" si="790"/>
        <v>0</v>
      </c>
      <c r="GG429" s="38">
        <f t="shared" si="791"/>
        <v>0</v>
      </c>
      <c r="GH429" s="38">
        <f t="shared" si="792"/>
        <v>0</v>
      </c>
      <c r="GI429" s="38">
        <f t="shared" si="793"/>
        <v>0</v>
      </c>
      <c r="GJ429" s="38">
        <f t="shared" si="794"/>
        <v>0</v>
      </c>
      <c r="GL429" s="38">
        <f t="shared" si="795"/>
        <v>0</v>
      </c>
      <c r="GM429" s="38">
        <f t="shared" si="796"/>
        <v>0</v>
      </c>
      <c r="GN429" s="1" t="s">
        <v>2</v>
      </c>
      <c r="GO429" s="14">
        <f t="shared" si="719"/>
        <v>605.79</v>
      </c>
      <c r="GP429" s="13">
        <f t="shared" si="720"/>
        <v>9.4377063008633355E-2</v>
      </c>
      <c r="GQ429" s="41">
        <f t="shared" si="721"/>
        <v>571.72681</v>
      </c>
      <c r="GR429" s="41">
        <f t="shared" si="722"/>
        <v>85094.691761989117</v>
      </c>
      <c r="GS429" s="14">
        <f t="shared" si="723"/>
        <v>140.46896079827849</v>
      </c>
      <c r="GT429" s="1">
        <f t="shared" si="797"/>
        <v>255.34815000000003</v>
      </c>
      <c r="GU429" s="1">
        <f t="shared" si="798"/>
        <v>143.19247999999999</v>
      </c>
      <c r="GV429" s="1">
        <f t="shared" si="799"/>
        <v>173.18618000000004</v>
      </c>
      <c r="GW429" s="37">
        <f t="shared" si="724"/>
        <v>0</v>
      </c>
      <c r="GX429" s="37"/>
      <c r="GY429" s="37"/>
      <c r="GZ429" s="37"/>
      <c r="HB429" s="1">
        <f t="shared" si="800"/>
        <v>0</v>
      </c>
      <c r="HC429" s="1">
        <f t="shared" si="801"/>
        <v>0</v>
      </c>
      <c r="HD429" s="37" t="s">
        <v>2</v>
      </c>
      <c r="HE429" s="1" t="s">
        <v>113</v>
      </c>
      <c r="HF429" s="1" t="s">
        <v>261</v>
      </c>
      <c r="HG429" s="1" t="s">
        <v>589</v>
      </c>
      <c r="HH429" s="1" t="s">
        <v>1194</v>
      </c>
      <c r="HI429" s="1" t="s">
        <v>96</v>
      </c>
      <c r="HJ429" s="37" t="s">
        <v>2</v>
      </c>
      <c r="JH429" s="58" t="s">
        <v>2</v>
      </c>
    </row>
    <row r="430" spans="1:268" ht="16.25" customHeight="1" x14ac:dyDescent="0.2">
      <c r="A430" s="15" t="s">
        <v>1261</v>
      </c>
      <c r="F430" s="1" t="s">
        <v>1262</v>
      </c>
      <c r="I430" s="1">
        <v>0</v>
      </c>
      <c r="AD430" s="1">
        <v>61.099999999999994</v>
      </c>
      <c r="AE430" s="13">
        <v>8.7458246095301187E-2</v>
      </c>
      <c r="AF430" s="13">
        <v>0.28890223941080195</v>
      </c>
      <c r="AL430" s="13">
        <v>0.18894714337318413</v>
      </c>
      <c r="AN430" s="13">
        <v>2.7475857590834698</v>
      </c>
      <c r="AO430" s="13">
        <v>1.5293176517184945</v>
      </c>
      <c r="AP430" s="13">
        <v>0.19084396783633389</v>
      </c>
      <c r="AY430" s="1">
        <v>120.9</v>
      </c>
      <c r="AZ430" s="13">
        <v>5.5057684981245823E-2</v>
      </c>
      <c r="BA430" s="13">
        <v>0.18089215985111662</v>
      </c>
      <c r="BG430" s="13">
        <v>0.14641395292177414</v>
      </c>
      <c r="BI430" s="13">
        <v>2.7093271667493792</v>
      </c>
      <c r="BJ430" s="13">
        <v>1.9944255995037223</v>
      </c>
      <c r="BK430" s="13">
        <v>0.35366166300248142</v>
      </c>
      <c r="BL430" s="13"/>
      <c r="BM430" s="13"/>
      <c r="BT430" s="1">
        <v>0</v>
      </c>
      <c r="CO430" s="1">
        <v>0</v>
      </c>
      <c r="DJ430" s="1" t="s">
        <v>96</v>
      </c>
      <c r="DL430" s="1">
        <f t="shared" si="717"/>
        <v>0.16069295257331892</v>
      </c>
      <c r="DM430" s="1">
        <f t="shared" si="718"/>
        <v>0</v>
      </c>
      <c r="DN430" s="1" t="s">
        <v>67</v>
      </c>
      <c r="DO430" s="1" t="s">
        <v>2</v>
      </c>
      <c r="DP430" s="38">
        <f t="shared" si="725"/>
        <v>0.12000172950655522</v>
      </c>
      <c r="DQ430" s="38">
        <f t="shared" si="726"/>
        <v>39.521788954000002</v>
      </c>
      <c r="DR430" s="38">
        <f t="shared" si="727"/>
        <v>0</v>
      </c>
      <c r="DS430" s="38">
        <f t="shared" si="728"/>
        <v>0</v>
      </c>
      <c r="DT430" s="38">
        <f t="shared" si="729"/>
        <v>0</v>
      </c>
      <c r="DU430" s="38">
        <f t="shared" si="730"/>
        <v>0</v>
      </c>
      <c r="DV430" s="38">
        <f t="shared" si="731"/>
        <v>0</v>
      </c>
      <c r="DW430" s="38">
        <f t="shared" si="732"/>
        <v>0.29246117368344043</v>
      </c>
      <c r="DX430" s="38">
        <f t="shared" si="733"/>
        <v>0</v>
      </c>
      <c r="DY430" s="38">
        <f t="shared" si="734"/>
        <v>495.43514433999997</v>
      </c>
      <c r="DZ430" s="38">
        <f t="shared" si="735"/>
        <v>334.56736350000006</v>
      </c>
      <c r="EA430" s="38">
        <f t="shared" si="736"/>
        <v>54.41826149180001</v>
      </c>
      <c r="EB430" s="38">
        <f t="shared" si="737"/>
        <v>0</v>
      </c>
      <c r="EC430" s="38">
        <f t="shared" si="738"/>
        <v>0</v>
      </c>
      <c r="ED430" s="38">
        <f t="shared" si="739"/>
        <v>0</v>
      </c>
      <c r="EE430" s="38">
        <f t="shared" si="740"/>
        <v>0</v>
      </c>
      <c r="EG430" s="38">
        <f t="shared" si="741"/>
        <v>0</v>
      </c>
      <c r="EH430" s="38">
        <f t="shared" si="742"/>
        <v>0</v>
      </c>
      <c r="EI430" s="38">
        <f t="shared" si="743"/>
        <v>783.0852060956488</v>
      </c>
      <c r="EJ430" s="38">
        <f t="shared" si="744"/>
        <v>1616.4538761893245</v>
      </c>
      <c r="EK430" s="38">
        <f t="shared" si="745"/>
        <v>0</v>
      </c>
      <c r="EL430" s="38">
        <f t="shared" si="746"/>
        <v>0</v>
      </c>
      <c r="EM430" s="38">
        <f t="shared" si="747"/>
        <v>0</v>
      </c>
      <c r="EN430" s="38">
        <f t="shared" si="748"/>
        <v>0</v>
      </c>
      <c r="EO430" s="38">
        <f t="shared" si="749"/>
        <v>0</v>
      </c>
      <c r="EP430" s="38">
        <f t="shared" si="750"/>
        <v>3835.3358316846379</v>
      </c>
      <c r="EQ430" s="38">
        <f t="shared" si="751"/>
        <v>0</v>
      </c>
      <c r="ER430" s="38">
        <f t="shared" si="752"/>
        <v>14061.118472769913</v>
      </c>
      <c r="ES430" s="38">
        <f t="shared" si="753"/>
        <v>11149.699438980871</v>
      </c>
      <c r="ET430" s="38">
        <f t="shared" si="754"/>
        <v>3893.7928391544237</v>
      </c>
      <c r="EU430" s="38">
        <f t="shared" si="755"/>
        <v>0</v>
      </c>
      <c r="EV430" s="38">
        <f t="shared" si="756"/>
        <v>0</v>
      </c>
      <c r="EW430" s="38">
        <f t="shared" si="757"/>
        <v>0</v>
      </c>
      <c r="EX430" s="38">
        <f t="shared" si="758"/>
        <v>0</v>
      </c>
      <c r="EZ430" s="38">
        <f t="shared" si="759"/>
        <v>0</v>
      </c>
      <c r="FA430" s="38">
        <f t="shared" si="760"/>
        <v>0</v>
      </c>
      <c r="FB430" s="1">
        <f t="shared" si="761"/>
        <v>0</v>
      </c>
      <c r="FC430" s="1">
        <f t="shared" si="762"/>
        <v>0</v>
      </c>
      <c r="FD430" s="1">
        <f t="shared" si="763"/>
        <v>0</v>
      </c>
      <c r="FE430" s="1">
        <f t="shared" si="764"/>
        <v>0</v>
      </c>
      <c r="FF430" s="1">
        <f t="shared" si="765"/>
        <v>0</v>
      </c>
      <c r="FG430" s="1">
        <f t="shared" si="766"/>
        <v>0</v>
      </c>
      <c r="FH430" s="1">
        <f t="shared" si="767"/>
        <v>0</v>
      </c>
      <c r="FI430" s="1">
        <f t="shared" si="768"/>
        <v>0</v>
      </c>
      <c r="FJ430" s="1">
        <f t="shared" si="769"/>
        <v>0</v>
      </c>
      <c r="FK430" s="1">
        <f t="shared" si="770"/>
        <v>0</v>
      </c>
      <c r="FL430" s="1">
        <f t="shared" si="771"/>
        <v>0</v>
      </c>
      <c r="FM430" s="1">
        <f t="shared" si="772"/>
        <v>0</v>
      </c>
      <c r="FN430" s="1">
        <f t="shared" si="773"/>
        <v>0</v>
      </c>
      <c r="FO430" s="1">
        <f t="shared" si="774"/>
        <v>0</v>
      </c>
      <c r="FP430" s="1">
        <f t="shared" si="775"/>
        <v>0</v>
      </c>
      <c r="FQ430" s="1">
        <f t="shared" si="776"/>
        <v>0</v>
      </c>
      <c r="FS430" s="1">
        <f t="shared" si="777"/>
        <v>0</v>
      </c>
      <c r="FT430" s="1">
        <f t="shared" si="778"/>
        <v>0</v>
      </c>
      <c r="FU430" s="38">
        <f t="shared" si="779"/>
        <v>0</v>
      </c>
      <c r="FV430" s="38">
        <f t="shared" si="780"/>
        <v>0</v>
      </c>
      <c r="FW430" s="38">
        <f t="shared" si="781"/>
        <v>0</v>
      </c>
      <c r="FX430" s="38">
        <f t="shared" si="782"/>
        <v>0</v>
      </c>
      <c r="FY430" s="38">
        <f t="shared" si="783"/>
        <v>0</v>
      </c>
      <c r="FZ430" s="38">
        <f t="shared" si="784"/>
        <v>0</v>
      </c>
      <c r="GA430" s="38">
        <f t="shared" si="785"/>
        <v>0</v>
      </c>
      <c r="GB430" s="38">
        <f t="shared" si="786"/>
        <v>0</v>
      </c>
      <c r="GC430" s="38">
        <f t="shared" si="787"/>
        <v>0</v>
      </c>
      <c r="GD430" s="38">
        <f t="shared" si="788"/>
        <v>0</v>
      </c>
      <c r="GE430" s="38">
        <f t="shared" si="789"/>
        <v>0</v>
      </c>
      <c r="GF430" s="38">
        <f t="shared" si="790"/>
        <v>0</v>
      </c>
      <c r="GG430" s="38">
        <f t="shared" si="791"/>
        <v>0</v>
      </c>
      <c r="GH430" s="38">
        <f t="shared" si="792"/>
        <v>0</v>
      </c>
      <c r="GI430" s="38">
        <f t="shared" si="793"/>
        <v>0</v>
      </c>
      <c r="GJ430" s="38">
        <f t="shared" si="794"/>
        <v>0</v>
      </c>
      <c r="GL430" s="38">
        <f t="shared" si="795"/>
        <v>0</v>
      </c>
      <c r="GM430" s="38">
        <f t="shared" si="796"/>
        <v>0</v>
      </c>
      <c r="GN430" s="1" t="s">
        <v>2</v>
      </c>
      <c r="GO430" s="1">
        <f t="shared" si="719"/>
        <v>182</v>
      </c>
      <c r="GP430" s="13">
        <f t="shared" si="720"/>
        <v>0.16069295257331892</v>
      </c>
      <c r="GQ430" s="41">
        <f t="shared" si="721"/>
        <v>292.46117368344045</v>
      </c>
      <c r="GR430" s="41">
        <f t="shared" si="722"/>
        <v>35339.485664874817</v>
      </c>
      <c r="GS430" s="14">
        <f t="shared" si="723"/>
        <v>194.17299815865283</v>
      </c>
      <c r="GT430" s="1">
        <f t="shared" si="797"/>
        <v>0</v>
      </c>
      <c r="GU430" s="1">
        <f t="shared" si="798"/>
        <v>115.4467046010155</v>
      </c>
      <c r="GV430" s="1">
        <f t="shared" si="799"/>
        <v>177.01446908242494</v>
      </c>
      <c r="GW430" s="37">
        <f t="shared" si="724"/>
        <v>0</v>
      </c>
      <c r="GX430" s="37"/>
      <c r="GY430" s="37"/>
      <c r="GZ430" s="37"/>
      <c r="HB430" s="1">
        <f t="shared" si="800"/>
        <v>0</v>
      </c>
      <c r="HC430" s="1">
        <f t="shared" si="801"/>
        <v>0</v>
      </c>
      <c r="HD430" s="37" t="s">
        <v>2</v>
      </c>
      <c r="HE430" s="1" t="s">
        <v>113</v>
      </c>
      <c r="HF430" s="1" t="s">
        <v>261</v>
      </c>
      <c r="HG430" s="1" t="s">
        <v>589</v>
      </c>
      <c r="HH430" s="1" t="s">
        <v>1194</v>
      </c>
      <c r="HI430" s="1" t="s">
        <v>96</v>
      </c>
      <c r="HJ430" s="37" t="s">
        <v>2</v>
      </c>
      <c r="JH430" s="58" t="s">
        <v>2</v>
      </c>
    </row>
    <row r="431" spans="1:268" ht="16.25" customHeight="1" x14ac:dyDescent="0.2">
      <c r="A431" s="15" t="s">
        <v>1263</v>
      </c>
      <c r="F431" s="1" t="s">
        <v>1213</v>
      </c>
      <c r="I431" s="1">
        <v>0</v>
      </c>
      <c r="AD431" s="1">
        <v>0</v>
      </c>
      <c r="AY431" s="1">
        <v>102.58000000000001</v>
      </c>
      <c r="AZ431" s="13">
        <v>5.881502879483657E-2</v>
      </c>
      <c r="BA431" s="13">
        <v>0.29610219536264376</v>
      </c>
      <c r="BG431" s="13">
        <v>0.15134633108190287</v>
      </c>
      <c r="BI431" s="13">
        <v>3.5279755133846753</v>
      </c>
      <c r="BJ431" s="13">
        <v>2.313827435143303</v>
      </c>
      <c r="BK431" s="13">
        <v>0.36416767315441601</v>
      </c>
      <c r="BL431" s="13"/>
      <c r="BM431" s="13"/>
      <c r="BT431" s="1">
        <v>0</v>
      </c>
      <c r="CO431" s="1">
        <v>0</v>
      </c>
      <c r="DJ431" s="1" t="s">
        <v>96</v>
      </c>
      <c r="DL431" s="1">
        <f t="shared" si="717"/>
        <v>0.15134633108190287</v>
      </c>
      <c r="DM431" s="1">
        <f t="shared" si="718"/>
        <v>0</v>
      </c>
      <c r="DN431" s="1" t="s">
        <v>159</v>
      </c>
      <c r="DO431" s="1" t="s">
        <v>2</v>
      </c>
      <c r="DP431" s="38">
        <f t="shared" si="725"/>
        <v>6.0332456537743356E-2</v>
      </c>
      <c r="DQ431" s="38">
        <f t="shared" si="726"/>
        <v>30.3741632003</v>
      </c>
      <c r="DR431" s="38">
        <f t="shared" si="727"/>
        <v>0</v>
      </c>
      <c r="DS431" s="38">
        <f t="shared" si="728"/>
        <v>0</v>
      </c>
      <c r="DT431" s="38">
        <f t="shared" si="729"/>
        <v>0</v>
      </c>
      <c r="DU431" s="38">
        <f t="shared" si="730"/>
        <v>0</v>
      </c>
      <c r="DV431" s="38">
        <f t="shared" si="731"/>
        <v>0</v>
      </c>
      <c r="DW431" s="38">
        <f t="shared" si="732"/>
        <v>0.155251066423816</v>
      </c>
      <c r="DX431" s="38">
        <f t="shared" si="733"/>
        <v>0</v>
      </c>
      <c r="DY431" s="38">
        <f t="shared" si="734"/>
        <v>361.89972816300002</v>
      </c>
      <c r="DZ431" s="38">
        <f t="shared" si="735"/>
        <v>237.35241829700004</v>
      </c>
      <c r="EA431" s="38">
        <f t="shared" si="736"/>
        <v>37.356319912179998</v>
      </c>
      <c r="EB431" s="38">
        <f t="shared" si="737"/>
        <v>0</v>
      </c>
      <c r="EC431" s="38">
        <f t="shared" si="738"/>
        <v>0</v>
      </c>
      <c r="ED431" s="38">
        <f t="shared" si="739"/>
        <v>0</v>
      </c>
      <c r="EE431" s="38">
        <f t="shared" si="740"/>
        <v>0</v>
      </c>
      <c r="EG431" s="38">
        <f t="shared" si="741"/>
        <v>0</v>
      </c>
      <c r="EH431" s="38">
        <f t="shared" si="742"/>
        <v>0</v>
      </c>
      <c r="EI431" s="38">
        <f t="shared" si="743"/>
        <v>393.70644370200267</v>
      </c>
      <c r="EJ431" s="38">
        <f t="shared" si="744"/>
        <v>1242.3130415042315</v>
      </c>
      <c r="EK431" s="38">
        <f t="shared" si="745"/>
        <v>0</v>
      </c>
      <c r="EL431" s="38">
        <f t="shared" si="746"/>
        <v>0</v>
      </c>
      <c r="EM431" s="38">
        <f t="shared" si="747"/>
        <v>0</v>
      </c>
      <c r="EN431" s="38">
        <f t="shared" si="748"/>
        <v>0</v>
      </c>
      <c r="EO431" s="38">
        <f t="shared" si="749"/>
        <v>0</v>
      </c>
      <c r="EP431" s="38">
        <f t="shared" si="750"/>
        <v>2035.962485081923</v>
      </c>
      <c r="EQ431" s="38">
        <f t="shared" si="751"/>
        <v>0</v>
      </c>
      <c r="ER431" s="38">
        <f t="shared" si="752"/>
        <v>10271.203024448667</v>
      </c>
      <c r="ES431" s="38">
        <f t="shared" si="753"/>
        <v>7909.9410577350409</v>
      </c>
      <c r="ET431" s="38">
        <f t="shared" si="754"/>
        <v>2672.9588006615486</v>
      </c>
      <c r="EU431" s="38">
        <f t="shared" si="755"/>
        <v>0</v>
      </c>
      <c r="EV431" s="38">
        <f t="shared" si="756"/>
        <v>0</v>
      </c>
      <c r="EW431" s="38">
        <f t="shared" si="757"/>
        <v>0</v>
      </c>
      <c r="EX431" s="38">
        <f t="shared" si="758"/>
        <v>0</v>
      </c>
      <c r="EZ431" s="38">
        <f t="shared" si="759"/>
        <v>0</v>
      </c>
      <c r="FA431" s="38">
        <f t="shared" si="760"/>
        <v>0</v>
      </c>
      <c r="FB431" s="1">
        <f t="shared" si="761"/>
        <v>0</v>
      </c>
      <c r="FC431" s="1">
        <f t="shared" si="762"/>
        <v>0</v>
      </c>
      <c r="FD431" s="1">
        <f t="shared" si="763"/>
        <v>0</v>
      </c>
      <c r="FE431" s="1">
        <f t="shared" si="764"/>
        <v>0</v>
      </c>
      <c r="FF431" s="1">
        <f t="shared" si="765"/>
        <v>0</v>
      </c>
      <c r="FG431" s="1">
        <f t="shared" si="766"/>
        <v>0</v>
      </c>
      <c r="FH431" s="1">
        <f t="shared" si="767"/>
        <v>0</v>
      </c>
      <c r="FI431" s="1">
        <f t="shared" si="768"/>
        <v>0</v>
      </c>
      <c r="FJ431" s="1">
        <f t="shared" si="769"/>
        <v>0</v>
      </c>
      <c r="FK431" s="1">
        <f t="shared" si="770"/>
        <v>0</v>
      </c>
      <c r="FL431" s="1">
        <f t="shared" si="771"/>
        <v>0</v>
      </c>
      <c r="FM431" s="1">
        <f t="shared" si="772"/>
        <v>0</v>
      </c>
      <c r="FN431" s="1">
        <f t="shared" si="773"/>
        <v>0</v>
      </c>
      <c r="FO431" s="1">
        <f t="shared" si="774"/>
        <v>0</v>
      </c>
      <c r="FP431" s="1">
        <f t="shared" si="775"/>
        <v>0</v>
      </c>
      <c r="FQ431" s="1">
        <f t="shared" si="776"/>
        <v>0</v>
      </c>
      <c r="FS431" s="1">
        <f t="shared" si="777"/>
        <v>0</v>
      </c>
      <c r="FT431" s="1">
        <f t="shared" si="778"/>
        <v>0</v>
      </c>
      <c r="FU431" s="38">
        <f t="shared" si="779"/>
        <v>0</v>
      </c>
      <c r="FV431" s="38">
        <f t="shared" si="780"/>
        <v>0</v>
      </c>
      <c r="FW431" s="38">
        <f t="shared" si="781"/>
        <v>0</v>
      </c>
      <c r="FX431" s="38">
        <f t="shared" si="782"/>
        <v>0</v>
      </c>
      <c r="FY431" s="38">
        <f t="shared" si="783"/>
        <v>0</v>
      </c>
      <c r="FZ431" s="38">
        <f t="shared" si="784"/>
        <v>0</v>
      </c>
      <c r="GA431" s="38">
        <f t="shared" si="785"/>
        <v>0</v>
      </c>
      <c r="GB431" s="38">
        <f t="shared" si="786"/>
        <v>0</v>
      </c>
      <c r="GC431" s="38">
        <f t="shared" si="787"/>
        <v>0</v>
      </c>
      <c r="GD431" s="38">
        <f t="shared" si="788"/>
        <v>0</v>
      </c>
      <c r="GE431" s="38">
        <f t="shared" si="789"/>
        <v>0</v>
      </c>
      <c r="GF431" s="38">
        <f t="shared" si="790"/>
        <v>0</v>
      </c>
      <c r="GG431" s="38">
        <f t="shared" si="791"/>
        <v>0</v>
      </c>
      <c r="GH431" s="38">
        <f t="shared" si="792"/>
        <v>0</v>
      </c>
      <c r="GI431" s="38">
        <f t="shared" si="793"/>
        <v>0</v>
      </c>
      <c r="GJ431" s="38">
        <f t="shared" si="794"/>
        <v>0</v>
      </c>
      <c r="GL431" s="38">
        <f t="shared" si="795"/>
        <v>0</v>
      </c>
      <c r="GM431" s="38">
        <f t="shared" si="796"/>
        <v>0</v>
      </c>
      <c r="GN431" s="1" t="s">
        <v>2</v>
      </c>
      <c r="GO431" s="14">
        <f t="shared" si="719"/>
        <v>102.58000000000001</v>
      </c>
      <c r="GP431" s="13">
        <f t="shared" si="720"/>
        <v>0.15134633108190287</v>
      </c>
      <c r="GQ431" s="41">
        <f t="shared" si="721"/>
        <v>155.25106642381598</v>
      </c>
      <c r="GR431" s="41">
        <f t="shared" si="722"/>
        <v>24526.084853133416</v>
      </c>
      <c r="GS431" s="14">
        <f t="shared" si="723"/>
        <v>239.09226801650823</v>
      </c>
      <c r="GT431" s="1">
        <f t="shared" si="797"/>
        <v>0</v>
      </c>
      <c r="GU431" s="1">
        <f t="shared" si="798"/>
        <v>0</v>
      </c>
      <c r="GV431" s="1">
        <f t="shared" si="799"/>
        <v>155.25106642381598</v>
      </c>
      <c r="GW431" s="37">
        <f t="shared" si="724"/>
        <v>0</v>
      </c>
      <c r="GX431" s="37"/>
      <c r="GY431" s="37"/>
      <c r="GZ431" s="37"/>
      <c r="HB431" s="1">
        <f t="shared" si="800"/>
        <v>0</v>
      </c>
      <c r="HC431" s="1">
        <f t="shared" si="801"/>
        <v>0</v>
      </c>
      <c r="HD431" s="37" t="s">
        <v>2</v>
      </c>
      <c r="HE431" s="1" t="s">
        <v>113</v>
      </c>
      <c r="HF431" s="1" t="s">
        <v>261</v>
      </c>
      <c r="HG431" s="1" t="s">
        <v>589</v>
      </c>
      <c r="HH431" s="1" t="s">
        <v>1194</v>
      </c>
      <c r="HI431" s="1" t="s">
        <v>96</v>
      </c>
      <c r="HJ431" s="37" t="s">
        <v>2</v>
      </c>
      <c r="JH431" s="58" t="s">
        <v>2</v>
      </c>
    </row>
    <row r="432" spans="1:268" ht="16.25" customHeight="1" x14ac:dyDescent="0.2">
      <c r="A432" s="15" t="s">
        <v>1264</v>
      </c>
      <c r="F432" s="1" t="s">
        <v>1009</v>
      </c>
      <c r="I432" s="1">
        <v>103</v>
      </c>
      <c r="J432" s="13">
        <v>5.8194174757281551E-2</v>
      </c>
      <c r="K432" s="13">
        <v>0.20959168932038835</v>
      </c>
      <c r="Q432" s="13">
        <v>0.19229126213592229</v>
      </c>
      <c r="S432" s="13">
        <v>2.7261865631067961</v>
      </c>
      <c r="T432" s="13">
        <v>2.2912988932038836</v>
      </c>
      <c r="U432" s="13">
        <v>0.33927236893203883</v>
      </c>
      <c r="X432" s="14">
        <v>8.9221948800320696</v>
      </c>
      <c r="AD432" s="1">
        <v>232.7</v>
      </c>
      <c r="AE432" s="13">
        <v>5.2509669101847872E-2</v>
      </c>
      <c r="AF432" s="13">
        <v>0.19100296519123336</v>
      </c>
      <c r="AL432" s="13">
        <v>0.18376450365277183</v>
      </c>
      <c r="AN432" s="13">
        <v>2.6991925569402664</v>
      </c>
      <c r="AO432" s="13">
        <v>2.3906270777825527</v>
      </c>
      <c r="AP432" s="13">
        <v>0.36400335625268587</v>
      </c>
      <c r="AS432" s="14">
        <v>10.51681683583355</v>
      </c>
      <c r="AY432" s="1">
        <v>313.89999999999998</v>
      </c>
      <c r="AZ432" s="13">
        <v>6.1672507167887858E-2</v>
      </c>
      <c r="BA432" s="13">
        <v>0.23878112774769036</v>
      </c>
      <c r="BG432" s="13">
        <v>0.19750876075183177</v>
      </c>
      <c r="BI432" s="13">
        <v>2.8097183816502067</v>
      </c>
      <c r="BJ432" s="13">
        <v>2.1932789614526915</v>
      </c>
      <c r="BK432" s="13">
        <v>0.31093895508123603</v>
      </c>
      <c r="BL432" s="13"/>
      <c r="BM432" s="13"/>
      <c r="BN432" s="14">
        <v>7.9464503619090516</v>
      </c>
      <c r="BT432" s="1">
        <v>0</v>
      </c>
      <c r="CO432" s="1">
        <v>0</v>
      </c>
      <c r="DJ432" s="1" t="s">
        <v>96</v>
      </c>
      <c r="DL432" s="1">
        <f t="shared" si="717"/>
        <v>0.19175800492610839</v>
      </c>
      <c r="DM432" s="1">
        <f t="shared" si="718"/>
        <v>0</v>
      </c>
      <c r="DN432" s="1" t="s">
        <v>73</v>
      </c>
      <c r="DO432" s="1" t="s">
        <v>2</v>
      </c>
      <c r="DP432" s="38">
        <f t="shared" si="725"/>
        <v>0.37572000000000005</v>
      </c>
      <c r="DQ432" s="38">
        <f t="shared" si="726"/>
        <v>140.98773</v>
      </c>
      <c r="DR432" s="38">
        <f t="shared" si="727"/>
        <v>0</v>
      </c>
      <c r="DS432" s="38">
        <f t="shared" si="728"/>
        <v>0</v>
      </c>
      <c r="DT432" s="38">
        <f t="shared" si="729"/>
        <v>0</v>
      </c>
      <c r="DU432" s="38">
        <f t="shared" si="730"/>
        <v>0</v>
      </c>
      <c r="DV432" s="38">
        <f t="shared" si="731"/>
        <v>0</v>
      </c>
      <c r="DW432" s="38">
        <f t="shared" si="732"/>
        <v>1.24566</v>
      </c>
      <c r="DX432" s="38">
        <f t="shared" si="733"/>
        <v>0</v>
      </c>
      <c r="DY432" s="38">
        <f t="shared" si="734"/>
        <v>1790.8699239999999</v>
      </c>
      <c r="DZ432" s="38">
        <f t="shared" si="735"/>
        <v>1480.7729729999996</v>
      </c>
      <c r="EA432" s="38">
        <f t="shared" si="736"/>
        <v>217.25237299999998</v>
      </c>
      <c r="EB432" s="38">
        <f t="shared" si="737"/>
        <v>0</v>
      </c>
      <c r="EC432" s="38">
        <f t="shared" si="738"/>
        <v>0</v>
      </c>
      <c r="ED432" s="38">
        <f t="shared" si="739"/>
        <v>58.60640118945021</v>
      </c>
      <c r="EE432" s="38">
        <f t="shared" si="740"/>
        <v>0</v>
      </c>
      <c r="EG432" s="38">
        <f t="shared" si="741"/>
        <v>0</v>
      </c>
      <c r="EH432" s="38">
        <f t="shared" si="742"/>
        <v>0</v>
      </c>
      <c r="EI432" s="38">
        <f t="shared" si="743"/>
        <v>2451.8044435200004</v>
      </c>
      <c r="EJ432" s="38">
        <f t="shared" si="744"/>
        <v>5766.4434906752404</v>
      </c>
      <c r="EK432" s="38">
        <f t="shared" si="745"/>
        <v>0</v>
      </c>
      <c r="EL432" s="38">
        <f t="shared" si="746"/>
        <v>0</v>
      </c>
      <c r="EM432" s="38">
        <f t="shared" si="747"/>
        <v>0</v>
      </c>
      <c r="EN432" s="38">
        <f t="shared" si="748"/>
        <v>0</v>
      </c>
      <c r="EO432" s="38">
        <f t="shared" si="749"/>
        <v>0</v>
      </c>
      <c r="EP432" s="38">
        <f t="shared" si="750"/>
        <v>16335.58524</v>
      </c>
      <c r="EQ432" s="38">
        <f t="shared" si="751"/>
        <v>0</v>
      </c>
      <c r="ER432" s="38">
        <f t="shared" si="752"/>
        <v>50827.306981281014</v>
      </c>
      <c r="ES432" s="38">
        <f t="shared" si="753"/>
        <v>49347.830623999675</v>
      </c>
      <c r="ET432" s="38">
        <f t="shared" si="754"/>
        <v>15545.070920800645</v>
      </c>
      <c r="EU432" s="38">
        <f t="shared" si="755"/>
        <v>0</v>
      </c>
      <c r="EV432" s="38">
        <f t="shared" si="756"/>
        <v>0</v>
      </c>
      <c r="EW432" s="38">
        <f t="shared" si="757"/>
        <v>16351.185931856609</v>
      </c>
      <c r="EX432" s="38">
        <f t="shared" si="758"/>
        <v>0</v>
      </c>
      <c r="EZ432" s="38">
        <f t="shared" si="759"/>
        <v>0</v>
      </c>
      <c r="FA432" s="38">
        <f t="shared" si="760"/>
        <v>0</v>
      </c>
      <c r="FB432" s="1">
        <f t="shared" si="761"/>
        <v>0</v>
      </c>
      <c r="FC432" s="1">
        <f t="shared" si="762"/>
        <v>0</v>
      </c>
      <c r="FD432" s="1">
        <f t="shared" si="763"/>
        <v>0</v>
      </c>
      <c r="FE432" s="1">
        <f t="shared" si="764"/>
        <v>0</v>
      </c>
      <c r="FF432" s="1">
        <f t="shared" si="765"/>
        <v>0</v>
      </c>
      <c r="FG432" s="1">
        <f t="shared" si="766"/>
        <v>0</v>
      </c>
      <c r="FH432" s="1">
        <f t="shared" si="767"/>
        <v>0</v>
      </c>
      <c r="FI432" s="1">
        <f t="shared" si="768"/>
        <v>0</v>
      </c>
      <c r="FJ432" s="1">
        <f t="shared" si="769"/>
        <v>0</v>
      </c>
      <c r="FK432" s="1">
        <f t="shared" si="770"/>
        <v>0</v>
      </c>
      <c r="FL432" s="1">
        <f t="shared" si="771"/>
        <v>0</v>
      </c>
      <c r="FM432" s="1">
        <f t="shared" si="772"/>
        <v>0</v>
      </c>
      <c r="FN432" s="1">
        <f t="shared" si="773"/>
        <v>0</v>
      </c>
      <c r="FO432" s="1">
        <f t="shared" si="774"/>
        <v>0</v>
      </c>
      <c r="FP432" s="1">
        <f t="shared" si="775"/>
        <v>0</v>
      </c>
      <c r="FQ432" s="1">
        <f t="shared" si="776"/>
        <v>0</v>
      </c>
      <c r="FS432" s="1">
        <f t="shared" si="777"/>
        <v>0</v>
      </c>
      <c r="FT432" s="1">
        <f t="shared" si="778"/>
        <v>0</v>
      </c>
      <c r="FU432" s="38">
        <f t="shared" si="779"/>
        <v>0</v>
      </c>
      <c r="FV432" s="38">
        <f t="shared" si="780"/>
        <v>0</v>
      </c>
      <c r="FW432" s="38">
        <f t="shared" si="781"/>
        <v>0</v>
      </c>
      <c r="FX432" s="38">
        <f t="shared" si="782"/>
        <v>0</v>
      </c>
      <c r="FY432" s="38">
        <f t="shared" si="783"/>
        <v>0</v>
      </c>
      <c r="FZ432" s="38">
        <f t="shared" si="784"/>
        <v>0</v>
      </c>
      <c r="GA432" s="38">
        <f t="shared" si="785"/>
        <v>0</v>
      </c>
      <c r="GB432" s="38">
        <f t="shared" si="786"/>
        <v>0</v>
      </c>
      <c r="GC432" s="38">
        <f t="shared" si="787"/>
        <v>0</v>
      </c>
      <c r="GD432" s="38">
        <f t="shared" si="788"/>
        <v>0</v>
      </c>
      <c r="GE432" s="38">
        <f t="shared" si="789"/>
        <v>0</v>
      </c>
      <c r="GF432" s="38">
        <f t="shared" si="790"/>
        <v>0</v>
      </c>
      <c r="GG432" s="38">
        <f t="shared" si="791"/>
        <v>0</v>
      </c>
      <c r="GH432" s="38">
        <f t="shared" si="792"/>
        <v>0</v>
      </c>
      <c r="GI432" s="38">
        <f t="shared" si="793"/>
        <v>0</v>
      </c>
      <c r="GJ432" s="38">
        <f t="shared" si="794"/>
        <v>0</v>
      </c>
      <c r="GL432" s="38">
        <f t="shared" si="795"/>
        <v>0</v>
      </c>
      <c r="GM432" s="38">
        <f t="shared" si="796"/>
        <v>0</v>
      </c>
      <c r="GN432" s="1" t="s">
        <v>2</v>
      </c>
      <c r="GO432" s="1">
        <f t="shared" si="719"/>
        <v>649.59999999999991</v>
      </c>
      <c r="GP432" s="13">
        <f t="shared" si="720"/>
        <v>0.19175800492610839</v>
      </c>
      <c r="GQ432" s="41">
        <f t="shared" si="721"/>
        <v>1245.6599999999999</v>
      </c>
      <c r="GR432" s="41">
        <f t="shared" si="722"/>
        <v>156625.22763213317</v>
      </c>
      <c r="GS432" s="14">
        <f t="shared" si="723"/>
        <v>241.11026421202772</v>
      </c>
      <c r="GT432" s="1">
        <f t="shared" si="797"/>
        <v>198.05999999999997</v>
      </c>
      <c r="GU432" s="1">
        <f t="shared" si="798"/>
        <v>427.62</v>
      </c>
      <c r="GV432" s="1">
        <f t="shared" si="799"/>
        <v>619.9799999999999</v>
      </c>
      <c r="GW432" s="37">
        <f t="shared" si="724"/>
        <v>0</v>
      </c>
      <c r="GX432" s="37"/>
      <c r="GY432" s="37"/>
      <c r="GZ432" s="37"/>
      <c r="HB432" s="1">
        <f t="shared" si="800"/>
        <v>0</v>
      </c>
      <c r="HC432" s="1">
        <f t="shared" si="801"/>
        <v>0</v>
      </c>
      <c r="HD432" s="37" t="s">
        <v>2</v>
      </c>
      <c r="HE432" s="1" t="s">
        <v>113</v>
      </c>
      <c r="HF432" s="1" t="s">
        <v>261</v>
      </c>
      <c r="HG432" s="1" t="s">
        <v>589</v>
      </c>
      <c r="HH432" s="1" t="s">
        <v>1194</v>
      </c>
      <c r="HI432" s="1" t="s">
        <v>96</v>
      </c>
      <c r="HJ432" s="37" t="s">
        <v>2</v>
      </c>
      <c r="JH432" s="58" t="s">
        <v>2</v>
      </c>
    </row>
    <row r="433" spans="1:268" ht="16.25" customHeight="1" x14ac:dyDescent="0.2">
      <c r="A433" s="15" t="s">
        <v>1265</v>
      </c>
      <c r="F433" s="1" t="s">
        <v>1266</v>
      </c>
      <c r="I433" s="1">
        <v>13.11</v>
      </c>
      <c r="J433" s="13">
        <v>0.01</v>
      </c>
      <c r="K433" s="13">
        <v>4.9499999999999995E-2</v>
      </c>
      <c r="Q433" s="13">
        <v>0.04</v>
      </c>
      <c r="S433" s="13">
        <v>2.5465</v>
      </c>
      <c r="T433" s="13">
        <v>1.5784999999999998</v>
      </c>
      <c r="U433" s="13">
        <v>0.47850000000000004</v>
      </c>
      <c r="V433" s="13">
        <v>0.63800000000000001</v>
      </c>
      <c r="W433" s="13">
        <v>0.20349999999999999</v>
      </c>
      <c r="AD433" s="1">
        <v>155.06</v>
      </c>
      <c r="AE433" s="13">
        <v>4.3857861472978203E-2</v>
      </c>
      <c r="AF433" s="13">
        <v>0.12632297304269313</v>
      </c>
      <c r="AL433" s="13">
        <v>8.8368373532826019E-2</v>
      </c>
      <c r="AN433" s="13">
        <v>2.2150174216432346</v>
      </c>
      <c r="AO433" s="13">
        <v>1.2995340423062036</v>
      </c>
      <c r="AP433" s="13">
        <v>0.30459298723074935</v>
      </c>
      <c r="AQ433" s="13">
        <v>0.44705007609957437</v>
      </c>
      <c r="AR433" s="13">
        <v>0.12693988520572683</v>
      </c>
      <c r="AY433" s="1">
        <v>185.09</v>
      </c>
      <c r="AZ433" s="13">
        <v>5.5253660381436059E-2</v>
      </c>
      <c r="BA433" s="13">
        <v>0.15902118915122371</v>
      </c>
      <c r="BG433" s="13">
        <v>9.6567075476795092E-2</v>
      </c>
      <c r="BI433" s="13">
        <v>2.3311177443405913</v>
      </c>
      <c r="BJ433" s="13">
        <v>1.3446340790966558</v>
      </c>
      <c r="BK433" s="13">
        <v>0.28560171646226157</v>
      </c>
      <c r="BL433" s="13">
        <v>0.43669055918742239</v>
      </c>
      <c r="BM433" s="13">
        <v>0.11791272732184342</v>
      </c>
      <c r="BT433" s="1">
        <v>8.2899999999999991</v>
      </c>
      <c r="BU433" s="13">
        <v>0.01</v>
      </c>
      <c r="BV433" s="13">
        <v>3.2489999999999998E-2</v>
      </c>
      <c r="CB433" s="13">
        <v>0.04</v>
      </c>
      <c r="CD433" s="13">
        <v>1.67143</v>
      </c>
      <c r="CE433" s="13">
        <v>1.0360699999999998</v>
      </c>
      <c r="CF433" s="13">
        <v>0.31406999999999996</v>
      </c>
      <c r="CG433" s="13">
        <v>0.41876000000000002</v>
      </c>
      <c r="CH433" s="13">
        <v>0.13356999999999999</v>
      </c>
      <c r="CO433" s="1">
        <v>62.68</v>
      </c>
      <c r="CP433" s="13">
        <v>0.01</v>
      </c>
      <c r="CQ433" s="13">
        <v>3.49E-2</v>
      </c>
      <c r="CW433" s="13">
        <v>0.04</v>
      </c>
      <c r="CY433" s="13">
        <v>1.32969</v>
      </c>
      <c r="CZ433" s="13">
        <v>1.33318</v>
      </c>
      <c r="DA433" s="13">
        <v>0.2792</v>
      </c>
      <c r="DB433" s="13">
        <v>0.39437000000000005</v>
      </c>
      <c r="DC433" s="13">
        <v>0.12215000000000002</v>
      </c>
      <c r="DJ433" s="1" t="s">
        <v>96</v>
      </c>
      <c r="DL433" s="1">
        <f t="shared" si="717"/>
        <v>9.0869048293041974E-2</v>
      </c>
      <c r="DM433" s="1">
        <f t="shared" si="718"/>
        <v>0</v>
      </c>
      <c r="DN433" s="1" t="s">
        <v>73</v>
      </c>
      <c r="DO433" s="1" t="s">
        <v>2</v>
      </c>
      <c r="DP433" s="38">
        <f t="shared" si="725"/>
        <v>0.17158599999999999</v>
      </c>
      <c r="DQ433" s="38">
        <f t="shared" si="726"/>
        <v>49.669817099999989</v>
      </c>
      <c r="DR433" s="38">
        <f t="shared" si="727"/>
        <v>0</v>
      </c>
      <c r="DS433" s="38">
        <f t="shared" si="728"/>
        <v>0</v>
      </c>
      <c r="DT433" s="38">
        <f t="shared" si="729"/>
        <v>0</v>
      </c>
      <c r="DU433" s="38">
        <f t="shared" si="730"/>
        <v>0</v>
      </c>
      <c r="DV433" s="38">
        <f t="shared" si="731"/>
        <v>0</v>
      </c>
      <c r="DW433" s="38">
        <f t="shared" si="732"/>
        <v>0.32100400000000007</v>
      </c>
      <c r="DX433" s="38">
        <f t="shared" si="733"/>
        <v>0</v>
      </c>
      <c r="DY433" s="38">
        <f t="shared" si="734"/>
        <v>808.31179969999994</v>
      </c>
      <c r="DZ433" s="38">
        <f t="shared" si="735"/>
        <v>471.07820529999992</v>
      </c>
      <c r="EA433" s="38">
        <f t="shared" si="736"/>
        <v>106.36534529999997</v>
      </c>
      <c r="EB433" s="38">
        <f t="shared" si="737"/>
        <v>158.5108204</v>
      </c>
      <c r="EC433" s="38">
        <f t="shared" si="738"/>
        <v>44.175650300000001</v>
      </c>
      <c r="ED433" s="38">
        <f t="shared" si="739"/>
        <v>0</v>
      </c>
      <c r="EE433" s="38">
        <f t="shared" si="740"/>
        <v>0</v>
      </c>
      <c r="EG433" s="38">
        <f t="shared" si="741"/>
        <v>0</v>
      </c>
      <c r="EH433" s="38">
        <f t="shared" si="742"/>
        <v>0</v>
      </c>
      <c r="EI433" s="38">
        <f t="shared" si="743"/>
        <v>1119.7043469759999</v>
      </c>
      <c r="EJ433" s="38">
        <f t="shared" si="744"/>
        <v>2031.5114903922822</v>
      </c>
      <c r="EK433" s="38">
        <f t="shared" si="745"/>
        <v>0</v>
      </c>
      <c r="EL433" s="38">
        <f t="shared" si="746"/>
        <v>0</v>
      </c>
      <c r="EM433" s="38">
        <f t="shared" si="747"/>
        <v>0</v>
      </c>
      <c r="EN433" s="38">
        <f t="shared" si="748"/>
        <v>0</v>
      </c>
      <c r="EO433" s="38">
        <f t="shared" si="749"/>
        <v>0</v>
      </c>
      <c r="EP433" s="38">
        <f t="shared" si="750"/>
        <v>4209.6464560000013</v>
      </c>
      <c r="EQ433" s="38">
        <f t="shared" si="751"/>
        <v>0</v>
      </c>
      <c r="ER433" s="38">
        <f t="shared" si="752"/>
        <v>22940.980486276585</v>
      </c>
      <c r="ES433" s="38">
        <f t="shared" si="753"/>
        <v>15699.022003828904</v>
      </c>
      <c r="ET433" s="38">
        <f t="shared" si="754"/>
        <v>7610.7653664337604</v>
      </c>
      <c r="EU433" s="38">
        <f t="shared" si="755"/>
        <v>1245.7115631499676</v>
      </c>
      <c r="EV433" s="38">
        <f t="shared" si="756"/>
        <v>1837.0110374109645</v>
      </c>
      <c r="EW433" s="38">
        <f t="shared" si="757"/>
        <v>0</v>
      </c>
      <c r="EX433" s="38">
        <f t="shared" si="758"/>
        <v>0</v>
      </c>
      <c r="EZ433" s="38">
        <f t="shared" si="759"/>
        <v>0</v>
      </c>
      <c r="FA433" s="38">
        <f t="shared" si="760"/>
        <v>0</v>
      </c>
      <c r="FB433" s="1">
        <f t="shared" si="761"/>
        <v>7.097E-3</v>
      </c>
      <c r="FC433" s="1">
        <f t="shared" si="762"/>
        <v>2.4568740999999998</v>
      </c>
      <c r="FD433" s="1">
        <f t="shared" si="763"/>
        <v>0</v>
      </c>
      <c r="FE433" s="1">
        <f t="shared" si="764"/>
        <v>0</v>
      </c>
      <c r="FF433" s="1">
        <f t="shared" si="765"/>
        <v>0</v>
      </c>
      <c r="FG433" s="1">
        <f t="shared" si="766"/>
        <v>0</v>
      </c>
      <c r="FH433" s="1">
        <f t="shared" si="767"/>
        <v>0</v>
      </c>
      <c r="FI433" s="1">
        <f t="shared" si="768"/>
        <v>2.8388E-2</v>
      </c>
      <c r="FJ433" s="1">
        <f t="shared" si="769"/>
        <v>0</v>
      </c>
      <c r="FK433" s="1">
        <f t="shared" si="770"/>
        <v>97.201123899999999</v>
      </c>
      <c r="FL433" s="1">
        <f t="shared" si="771"/>
        <v>92.152742700000005</v>
      </c>
      <c r="FM433" s="1">
        <f t="shared" si="772"/>
        <v>20.103896299999999</v>
      </c>
      <c r="FN433" s="1">
        <f t="shared" si="773"/>
        <v>28.190632000000001</v>
      </c>
      <c r="FO433" s="1">
        <f t="shared" si="774"/>
        <v>8.763657300000002</v>
      </c>
      <c r="FP433" s="1">
        <f t="shared" si="775"/>
        <v>0</v>
      </c>
      <c r="FQ433" s="1">
        <f t="shared" si="776"/>
        <v>0</v>
      </c>
      <c r="FS433" s="1">
        <f t="shared" si="777"/>
        <v>0</v>
      </c>
      <c r="FT433" s="1">
        <f t="shared" si="778"/>
        <v>0</v>
      </c>
      <c r="FU433" s="38">
        <f t="shared" si="779"/>
        <v>46.312296752000002</v>
      </c>
      <c r="FV433" s="38">
        <f t="shared" si="780"/>
        <v>100.48694068167201</v>
      </c>
      <c r="FW433" s="38">
        <f t="shared" si="781"/>
        <v>0</v>
      </c>
      <c r="FX433" s="38">
        <f t="shared" si="782"/>
        <v>0</v>
      </c>
      <c r="FY433" s="38">
        <f t="shared" si="783"/>
        <v>0</v>
      </c>
      <c r="FZ433" s="38">
        <f t="shared" si="784"/>
        <v>0</v>
      </c>
      <c r="GA433" s="38">
        <f t="shared" si="785"/>
        <v>0</v>
      </c>
      <c r="GB433" s="38">
        <f t="shared" si="786"/>
        <v>372.28023200000001</v>
      </c>
      <c r="GC433" s="38">
        <f t="shared" si="787"/>
        <v>0</v>
      </c>
      <c r="GD433" s="38">
        <f t="shared" si="788"/>
        <v>2758.6991646808356</v>
      </c>
      <c r="GE433" s="38">
        <f t="shared" si="789"/>
        <v>3071.0568204681999</v>
      </c>
      <c r="GF433" s="38">
        <f t="shared" si="790"/>
        <v>1438.4951908807075</v>
      </c>
      <c r="GG433" s="38">
        <f t="shared" si="791"/>
        <v>221.54573527717039</v>
      </c>
      <c r="GH433" s="38">
        <f t="shared" si="792"/>
        <v>364.43006676434089</v>
      </c>
      <c r="GI433" s="38">
        <f t="shared" si="793"/>
        <v>0</v>
      </c>
      <c r="GJ433" s="38">
        <f t="shared" si="794"/>
        <v>0</v>
      </c>
      <c r="GL433" s="38">
        <f t="shared" si="795"/>
        <v>0</v>
      </c>
      <c r="GM433" s="38">
        <f t="shared" si="796"/>
        <v>0</v>
      </c>
      <c r="GN433" s="1" t="s">
        <v>2</v>
      </c>
      <c r="GO433" s="14">
        <f t="shared" si="719"/>
        <v>353.26</v>
      </c>
      <c r="GP433" s="13">
        <f t="shared" si="720"/>
        <v>9.0869048293041974E-2</v>
      </c>
      <c r="GQ433" s="41">
        <f t="shared" si="721"/>
        <v>321.00400000000008</v>
      </c>
      <c r="GR433" s="41">
        <f t="shared" si="722"/>
        <v>56694.352750468468</v>
      </c>
      <c r="GS433" s="14">
        <f t="shared" si="723"/>
        <v>160.4890243743092</v>
      </c>
      <c r="GT433" s="1">
        <f t="shared" si="797"/>
        <v>5.2439999999999998</v>
      </c>
      <c r="GU433" s="1">
        <f t="shared" si="798"/>
        <v>137.02400000000003</v>
      </c>
      <c r="GV433" s="1">
        <f t="shared" si="799"/>
        <v>178.73600000000002</v>
      </c>
      <c r="GW433" s="37">
        <f t="shared" si="724"/>
        <v>70.97</v>
      </c>
      <c r="GX433" s="37">
        <f>(BT433*CB433+CO433*CW433)/GW433</f>
        <v>0.04</v>
      </c>
      <c r="GY433" s="41">
        <f>1000*GW433*GX433/100</f>
        <v>28.388000000000002</v>
      </c>
      <c r="GZ433" s="41">
        <f>SUM(FU433:GM433)</f>
        <v>8373.306447504925</v>
      </c>
      <c r="HA433" s="14">
        <f>GZ433/GW433</f>
        <v>117.98374591383578</v>
      </c>
      <c r="HB433" s="1">
        <f t="shared" si="800"/>
        <v>3.3159999999999998</v>
      </c>
      <c r="HC433" s="1">
        <f t="shared" si="801"/>
        <v>25.072000000000003</v>
      </c>
      <c r="HD433" s="37" t="s">
        <v>2</v>
      </c>
      <c r="HE433" s="1" t="s">
        <v>113</v>
      </c>
      <c r="HF433" s="1" t="s">
        <v>261</v>
      </c>
      <c r="HG433" s="1" t="s">
        <v>589</v>
      </c>
      <c r="HH433" s="1" t="s">
        <v>1194</v>
      </c>
      <c r="HI433" s="1" t="s">
        <v>96</v>
      </c>
      <c r="HJ433" s="37" t="s">
        <v>2</v>
      </c>
      <c r="JH433" s="58" t="s">
        <v>2</v>
      </c>
    </row>
    <row r="434" spans="1:268" ht="16.25" customHeight="1" x14ac:dyDescent="0.2">
      <c r="A434" s="15" t="s">
        <v>1267</v>
      </c>
      <c r="F434" s="1" t="s">
        <v>1268</v>
      </c>
      <c r="I434" s="1">
        <v>108.00000000000001</v>
      </c>
      <c r="J434" s="13">
        <v>2.5751633986928105E-2</v>
      </c>
      <c r="K434" s="13">
        <v>7.2714455337690637E-2</v>
      </c>
      <c r="Q434" s="13">
        <v>0.14675381263616558</v>
      </c>
      <c r="S434" s="13">
        <v>3.319799869281046</v>
      </c>
      <c r="T434" s="13">
        <v>1.611479411764706</v>
      </c>
      <c r="U434" s="13">
        <v>0.5265190196078432</v>
      </c>
      <c r="V434" s="13"/>
      <c r="W434" s="13"/>
      <c r="AD434" s="1">
        <v>87.529411764705884</v>
      </c>
      <c r="AE434" s="13">
        <v>3.7177419354838717E-2</v>
      </c>
      <c r="AF434" s="13">
        <v>0.10198407258064517</v>
      </c>
      <c r="AL434" s="13">
        <v>0.17341397849462367</v>
      </c>
      <c r="AN434" s="13">
        <v>3.4780979032258066</v>
      </c>
      <c r="AO434" s="13">
        <v>1.6602344354838707</v>
      </c>
      <c r="AP434" s="13">
        <v>0.48369491935483883</v>
      </c>
      <c r="AQ434" s="13"/>
      <c r="AR434" s="13"/>
      <c r="AY434" s="1">
        <v>60.705882352941174</v>
      </c>
      <c r="AZ434" s="13">
        <v>3.0581395348837213E-2</v>
      </c>
      <c r="BA434" s="13">
        <v>8.1095813953488374E-2</v>
      </c>
      <c r="BG434" s="13">
        <v>0.15802325581395352</v>
      </c>
      <c r="BI434" s="13">
        <v>3.3462474418604655</v>
      </c>
      <c r="BJ434" s="13">
        <v>1.6158251162790698</v>
      </c>
      <c r="BK434" s="13">
        <v>0.51017302325581393</v>
      </c>
      <c r="BL434" s="13"/>
      <c r="BM434" s="13"/>
      <c r="BT434" s="1">
        <v>35.529411764705884</v>
      </c>
      <c r="BU434" s="13">
        <v>1.2384105960264902E-2</v>
      </c>
      <c r="BV434" s="13">
        <v>2.7028543046357611E-2</v>
      </c>
      <c r="CB434" s="13">
        <v>0.11556291390728475</v>
      </c>
      <c r="CD434" s="13">
        <v>2.5959059602649006</v>
      </c>
      <c r="CE434" s="13">
        <v>1.2925601324503311</v>
      </c>
      <c r="CF434" s="13">
        <v>0.49024410596026491</v>
      </c>
      <c r="CG434" s="13"/>
      <c r="CH434" s="13"/>
      <c r="CO434" s="1">
        <v>7.2941176470588243</v>
      </c>
      <c r="CP434" s="13">
        <v>1.9677419354838712E-2</v>
      </c>
      <c r="CQ434" s="13">
        <v>4.5158064516129026E-2</v>
      </c>
      <c r="CW434" s="13">
        <v>0.13258064516129031</v>
      </c>
      <c r="CY434" s="13">
        <v>2.4452264516129034</v>
      </c>
      <c r="CZ434" s="13">
        <v>1.1960922580645161</v>
      </c>
      <c r="DA434" s="13">
        <v>0.40992774193548387</v>
      </c>
      <c r="DB434" s="13"/>
      <c r="DC434" s="13"/>
      <c r="DJ434" s="1" t="s">
        <v>96</v>
      </c>
      <c r="DL434" s="1">
        <f t="shared" si="717"/>
        <v>0.1585307621671258</v>
      </c>
      <c r="DM434" s="1">
        <f t="shared" si="718"/>
        <v>0</v>
      </c>
      <c r="DN434" s="1" t="s">
        <v>1181</v>
      </c>
      <c r="DO434" s="1" t="s">
        <v>2</v>
      </c>
      <c r="DP434" s="38">
        <f t="shared" si="725"/>
        <v>7.8917647058823551E-2</v>
      </c>
      <c r="DQ434" s="38">
        <f t="shared" si="726"/>
        <v>21.702760000000001</v>
      </c>
      <c r="DR434" s="38">
        <f t="shared" si="727"/>
        <v>0</v>
      </c>
      <c r="DS434" s="38">
        <f t="shared" si="728"/>
        <v>0</v>
      </c>
      <c r="DT434" s="38">
        <f t="shared" si="729"/>
        <v>0</v>
      </c>
      <c r="DU434" s="38">
        <f t="shared" si="730"/>
        <v>0</v>
      </c>
      <c r="DV434" s="38">
        <f t="shared" si="731"/>
        <v>0</v>
      </c>
      <c r="DW434" s="38">
        <f t="shared" si="732"/>
        <v>0.40621176470588238</v>
      </c>
      <c r="DX434" s="38">
        <f t="shared" si="733"/>
        <v>0</v>
      </c>
      <c r="DY434" s="38">
        <f t="shared" si="734"/>
        <v>866.11115294117644</v>
      </c>
      <c r="DZ434" s="38">
        <f t="shared" si="735"/>
        <v>417.44920941176474</v>
      </c>
      <c r="EA434" s="38">
        <f t="shared" si="736"/>
        <v>130.17208941176472</v>
      </c>
      <c r="EB434" s="38">
        <f t="shared" si="737"/>
        <v>0</v>
      </c>
      <c r="EC434" s="38">
        <f t="shared" si="738"/>
        <v>0</v>
      </c>
      <c r="ED434" s="38">
        <f t="shared" si="739"/>
        <v>0</v>
      </c>
      <c r="EE434" s="38">
        <f t="shared" si="740"/>
        <v>0</v>
      </c>
      <c r="EG434" s="38">
        <f t="shared" si="741"/>
        <v>0</v>
      </c>
      <c r="EH434" s="38">
        <f t="shared" si="742"/>
        <v>0</v>
      </c>
      <c r="EI434" s="38">
        <f t="shared" si="743"/>
        <v>514.98626032941195</v>
      </c>
      <c r="EJ434" s="38">
        <f t="shared" si="744"/>
        <v>887.64986237942128</v>
      </c>
      <c r="EK434" s="38">
        <f t="shared" si="745"/>
        <v>0</v>
      </c>
      <c r="EL434" s="38">
        <f t="shared" si="746"/>
        <v>0</v>
      </c>
      <c r="EM434" s="38">
        <f t="shared" si="747"/>
        <v>0</v>
      </c>
      <c r="EN434" s="38">
        <f t="shared" si="748"/>
        <v>0</v>
      </c>
      <c r="EO434" s="38">
        <f t="shared" si="749"/>
        <v>0</v>
      </c>
      <c r="EP434" s="38">
        <f t="shared" si="750"/>
        <v>5327.0610823529414</v>
      </c>
      <c r="EQ434" s="38">
        <f t="shared" si="751"/>
        <v>0</v>
      </c>
      <c r="ER434" s="38">
        <f t="shared" si="752"/>
        <v>24581.404188265551</v>
      </c>
      <c r="ES434" s="38">
        <f t="shared" si="753"/>
        <v>13911.796916740686</v>
      </c>
      <c r="ET434" s="38">
        <f t="shared" si="754"/>
        <v>9314.2106291961445</v>
      </c>
      <c r="EU434" s="38">
        <f t="shared" si="755"/>
        <v>0</v>
      </c>
      <c r="EV434" s="38">
        <f t="shared" si="756"/>
        <v>0</v>
      </c>
      <c r="EW434" s="38">
        <f t="shared" si="757"/>
        <v>0</v>
      </c>
      <c r="EX434" s="38">
        <f t="shared" si="758"/>
        <v>0</v>
      </c>
      <c r="EZ434" s="38">
        <f t="shared" si="759"/>
        <v>0</v>
      </c>
      <c r="FA434" s="38">
        <f t="shared" si="760"/>
        <v>0</v>
      </c>
      <c r="FB434" s="1">
        <f t="shared" si="761"/>
        <v>5.83529411764706E-3</v>
      </c>
      <c r="FC434" s="1">
        <f t="shared" si="762"/>
        <v>1.2896964705882352</v>
      </c>
      <c r="FD434" s="1">
        <f t="shared" si="763"/>
        <v>0</v>
      </c>
      <c r="FE434" s="1">
        <f t="shared" si="764"/>
        <v>0</v>
      </c>
      <c r="FF434" s="1">
        <f t="shared" si="765"/>
        <v>0</v>
      </c>
      <c r="FG434" s="1">
        <f t="shared" si="766"/>
        <v>0</v>
      </c>
      <c r="FH434" s="1">
        <f t="shared" si="767"/>
        <v>0</v>
      </c>
      <c r="FI434" s="1">
        <f t="shared" si="768"/>
        <v>5.0729411764705877E-2</v>
      </c>
      <c r="FJ434" s="1">
        <f t="shared" si="769"/>
        <v>0</v>
      </c>
      <c r="FK434" s="1">
        <f t="shared" si="770"/>
        <v>110.06678117647058</v>
      </c>
      <c r="FL434" s="1">
        <f t="shared" si="771"/>
        <v>54.648338823529414</v>
      </c>
      <c r="FM434" s="1">
        <f t="shared" si="772"/>
        <v>20.408145882352944</v>
      </c>
      <c r="FN434" s="1">
        <f t="shared" si="773"/>
        <v>0</v>
      </c>
      <c r="FO434" s="1">
        <f t="shared" si="774"/>
        <v>0</v>
      </c>
      <c r="FP434" s="1">
        <f t="shared" si="775"/>
        <v>0</v>
      </c>
      <c r="FQ434" s="1">
        <f t="shared" si="776"/>
        <v>0</v>
      </c>
      <c r="FS434" s="1">
        <f t="shared" si="777"/>
        <v>0</v>
      </c>
      <c r="FT434" s="1">
        <f t="shared" si="778"/>
        <v>0</v>
      </c>
      <c r="FU434" s="38">
        <f t="shared" si="779"/>
        <v>38.078888658823537</v>
      </c>
      <c r="FV434" s="38">
        <f t="shared" si="780"/>
        <v>52.749000340457719</v>
      </c>
      <c r="FW434" s="38">
        <f t="shared" si="781"/>
        <v>0</v>
      </c>
      <c r="FX434" s="38">
        <f t="shared" si="782"/>
        <v>0</v>
      </c>
      <c r="FY434" s="38">
        <f t="shared" si="783"/>
        <v>0</v>
      </c>
      <c r="FZ434" s="38">
        <f t="shared" si="784"/>
        <v>0</v>
      </c>
      <c r="GA434" s="38">
        <f t="shared" si="785"/>
        <v>0</v>
      </c>
      <c r="GB434" s="38">
        <f t="shared" si="786"/>
        <v>665.26550588235284</v>
      </c>
      <c r="GC434" s="38">
        <f t="shared" si="787"/>
        <v>0</v>
      </c>
      <c r="GD434" s="38">
        <f t="shared" si="788"/>
        <v>3123.8438930296952</v>
      </c>
      <c r="GE434" s="38">
        <f t="shared" si="789"/>
        <v>1821.1954278736525</v>
      </c>
      <c r="GF434" s="38">
        <f t="shared" si="790"/>
        <v>1460.2651778778138</v>
      </c>
      <c r="GG434" s="38">
        <f t="shared" si="791"/>
        <v>0</v>
      </c>
      <c r="GH434" s="38">
        <f t="shared" si="792"/>
        <v>0</v>
      </c>
      <c r="GI434" s="38">
        <f t="shared" si="793"/>
        <v>0</v>
      </c>
      <c r="GJ434" s="38">
        <f t="shared" si="794"/>
        <v>0</v>
      </c>
      <c r="GL434" s="38">
        <f t="shared" si="795"/>
        <v>0</v>
      </c>
      <c r="GM434" s="38">
        <f t="shared" si="796"/>
        <v>0</v>
      </c>
      <c r="GN434" s="1" t="s">
        <v>2</v>
      </c>
      <c r="GO434" s="14">
        <f t="shared" si="719"/>
        <v>256.23529411764707</v>
      </c>
      <c r="GP434" s="13">
        <f t="shared" si="720"/>
        <v>0.1585307621671258</v>
      </c>
      <c r="GQ434" s="41">
        <f t="shared" si="721"/>
        <v>406.21176470588239</v>
      </c>
      <c r="GR434" s="41">
        <f t="shared" si="722"/>
        <v>54537.108939264159</v>
      </c>
      <c r="GS434" s="14">
        <f t="shared" si="723"/>
        <v>212.83995683367553</v>
      </c>
      <c r="GT434" s="1">
        <f t="shared" si="797"/>
        <v>158.49411764705886</v>
      </c>
      <c r="GU434" s="1">
        <f t="shared" si="798"/>
        <v>151.78823529411767</v>
      </c>
      <c r="GV434" s="1">
        <f t="shared" si="799"/>
        <v>95.92941176470589</v>
      </c>
      <c r="GW434" s="44">
        <f t="shared" si="724"/>
        <v>42.82352941176471</v>
      </c>
      <c r="GX434" s="44">
        <f>(BT434*CB434+CO434*CW434)/GW434</f>
        <v>0.11846153846153844</v>
      </c>
      <c r="GY434" s="41">
        <f>1000*GW434*GX434/100</f>
        <v>50.72941176470588</v>
      </c>
      <c r="GZ434" s="41">
        <f>SUM(FU434:GM434)</f>
        <v>7161.3978936627955</v>
      </c>
      <c r="HA434" s="14">
        <f>GZ434/GW434</f>
        <v>167.23044531904878</v>
      </c>
      <c r="HB434" s="1">
        <f t="shared" si="800"/>
        <v>41.058823529411754</v>
      </c>
      <c r="HC434" s="1">
        <f t="shared" si="801"/>
        <v>9.670588235294117</v>
      </c>
      <c r="HD434" s="37" t="s">
        <v>2</v>
      </c>
      <c r="HE434" s="1" t="s">
        <v>113</v>
      </c>
      <c r="HF434" s="1" t="s">
        <v>261</v>
      </c>
      <c r="HG434" s="1" t="s">
        <v>589</v>
      </c>
      <c r="HH434" s="1" t="s">
        <v>1182</v>
      </c>
      <c r="HI434" s="1" t="s">
        <v>96</v>
      </c>
      <c r="HJ434" s="37" t="s">
        <v>2</v>
      </c>
      <c r="JH434" s="58" t="s">
        <v>2</v>
      </c>
    </row>
    <row r="435" spans="1:268" ht="16.25" customHeight="1" x14ac:dyDescent="0.2">
      <c r="A435" s="15" t="s">
        <v>1269</v>
      </c>
      <c r="F435" s="1" t="s">
        <v>1215</v>
      </c>
      <c r="I435" s="1">
        <v>0</v>
      </c>
      <c r="AD435" s="1">
        <v>0</v>
      </c>
      <c r="AY435" s="1">
        <v>16.3</v>
      </c>
      <c r="AZ435" s="13">
        <v>0.02</v>
      </c>
      <c r="BA435" s="13">
        <v>0.11</v>
      </c>
      <c r="BG435" s="13">
        <v>0.05</v>
      </c>
      <c r="BI435" s="13">
        <v>2.96</v>
      </c>
      <c r="BJ435" s="13">
        <v>1.36</v>
      </c>
      <c r="BK435" s="13">
        <v>0.35</v>
      </c>
      <c r="BL435" s="13"/>
      <c r="BM435" s="13"/>
      <c r="BT435" s="1">
        <v>0</v>
      </c>
      <c r="CO435" s="1">
        <v>0</v>
      </c>
      <c r="DJ435" s="1" t="s">
        <v>96</v>
      </c>
      <c r="DL435" s="1">
        <f t="shared" si="717"/>
        <v>0.05</v>
      </c>
      <c r="DM435" s="1">
        <f t="shared" si="718"/>
        <v>0</v>
      </c>
      <c r="DN435" s="1" t="s">
        <v>1216</v>
      </c>
      <c r="DO435" s="1" t="s">
        <v>2</v>
      </c>
      <c r="DP435" s="38">
        <f t="shared" si="725"/>
        <v>3.2600000000000003E-3</v>
      </c>
      <c r="DQ435" s="38">
        <f t="shared" si="726"/>
        <v>1.7930000000000001</v>
      </c>
      <c r="DR435" s="38">
        <f t="shared" si="727"/>
        <v>0</v>
      </c>
      <c r="DS435" s="38">
        <f t="shared" si="728"/>
        <v>0</v>
      </c>
      <c r="DT435" s="38">
        <f t="shared" si="729"/>
        <v>0</v>
      </c>
      <c r="DU435" s="38">
        <f t="shared" si="730"/>
        <v>0</v>
      </c>
      <c r="DV435" s="38">
        <f t="shared" si="731"/>
        <v>0</v>
      </c>
      <c r="DW435" s="38">
        <f t="shared" si="732"/>
        <v>8.150000000000001E-3</v>
      </c>
      <c r="DX435" s="38">
        <f t="shared" si="733"/>
        <v>0</v>
      </c>
      <c r="DY435" s="38">
        <f t="shared" si="734"/>
        <v>48.248000000000005</v>
      </c>
      <c r="DZ435" s="38">
        <f t="shared" si="735"/>
        <v>22.168000000000003</v>
      </c>
      <c r="EA435" s="38">
        <f t="shared" si="736"/>
        <v>5.7050000000000001</v>
      </c>
      <c r="EB435" s="38">
        <f t="shared" si="737"/>
        <v>0</v>
      </c>
      <c r="EC435" s="38">
        <f t="shared" si="738"/>
        <v>0</v>
      </c>
      <c r="ED435" s="38">
        <f t="shared" si="739"/>
        <v>0</v>
      </c>
      <c r="EE435" s="38">
        <f t="shared" si="740"/>
        <v>0</v>
      </c>
      <c r="EG435" s="38">
        <f t="shared" si="741"/>
        <v>0</v>
      </c>
      <c r="EH435" s="38">
        <f t="shared" si="742"/>
        <v>0</v>
      </c>
      <c r="EI435" s="38">
        <f t="shared" si="743"/>
        <v>21.273508160000002</v>
      </c>
      <c r="EJ435" s="38">
        <f t="shared" si="744"/>
        <v>73.334276527331184</v>
      </c>
      <c r="EK435" s="38">
        <f t="shared" si="745"/>
        <v>0</v>
      </c>
      <c r="EL435" s="38">
        <f t="shared" si="746"/>
        <v>0</v>
      </c>
      <c r="EM435" s="38">
        <f t="shared" si="747"/>
        <v>0</v>
      </c>
      <c r="EN435" s="38">
        <f t="shared" si="748"/>
        <v>0</v>
      </c>
      <c r="EO435" s="38">
        <f t="shared" si="749"/>
        <v>0</v>
      </c>
      <c r="EP435" s="38">
        <f t="shared" si="750"/>
        <v>106.87910000000001</v>
      </c>
      <c r="EQ435" s="38">
        <f t="shared" si="751"/>
        <v>0</v>
      </c>
      <c r="ER435" s="38">
        <f t="shared" si="752"/>
        <v>1369.3433980707396</v>
      </c>
      <c r="ES435" s="38">
        <f t="shared" si="753"/>
        <v>738.76463794212236</v>
      </c>
      <c r="ET435" s="38">
        <f t="shared" si="754"/>
        <v>408.21017684887465</v>
      </c>
      <c r="EU435" s="38">
        <f t="shared" si="755"/>
        <v>0</v>
      </c>
      <c r="EV435" s="38">
        <f t="shared" si="756"/>
        <v>0</v>
      </c>
      <c r="EW435" s="38">
        <f t="shared" si="757"/>
        <v>0</v>
      </c>
      <c r="EX435" s="38">
        <f t="shared" si="758"/>
        <v>0</v>
      </c>
      <c r="EZ435" s="38">
        <f t="shared" si="759"/>
        <v>0</v>
      </c>
      <c r="FA435" s="38">
        <f t="shared" si="760"/>
        <v>0</v>
      </c>
      <c r="FB435" s="1">
        <f t="shared" si="761"/>
        <v>0</v>
      </c>
      <c r="FC435" s="1">
        <f t="shared" si="762"/>
        <v>0</v>
      </c>
      <c r="FD435" s="1">
        <f t="shared" si="763"/>
        <v>0</v>
      </c>
      <c r="FE435" s="1">
        <f t="shared" si="764"/>
        <v>0</v>
      </c>
      <c r="FF435" s="1">
        <f t="shared" si="765"/>
        <v>0</v>
      </c>
      <c r="FG435" s="1">
        <f t="shared" si="766"/>
        <v>0</v>
      </c>
      <c r="FH435" s="1">
        <f t="shared" si="767"/>
        <v>0</v>
      </c>
      <c r="FI435" s="1">
        <f t="shared" si="768"/>
        <v>0</v>
      </c>
      <c r="FJ435" s="1">
        <f t="shared" si="769"/>
        <v>0</v>
      </c>
      <c r="FK435" s="1">
        <f t="shared" si="770"/>
        <v>0</v>
      </c>
      <c r="FL435" s="1">
        <f t="shared" si="771"/>
        <v>0</v>
      </c>
      <c r="FM435" s="1">
        <f t="shared" si="772"/>
        <v>0</v>
      </c>
      <c r="FN435" s="1">
        <f t="shared" si="773"/>
        <v>0</v>
      </c>
      <c r="FO435" s="1">
        <f t="shared" si="774"/>
        <v>0</v>
      </c>
      <c r="FP435" s="1">
        <f t="shared" si="775"/>
        <v>0</v>
      </c>
      <c r="FQ435" s="1">
        <f t="shared" si="776"/>
        <v>0</v>
      </c>
      <c r="FS435" s="1">
        <f t="shared" si="777"/>
        <v>0</v>
      </c>
      <c r="FT435" s="1">
        <f t="shared" si="778"/>
        <v>0</v>
      </c>
      <c r="FU435" s="38">
        <f t="shared" si="779"/>
        <v>0</v>
      </c>
      <c r="FV435" s="38">
        <f t="shared" si="780"/>
        <v>0</v>
      </c>
      <c r="FW435" s="38">
        <f t="shared" si="781"/>
        <v>0</v>
      </c>
      <c r="FX435" s="38">
        <f t="shared" si="782"/>
        <v>0</v>
      </c>
      <c r="FY435" s="38">
        <f t="shared" si="783"/>
        <v>0</v>
      </c>
      <c r="FZ435" s="38">
        <f t="shared" si="784"/>
        <v>0</v>
      </c>
      <c r="GA435" s="38">
        <f t="shared" si="785"/>
        <v>0</v>
      </c>
      <c r="GB435" s="38">
        <f t="shared" si="786"/>
        <v>0</v>
      </c>
      <c r="GC435" s="38">
        <f t="shared" si="787"/>
        <v>0</v>
      </c>
      <c r="GD435" s="38">
        <f t="shared" si="788"/>
        <v>0</v>
      </c>
      <c r="GE435" s="38">
        <f t="shared" si="789"/>
        <v>0</v>
      </c>
      <c r="GF435" s="38">
        <f t="shared" si="790"/>
        <v>0</v>
      </c>
      <c r="GG435" s="38">
        <f t="shared" si="791"/>
        <v>0</v>
      </c>
      <c r="GH435" s="38">
        <f t="shared" si="792"/>
        <v>0</v>
      </c>
      <c r="GI435" s="38">
        <f t="shared" si="793"/>
        <v>0</v>
      </c>
      <c r="GJ435" s="38">
        <f t="shared" si="794"/>
        <v>0</v>
      </c>
      <c r="GL435" s="38">
        <f t="shared" si="795"/>
        <v>0</v>
      </c>
      <c r="GM435" s="38">
        <f t="shared" si="796"/>
        <v>0</v>
      </c>
      <c r="GN435" s="1" t="s">
        <v>2</v>
      </c>
      <c r="GO435" s="1">
        <f t="shared" si="719"/>
        <v>16.3</v>
      </c>
      <c r="GP435" s="13">
        <f t="shared" si="720"/>
        <v>0.05</v>
      </c>
      <c r="GQ435" s="41">
        <f t="shared" si="721"/>
        <v>8.15</v>
      </c>
      <c r="GR435" s="41">
        <f t="shared" si="722"/>
        <v>2717.8050975490678</v>
      </c>
      <c r="GS435" s="14">
        <f t="shared" si="723"/>
        <v>166.73650905209004</v>
      </c>
      <c r="GT435" s="1">
        <f t="shared" si="797"/>
        <v>0</v>
      </c>
      <c r="GU435" s="1">
        <f t="shared" si="798"/>
        <v>0</v>
      </c>
      <c r="GV435" s="1">
        <f t="shared" si="799"/>
        <v>8.15</v>
      </c>
      <c r="GW435" s="37">
        <f t="shared" si="724"/>
        <v>0</v>
      </c>
      <c r="GX435" s="37"/>
      <c r="GY435" s="37"/>
      <c r="GZ435" s="37"/>
      <c r="HB435" s="1">
        <f t="shared" si="800"/>
        <v>0</v>
      </c>
      <c r="HC435" s="1">
        <f t="shared" si="801"/>
        <v>0</v>
      </c>
      <c r="HD435" s="37" t="s">
        <v>2</v>
      </c>
      <c r="HE435" s="1" t="s">
        <v>113</v>
      </c>
      <c r="HF435" s="1" t="s">
        <v>261</v>
      </c>
      <c r="HG435" s="1" t="s">
        <v>589</v>
      </c>
      <c r="HH435" s="1" t="s">
        <v>1182</v>
      </c>
      <c r="HI435" s="1" t="s">
        <v>96</v>
      </c>
      <c r="HJ435" s="37" t="s">
        <v>2</v>
      </c>
      <c r="JH435" s="58" t="s">
        <v>2</v>
      </c>
    </row>
    <row r="436" spans="1:268" ht="16.25" customHeight="1" x14ac:dyDescent="0.2">
      <c r="A436" s="15" t="s">
        <v>1270</v>
      </c>
      <c r="F436" s="1" t="s">
        <v>1208</v>
      </c>
      <c r="I436" s="1">
        <v>13.22</v>
      </c>
      <c r="J436" s="13">
        <v>3.2264750378214829E-2</v>
      </c>
      <c r="K436" s="13">
        <v>8.2273403933434186E-2</v>
      </c>
      <c r="Q436" s="13">
        <v>0.13205597579425113</v>
      </c>
      <c r="S436" s="13">
        <v>3.2960441754916792</v>
      </c>
      <c r="T436" s="13">
        <v>1.6871657186081694</v>
      </c>
      <c r="U436" s="13">
        <v>0.48658931921331317</v>
      </c>
      <c r="V436" s="13"/>
      <c r="W436" s="13"/>
      <c r="X436" s="14">
        <v>14.833722676247445</v>
      </c>
      <c r="AD436" s="1">
        <v>120.7</v>
      </c>
      <c r="AE436" s="13">
        <v>3.8087323943661967E-2</v>
      </c>
      <c r="AF436" s="13">
        <v>0.1002779652029826</v>
      </c>
      <c r="AL436" s="13">
        <v>0.13673686826843412</v>
      </c>
      <c r="AN436" s="13">
        <v>3.5414482717481355</v>
      </c>
      <c r="AO436" s="13">
        <v>1.7775399668599834</v>
      </c>
      <c r="AP436" s="13">
        <v>0.47540819552609781</v>
      </c>
      <c r="AQ436" s="13"/>
      <c r="AR436" s="13"/>
      <c r="AS436" s="14">
        <v>12.740281403659779</v>
      </c>
      <c r="AY436" s="1">
        <v>414.97</v>
      </c>
      <c r="AZ436" s="13">
        <v>4.1342482589102822E-2</v>
      </c>
      <c r="BA436" s="13">
        <v>0.10711648504711183</v>
      </c>
      <c r="BG436" s="13">
        <v>0.13935376051280815</v>
      </c>
      <c r="BI436" s="13">
        <v>3.6186102874906614</v>
      </c>
      <c r="BJ436" s="13">
        <v>1.802463192760922</v>
      </c>
      <c r="BK436" s="13">
        <v>0.46719355640166749</v>
      </c>
      <c r="BL436" s="13"/>
      <c r="BM436" s="13"/>
      <c r="BN436" s="14">
        <v>11.569925481044118</v>
      </c>
      <c r="BT436" s="1">
        <v>14.14</v>
      </c>
      <c r="BU436" s="13">
        <v>3.3659830268741156E-2</v>
      </c>
      <c r="BV436" s="13">
        <v>6.9275714285714274E-2</v>
      </c>
      <c r="CB436" s="13">
        <v>0.13317751060820368</v>
      </c>
      <c r="CD436" s="13">
        <v>2.7561927722772275</v>
      </c>
      <c r="CE436" s="13">
        <v>1.4094116053748231</v>
      </c>
      <c r="CF436" s="13">
        <v>0.40498553748231952</v>
      </c>
      <c r="CG436" s="13"/>
      <c r="CH436" s="13"/>
      <c r="CI436" s="14">
        <v>14.196265630542301</v>
      </c>
      <c r="CO436" s="1">
        <v>78.78</v>
      </c>
      <c r="CP436" s="13">
        <v>3.7100152322924594E-2</v>
      </c>
      <c r="CQ436" s="13">
        <v>7.4555087585681634E-2</v>
      </c>
      <c r="CW436" s="13">
        <v>0.13594325971058643</v>
      </c>
      <c r="CY436" s="13">
        <v>2.7828279893373948</v>
      </c>
      <c r="CZ436" s="13">
        <v>1.4093552817974104</v>
      </c>
      <c r="DA436" s="13">
        <v>0.39050078827113477</v>
      </c>
      <c r="DB436" s="13"/>
      <c r="DC436" s="13"/>
      <c r="DD436" s="14">
        <v>12.922413008654143</v>
      </c>
      <c r="DJ436" s="1" t="s">
        <v>96</v>
      </c>
      <c r="DL436" s="1">
        <f t="shared" si="717"/>
        <v>0.13860254331468963</v>
      </c>
      <c r="DM436" s="1">
        <f t="shared" si="718"/>
        <v>0</v>
      </c>
      <c r="DN436" s="1" t="s">
        <v>67</v>
      </c>
      <c r="DO436" s="1" t="s">
        <v>2</v>
      </c>
      <c r="DP436" s="38">
        <f t="shared" si="725"/>
        <v>0.22179569999999998</v>
      </c>
      <c r="DQ436" s="38">
        <f t="shared" si="726"/>
        <v>57.641332599999998</v>
      </c>
      <c r="DR436" s="38">
        <f t="shared" si="727"/>
        <v>0</v>
      </c>
      <c r="DS436" s="38">
        <f t="shared" si="728"/>
        <v>0</v>
      </c>
      <c r="DT436" s="38">
        <f t="shared" si="729"/>
        <v>0</v>
      </c>
      <c r="DU436" s="38">
        <f t="shared" si="730"/>
        <v>0</v>
      </c>
      <c r="DV436" s="38">
        <f t="shared" si="731"/>
        <v>0</v>
      </c>
      <c r="DW436" s="38">
        <f t="shared" si="732"/>
        <v>0.76077550000000005</v>
      </c>
      <c r="DX436" s="38">
        <f t="shared" si="733"/>
        <v>0</v>
      </c>
      <c r="DY436" s="38">
        <f t="shared" si="734"/>
        <v>1972.6412213999999</v>
      </c>
      <c r="DZ436" s="38">
        <f t="shared" si="735"/>
        <v>984.82155589999991</v>
      </c>
      <c r="EA436" s="38">
        <f t="shared" si="736"/>
        <v>257.68579009999996</v>
      </c>
      <c r="EB436" s="38">
        <f t="shared" si="737"/>
        <v>0</v>
      </c>
      <c r="EC436" s="38">
        <f t="shared" si="738"/>
        <v>0</v>
      </c>
      <c r="ED436" s="38">
        <f t="shared" si="739"/>
        <v>65.350257560706055</v>
      </c>
      <c r="EE436" s="38">
        <f t="shared" si="740"/>
        <v>0</v>
      </c>
      <c r="EG436" s="38">
        <f t="shared" si="741"/>
        <v>0</v>
      </c>
      <c r="EH436" s="38">
        <f t="shared" si="742"/>
        <v>0</v>
      </c>
      <c r="EI436" s="38">
        <f t="shared" si="743"/>
        <v>1447.3535686511998</v>
      </c>
      <c r="EJ436" s="38">
        <f t="shared" si="744"/>
        <v>2357.5490375305462</v>
      </c>
      <c r="EK436" s="38">
        <f t="shared" si="745"/>
        <v>0</v>
      </c>
      <c r="EL436" s="38">
        <f t="shared" si="746"/>
        <v>0</v>
      </c>
      <c r="EM436" s="38">
        <f t="shared" si="747"/>
        <v>0</v>
      </c>
      <c r="EN436" s="38">
        <f t="shared" si="748"/>
        <v>0</v>
      </c>
      <c r="EO436" s="38">
        <f t="shared" si="749"/>
        <v>0</v>
      </c>
      <c r="EP436" s="38">
        <f t="shared" si="750"/>
        <v>9976.8099070000007</v>
      </c>
      <c r="EQ436" s="38">
        <f t="shared" si="751"/>
        <v>0</v>
      </c>
      <c r="ER436" s="38">
        <f t="shared" si="752"/>
        <v>55986.221880415549</v>
      </c>
      <c r="ES436" s="38">
        <f t="shared" si="753"/>
        <v>32819.890841846849</v>
      </c>
      <c r="ET436" s="38">
        <f t="shared" si="754"/>
        <v>18438.20542474373</v>
      </c>
      <c r="EU436" s="38">
        <f t="shared" si="755"/>
        <v>0</v>
      </c>
      <c r="EV436" s="38">
        <f t="shared" si="756"/>
        <v>0</v>
      </c>
      <c r="EW436" s="38">
        <f t="shared" si="757"/>
        <v>18232.721859436988</v>
      </c>
      <c r="EX436" s="38">
        <f t="shared" si="758"/>
        <v>0</v>
      </c>
      <c r="EZ436" s="38">
        <f t="shared" si="759"/>
        <v>0</v>
      </c>
      <c r="FA436" s="38">
        <f t="shared" si="760"/>
        <v>0</v>
      </c>
      <c r="FB436" s="1">
        <f t="shared" si="761"/>
        <v>3.3986999999999996E-2</v>
      </c>
      <c r="FC436" s="1">
        <f t="shared" si="762"/>
        <v>6.8530083999999993</v>
      </c>
      <c r="FD436" s="1">
        <f t="shared" si="763"/>
        <v>0</v>
      </c>
      <c r="FE436" s="1">
        <f t="shared" si="764"/>
        <v>0</v>
      </c>
      <c r="FF436" s="1">
        <f t="shared" si="765"/>
        <v>0</v>
      </c>
      <c r="FG436" s="1">
        <f t="shared" si="766"/>
        <v>0</v>
      </c>
      <c r="FH436" s="1">
        <f t="shared" si="767"/>
        <v>0</v>
      </c>
      <c r="FI436" s="1">
        <f t="shared" si="768"/>
        <v>0.12592739999999999</v>
      </c>
      <c r="FJ436" s="1">
        <f t="shared" si="769"/>
        <v>0</v>
      </c>
      <c r="FK436" s="1">
        <f t="shared" si="770"/>
        <v>258.20375479999996</v>
      </c>
      <c r="FL436" s="1">
        <f t="shared" si="771"/>
        <v>130.95808919999999</v>
      </c>
      <c r="FM436" s="1">
        <f t="shared" si="772"/>
        <v>36.4901476</v>
      </c>
      <c r="FN436" s="1">
        <f t="shared" si="773"/>
        <v>0</v>
      </c>
      <c r="FO436" s="1">
        <f t="shared" si="774"/>
        <v>0</v>
      </c>
      <c r="FP436" s="1">
        <f t="shared" si="775"/>
        <v>12.187628928376416</v>
      </c>
      <c r="FQ436" s="1">
        <f t="shared" si="776"/>
        <v>0</v>
      </c>
      <c r="FS436" s="1">
        <f t="shared" si="777"/>
        <v>0</v>
      </c>
      <c r="FT436" s="1">
        <f t="shared" si="778"/>
        <v>0</v>
      </c>
      <c r="FU436" s="38">
        <f t="shared" si="779"/>
        <v>221.78611099199998</v>
      </c>
      <c r="FV436" s="38">
        <f t="shared" si="780"/>
        <v>280.29024709967842</v>
      </c>
      <c r="FW436" s="38">
        <f t="shared" si="781"/>
        <v>0</v>
      </c>
      <c r="FX436" s="38">
        <f t="shared" si="782"/>
        <v>0</v>
      </c>
      <c r="FY436" s="38">
        <f t="shared" si="783"/>
        <v>0</v>
      </c>
      <c r="FZ436" s="38">
        <f t="shared" si="784"/>
        <v>0</v>
      </c>
      <c r="GA436" s="38">
        <f t="shared" si="785"/>
        <v>0</v>
      </c>
      <c r="GB436" s="38">
        <f t="shared" si="786"/>
        <v>1651.4119235999999</v>
      </c>
      <c r="GC436" s="38">
        <f t="shared" si="787"/>
        <v>0</v>
      </c>
      <c r="GD436" s="38">
        <f t="shared" si="788"/>
        <v>7328.1712608285507</v>
      </c>
      <c r="GE436" s="38">
        <f t="shared" si="789"/>
        <v>4364.2730671882955</v>
      </c>
      <c r="GF436" s="38">
        <f t="shared" si="790"/>
        <v>2610.9815258610934</v>
      </c>
      <c r="GG436" s="38">
        <f t="shared" si="791"/>
        <v>0</v>
      </c>
      <c r="GH436" s="38">
        <f t="shared" si="792"/>
        <v>0</v>
      </c>
      <c r="GI436" s="38">
        <f t="shared" si="793"/>
        <v>3400.3484710170201</v>
      </c>
      <c r="GJ436" s="38">
        <f t="shared" si="794"/>
        <v>0</v>
      </c>
      <c r="GL436" s="38">
        <f t="shared" si="795"/>
        <v>0</v>
      </c>
      <c r="GM436" s="38">
        <f t="shared" si="796"/>
        <v>0</v>
      </c>
      <c r="GN436" s="1" t="s">
        <v>2</v>
      </c>
      <c r="GO436" s="14">
        <f t="shared" si="719"/>
        <v>548.8900000000001</v>
      </c>
      <c r="GP436" s="13">
        <f t="shared" si="720"/>
        <v>0.13860254331468963</v>
      </c>
      <c r="GQ436" s="41">
        <f t="shared" si="721"/>
        <v>760.77550000000008</v>
      </c>
      <c r="GR436" s="41">
        <f t="shared" si="722"/>
        <v>139258.75251962486</v>
      </c>
      <c r="GS436" s="14">
        <f t="shared" si="723"/>
        <v>253.70976428724305</v>
      </c>
      <c r="GT436" s="1">
        <f t="shared" si="797"/>
        <v>17.457800000000002</v>
      </c>
      <c r="GU436" s="1">
        <f t="shared" si="798"/>
        <v>165.04139999999998</v>
      </c>
      <c r="GV436" s="1">
        <f t="shared" si="799"/>
        <v>578.27629999999999</v>
      </c>
      <c r="GW436" s="37">
        <f t="shared" si="724"/>
        <v>92.92</v>
      </c>
      <c r="GX436" s="44">
        <f>(BT436*CB436+CO436*CW436)/GW436</f>
        <v>0.13552238484718035</v>
      </c>
      <c r="GY436" s="41">
        <f>1000*GW436*GX436/100</f>
        <v>125.92739999999998</v>
      </c>
      <c r="GZ436" s="41">
        <f>SUM(FU436:GM436)</f>
        <v>19857.262606586639</v>
      </c>
      <c r="HA436" s="14">
        <f>GZ436/GW436</f>
        <v>213.70278311005853</v>
      </c>
      <c r="HB436" s="1">
        <f t="shared" si="800"/>
        <v>18.831300000000002</v>
      </c>
      <c r="HC436" s="1">
        <f t="shared" si="801"/>
        <v>107.09609999999999</v>
      </c>
      <c r="HD436" s="37" t="s">
        <v>2</v>
      </c>
      <c r="HE436" s="1" t="s">
        <v>113</v>
      </c>
      <c r="HF436" s="1" t="s">
        <v>261</v>
      </c>
      <c r="HG436" s="1" t="s">
        <v>589</v>
      </c>
      <c r="HH436" s="1" t="s">
        <v>1182</v>
      </c>
      <c r="HI436" s="1" t="s">
        <v>96</v>
      </c>
      <c r="HJ436" s="37" t="s">
        <v>2</v>
      </c>
      <c r="JH436" s="58" t="s">
        <v>2</v>
      </c>
    </row>
    <row r="437" spans="1:268" ht="16.25" customHeight="1" x14ac:dyDescent="0.2">
      <c r="A437" s="15" t="s">
        <v>1271</v>
      </c>
      <c r="F437" s="1" t="s">
        <v>1272</v>
      </c>
      <c r="I437" s="1">
        <v>0</v>
      </c>
      <c r="AD437" s="1">
        <v>0</v>
      </c>
      <c r="AY437" s="1">
        <v>77.42</v>
      </c>
      <c r="AZ437" s="13">
        <v>6.4352834308755158E-2</v>
      </c>
      <c r="BA437" s="13">
        <v>0.24661038707052438</v>
      </c>
      <c r="BG437" s="13">
        <v>0.15861597483212142</v>
      </c>
      <c r="BI437" s="13">
        <v>3.3643685826659775</v>
      </c>
      <c r="BJ437" s="13">
        <v>2.3737952936450535</v>
      </c>
      <c r="BK437" s="13">
        <v>0.40418513630379749</v>
      </c>
      <c r="BL437" s="13"/>
      <c r="BM437" s="13"/>
      <c r="BT437" s="1">
        <v>0</v>
      </c>
      <c r="CO437" s="1">
        <v>0</v>
      </c>
      <c r="DJ437" s="1" t="s">
        <v>96</v>
      </c>
      <c r="DL437" s="1">
        <f t="shared" si="717"/>
        <v>0.15861597483212142</v>
      </c>
      <c r="DM437" s="1">
        <f t="shared" si="718"/>
        <v>0</v>
      </c>
      <c r="DN437" s="1" t="s">
        <v>73</v>
      </c>
      <c r="DO437" s="1" t="s">
        <v>2</v>
      </c>
      <c r="DP437" s="38">
        <f t="shared" si="725"/>
        <v>4.9821964321838247E-2</v>
      </c>
      <c r="DQ437" s="38">
        <f t="shared" si="726"/>
        <v>19.092576166999997</v>
      </c>
      <c r="DR437" s="38">
        <f t="shared" si="727"/>
        <v>0</v>
      </c>
      <c r="DS437" s="38">
        <f t="shared" si="728"/>
        <v>0</v>
      </c>
      <c r="DT437" s="38">
        <f t="shared" si="729"/>
        <v>0</v>
      </c>
      <c r="DU437" s="38">
        <f t="shared" si="730"/>
        <v>0</v>
      </c>
      <c r="DV437" s="38">
        <f t="shared" si="731"/>
        <v>0</v>
      </c>
      <c r="DW437" s="38">
        <f t="shared" si="732"/>
        <v>0.12280048771502841</v>
      </c>
      <c r="DX437" s="38">
        <f t="shared" si="733"/>
        <v>0</v>
      </c>
      <c r="DY437" s="38">
        <f t="shared" si="734"/>
        <v>260.46941566999999</v>
      </c>
      <c r="DZ437" s="38">
        <f t="shared" si="735"/>
        <v>183.77923163400004</v>
      </c>
      <c r="EA437" s="38">
        <f t="shared" si="736"/>
        <v>31.292013252640004</v>
      </c>
      <c r="EB437" s="38">
        <f t="shared" si="737"/>
        <v>0</v>
      </c>
      <c r="EC437" s="38">
        <f t="shared" si="738"/>
        <v>0</v>
      </c>
      <c r="ED437" s="38">
        <f t="shared" si="739"/>
        <v>0</v>
      </c>
      <c r="EE437" s="38">
        <f t="shared" si="740"/>
        <v>0</v>
      </c>
      <c r="EG437" s="38">
        <f t="shared" si="741"/>
        <v>0</v>
      </c>
      <c r="EH437" s="38">
        <f t="shared" si="742"/>
        <v>0</v>
      </c>
      <c r="EI437" s="38">
        <f t="shared" si="743"/>
        <v>325.1190075300168</v>
      </c>
      <c r="EJ437" s="38">
        <f t="shared" si="744"/>
        <v>780.89250432231495</v>
      </c>
      <c r="EK437" s="38">
        <f t="shared" si="745"/>
        <v>0</v>
      </c>
      <c r="EL437" s="38">
        <f t="shared" si="746"/>
        <v>0</v>
      </c>
      <c r="EM437" s="38">
        <f t="shared" si="747"/>
        <v>0</v>
      </c>
      <c r="EN437" s="38">
        <f t="shared" si="748"/>
        <v>0</v>
      </c>
      <c r="EO437" s="38">
        <f t="shared" si="749"/>
        <v>0</v>
      </c>
      <c r="EP437" s="38">
        <f t="shared" si="750"/>
        <v>1610.4055958948825</v>
      </c>
      <c r="EQ437" s="38">
        <f t="shared" si="751"/>
        <v>0</v>
      </c>
      <c r="ER437" s="38">
        <f t="shared" si="752"/>
        <v>7392.4737760540884</v>
      </c>
      <c r="ES437" s="38">
        <f t="shared" si="753"/>
        <v>6124.5758534542338</v>
      </c>
      <c r="ET437" s="38">
        <f t="shared" si="754"/>
        <v>2239.0391347620516</v>
      </c>
      <c r="EU437" s="38">
        <f t="shared" si="755"/>
        <v>0</v>
      </c>
      <c r="EV437" s="38">
        <f t="shared" si="756"/>
        <v>0</v>
      </c>
      <c r="EW437" s="38">
        <f t="shared" si="757"/>
        <v>0</v>
      </c>
      <c r="EX437" s="38">
        <f t="shared" si="758"/>
        <v>0</v>
      </c>
      <c r="EZ437" s="38">
        <f t="shared" si="759"/>
        <v>0</v>
      </c>
      <c r="FA437" s="38">
        <f t="shared" si="760"/>
        <v>0</v>
      </c>
      <c r="FB437" s="1">
        <f t="shared" si="761"/>
        <v>0</v>
      </c>
      <c r="FC437" s="1">
        <f t="shared" si="762"/>
        <v>0</v>
      </c>
      <c r="FD437" s="1">
        <f t="shared" si="763"/>
        <v>0</v>
      </c>
      <c r="FE437" s="1">
        <f t="shared" si="764"/>
        <v>0</v>
      </c>
      <c r="FF437" s="1">
        <f t="shared" si="765"/>
        <v>0</v>
      </c>
      <c r="FG437" s="1">
        <f t="shared" si="766"/>
        <v>0</v>
      </c>
      <c r="FH437" s="1">
        <f t="shared" si="767"/>
        <v>0</v>
      </c>
      <c r="FI437" s="1">
        <f t="shared" si="768"/>
        <v>0</v>
      </c>
      <c r="FJ437" s="1">
        <f t="shared" si="769"/>
        <v>0</v>
      </c>
      <c r="FK437" s="1">
        <f t="shared" si="770"/>
        <v>0</v>
      </c>
      <c r="FL437" s="1">
        <f t="shared" si="771"/>
        <v>0</v>
      </c>
      <c r="FM437" s="1">
        <f t="shared" si="772"/>
        <v>0</v>
      </c>
      <c r="FN437" s="1">
        <f t="shared" si="773"/>
        <v>0</v>
      </c>
      <c r="FO437" s="1">
        <f t="shared" si="774"/>
        <v>0</v>
      </c>
      <c r="FP437" s="1">
        <f t="shared" si="775"/>
        <v>0</v>
      </c>
      <c r="FQ437" s="1">
        <f t="shared" si="776"/>
        <v>0</v>
      </c>
      <c r="FS437" s="1">
        <f t="shared" si="777"/>
        <v>0</v>
      </c>
      <c r="FT437" s="1">
        <f t="shared" si="778"/>
        <v>0</v>
      </c>
      <c r="FU437" s="38">
        <f t="shared" si="779"/>
        <v>0</v>
      </c>
      <c r="FV437" s="38">
        <f t="shared" si="780"/>
        <v>0</v>
      </c>
      <c r="FW437" s="38">
        <f t="shared" si="781"/>
        <v>0</v>
      </c>
      <c r="FX437" s="38">
        <f t="shared" si="782"/>
        <v>0</v>
      </c>
      <c r="FY437" s="38">
        <f t="shared" si="783"/>
        <v>0</v>
      </c>
      <c r="FZ437" s="38">
        <f t="shared" si="784"/>
        <v>0</v>
      </c>
      <c r="GA437" s="38">
        <f t="shared" si="785"/>
        <v>0</v>
      </c>
      <c r="GB437" s="38">
        <f t="shared" si="786"/>
        <v>0</v>
      </c>
      <c r="GC437" s="38">
        <f t="shared" si="787"/>
        <v>0</v>
      </c>
      <c r="GD437" s="38">
        <f t="shared" si="788"/>
        <v>0</v>
      </c>
      <c r="GE437" s="38">
        <f t="shared" si="789"/>
        <v>0</v>
      </c>
      <c r="GF437" s="38">
        <f t="shared" si="790"/>
        <v>0</v>
      </c>
      <c r="GG437" s="38">
        <f t="shared" si="791"/>
        <v>0</v>
      </c>
      <c r="GH437" s="38">
        <f t="shared" si="792"/>
        <v>0</v>
      </c>
      <c r="GI437" s="38">
        <f t="shared" si="793"/>
        <v>0</v>
      </c>
      <c r="GJ437" s="38">
        <f t="shared" si="794"/>
        <v>0</v>
      </c>
      <c r="GL437" s="38">
        <f t="shared" si="795"/>
        <v>0</v>
      </c>
      <c r="GM437" s="38">
        <f t="shared" si="796"/>
        <v>0</v>
      </c>
      <c r="GN437" s="1" t="s">
        <v>2</v>
      </c>
      <c r="GO437" s="1">
        <f t="shared" si="719"/>
        <v>77.42</v>
      </c>
      <c r="GP437" s="13">
        <f t="shared" si="720"/>
        <v>0.15861597483212142</v>
      </c>
      <c r="GQ437" s="41">
        <f t="shared" si="721"/>
        <v>122.80048771502841</v>
      </c>
      <c r="GR437" s="41">
        <f t="shared" si="722"/>
        <v>18472.505872017588</v>
      </c>
      <c r="GS437" s="14">
        <f t="shared" si="723"/>
        <v>238.60121250345631</v>
      </c>
      <c r="GT437" s="1">
        <f t="shared" si="797"/>
        <v>0</v>
      </c>
      <c r="GU437" s="1">
        <f t="shared" si="798"/>
        <v>0</v>
      </c>
      <c r="GV437" s="1">
        <f t="shared" si="799"/>
        <v>122.80048771502841</v>
      </c>
      <c r="GW437" s="37">
        <f t="shared" si="724"/>
        <v>0</v>
      </c>
      <c r="GX437" s="37"/>
      <c r="GY437" s="37"/>
      <c r="GZ437" s="37"/>
      <c r="HB437" s="1">
        <f t="shared" si="800"/>
        <v>0</v>
      </c>
      <c r="HC437" s="1">
        <f t="shared" si="801"/>
        <v>0</v>
      </c>
      <c r="HD437" s="37" t="s">
        <v>2</v>
      </c>
      <c r="HE437" s="1" t="s">
        <v>113</v>
      </c>
      <c r="HF437" s="1" t="s">
        <v>261</v>
      </c>
      <c r="HG437" s="1" t="s">
        <v>589</v>
      </c>
      <c r="HH437" s="1" t="s">
        <v>1194</v>
      </c>
      <c r="HI437" s="1" t="s">
        <v>96</v>
      </c>
      <c r="HJ437" s="37" t="s">
        <v>2</v>
      </c>
      <c r="JH437" s="58" t="s">
        <v>2</v>
      </c>
    </row>
    <row r="438" spans="1:268" ht="16.25" customHeight="1" x14ac:dyDescent="0.2">
      <c r="A438" s="15" t="s">
        <v>1274</v>
      </c>
      <c r="B438" s="1" t="s">
        <v>69</v>
      </c>
      <c r="F438" s="1" t="s">
        <v>1275</v>
      </c>
      <c r="I438" s="1">
        <v>0</v>
      </c>
      <c r="AD438" s="1">
        <v>346</v>
      </c>
      <c r="AE438" s="1">
        <v>0.16</v>
      </c>
      <c r="AF438" s="1">
        <v>0.28000000000000003</v>
      </c>
      <c r="AL438" s="1">
        <v>0.32</v>
      </c>
      <c r="AN438" s="1">
        <v>1.68</v>
      </c>
      <c r="AO438" s="13">
        <v>1.7</v>
      </c>
      <c r="AP438" s="1">
        <v>0.11</v>
      </c>
      <c r="AY438" s="1">
        <v>506</v>
      </c>
      <c r="AZ438" s="1">
        <v>0.16</v>
      </c>
      <c r="BA438" s="1">
        <v>0.26</v>
      </c>
      <c r="BG438" s="1">
        <v>0.31</v>
      </c>
      <c r="BI438" s="1">
        <v>1.42</v>
      </c>
      <c r="BJ438" s="1">
        <v>1.46</v>
      </c>
      <c r="BK438" s="13">
        <v>0.1</v>
      </c>
      <c r="BL438" s="13"/>
      <c r="BM438" s="13"/>
      <c r="BT438" s="1">
        <v>0</v>
      </c>
      <c r="CO438" s="1">
        <v>124.7</v>
      </c>
      <c r="CP438" s="1">
        <v>0.17</v>
      </c>
      <c r="CQ438" s="13">
        <v>0.3</v>
      </c>
      <c r="CW438" s="1">
        <v>0.34</v>
      </c>
      <c r="CY438" s="1">
        <v>1.95</v>
      </c>
      <c r="CZ438" s="1">
        <v>2.0099999999999998</v>
      </c>
      <c r="DA438" s="1">
        <v>0.14000000000000001</v>
      </c>
      <c r="DJ438" s="1" t="s">
        <v>96</v>
      </c>
      <c r="DL438" s="1">
        <f t="shared" si="717"/>
        <v>0.31406103286384973</v>
      </c>
      <c r="DM438" s="1">
        <f t="shared" si="718"/>
        <v>0</v>
      </c>
      <c r="DN438" s="1" t="s">
        <v>185</v>
      </c>
      <c r="DO438" s="1" t="s">
        <v>2</v>
      </c>
      <c r="DP438" s="38">
        <f t="shared" si="725"/>
        <v>1.3632</v>
      </c>
      <c r="DQ438" s="38">
        <f t="shared" si="726"/>
        <v>228.44</v>
      </c>
      <c r="DR438" s="38">
        <f t="shared" si="727"/>
        <v>0</v>
      </c>
      <c r="DS438" s="38">
        <f t="shared" si="728"/>
        <v>0</v>
      </c>
      <c r="DT438" s="38">
        <f t="shared" si="729"/>
        <v>0</v>
      </c>
      <c r="DU438" s="38">
        <f t="shared" si="730"/>
        <v>0</v>
      </c>
      <c r="DV438" s="38">
        <f t="shared" si="731"/>
        <v>0</v>
      </c>
      <c r="DW438" s="38">
        <f t="shared" si="732"/>
        <v>2.6757999999999997</v>
      </c>
      <c r="DX438" s="38">
        <f t="shared" si="733"/>
        <v>0</v>
      </c>
      <c r="DY438" s="38">
        <f t="shared" si="734"/>
        <v>1299.8</v>
      </c>
      <c r="DZ438" s="38">
        <f t="shared" si="735"/>
        <v>1326.96</v>
      </c>
      <c r="EA438" s="38">
        <f t="shared" si="736"/>
        <v>88.66</v>
      </c>
      <c r="EB438" s="38">
        <f t="shared" si="737"/>
        <v>0</v>
      </c>
      <c r="EC438" s="38">
        <f t="shared" si="738"/>
        <v>0</v>
      </c>
      <c r="ED438" s="38">
        <f t="shared" si="739"/>
        <v>0</v>
      </c>
      <c r="EE438" s="38">
        <f t="shared" si="740"/>
        <v>0</v>
      </c>
      <c r="EG438" s="38">
        <f t="shared" si="741"/>
        <v>0</v>
      </c>
      <c r="EH438" s="38">
        <f t="shared" si="742"/>
        <v>0</v>
      </c>
      <c r="EI438" s="38">
        <f t="shared" si="743"/>
        <v>8895.7197311999989</v>
      </c>
      <c r="EJ438" s="38">
        <f t="shared" si="744"/>
        <v>9343.269453376206</v>
      </c>
      <c r="EK438" s="38">
        <f t="shared" si="745"/>
        <v>0</v>
      </c>
      <c r="EL438" s="38">
        <f t="shared" si="746"/>
        <v>0</v>
      </c>
      <c r="EM438" s="38">
        <f t="shared" si="747"/>
        <v>0</v>
      </c>
      <c r="EN438" s="38">
        <f t="shared" si="748"/>
        <v>0</v>
      </c>
      <c r="EO438" s="38">
        <f t="shared" si="749"/>
        <v>0</v>
      </c>
      <c r="EP438" s="38">
        <f t="shared" si="750"/>
        <v>35090.441199999994</v>
      </c>
      <c r="EQ438" s="38">
        <f t="shared" si="751"/>
        <v>0</v>
      </c>
      <c r="ER438" s="38">
        <f t="shared" si="752"/>
        <v>36890.079356913178</v>
      </c>
      <c r="ES438" s="38">
        <f t="shared" si="753"/>
        <v>44221.902019292611</v>
      </c>
      <c r="ET438" s="38">
        <f t="shared" si="754"/>
        <v>6343.8938263665596</v>
      </c>
      <c r="EU438" s="38">
        <f t="shared" si="755"/>
        <v>0</v>
      </c>
      <c r="EV438" s="38">
        <f t="shared" si="756"/>
        <v>0</v>
      </c>
      <c r="EW438" s="38">
        <f t="shared" si="757"/>
        <v>0</v>
      </c>
      <c r="EX438" s="38">
        <f t="shared" si="758"/>
        <v>0</v>
      </c>
      <c r="EZ438" s="38">
        <f t="shared" si="759"/>
        <v>0</v>
      </c>
      <c r="FA438" s="38">
        <f t="shared" si="760"/>
        <v>0</v>
      </c>
      <c r="FB438" s="1">
        <f t="shared" si="761"/>
        <v>0.21199000000000001</v>
      </c>
      <c r="FC438" s="1">
        <f t="shared" si="762"/>
        <v>37.409999999999997</v>
      </c>
      <c r="FD438" s="1">
        <f t="shared" si="763"/>
        <v>0</v>
      </c>
      <c r="FE438" s="1">
        <f t="shared" si="764"/>
        <v>0</v>
      </c>
      <c r="FF438" s="1">
        <f t="shared" si="765"/>
        <v>0</v>
      </c>
      <c r="FG438" s="1">
        <f t="shared" si="766"/>
        <v>0</v>
      </c>
      <c r="FH438" s="1">
        <f t="shared" si="767"/>
        <v>0</v>
      </c>
      <c r="FI438" s="1">
        <f t="shared" si="768"/>
        <v>0.42398000000000002</v>
      </c>
      <c r="FJ438" s="1">
        <f t="shared" si="769"/>
        <v>0</v>
      </c>
      <c r="FK438" s="1">
        <f t="shared" si="770"/>
        <v>243.16499999999999</v>
      </c>
      <c r="FL438" s="1">
        <f t="shared" si="771"/>
        <v>250.64699999999999</v>
      </c>
      <c r="FM438" s="1">
        <f t="shared" si="772"/>
        <v>17.458000000000002</v>
      </c>
      <c r="FN438" s="1">
        <f t="shared" si="773"/>
        <v>0</v>
      </c>
      <c r="FO438" s="1">
        <f t="shared" si="774"/>
        <v>0</v>
      </c>
      <c r="FP438" s="1">
        <f t="shared" si="775"/>
        <v>0</v>
      </c>
      <c r="FQ438" s="1">
        <f t="shared" si="776"/>
        <v>0</v>
      </c>
      <c r="FS438" s="1">
        <f t="shared" si="777"/>
        <v>0</v>
      </c>
      <c r="FT438" s="1">
        <f t="shared" si="778"/>
        <v>0</v>
      </c>
      <c r="FU438" s="38">
        <f t="shared" si="779"/>
        <v>1383.3653358400002</v>
      </c>
      <c r="FV438" s="38">
        <f t="shared" si="780"/>
        <v>1530.0810289389065</v>
      </c>
      <c r="FW438" s="38">
        <f t="shared" si="781"/>
        <v>0</v>
      </c>
      <c r="FX438" s="38">
        <f t="shared" si="782"/>
        <v>0</v>
      </c>
      <c r="FY438" s="38">
        <f t="shared" si="783"/>
        <v>0</v>
      </c>
      <c r="FZ438" s="38">
        <f t="shared" si="784"/>
        <v>0</v>
      </c>
      <c r="GA438" s="38">
        <f t="shared" si="785"/>
        <v>0</v>
      </c>
      <c r="GB438" s="38">
        <f t="shared" si="786"/>
        <v>5560.0737200000003</v>
      </c>
      <c r="GC438" s="38">
        <f t="shared" si="787"/>
        <v>0</v>
      </c>
      <c r="GD438" s="38">
        <f t="shared" si="788"/>
        <v>6901.3510900321535</v>
      </c>
      <c r="GE438" s="38">
        <f t="shared" si="789"/>
        <v>8352.9926112540197</v>
      </c>
      <c r="GF438" s="38">
        <f t="shared" si="790"/>
        <v>1249.1732282958203</v>
      </c>
      <c r="GG438" s="38">
        <f t="shared" si="791"/>
        <v>0</v>
      </c>
      <c r="GH438" s="38">
        <f t="shared" si="792"/>
        <v>0</v>
      </c>
      <c r="GI438" s="38">
        <f t="shared" si="793"/>
        <v>0</v>
      </c>
      <c r="GJ438" s="38">
        <f t="shared" si="794"/>
        <v>0</v>
      </c>
      <c r="GL438" s="38">
        <f t="shared" si="795"/>
        <v>0</v>
      </c>
      <c r="GM438" s="38">
        <f t="shared" si="796"/>
        <v>0</v>
      </c>
      <c r="GN438" s="1" t="s">
        <v>2</v>
      </c>
      <c r="GO438" s="1">
        <f t="shared" si="719"/>
        <v>852</v>
      </c>
      <c r="GP438" s="13">
        <f t="shared" si="720"/>
        <v>0.31406103286384973</v>
      </c>
      <c r="GQ438" s="43">
        <f t="shared" si="721"/>
        <v>2675.8</v>
      </c>
      <c r="GR438" s="41">
        <f t="shared" si="722"/>
        <v>140785.30558714853</v>
      </c>
      <c r="GS438" s="14">
        <f t="shared" si="723"/>
        <v>165.24096899900061</v>
      </c>
      <c r="GT438" s="1">
        <f t="shared" si="797"/>
        <v>0</v>
      </c>
      <c r="GU438" s="1">
        <f t="shared" si="798"/>
        <v>1107.2</v>
      </c>
      <c r="GV438" s="1">
        <f t="shared" si="799"/>
        <v>1568.5999999999997</v>
      </c>
      <c r="GW438" s="37">
        <f t="shared" si="724"/>
        <v>124.7</v>
      </c>
      <c r="GX438" s="37">
        <f>(BT438*CB438+CO438*CW438)/GW438</f>
        <v>0.34</v>
      </c>
      <c r="GY438" s="41">
        <f>1000*GW438*GX438/100</f>
        <v>423.98</v>
      </c>
      <c r="GZ438" s="41">
        <f>SUM(FU438:GM438)</f>
        <v>24977.037014360903</v>
      </c>
      <c r="HA438" s="14">
        <f>GZ438/GW438</f>
        <v>200.29700893633444</v>
      </c>
      <c r="HB438" s="1">
        <f t="shared" si="800"/>
        <v>0</v>
      </c>
      <c r="HC438" s="1">
        <f t="shared" si="801"/>
        <v>423.98</v>
      </c>
      <c r="HD438" s="37" t="s">
        <v>2</v>
      </c>
      <c r="HE438" s="1" t="s">
        <v>113</v>
      </c>
      <c r="HF438" s="1" t="s">
        <v>261</v>
      </c>
      <c r="HG438" s="1" t="s">
        <v>589</v>
      </c>
      <c r="HH438" s="1" t="s">
        <v>1276</v>
      </c>
      <c r="HI438" s="1" t="s">
        <v>96</v>
      </c>
      <c r="HJ438" s="37" t="s">
        <v>2</v>
      </c>
      <c r="JH438" s="58" t="s">
        <v>2</v>
      </c>
    </row>
    <row r="439" spans="1:268" ht="16.25" customHeight="1" x14ac:dyDescent="0.2">
      <c r="A439" s="15" t="s">
        <v>1278</v>
      </c>
      <c r="B439" s="1" t="s">
        <v>69</v>
      </c>
      <c r="F439" s="1" t="s">
        <v>669</v>
      </c>
      <c r="I439" s="1">
        <v>0</v>
      </c>
      <c r="AD439" s="1">
        <v>151.89999999999998</v>
      </c>
      <c r="AE439" s="13">
        <v>0.12799210006583281</v>
      </c>
      <c r="AF439" s="13">
        <v>0.2414843094140883</v>
      </c>
      <c r="AL439" s="13">
        <v>0.23797893350888746</v>
      </c>
      <c r="AN439" s="13">
        <v>1.729208267281106</v>
      </c>
      <c r="AO439" s="13">
        <v>2.0413440895325876</v>
      </c>
      <c r="AP439" s="13">
        <v>0.15165019486504283</v>
      </c>
      <c r="AQ439" s="13"/>
      <c r="AR439" s="13"/>
      <c r="AY439" s="1">
        <v>81.199999999999989</v>
      </c>
      <c r="AZ439" s="13">
        <v>9.9334975369458123E-2</v>
      </c>
      <c r="BA439" s="13">
        <v>0.19825397413793108</v>
      </c>
      <c r="BG439" s="13">
        <v>0.1780049261083744</v>
      </c>
      <c r="BI439" s="13">
        <v>1.418353511083744</v>
      </c>
      <c r="BJ439" s="13">
        <v>1.6623498817733993</v>
      </c>
      <c r="BK439" s="13">
        <v>0.12451818349753693</v>
      </c>
      <c r="BL439" s="13"/>
      <c r="BM439" s="13"/>
      <c r="BT439" s="1">
        <v>0</v>
      </c>
      <c r="CO439" s="1">
        <v>0</v>
      </c>
      <c r="DJ439" s="1" t="s">
        <v>96</v>
      </c>
      <c r="DL439" s="1">
        <f t="shared" si="717"/>
        <v>0.21708708708708713</v>
      </c>
      <c r="DM439" s="1">
        <f t="shared" si="718"/>
        <v>0</v>
      </c>
      <c r="DN439" s="1" t="s">
        <v>73</v>
      </c>
      <c r="DO439" s="1" t="s">
        <v>2</v>
      </c>
      <c r="DP439" s="38">
        <f t="shared" si="725"/>
        <v>0.27507999999999999</v>
      </c>
      <c r="DQ439" s="38">
        <f t="shared" si="726"/>
        <v>52.779689300000008</v>
      </c>
      <c r="DR439" s="38">
        <f t="shared" si="727"/>
        <v>0</v>
      </c>
      <c r="DS439" s="38">
        <f t="shared" si="728"/>
        <v>0</v>
      </c>
      <c r="DT439" s="38">
        <f t="shared" si="729"/>
        <v>0</v>
      </c>
      <c r="DU439" s="38">
        <f t="shared" si="730"/>
        <v>0</v>
      </c>
      <c r="DV439" s="38">
        <f t="shared" si="731"/>
        <v>0</v>
      </c>
      <c r="DW439" s="38">
        <f t="shared" si="732"/>
        <v>0.50602999999999998</v>
      </c>
      <c r="DX439" s="38">
        <f t="shared" si="733"/>
        <v>0</v>
      </c>
      <c r="DY439" s="38">
        <f t="shared" si="734"/>
        <v>377.83704089999998</v>
      </c>
      <c r="DZ439" s="38">
        <f t="shared" si="735"/>
        <v>445.06297760000001</v>
      </c>
      <c r="EA439" s="38">
        <f t="shared" si="736"/>
        <v>33.1465411</v>
      </c>
      <c r="EB439" s="38">
        <f t="shared" si="737"/>
        <v>0</v>
      </c>
      <c r="EC439" s="38">
        <f t="shared" si="738"/>
        <v>0</v>
      </c>
      <c r="ED439" s="38">
        <f t="shared" si="739"/>
        <v>0</v>
      </c>
      <c r="EE439" s="38">
        <f t="shared" si="740"/>
        <v>0</v>
      </c>
      <c r="EG439" s="38">
        <f t="shared" si="741"/>
        <v>0</v>
      </c>
      <c r="EH439" s="38">
        <f t="shared" si="742"/>
        <v>0</v>
      </c>
      <c r="EI439" s="38">
        <f t="shared" si="743"/>
        <v>1795.0664492799999</v>
      </c>
      <c r="EJ439" s="38">
        <f t="shared" si="744"/>
        <v>2158.7062633311898</v>
      </c>
      <c r="EK439" s="38">
        <f t="shared" si="745"/>
        <v>0</v>
      </c>
      <c r="EL439" s="38">
        <f t="shared" si="746"/>
        <v>0</v>
      </c>
      <c r="EM439" s="38">
        <f t="shared" si="747"/>
        <v>0</v>
      </c>
      <c r="EN439" s="38">
        <f t="shared" si="748"/>
        <v>0</v>
      </c>
      <c r="EO439" s="38">
        <f t="shared" si="749"/>
        <v>0</v>
      </c>
      <c r="EP439" s="38">
        <f t="shared" si="750"/>
        <v>6636.0774199999996</v>
      </c>
      <c r="EQ439" s="38">
        <f t="shared" si="751"/>
        <v>0</v>
      </c>
      <c r="ER439" s="38">
        <f t="shared" si="752"/>
        <v>10723.525482983729</v>
      </c>
      <c r="ES439" s="38">
        <f t="shared" si="753"/>
        <v>14832.045719420195</v>
      </c>
      <c r="ET439" s="38">
        <f t="shared" si="754"/>
        <v>2371.7362671971064</v>
      </c>
      <c r="EU439" s="38">
        <f t="shared" si="755"/>
        <v>0</v>
      </c>
      <c r="EV439" s="38">
        <f t="shared" si="756"/>
        <v>0</v>
      </c>
      <c r="EW439" s="38">
        <f t="shared" si="757"/>
        <v>0</v>
      </c>
      <c r="EX439" s="38">
        <f t="shared" si="758"/>
        <v>0</v>
      </c>
      <c r="EZ439" s="38">
        <f t="shared" si="759"/>
        <v>0</v>
      </c>
      <c r="FA439" s="38">
        <f t="shared" si="760"/>
        <v>0</v>
      </c>
      <c r="FB439" s="1">
        <f t="shared" si="761"/>
        <v>0</v>
      </c>
      <c r="FC439" s="1">
        <f t="shared" si="762"/>
        <v>0</v>
      </c>
      <c r="FD439" s="1">
        <f t="shared" si="763"/>
        <v>0</v>
      </c>
      <c r="FE439" s="1">
        <f t="shared" si="764"/>
        <v>0</v>
      </c>
      <c r="FF439" s="1">
        <f t="shared" si="765"/>
        <v>0</v>
      </c>
      <c r="FG439" s="1">
        <f t="shared" si="766"/>
        <v>0</v>
      </c>
      <c r="FH439" s="1">
        <f t="shared" si="767"/>
        <v>0</v>
      </c>
      <c r="FI439" s="1">
        <f t="shared" si="768"/>
        <v>0</v>
      </c>
      <c r="FJ439" s="1">
        <f t="shared" si="769"/>
        <v>0</v>
      </c>
      <c r="FK439" s="1">
        <f t="shared" si="770"/>
        <v>0</v>
      </c>
      <c r="FL439" s="1">
        <f t="shared" si="771"/>
        <v>0</v>
      </c>
      <c r="FM439" s="1">
        <f t="shared" si="772"/>
        <v>0</v>
      </c>
      <c r="FN439" s="1">
        <f t="shared" si="773"/>
        <v>0</v>
      </c>
      <c r="FO439" s="1">
        <f t="shared" si="774"/>
        <v>0</v>
      </c>
      <c r="FP439" s="1">
        <f t="shared" si="775"/>
        <v>0</v>
      </c>
      <c r="FQ439" s="1">
        <f t="shared" si="776"/>
        <v>0</v>
      </c>
      <c r="FS439" s="1">
        <f t="shared" si="777"/>
        <v>0</v>
      </c>
      <c r="FT439" s="1">
        <f t="shared" si="778"/>
        <v>0</v>
      </c>
      <c r="FU439" s="38">
        <f t="shared" si="779"/>
        <v>0</v>
      </c>
      <c r="FV439" s="38">
        <f t="shared" si="780"/>
        <v>0</v>
      </c>
      <c r="FW439" s="38">
        <f t="shared" si="781"/>
        <v>0</v>
      </c>
      <c r="FX439" s="38">
        <f t="shared" si="782"/>
        <v>0</v>
      </c>
      <c r="FY439" s="38">
        <f t="shared" si="783"/>
        <v>0</v>
      </c>
      <c r="FZ439" s="38">
        <f t="shared" si="784"/>
        <v>0</v>
      </c>
      <c r="GA439" s="38">
        <f t="shared" si="785"/>
        <v>0</v>
      </c>
      <c r="GB439" s="38">
        <f t="shared" si="786"/>
        <v>0</v>
      </c>
      <c r="GC439" s="38">
        <f t="shared" si="787"/>
        <v>0</v>
      </c>
      <c r="GD439" s="38">
        <f t="shared" si="788"/>
        <v>0</v>
      </c>
      <c r="GE439" s="38">
        <f t="shared" si="789"/>
        <v>0</v>
      </c>
      <c r="GF439" s="38">
        <f t="shared" si="790"/>
        <v>0</v>
      </c>
      <c r="GG439" s="38">
        <f t="shared" si="791"/>
        <v>0</v>
      </c>
      <c r="GH439" s="38">
        <f t="shared" si="792"/>
        <v>0</v>
      </c>
      <c r="GI439" s="38">
        <f t="shared" si="793"/>
        <v>0</v>
      </c>
      <c r="GJ439" s="38">
        <f t="shared" si="794"/>
        <v>0</v>
      </c>
      <c r="GL439" s="38">
        <f t="shared" si="795"/>
        <v>0</v>
      </c>
      <c r="GM439" s="38">
        <f t="shared" si="796"/>
        <v>0</v>
      </c>
      <c r="GN439" s="1" t="s">
        <v>2</v>
      </c>
      <c r="GO439" s="1">
        <f t="shared" si="719"/>
        <v>233.09999999999997</v>
      </c>
      <c r="GP439" s="13">
        <f t="shared" si="720"/>
        <v>0.21708708708708713</v>
      </c>
      <c r="GQ439" s="41">
        <f t="shared" si="721"/>
        <v>506.03</v>
      </c>
      <c r="GR439" s="41">
        <f t="shared" si="722"/>
        <v>38517.157602212217</v>
      </c>
      <c r="GS439" s="14">
        <f t="shared" si="723"/>
        <v>165.23877135226178</v>
      </c>
      <c r="GT439" s="1">
        <f t="shared" si="797"/>
        <v>0</v>
      </c>
      <c r="GU439" s="1">
        <f t="shared" si="798"/>
        <v>361.49</v>
      </c>
      <c r="GV439" s="1">
        <f t="shared" si="799"/>
        <v>144.54</v>
      </c>
      <c r="GW439" s="37">
        <f t="shared" si="724"/>
        <v>0</v>
      </c>
      <c r="GX439" s="37"/>
      <c r="GY439" s="37"/>
      <c r="GZ439" s="37"/>
      <c r="HB439" s="1">
        <f t="shared" si="800"/>
        <v>0</v>
      </c>
      <c r="HC439" s="1">
        <f t="shared" si="801"/>
        <v>0</v>
      </c>
      <c r="HD439" s="37" t="s">
        <v>2</v>
      </c>
      <c r="HE439" s="1" t="s">
        <v>113</v>
      </c>
      <c r="HF439" s="1" t="s">
        <v>261</v>
      </c>
      <c r="HG439" s="1" t="s">
        <v>589</v>
      </c>
      <c r="HH439" s="1" t="s">
        <v>1276</v>
      </c>
      <c r="HI439" s="1" t="s">
        <v>96</v>
      </c>
      <c r="HJ439" s="37" t="s">
        <v>2</v>
      </c>
      <c r="JH439" s="58" t="s">
        <v>2</v>
      </c>
    </row>
    <row r="440" spans="1:268" ht="16.25" customHeight="1" x14ac:dyDescent="0.2">
      <c r="A440" s="15" t="s">
        <v>1279</v>
      </c>
      <c r="B440" s="1" t="s">
        <v>69</v>
      </c>
      <c r="F440" s="35" t="s">
        <v>131</v>
      </c>
      <c r="I440" s="1">
        <v>0</v>
      </c>
      <c r="AD440" s="1">
        <v>0</v>
      </c>
      <c r="AY440" s="1">
        <v>18.128</v>
      </c>
      <c r="AZ440" s="13">
        <v>0.11411187113857017</v>
      </c>
      <c r="BA440" s="13">
        <v>8.5279677846425428E-2</v>
      </c>
      <c r="BG440" s="13">
        <v>0.18527967784642543</v>
      </c>
      <c r="BI440" s="13">
        <v>0.4700490953221535</v>
      </c>
      <c r="BJ440" s="13">
        <v>0.73578993821712269</v>
      </c>
      <c r="BT440" s="1">
        <v>0</v>
      </c>
      <c r="CO440" s="1">
        <v>0</v>
      </c>
      <c r="DJ440" s="1" t="s">
        <v>96</v>
      </c>
      <c r="DL440" s="1">
        <f t="shared" si="717"/>
        <v>0.18527967784642543</v>
      </c>
      <c r="DM440" s="1">
        <f t="shared" si="718"/>
        <v>0</v>
      </c>
      <c r="DN440" s="1" t="s">
        <v>1280</v>
      </c>
      <c r="DO440" s="1" t="s">
        <v>2</v>
      </c>
      <c r="DP440" s="38">
        <f t="shared" si="725"/>
        <v>2.0686200000000002E-2</v>
      </c>
      <c r="DQ440" s="38">
        <f t="shared" si="726"/>
        <v>1.5459500000000002</v>
      </c>
      <c r="DR440" s="38">
        <f t="shared" si="727"/>
        <v>0</v>
      </c>
      <c r="DS440" s="38">
        <f t="shared" si="728"/>
        <v>0</v>
      </c>
      <c r="DT440" s="38">
        <f t="shared" si="729"/>
        <v>0</v>
      </c>
      <c r="DU440" s="38">
        <f t="shared" si="730"/>
        <v>0</v>
      </c>
      <c r="DV440" s="38">
        <f t="shared" si="731"/>
        <v>0</v>
      </c>
      <c r="DW440" s="38">
        <f t="shared" si="732"/>
        <v>3.3587499999999999E-2</v>
      </c>
      <c r="DX440" s="38">
        <f t="shared" si="733"/>
        <v>0</v>
      </c>
      <c r="DY440" s="38">
        <f t="shared" si="734"/>
        <v>8.5210499999999989</v>
      </c>
      <c r="DZ440" s="38">
        <f t="shared" si="735"/>
        <v>13.3384</v>
      </c>
      <c r="EA440" s="38">
        <f t="shared" si="736"/>
        <v>0</v>
      </c>
      <c r="EB440" s="38">
        <f t="shared" si="737"/>
        <v>0</v>
      </c>
      <c r="EC440" s="38">
        <f t="shared" si="738"/>
        <v>0</v>
      </c>
      <c r="ED440" s="38">
        <f t="shared" si="739"/>
        <v>0</v>
      </c>
      <c r="EE440" s="38">
        <f t="shared" si="740"/>
        <v>0</v>
      </c>
      <c r="EG440" s="38">
        <f t="shared" si="741"/>
        <v>0</v>
      </c>
      <c r="EH440" s="38">
        <f t="shared" si="742"/>
        <v>0</v>
      </c>
      <c r="EI440" s="38">
        <f t="shared" si="743"/>
        <v>134.99019769920002</v>
      </c>
      <c r="EJ440" s="38">
        <f t="shared" si="744"/>
        <v>63.229852090032153</v>
      </c>
      <c r="EK440" s="38">
        <f t="shared" si="745"/>
        <v>0</v>
      </c>
      <c r="EL440" s="38">
        <f t="shared" si="746"/>
        <v>0</v>
      </c>
      <c r="EM440" s="38">
        <f t="shared" si="747"/>
        <v>0</v>
      </c>
      <c r="EN440" s="38">
        <f t="shared" si="748"/>
        <v>0</v>
      </c>
      <c r="EO440" s="38">
        <f t="shared" si="749"/>
        <v>0</v>
      </c>
      <c r="EP440" s="38">
        <f t="shared" si="750"/>
        <v>440.466475</v>
      </c>
      <c r="EQ440" s="38">
        <f t="shared" si="751"/>
        <v>0</v>
      </c>
      <c r="ER440" s="38">
        <f t="shared" si="752"/>
        <v>241.83890652733112</v>
      </c>
      <c r="ES440" s="38">
        <f t="shared" si="753"/>
        <v>444.5118299678457</v>
      </c>
      <c r="ET440" s="38">
        <f t="shared" si="754"/>
        <v>0</v>
      </c>
      <c r="EU440" s="38">
        <f t="shared" si="755"/>
        <v>0</v>
      </c>
      <c r="EV440" s="38">
        <f t="shared" si="756"/>
        <v>0</v>
      </c>
      <c r="EW440" s="38">
        <f t="shared" si="757"/>
        <v>0</v>
      </c>
      <c r="EX440" s="38">
        <f t="shared" si="758"/>
        <v>0</v>
      </c>
      <c r="EZ440" s="38">
        <f t="shared" si="759"/>
        <v>0</v>
      </c>
      <c r="FA440" s="38">
        <f t="shared" si="760"/>
        <v>0</v>
      </c>
      <c r="FB440" s="1">
        <f t="shared" si="761"/>
        <v>0</v>
      </c>
      <c r="FC440" s="1">
        <f t="shared" si="762"/>
        <v>0</v>
      </c>
      <c r="FD440" s="1">
        <f t="shared" si="763"/>
        <v>0</v>
      </c>
      <c r="FE440" s="1">
        <f t="shared" si="764"/>
        <v>0</v>
      </c>
      <c r="FF440" s="1">
        <f t="shared" si="765"/>
        <v>0</v>
      </c>
      <c r="FG440" s="1">
        <f t="shared" si="766"/>
        <v>0</v>
      </c>
      <c r="FH440" s="1">
        <f t="shared" si="767"/>
        <v>0</v>
      </c>
      <c r="FI440" s="1">
        <f t="shared" si="768"/>
        <v>0</v>
      </c>
      <c r="FJ440" s="1">
        <f t="shared" si="769"/>
        <v>0</v>
      </c>
      <c r="FK440" s="1">
        <f t="shared" si="770"/>
        <v>0</v>
      </c>
      <c r="FL440" s="1">
        <f t="shared" si="771"/>
        <v>0</v>
      </c>
      <c r="FM440" s="1">
        <f t="shared" si="772"/>
        <v>0</v>
      </c>
      <c r="FN440" s="1">
        <f t="shared" si="773"/>
        <v>0</v>
      </c>
      <c r="FO440" s="1">
        <f t="shared" si="774"/>
        <v>0</v>
      </c>
      <c r="FP440" s="1">
        <f t="shared" si="775"/>
        <v>0</v>
      </c>
      <c r="FQ440" s="1">
        <f t="shared" si="776"/>
        <v>0</v>
      </c>
      <c r="FS440" s="1">
        <f t="shared" si="777"/>
        <v>0</v>
      </c>
      <c r="FT440" s="1">
        <f t="shared" si="778"/>
        <v>0</v>
      </c>
      <c r="FU440" s="38">
        <f t="shared" si="779"/>
        <v>0</v>
      </c>
      <c r="FV440" s="38">
        <f t="shared" si="780"/>
        <v>0</v>
      </c>
      <c r="FW440" s="38">
        <f t="shared" si="781"/>
        <v>0</v>
      </c>
      <c r="FX440" s="38">
        <f t="shared" si="782"/>
        <v>0</v>
      </c>
      <c r="FY440" s="38">
        <f t="shared" si="783"/>
        <v>0</v>
      </c>
      <c r="FZ440" s="38">
        <f t="shared" si="784"/>
        <v>0</v>
      </c>
      <c r="GA440" s="38">
        <f t="shared" si="785"/>
        <v>0</v>
      </c>
      <c r="GB440" s="38">
        <f t="shared" si="786"/>
        <v>0</v>
      </c>
      <c r="GC440" s="38">
        <f t="shared" si="787"/>
        <v>0</v>
      </c>
      <c r="GD440" s="38">
        <f t="shared" si="788"/>
        <v>0</v>
      </c>
      <c r="GE440" s="38">
        <f t="shared" si="789"/>
        <v>0</v>
      </c>
      <c r="GF440" s="38">
        <f t="shared" si="790"/>
        <v>0</v>
      </c>
      <c r="GG440" s="38">
        <f t="shared" si="791"/>
        <v>0</v>
      </c>
      <c r="GH440" s="38">
        <f t="shared" si="792"/>
        <v>0</v>
      </c>
      <c r="GI440" s="38">
        <f t="shared" si="793"/>
        <v>0</v>
      </c>
      <c r="GJ440" s="38">
        <f t="shared" si="794"/>
        <v>0</v>
      </c>
      <c r="GL440" s="38">
        <f t="shared" si="795"/>
        <v>0</v>
      </c>
      <c r="GM440" s="38">
        <f t="shared" si="796"/>
        <v>0</v>
      </c>
      <c r="GN440" s="1" t="s">
        <v>2</v>
      </c>
      <c r="GO440" s="13">
        <f t="shared" si="719"/>
        <v>18.128</v>
      </c>
      <c r="GP440" s="13">
        <f t="shared" si="720"/>
        <v>0.18527967784642543</v>
      </c>
      <c r="GQ440" s="41">
        <f t="shared" si="721"/>
        <v>33.587500000000006</v>
      </c>
      <c r="GR440" s="41">
        <f t="shared" si="722"/>
        <v>1325.0372612844089</v>
      </c>
      <c r="GS440" s="14">
        <f t="shared" si="723"/>
        <v>73.093405851964306</v>
      </c>
      <c r="GT440" s="1">
        <f t="shared" si="797"/>
        <v>0</v>
      </c>
      <c r="GU440" s="1">
        <f t="shared" si="798"/>
        <v>0</v>
      </c>
      <c r="GV440" s="1">
        <f t="shared" si="799"/>
        <v>33.587499999999999</v>
      </c>
      <c r="GW440" s="37">
        <f t="shared" si="724"/>
        <v>0</v>
      </c>
      <c r="GX440" s="37"/>
      <c r="GY440" s="37"/>
      <c r="GZ440" s="37"/>
      <c r="HB440" s="1">
        <f t="shared" si="800"/>
        <v>0</v>
      </c>
      <c r="HC440" s="1">
        <f t="shared" si="801"/>
        <v>0</v>
      </c>
      <c r="HD440" s="37" t="s">
        <v>2</v>
      </c>
      <c r="HE440" s="1" t="s">
        <v>113</v>
      </c>
      <c r="HF440" s="1" t="s">
        <v>261</v>
      </c>
      <c r="HG440" s="1" t="s">
        <v>589</v>
      </c>
      <c r="HH440" s="1" t="s">
        <v>1276</v>
      </c>
      <c r="HI440" s="1" t="s">
        <v>96</v>
      </c>
      <c r="HJ440" s="37" t="s">
        <v>2</v>
      </c>
      <c r="JH440" s="58" t="s">
        <v>2</v>
      </c>
    </row>
    <row r="441" spans="1:268" ht="16.25" customHeight="1" x14ac:dyDescent="0.2">
      <c r="A441" s="15" t="s">
        <v>1284</v>
      </c>
      <c r="B441" s="1" t="s">
        <v>69</v>
      </c>
      <c r="F441" s="1" t="s">
        <v>1285</v>
      </c>
      <c r="I441" s="1">
        <v>0</v>
      </c>
      <c r="AD441" s="1">
        <v>0</v>
      </c>
      <c r="AY441" s="14">
        <v>313.10666666666668</v>
      </c>
      <c r="AZ441" s="13">
        <v>0.1</v>
      </c>
      <c r="BA441" s="13">
        <v>7.7700000000000019E-2</v>
      </c>
      <c r="BG441" s="1">
        <v>0.13</v>
      </c>
      <c r="BI441" s="13">
        <v>0.25530000000000003</v>
      </c>
      <c r="BJ441" s="13">
        <v>0.77700000000000002</v>
      </c>
      <c r="BT441" s="1">
        <v>0</v>
      </c>
      <c r="CO441" s="1">
        <v>0</v>
      </c>
      <c r="DJ441" s="1" t="s">
        <v>96</v>
      </c>
      <c r="DL441" s="1">
        <f t="shared" si="717"/>
        <v>0.13</v>
      </c>
      <c r="DM441" s="1">
        <f t="shared" si="718"/>
        <v>0</v>
      </c>
      <c r="DN441" s="1" t="s">
        <v>101</v>
      </c>
      <c r="DO441" s="1" t="s">
        <v>2</v>
      </c>
      <c r="DP441" s="38">
        <f t="shared" si="725"/>
        <v>0.3131066666666667</v>
      </c>
      <c r="DQ441" s="38">
        <f t="shared" si="726"/>
        <v>24.328388000000007</v>
      </c>
      <c r="DR441" s="38">
        <f t="shared" si="727"/>
        <v>0</v>
      </c>
      <c r="DS441" s="38">
        <f t="shared" si="728"/>
        <v>0</v>
      </c>
      <c r="DT441" s="38">
        <f t="shared" si="729"/>
        <v>0</v>
      </c>
      <c r="DU441" s="38">
        <f t="shared" si="730"/>
        <v>0</v>
      </c>
      <c r="DV441" s="38">
        <f t="shared" si="731"/>
        <v>0</v>
      </c>
      <c r="DW441" s="38">
        <f t="shared" si="732"/>
        <v>0.40703866666666672</v>
      </c>
      <c r="DX441" s="38">
        <f t="shared" si="733"/>
        <v>0</v>
      </c>
      <c r="DY441" s="38">
        <f t="shared" si="734"/>
        <v>79.936132000000015</v>
      </c>
      <c r="DZ441" s="38">
        <f t="shared" si="735"/>
        <v>243.28388000000001</v>
      </c>
      <c r="EA441" s="38">
        <f t="shared" si="736"/>
        <v>0</v>
      </c>
      <c r="EB441" s="38">
        <f t="shared" si="737"/>
        <v>0</v>
      </c>
      <c r="EC441" s="38">
        <f t="shared" si="738"/>
        <v>0</v>
      </c>
      <c r="ED441" s="38">
        <f t="shared" si="739"/>
        <v>0</v>
      </c>
      <c r="EE441" s="38">
        <f t="shared" si="740"/>
        <v>0</v>
      </c>
      <c r="EG441" s="38">
        <f t="shared" si="741"/>
        <v>0</v>
      </c>
      <c r="EH441" s="38">
        <f t="shared" si="742"/>
        <v>0</v>
      </c>
      <c r="EI441" s="38">
        <f t="shared" si="743"/>
        <v>2043.2138737066668</v>
      </c>
      <c r="EJ441" s="38">
        <f t="shared" si="744"/>
        <v>995.03889183279762</v>
      </c>
      <c r="EK441" s="38">
        <f t="shared" si="745"/>
        <v>0</v>
      </c>
      <c r="EL441" s="38">
        <f t="shared" si="746"/>
        <v>0</v>
      </c>
      <c r="EM441" s="38">
        <f t="shared" si="747"/>
        <v>0</v>
      </c>
      <c r="EN441" s="38">
        <f t="shared" si="748"/>
        <v>0</v>
      </c>
      <c r="EO441" s="38">
        <f t="shared" si="749"/>
        <v>0</v>
      </c>
      <c r="EP441" s="38">
        <f t="shared" si="750"/>
        <v>5337.9050746666671</v>
      </c>
      <c r="EQ441" s="38">
        <f t="shared" si="751"/>
        <v>0</v>
      </c>
      <c r="ER441" s="38">
        <f t="shared" si="752"/>
        <v>2268.695378492605</v>
      </c>
      <c r="ES441" s="38">
        <f t="shared" si="753"/>
        <v>8107.6113102379431</v>
      </c>
      <c r="ET441" s="38">
        <f t="shared" si="754"/>
        <v>0</v>
      </c>
      <c r="EU441" s="38">
        <f t="shared" si="755"/>
        <v>0</v>
      </c>
      <c r="EV441" s="38">
        <f t="shared" si="756"/>
        <v>0</v>
      </c>
      <c r="EW441" s="38">
        <f t="shared" si="757"/>
        <v>0</v>
      </c>
      <c r="EX441" s="38">
        <f t="shared" si="758"/>
        <v>0</v>
      </c>
      <c r="EZ441" s="38">
        <f t="shared" si="759"/>
        <v>0</v>
      </c>
      <c r="FA441" s="38">
        <f t="shared" si="760"/>
        <v>0</v>
      </c>
      <c r="FB441" s="1">
        <f t="shared" si="761"/>
        <v>0</v>
      </c>
      <c r="FC441" s="1">
        <f t="shared" si="762"/>
        <v>0</v>
      </c>
      <c r="FD441" s="1">
        <f t="shared" si="763"/>
        <v>0</v>
      </c>
      <c r="FE441" s="1">
        <f t="shared" si="764"/>
        <v>0</v>
      </c>
      <c r="FF441" s="1">
        <f t="shared" si="765"/>
        <v>0</v>
      </c>
      <c r="FG441" s="1">
        <f t="shared" si="766"/>
        <v>0</v>
      </c>
      <c r="FH441" s="1">
        <f t="shared" si="767"/>
        <v>0</v>
      </c>
      <c r="FI441" s="1">
        <f t="shared" si="768"/>
        <v>0</v>
      </c>
      <c r="FJ441" s="1">
        <f t="shared" si="769"/>
        <v>0</v>
      </c>
      <c r="FK441" s="1">
        <f t="shared" si="770"/>
        <v>0</v>
      </c>
      <c r="FL441" s="1">
        <f t="shared" si="771"/>
        <v>0</v>
      </c>
      <c r="FM441" s="1">
        <f t="shared" si="772"/>
        <v>0</v>
      </c>
      <c r="FN441" s="1">
        <f t="shared" si="773"/>
        <v>0</v>
      </c>
      <c r="FO441" s="1">
        <f t="shared" si="774"/>
        <v>0</v>
      </c>
      <c r="FP441" s="1">
        <f t="shared" si="775"/>
        <v>0</v>
      </c>
      <c r="FQ441" s="1">
        <f t="shared" si="776"/>
        <v>0</v>
      </c>
      <c r="FS441" s="1">
        <f t="shared" si="777"/>
        <v>0</v>
      </c>
      <c r="FT441" s="1">
        <f t="shared" si="778"/>
        <v>0</v>
      </c>
      <c r="FU441" s="38">
        <f t="shared" si="779"/>
        <v>0</v>
      </c>
      <c r="FV441" s="38">
        <f t="shared" si="780"/>
        <v>0</v>
      </c>
      <c r="FW441" s="38">
        <f t="shared" si="781"/>
        <v>0</v>
      </c>
      <c r="FX441" s="38">
        <f t="shared" si="782"/>
        <v>0</v>
      </c>
      <c r="FY441" s="38">
        <f t="shared" si="783"/>
        <v>0</v>
      </c>
      <c r="FZ441" s="38">
        <f t="shared" si="784"/>
        <v>0</v>
      </c>
      <c r="GA441" s="38">
        <f t="shared" si="785"/>
        <v>0</v>
      </c>
      <c r="GB441" s="38">
        <f t="shared" si="786"/>
        <v>0</v>
      </c>
      <c r="GC441" s="38">
        <f t="shared" si="787"/>
        <v>0</v>
      </c>
      <c r="GD441" s="38">
        <f t="shared" si="788"/>
        <v>0</v>
      </c>
      <c r="GE441" s="38">
        <f t="shared" si="789"/>
        <v>0</v>
      </c>
      <c r="GF441" s="38">
        <f t="shared" si="790"/>
        <v>0</v>
      </c>
      <c r="GG441" s="38">
        <f t="shared" si="791"/>
        <v>0</v>
      </c>
      <c r="GH441" s="38">
        <f t="shared" si="792"/>
        <v>0</v>
      </c>
      <c r="GI441" s="38">
        <f t="shared" si="793"/>
        <v>0</v>
      </c>
      <c r="GJ441" s="38">
        <f t="shared" si="794"/>
        <v>0</v>
      </c>
      <c r="GL441" s="38">
        <f t="shared" si="795"/>
        <v>0</v>
      </c>
      <c r="GM441" s="38">
        <f t="shared" si="796"/>
        <v>0</v>
      </c>
      <c r="GN441" s="1" t="s">
        <v>2</v>
      </c>
      <c r="GO441" s="14">
        <f t="shared" si="719"/>
        <v>313.10666666666668</v>
      </c>
      <c r="GP441" s="13">
        <f t="shared" si="720"/>
        <v>0.13</v>
      </c>
      <c r="GQ441" s="41">
        <f t="shared" si="721"/>
        <v>407.0386666666667</v>
      </c>
      <c r="GR441" s="41">
        <f t="shared" si="722"/>
        <v>18752.464528936678</v>
      </c>
      <c r="GS441" s="14">
        <f t="shared" si="723"/>
        <v>59.891616900321544</v>
      </c>
      <c r="GT441" s="1">
        <f t="shared" si="797"/>
        <v>0</v>
      </c>
      <c r="GU441" s="1">
        <f t="shared" si="798"/>
        <v>0</v>
      </c>
      <c r="GV441" s="1">
        <f t="shared" si="799"/>
        <v>407.0386666666667</v>
      </c>
      <c r="GW441" s="37">
        <f t="shared" si="724"/>
        <v>0</v>
      </c>
      <c r="GX441" s="37"/>
      <c r="GY441" s="37"/>
      <c r="GZ441" s="37"/>
      <c r="HB441" s="1">
        <f t="shared" si="800"/>
        <v>0</v>
      </c>
      <c r="HC441" s="1">
        <f t="shared" si="801"/>
        <v>0</v>
      </c>
      <c r="HD441" s="37" t="s">
        <v>2</v>
      </c>
      <c r="HE441" s="1" t="s">
        <v>113</v>
      </c>
      <c r="HF441" s="1" t="s">
        <v>261</v>
      </c>
      <c r="HG441" s="1" t="s">
        <v>589</v>
      </c>
      <c r="HH441" s="1" t="s">
        <v>1276</v>
      </c>
      <c r="HI441" s="1" t="s">
        <v>96</v>
      </c>
      <c r="HJ441" s="37" t="s">
        <v>2</v>
      </c>
      <c r="JH441" s="58" t="s">
        <v>2</v>
      </c>
    </row>
    <row r="442" spans="1:268" ht="16.25" customHeight="1" x14ac:dyDescent="0.2">
      <c r="A442" s="15" t="s">
        <v>1293</v>
      </c>
      <c r="B442" s="1" t="s">
        <v>69</v>
      </c>
      <c r="F442" s="1" t="s">
        <v>1294</v>
      </c>
      <c r="I442" s="1">
        <v>0</v>
      </c>
      <c r="AD442" s="1">
        <v>0</v>
      </c>
      <c r="AY442" s="1">
        <v>9.6999999999999993</v>
      </c>
      <c r="AZ442" s="13">
        <f>(0.09*8.8+0.08*15.9)/(8.8+15.9)</f>
        <v>8.3562753036437246E-2</v>
      </c>
      <c r="BA442" s="13">
        <f>(0.27*8.8+0.27*15.9)/(8.8+15.9)</f>
        <v>0.26999999999999996</v>
      </c>
      <c r="BG442" s="13">
        <f>(0.22*8.8+0.18*15.9)/(8.8+15.9)</f>
        <v>0.19425101214574897</v>
      </c>
      <c r="BI442" s="13">
        <f>(2.73*8.8+2.45*15.9)/(8.8+15.9)</f>
        <v>2.5497570850202429</v>
      </c>
      <c r="BJ442" s="13">
        <f>(1.28*8.8+1.19*15.9)/(8.8+15.9)</f>
        <v>1.2220647773279352</v>
      </c>
      <c r="BT442" s="1">
        <v>0</v>
      </c>
      <c r="CO442" s="1">
        <v>0</v>
      </c>
      <c r="DJ442" s="1" t="s">
        <v>96</v>
      </c>
      <c r="DL442" s="1">
        <f t="shared" si="717"/>
        <v>0.19425101214574897</v>
      </c>
      <c r="DM442" s="1">
        <f t="shared" si="718"/>
        <v>0</v>
      </c>
      <c r="DN442" s="1" t="s">
        <v>73</v>
      </c>
      <c r="DO442" s="1" t="s">
        <v>2</v>
      </c>
      <c r="DP442" s="38">
        <f t="shared" si="725"/>
        <v>8.1055870445344118E-3</v>
      </c>
      <c r="DQ442" s="38">
        <f t="shared" si="726"/>
        <v>2.6189999999999993</v>
      </c>
      <c r="DR442" s="38">
        <f t="shared" si="727"/>
        <v>0</v>
      </c>
      <c r="DS442" s="38">
        <f t="shared" si="728"/>
        <v>0</v>
      </c>
      <c r="DT442" s="38">
        <f t="shared" si="729"/>
        <v>0</v>
      </c>
      <c r="DU442" s="38">
        <f t="shared" si="730"/>
        <v>0</v>
      </c>
      <c r="DV442" s="38">
        <f t="shared" si="731"/>
        <v>0</v>
      </c>
      <c r="DW442" s="38">
        <f t="shared" si="732"/>
        <v>1.8842348178137649E-2</v>
      </c>
      <c r="DX442" s="38">
        <f t="shared" si="733"/>
        <v>0</v>
      </c>
      <c r="DY442" s="38">
        <f t="shared" si="734"/>
        <v>24.732643724696356</v>
      </c>
      <c r="DZ442" s="38">
        <f t="shared" si="735"/>
        <v>11.854028340080971</v>
      </c>
      <c r="EA442" s="38">
        <f t="shared" si="736"/>
        <v>0</v>
      </c>
      <c r="EB442" s="38">
        <f t="shared" si="737"/>
        <v>0</v>
      </c>
      <c r="EC442" s="38">
        <f t="shared" si="738"/>
        <v>0</v>
      </c>
      <c r="ED442" s="38">
        <f t="shared" si="739"/>
        <v>0</v>
      </c>
      <c r="EE442" s="38">
        <f t="shared" si="740"/>
        <v>0</v>
      </c>
      <c r="EG442" s="38">
        <f t="shared" si="741"/>
        <v>0</v>
      </c>
      <c r="EH442" s="38">
        <f t="shared" si="742"/>
        <v>0</v>
      </c>
      <c r="EI442" s="38">
        <f t="shared" si="743"/>
        <v>52.893948507206467</v>
      </c>
      <c r="EJ442" s="38">
        <f t="shared" si="744"/>
        <v>107.11794212218645</v>
      </c>
      <c r="EK442" s="38">
        <f t="shared" si="745"/>
        <v>0</v>
      </c>
      <c r="EL442" s="38">
        <f t="shared" si="746"/>
        <v>0</v>
      </c>
      <c r="EM442" s="38">
        <f t="shared" si="747"/>
        <v>0</v>
      </c>
      <c r="EN442" s="38">
        <f t="shared" si="748"/>
        <v>0</v>
      </c>
      <c r="EO442" s="38">
        <f t="shared" si="749"/>
        <v>0</v>
      </c>
      <c r="EP442" s="38">
        <f t="shared" si="750"/>
        <v>247.09855400809712</v>
      </c>
      <c r="EQ442" s="38">
        <f t="shared" si="751"/>
        <v>0</v>
      </c>
      <c r="ER442" s="38">
        <f t="shared" si="752"/>
        <v>701.94582990483866</v>
      </c>
      <c r="ES442" s="38">
        <f t="shared" si="753"/>
        <v>395.0440704987177</v>
      </c>
      <c r="ET442" s="38">
        <f t="shared" si="754"/>
        <v>0</v>
      </c>
      <c r="EU442" s="38">
        <f t="shared" si="755"/>
        <v>0</v>
      </c>
      <c r="EV442" s="38">
        <f t="shared" si="756"/>
        <v>0</v>
      </c>
      <c r="EW442" s="38">
        <f t="shared" si="757"/>
        <v>0</v>
      </c>
      <c r="EX442" s="38">
        <f t="shared" si="758"/>
        <v>0</v>
      </c>
      <c r="EZ442" s="38">
        <f t="shared" si="759"/>
        <v>0</v>
      </c>
      <c r="FA442" s="38">
        <f t="shared" si="760"/>
        <v>0</v>
      </c>
      <c r="FB442" s="1">
        <f t="shared" si="761"/>
        <v>0</v>
      </c>
      <c r="FC442" s="1">
        <f t="shared" si="762"/>
        <v>0</v>
      </c>
      <c r="FD442" s="1">
        <f t="shared" si="763"/>
        <v>0</v>
      </c>
      <c r="FE442" s="1">
        <f t="shared" si="764"/>
        <v>0</v>
      </c>
      <c r="FF442" s="1">
        <f t="shared" si="765"/>
        <v>0</v>
      </c>
      <c r="FG442" s="1">
        <f t="shared" si="766"/>
        <v>0</v>
      </c>
      <c r="FH442" s="1">
        <f t="shared" si="767"/>
        <v>0</v>
      </c>
      <c r="FI442" s="1">
        <f t="shared" si="768"/>
        <v>0</v>
      </c>
      <c r="FJ442" s="1">
        <f t="shared" si="769"/>
        <v>0</v>
      </c>
      <c r="FK442" s="1">
        <f t="shared" si="770"/>
        <v>0</v>
      </c>
      <c r="FL442" s="1">
        <f t="shared" si="771"/>
        <v>0</v>
      </c>
      <c r="FM442" s="1">
        <f t="shared" si="772"/>
        <v>0</v>
      </c>
      <c r="FN442" s="1">
        <f t="shared" si="773"/>
        <v>0</v>
      </c>
      <c r="FO442" s="1">
        <f t="shared" si="774"/>
        <v>0</v>
      </c>
      <c r="FP442" s="1">
        <f t="shared" si="775"/>
        <v>0</v>
      </c>
      <c r="FQ442" s="1">
        <f t="shared" si="776"/>
        <v>0</v>
      </c>
      <c r="FS442" s="1">
        <f t="shared" si="777"/>
        <v>0</v>
      </c>
      <c r="FT442" s="1">
        <f t="shared" si="778"/>
        <v>0</v>
      </c>
      <c r="FU442" s="38">
        <f t="shared" si="779"/>
        <v>0</v>
      </c>
      <c r="FV442" s="38">
        <f t="shared" si="780"/>
        <v>0</v>
      </c>
      <c r="FW442" s="38">
        <f t="shared" si="781"/>
        <v>0</v>
      </c>
      <c r="FX442" s="38">
        <f t="shared" si="782"/>
        <v>0</v>
      </c>
      <c r="FY442" s="38">
        <f t="shared" si="783"/>
        <v>0</v>
      </c>
      <c r="FZ442" s="38">
        <f t="shared" si="784"/>
        <v>0</v>
      </c>
      <c r="GA442" s="38">
        <f t="shared" si="785"/>
        <v>0</v>
      </c>
      <c r="GB442" s="38">
        <f t="shared" si="786"/>
        <v>0</v>
      </c>
      <c r="GC442" s="38">
        <f t="shared" si="787"/>
        <v>0</v>
      </c>
      <c r="GD442" s="38">
        <f t="shared" si="788"/>
        <v>0</v>
      </c>
      <c r="GE442" s="38">
        <f t="shared" si="789"/>
        <v>0</v>
      </c>
      <c r="GF442" s="38">
        <f t="shared" si="790"/>
        <v>0</v>
      </c>
      <c r="GG442" s="38">
        <f t="shared" si="791"/>
        <v>0</v>
      </c>
      <c r="GH442" s="38">
        <f t="shared" si="792"/>
        <v>0</v>
      </c>
      <c r="GI442" s="38">
        <f t="shared" si="793"/>
        <v>0</v>
      </c>
      <c r="GJ442" s="38">
        <f t="shared" si="794"/>
        <v>0</v>
      </c>
      <c r="GL442" s="38">
        <f t="shared" si="795"/>
        <v>0</v>
      </c>
      <c r="GM442" s="38">
        <f t="shared" si="796"/>
        <v>0</v>
      </c>
      <c r="GN442" s="1" t="s">
        <v>2</v>
      </c>
      <c r="GO442" s="1">
        <f t="shared" si="719"/>
        <v>9.6999999999999993</v>
      </c>
      <c r="GP442" s="13">
        <f t="shared" si="720"/>
        <v>0.19425101214574897</v>
      </c>
      <c r="GQ442" s="41">
        <f t="shared" si="721"/>
        <v>18.842348178137648</v>
      </c>
      <c r="GR442" s="41">
        <f t="shared" si="722"/>
        <v>1504.1003450410465</v>
      </c>
      <c r="GS442" s="14">
        <f t="shared" si="723"/>
        <v>155.06189124134499</v>
      </c>
      <c r="GT442" s="1">
        <f t="shared" si="797"/>
        <v>0</v>
      </c>
      <c r="GU442" s="1">
        <f t="shared" si="798"/>
        <v>0</v>
      </c>
      <c r="GV442" s="1">
        <f t="shared" si="799"/>
        <v>18.842348178137648</v>
      </c>
      <c r="GW442" s="37">
        <f t="shared" si="724"/>
        <v>0</v>
      </c>
      <c r="GX442" s="37"/>
      <c r="GY442" s="37"/>
      <c r="GZ442" s="37"/>
      <c r="HB442" s="1">
        <f t="shared" si="800"/>
        <v>0</v>
      </c>
      <c r="HC442" s="1">
        <f t="shared" si="801"/>
        <v>0</v>
      </c>
      <c r="HD442" s="37" t="s">
        <v>2</v>
      </c>
      <c r="HE442" s="1" t="s">
        <v>113</v>
      </c>
      <c r="HF442" s="1" t="s">
        <v>261</v>
      </c>
      <c r="HG442" s="1" t="s">
        <v>589</v>
      </c>
      <c r="HH442" s="1" t="s">
        <v>1194</v>
      </c>
      <c r="HI442" s="1" t="s">
        <v>96</v>
      </c>
      <c r="HJ442" s="37" t="s">
        <v>2</v>
      </c>
      <c r="JH442" s="58" t="s">
        <v>2</v>
      </c>
    </row>
    <row r="443" spans="1:268" ht="16.25" customHeight="1" x14ac:dyDescent="0.2">
      <c r="A443" s="15" t="s">
        <v>1295</v>
      </c>
      <c r="B443" s="1" t="s">
        <v>64</v>
      </c>
      <c r="F443" s="1" t="s">
        <v>1296</v>
      </c>
      <c r="I443" s="1">
        <v>78.11</v>
      </c>
      <c r="J443" s="1">
        <v>0.13</v>
      </c>
      <c r="K443" s="13">
        <f>(0.92-S443-T443)/2</f>
        <v>9.3436418330773208E-2</v>
      </c>
      <c r="Q443" s="1">
        <v>0.33</v>
      </c>
      <c r="R443" s="1">
        <v>0.02</v>
      </c>
      <c r="S443" s="13">
        <v>0.20761200716845879</v>
      </c>
      <c r="T443" s="13">
        <v>0.52551515616999489</v>
      </c>
      <c r="U443" s="13">
        <f>(0.92-S443-T443)/2</f>
        <v>9.3436418330773208E-2</v>
      </c>
      <c r="V443" s="13"/>
      <c r="W443" s="13"/>
      <c r="X443" s="14">
        <f>((0*10.04+10.11*1.05+0*38.12+11.86*28.9)/(10.04+1.05+38.12+28.9))*(2*52/(2*52+3*16.001))</f>
        <v>3.0953061031440865</v>
      </c>
      <c r="AD443" s="1">
        <v>94.09</v>
      </c>
      <c r="AE443" s="1">
        <v>0.15</v>
      </c>
      <c r="AF443" s="13">
        <f>(0.98-AN443-AO443)/2</f>
        <v>0.12343641833077312</v>
      </c>
      <c r="AL443" s="1">
        <v>0.37</v>
      </c>
      <c r="AM443" s="1">
        <v>0.02</v>
      </c>
      <c r="AN443" s="13">
        <v>0.20761200716845879</v>
      </c>
      <c r="AO443" s="13">
        <v>0.52551515616999489</v>
      </c>
      <c r="AP443" s="13">
        <f>(0.98-AN443-AO443)/2</f>
        <v>0.12343641833077312</v>
      </c>
      <c r="AQ443" s="13"/>
      <c r="AR443" s="13"/>
      <c r="AS443" s="14">
        <f>((0*10.04+10.11*1.05+0*38.12+11.86*28.9)/(10.04+1.05+38.12+28.9))*(2*52/(2*52+3*16.001))</f>
        <v>3.0953061031440865</v>
      </c>
      <c r="AY443" s="1">
        <f>6.3+40.05</f>
        <v>46.349999999999994</v>
      </c>
      <c r="AZ443" s="13">
        <f>(0.2*6.3+0.12*40.05)/(6.3+40.05)</f>
        <v>0.13087378640776698</v>
      </c>
      <c r="BA443" s="13">
        <f>(0.97-BI443-BJ443)/2</f>
        <v>0.11843641833077312</v>
      </c>
      <c r="BG443" s="13">
        <f>(0.41*6.3+0.4*40.05)/(6.3+40.05)</f>
        <v>0.4013592233009709</v>
      </c>
      <c r="BH443" s="13">
        <f>(0.02*6.3+0.02*40.05)/(6.3+40.05)</f>
        <v>0.02</v>
      </c>
      <c r="BI443" s="13">
        <v>0.20761200716845879</v>
      </c>
      <c r="BJ443" s="13">
        <v>0.52551515616999489</v>
      </c>
      <c r="BK443" s="13">
        <f>(0.97-BI443-BJ443)/2</f>
        <v>0.11843641833077312</v>
      </c>
      <c r="BL443" s="13"/>
      <c r="BM443" s="13"/>
      <c r="BN443" s="14">
        <f>((0*6.3+10.52*40.05)/(6.3+40.05))*(2*52/(2*52+3*16.001))</f>
        <v>6.2194173607585297</v>
      </c>
      <c r="BT443" s="1">
        <v>54.01</v>
      </c>
      <c r="BU443" s="13">
        <v>0.10934456582114423</v>
      </c>
      <c r="BV443" s="13">
        <f>(0.88-CD443-CE443)/2</f>
        <v>7.343641833077319E-2</v>
      </c>
      <c r="CB443" s="13">
        <v>0.29862247731901498</v>
      </c>
      <c r="CC443" s="13">
        <v>1.9879651916311795E-2</v>
      </c>
      <c r="CD443" s="13">
        <v>0.20761200716845879</v>
      </c>
      <c r="CE443" s="13">
        <v>0.52551515616999489</v>
      </c>
      <c r="CF443" s="13">
        <f>(0.88-CD443-CE443)/2</f>
        <v>7.343641833077319E-2</v>
      </c>
      <c r="CG443" s="13"/>
      <c r="CH443" s="13"/>
      <c r="CI443" s="14">
        <f>((0*0.32+0*27.44+13.75*25.36+13.52*0.77)/(0.32+27.44+25.36+0.77))*(2*52/(2*52+3*16.001))</f>
        <v>4.5593294934614361</v>
      </c>
      <c r="CO443" s="1">
        <v>30.45</v>
      </c>
      <c r="CP443" s="1">
        <v>0.13</v>
      </c>
      <c r="CQ443" s="13">
        <f>(0.9-CY443-CZ443)/2</f>
        <v>8.3436418330773199E-2</v>
      </c>
      <c r="CW443" s="1">
        <v>0.33</v>
      </c>
      <c r="CX443" s="1">
        <v>0.02</v>
      </c>
      <c r="CY443" s="13">
        <v>0.20761200716845879</v>
      </c>
      <c r="CZ443" s="13">
        <v>0.52551515616999489</v>
      </c>
      <c r="DA443" s="13">
        <f>(0.9-CY443-CZ443)/2</f>
        <v>8.3436418330773199E-2</v>
      </c>
      <c r="DB443" s="13"/>
      <c r="DC443" s="13"/>
      <c r="DJ443" s="1" t="s">
        <v>96</v>
      </c>
      <c r="DK443" s="1" t="s">
        <v>96</v>
      </c>
      <c r="DL443" s="1">
        <f t="shared" si="717"/>
        <v>0.36235460992907803</v>
      </c>
      <c r="DM443" s="1">
        <f t="shared" si="718"/>
        <v>0.02</v>
      </c>
      <c r="DN443" s="1" t="s">
        <v>73</v>
      </c>
      <c r="DO443" s="1" t="s">
        <v>2</v>
      </c>
      <c r="DP443" s="38">
        <f t="shared" si="725"/>
        <v>0.303338</v>
      </c>
      <c r="DQ443" s="38">
        <f t="shared" si="726"/>
        <v>24.401979226190473</v>
      </c>
      <c r="DR443" s="38">
        <f t="shared" si="727"/>
        <v>0</v>
      </c>
      <c r="DS443" s="38">
        <f t="shared" si="728"/>
        <v>0</v>
      </c>
      <c r="DT443" s="38">
        <f t="shared" si="729"/>
        <v>0</v>
      </c>
      <c r="DU443" s="38">
        <f t="shared" si="730"/>
        <v>0</v>
      </c>
      <c r="DV443" s="38">
        <f t="shared" si="731"/>
        <v>0</v>
      </c>
      <c r="DW443" s="38">
        <f t="shared" si="732"/>
        <v>0.79192600000000002</v>
      </c>
      <c r="DX443" s="38">
        <f t="shared" si="733"/>
        <v>4.3709999999999999E-2</v>
      </c>
      <c r="DY443" s="38">
        <f t="shared" si="734"/>
        <v>45.373604166666667</v>
      </c>
      <c r="DZ443" s="38">
        <f t="shared" si="735"/>
        <v>114.85133738095237</v>
      </c>
      <c r="EA443" s="38">
        <f t="shared" si="736"/>
        <v>24.401979226190473</v>
      </c>
      <c r="EB443" s="38">
        <f t="shared" si="737"/>
        <v>0</v>
      </c>
      <c r="EC443" s="38">
        <f t="shared" si="738"/>
        <v>0</v>
      </c>
      <c r="ED443" s="38">
        <f t="shared" si="739"/>
        <v>8.2128170563256955</v>
      </c>
      <c r="EE443" s="38">
        <f t="shared" si="740"/>
        <v>0</v>
      </c>
      <c r="EG443" s="38">
        <f t="shared" si="741"/>
        <v>0</v>
      </c>
      <c r="EH443" s="38">
        <f t="shared" si="742"/>
        <v>0</v>
      </c>
      <c r="EI443" s="38">
        <f t="shared" si="743"/>
        <v>1979.4673062080001</v>
      </c>
      <c r="EJ443" s="38">
        <f t="shared" si="744"/>
        <v>998.04879664676139</v>
      </c>
      <c r="EK443" s="38">
        <f t="shared" si="745"/>
        <v>0</v>
      </c>
      <c r="EL443" s="38">
        <f t="shared" si="746"/>
        <v>0</v>
      </c>
      <c r="EM443" s="38">
        <f t="shared" si="747"/>
        <v>0</v>
      </c>
      <c r="EN443" s="38">
        <f t="shared" si="748"/>
        <v>0</v>
      </c>
      <c r="EO443" s="38">
        <f t="shared" si="749"/>
        <v>0</v>
      </c>
      <c r="EP443" s="38">
        <f t="shared" si="750"/>
        <v>10385.317564000001</v>
      </c>
      <c r="EQ443" s="38">
        <f t="shared" si="751"/>
        <v>3174.1993940399993</v>
      </c>
      <c r="ER443" s="38">
        <f t="shared" si="752"/>
        <v>1287.7641624999997</v>
      </c>
      <c r="ES443" s="38">
        <f t="shared" si="753"/>
        <v>3827.5039100238096</v>
      </c>
      <c r="ET443" s="38">
        <f t="shared" si="754"/>
        <v>1746.0361534418541</v>
      </c>
      <c r="EU443" s="38">
        <f t="shared" si="755"/>
        <v>0</v>
      </c>
      <c r="EV443" s="38">
        <f t="shared" si="756"/>
        <v>0</v>
      </c>
      <c r="EW443" s="38">
        <f t="shared" si="757"/>
        <v>2291.3759587148688</v>
      </c>
      <c r="EX443" s="38">
        <f t="shared" si="758"/>
        <v>0</v>
      </c>
      <c r="EZ443" s="38">
        <f t="shared" si="759"/>
        <v>0</v>
      </c>
      <c r="FA443" s="38">
        <f t="shared" si="760"/>
        <v>0</v>
      </c>
      <c r="FB443" s="1">
        <f t="shared" si="761"/>
        <v>9.8642000000000007E-2</v>
      </c>
      <c r="FC443" s="1">
        <f t="shared" si="762"/>
        <v>6.5069398922171038</v>
      </c>
      <c r="FD443" s="1">
        <f t="shared" si="763"/>
        <v>0</v>
      </c>
      <c r="FE443" s="1">
        <f t="shared" si="764"/>
        <v>0</v>
      </c>
      <c r="FF443" s="1">
        <f t="shared" si="765"/>
        <v>0</v>
      </c>
      <c r="FG443" s="1">
        <f t="shared" si="766"/>
        <v>0</v>
      </c>
      <c r="FH443" s="1">
        <f t="shared" si="767"/>
        <v>0</v>
      </c>
      <c r="FI443" s="1">
        <f t="shared" si="768"/>
        <v>0.26177099999999998</v>
      </c>
      <c r="FJ443" s="1">
        <f t="shared" si="769"/>
        <v>1.6827000000000002E-2</v>
      </c>
      <c r="FK443" s="1">
        <f t="shared" si="770"/>
        <v>17.534910125448029</v>
      </c>
      <c r="FL443" s="1">
        <f t="shared" si="771"/>
        <v>44.385010090117767</v>
      </c>
      <c r="FM443" s="1">
        <f t="shared" si="772"/>
        <v>6.5069398922171038</v>
      </c>
      <c r="FN443" s="1">
        <f t="shared" si="773"/>
        <v>0</v>
      </c>
      <c r="FO443" s="1">
        <f t="shared" si="774"/>
        <v>0</v>
      </c>
      <c r="FP443" s="1">
        <f t="shared" si="775"/>
        <v>2.4624938594185215</v>
      </c>
      <c r="FQ443" s="1">
        <f t="shared" si="776"/>
        <v>0</v>
      </c>
      <c r="FS443" s="1">
        <f t="shared" si="777"/>
        <v>0</v>
      </c>
      <c r="FT443" s="1">
        <f t="shared" si="778"/>
        <v>0</v>
      </c>
      <c r="FU443" s="38">
        <f t="shared" si="779"/>
        <v>643.69981347200007</v>
      </c>
      <c r="FV443" s="38">
        <f t="shared" si="780"/>
        <v>266.1359338553105</v>
      </c>
      <c r="FW443" s="38">
        <f t="shared" si="781"/>
        <v>0</v>
      </c>
      <c r="FX443" s="38">
        <f t="shared" si="782"/>
        <v>0</v>
      </c>
      <c r="FY443" s="38">
        <f t="shared" si="783"/>
        <v>0</v>
      </c>
      <c r="FZ443" s="38">
        <f t="shared" si="784"/>
        <v>0</v>
      </c>
      <c r="GA443" s="38">
        <f t="shared" si="785"/>
        <v>0</v>
      </c>
      <c r="GB443" s="38">
        <f t="shared" si="786"/>
        <v>3432.8648939999998</v>
      </c>
      <c r="GC443" s="38">
        <f t="shared" si="787"/>
        <v>1221.968730348</v>
      </c>
      <c r="GD443" s="38">
        <f t="shared" si="788"/>
        <v>497.66442994623651</v>
      </c>
      <c r="GE443" s="38">
        <f t="shared" si="789"/>
        <v>1479.1625725948795</v>
      </c>
      <c r="GF443" s="38">
        <f t="shared" si="790"/>
        <v>465.59142579262777</v>
      </c>
      <c r="GG443" s="38">
        <f t="shared" si="791"/>
        <v>0</v>
      </c>
      <c r="GH443" s="38">
        <f t="shared" si="792"/>
        <v>0</v>
      </c>
      <c r="GI443" s="38">
        <f t="shared" si="793"/>
        <v>687.0357867777675</v>
      </c>
      <c r="GJ443" s="38">
        <f t="shared" si="794"/>
        <v>0</v>
      </c>
      <c r="GL443" s="38">
        <f t="shared" si="795"/>
        <v>0</v>
      </c>
      <c r="GM443" s="38">
        <f t="shared" si="796"/>
        <v>0</v>
      </c>
      <c r="GN443" s="1" t="s">
        <v>2</v>
      </c>
      <c r="GO443" s="14">
        <f t="shared" si="719"/>
        <v>218.54999999999998</v>
      </c>
      <c r="GP443" s="13">
        <f t="shared" si="720"/>
        <v>0.36235460992907803</v>
      </c>
      <c r="GQ443" s="41">
        <f t="shared" si="721"/>
        <v>791.92599999999993</v>
      </c>
      <c r="GR443" s="41">
        <f t="shared" si="722"/>
        <v>25689.713245575294</v>
      </c>
      <c r="GS443" s="14">
        <f t="shared" si="723"/>
        <v>117.54615989739325</v>
      </c>
      <c r="GT443" s="1">
        <f t="shared" si="797"/>
        <v>257.76300000000003</v>
      </c>
      <c r="GU443" s="1">
        <f t="shared" si="798"/>
        <v>348.13299999999998</v>
      </c>
      <c r="GV443" s="1">
        <f t="shared" si="799"/>
        <v>186.02999999999997</v>
      </c>
      <c r="GW443" s="37">
        <f t="shared" si="724"/>
        <v>84.46</v>
      </c>
      <c r="GX443" s="44">
        <f>(BT443*CB443+CO443*CW443)/GW443</f>
        <v>0.30993488041676537</v>
      </c>
      <c r="GY443" s="41">
        <f>1000*GW443*GX443/100</f>
        <v>261.77100000000002</v>
      </c>
      <c r="GZ443" s="41">
        <f>SUM(FU443:GM443)</f>
        <v>8694.1235867868236</v>
      </c>
      <c r="HA443" s="14">
        <f>GZ443/GW443</f>
        <v>102.93776446586342</v>
      </c>
      <c r="HB443" s="1">
        <f t="shared" si="800"/>
        <v>161.28599999999997</v>
      </c>
      <c r="HC443" s="1">
        <f t="shared" si="801"/>
        <v>100.485</v>
      </c>
      <c r="HD443" s="37" t="s">
        <v>2</v>
      </c>
      <c r="HE443" s="1" t="s">
        <v>113</v>
      </c>
      <c r="HF443" s="1" t="s">
        <v>261</v>
      </c>
      <c r="HG443" s="1" t="s">
        <v>589</v>
      </c>
      <c r="HH443" s="1" t="s">
        <v>1194</v>
      </c>
      <c r="HI443" s="1" t="s">
        <v>96</v>
      </c>
      <c r="HJ443" s="37" t="s">
        <v>2</v>
      </c>
      <c r="JH443" s="58" t="s">
        <v>2</v>
      </c>
    </row>
    <row r="444" spans="1:268" ht="16.25" customHeight="1" x14ac:dyDescent="0.2">
      <c r="A444" s="15" t="s">
        <v>1054</v>
      </c>
      <c r="B444" s="1" t="s">
        <v>64</v>
      </c>
      <c r="F444" s="1" t="s">
        <v>685</v>
      </c>
      <c r="I444" s="14">
        <f>5.1+3.9</f>
        <v>9</v>
      </c>
      <c r="J444" s="13">
        <v>6.9615541498893721E-2</v>
      </c>
      <c r="K444" s="13">
        <v>0.29947964814520067</v>
      </c>
      <c r="Q444" s="13">
        <v>0.10076278475729883</v>
      </c>
      <c r="S444" s="14">
        <f>0.2223*(19.7*5.1+14.7*3.9)/(5.1+3.9)</f>
        <v>3.8976599999999997</v>
      </c>
      <c r="T444" s="14">
        <f>0.7777*(19.7*5.1+14.7*3.9)/(5.1+3.9)</f>
        <v>13.635673333333331</v>
      </c>
      <c r="U444" s="13">
        <v>0.10633697651532487</v>
      </c>
      <c r="AD444" s="1">
        <f>28.2+27.2</f>
        <v>55.4</v>
      </c>
      <c r="AE444" s="13">
        <v>6.9615541498893721E-2</v>
      </c>
      <c r="AF444" s="13">
        <v>0.29947964814520067</v>
      </c>
      <c r="AL444" s="13">
        <v>0.10076278475729883</v>
      </c>
      <c r="AN444" s="14">
        <f>0.2223*(17.4*28.2+15.1*27.2)/(28.2+27.2)</f>
        <v>3.6169895306859199</v>
      </c>
      <c r="AO444" s="14">
        <f>0.7777*(17.4*28.2+15.1*27.2)/(28.2+27.2)</f>
        <v>12.653768592057761</v>
      </c>
      <c r="AP444" s="13">
        <v>0.10633697651532487</v>
      </c>
      <c r="AY444" s="1">
        <f>48.9+38.4</f>
        <v>87.3</v>
      </c>
      <c r="AZ444" s="13">
        <v>6.9615541498893721E-2</v>
      </c>
      <c r="BA444" s="13">
        <v>0.29947964814520067</v>
      </c>
      <c r="BG444" s="13">
        <v>0.10076278475729883</v>
      </c>
      <c r="BI444" s="14">
        <f>0.2223*(17.1*48.9+15.4*38.4)/(48.9+38.4)</f>
        <v>3.6351015463917533</v>
      </c>
      <c r="BJ444" s="14">
        <f>0.7777*(17.1*48.9+15.4*38.4)/(48.9+38.4)</f>
        <v>12.717132130584194</v>
      </c>
      <c r="BK444" s="13">
        <v>0.10633697651532487</v>
      </c>
      <c r="BL444" s="13"/>
      <c r="BM444" s="13"/>
      <c r="BT444" s="1">
        <f>3.4+2.9</f>
        <v>6.3</v>
      </c>
      <c r="BU444" s="13">
        <v>6.9615541498893721E-2</v>
      </c>
      <c r="BV444" s="13">
        <v>0.29947964814520067</v>
      </c>
      <c r="CB444" s="13">
        <v>0.10076278475729883</v>
      </c>
      <c r="CD444" s="14">
        <f>0.2223*(19.3*3.4+14.6*2.9)/(3.4+2.9)</f>
        <v>3.8094457142857148</v>
      </c>
      <c r="CE444" s="14">
        <f>0.7777*(19.3*3.4+14.6*2.9)/(3.4+2.9)</f>
        <v>13.327062222222223</v>
      </c>
      <c r="CF444" s="13">
        <v>0.10633697651532487</v>
      </c>
      <c r="CG444" s="13"/>
      <c r="CH444" s="13"/>
      <c r="CO444" s="1">
        <f>20.5+19.7</f>
        <v>40.200000000000003</v>
      </c>
      <c r="CP444" s="13">
        <v>6.9615541498893721E-2</v>
      </c>
      <c r="CQ444" s="13">
        <v>0.29947964814520067</v>
      </c>
      <c r="CW444" s="13">
        <v>0.10076278475729883</v>
      </c>
      <c r="CY444" s="14">
        <f>0.2223*(19.2*20.5+15.1*19.7)/(20.5+19.7)</f>
        <v>3.8215139552238799</v>
      </c>
      <c r="CZ444" s="14">
        <f>0.7777*(19.2*20.5+15.1*19.7)/(20.5+19.7)</f>
        <v>13.369282064676614</v>
      </c>
      <c r="DA444" s="13">
        <v>0.10633697651532487</v>
      </c>
      <c r="DB444" s="13"/>
      <c r="DC444" s="13"/>
      <c r="DJ444" s="1" t="s">
        <v>96</v>
      </c>
      <c r="DL444" s="1">
        <f t="shared" si="717"/>
        <v>0.10076278475729883</v>
      </c>
      <c r="DM444" s="1">
        <f t="shared" si="718"/>
        <v>0</v>
      </c>
      <c r="DN444" s="1" t="s">
        <v>73</v>
      </c>
      <c r="DO444" s="1" t="s">
        <v>2</v>
      </c>
      <c r="DP444" s="38">
        <f t="shared" si="725"/>
        <v>0.10560677645382179</v>
      </c>
      <c r="DQ444" s="38">
        <f t="shared" si="726"/>
        <v>45.431062623626943</v>
      </c>
      <c r="DR444" s="38">
        <f t="shared" si="727"/>
        <v>0</v>
      </c>
      <c r="DS444" s="38">
        <f t="shared" si="728"/>
        <v>0</v>
      </c>
      <c r="DT444" s="38">
        <f t="shared" si="729"/>
        <v>0</v>
      </c>
      <c r="DU444" s="38">
        <f t="shared" si="730"/>
        <v>0</v>
      </c>
      <c r="DV444" s="38">
        <f t="shared" si="731"/>
        <v>0</v>
      </c>
      <c r="DW444" s="38">
        <f t="shared" si="732"/>
        <v>0.1528571444768223</v>
      </c>
      <c r="DX444" s="38">
        <f t="shared" si="733"/>
        <v>0</v>
      </c>
      <c r="DY444" s="38">
        <f t="shared" si="734"/>
        <v>552.80452500000001</v>
      </c>
      <c r="DZ444" s="38">
        <f t="shared" si="735"/>
        <v>1933.945475</v>
      </c>
      <c r="EA444" s="38">
        <f t="shared" si="736"/>
        <v>16.131319337374784</v>
      </c>
      <c r="EB444" s="38">
        <f t="shared" si="737"/>
        <v>0</v>
      </c>
      <c r="EC444" s="38">
        <f t="shared" si="738"/>
        <v>0</v>
      </c>
      <c r="ED444" s="38">
        <f t="shared" si="739"/>
        <v>0</v>
      </c>
      <c r="EE444" s="38">
        <f t="shared" si="740"/>
        <v>0</v>
      </c>
      <c r="EG444" s="38">
        <f t="shared" si="741"/>
        <v>0</v>
      </c>
      <c r="EH444" s="38">
        <f t="shared" si="742"/>
        <v>0</v>
      </c>
      <c r="EI444" s="38">
        <f t="shared" si="743"/>
        <v>689.14927013548265</v>
      </c>
      <c r="EJ444" s="38">
        <f t="shared" si="744"/>
        <v>1858.1450693650631</v>
      </c>
      <c r="EK444" s="38">
        <f t="shared" si="745"/>
        <v>0</v>
      </c>
      <c r="EL444" s="38">
        <f t="shared" si="746"/>
        <v>0</v>
      </c>
      <c r="EM444" s="38">
        <f t="shared" si="747"/>
        <v>0</v>
      </c>
      <c r="EN444" s="38">
        <f t="shared" si="748"/>
        <v>0</v>
      </c>
      <c r="EO444" s="38">
        <f t="shared" si="749"/>
        <v>0</v>
      </c>
      <c r="EP444" s="38">
        <f t="shared" si="750"/>
        <v>2004.5685926690478</v>
      </c>
      <c r="EQ444" s="38">
        <f t="shared" si="751"/>
        <v>0</v>
      </c>
      <c r="ER444" s="38">
        <f t="shared" si="752"/>
        <v>15689.338972234724</v>
      </c>
      <c r="ES444" s="38">
        <f t="shared" si="753"/>
        <v>64450.132111069135</v>
      </c>
      <c r="ET444" s="38">
        <f t="shared" si="754"/>
        <v>1154.2451743234762</v>
      </c>
      <c r="EU444" s="38">
        <f t="shared" si="755"/>
        <v>0</v>
      </c>
      <c r="EV444" s="38">
        <f t="shared" si="756"/>
        <v>0</v>
      </c>
      <c r="EW444" s="38">
        <f t="shared" si="757"/>
        <v>0</v>
      </c>
      <c r="EX444" s="38">
        <f t="shared" si="758"/>
        <v>0</v>
      </c>
      <c r="EZ444" s="38">
        <f t="shared" si="759"/>
        <v>0</v>
      </c>
      <c r="FA444" s="38">
        <f t="shared" si="760"/>
        <v>0</v>
      </c>
      <c r="FB444" s="1">
        <f t="shared" si="761"/>
        <v>3.2371226796985585E-2</v>
      </c>
      <c r="FC444" s="1">
        <f t="shared" si="762"/>
        <v>13.925803638751832</v>
      </c>
      <c r="FD444" s="1">
        <f t="shared" si="763"/>
        <v>0</v>
      </c>
      <c r="FE444" s="1">
        <f t="shared" si="764"/>
        <v>0</v>
      </c>
      <c r="FF444" s="1">
        <f t="shared" si="765"/>
        <v>0</v>
      </c>
      <c r="FG444" s="1">
        <f t="shared" si="766"/>
        <v>0</v>
      </c>
      <c r="FH444" s="1">
        <f t="shared" si="767"/>
        <v>0</v>
      </c>
      <c r="FI444" s="1">
        <f t="shared" si="768"/>
        <v>4.6854694912143967E-2</v>
      </c>
      <c r="FJ444" s="1">
        <f t="shared" si="769"/>
        <v>0</v>
      </c>
      <c r="FK444" s="1">
        <f t="shared" si="770"/>
        <v>177.62436899999997</v>
      </c>
      <c r="FL444" s="1">
        <f t="shared" si="771"/>
        <v>621.40563099999997</v>
      </c>
      <c r="FM444" s="1">
        <f t="shared" si="772"/>
        <v>4.944669407962607</v>
      </c>
      <c r="FN444" s="1">
        <f t="shared" si="773"/>
        <v>0</v>
      </c>
      <c r="FO444" s="1">
        <f t="shared" si="774"/>
        <v>0</v>
      </c>
      <c r="FP444" s="1">
        <f t="shared" si="775"/>
        <v>0</v>
      </c>
      <c r="FQ444" s="1">
        <f t="shared" si="776"/>
        <v>0</v>
      </c>
      <c r="FS444" s="1">
        <f t="shared" si="777"/>
        <v>0</v>
      </c>
      <c r="FT444" s="1">
        <f t="shared" si="778"/>
        <v>0</v>
      </c>
      <c r="FU444" s="38">
        <f t="shared" si="779"/>
        <v>211.24219552603788</v>
      </c>
      <c r="FV444" s="38">
        <f t="shared" si="780"/>
        <v>569.56984657531609</v>
      </c>
      <c r="FW444" s="38">
        <f t="shared" si="781"/>
        <v>0</v>
      </c>
      <c r="FX444" s="38">
        <f t="shared" si="782"/>
        <v>0</v>
      </c>
      <c r="FY444" s="38">
        <f t="shared" si="783"/>
        <v>0</v>
      </c>
      <c r="FZ444" s="38">
        <f t="shared" si="784"/>
        <v>0</v>
      </c>
      <c r="GA444" s="38">
        <f t="shared" si="785"/>
        <v>0</v>
      </c>
      <c r="GB444" s="38">
        <f t="shared" si="786"/>
        <v>614.45246907785599</v>
      </c>
      <c r="GC444" s="38">
        <f t="shared" si="787"/>
        <v>0</v>
      </c>
      <c r="GD444" s="38">
        <f t="shared" si="788"/>
        <v>5041.2194707890667</v>
      </c>
      <c r="GE444" s="38">
        <f t="shared" si="789"/>
        <v>20708.792223065273</v>
      </c>
      <c r="GF444" s="38">
        <f t="shared" si="790"/>
        <v>353.80620043534373</v>
      </c>
      <c r="GG444" s="38">
        <f t="shared" si="791"/>
        <v>0</v>
      </c>
      <c r="GH444" s="38">
        <f t="shared" si="792"/>
        <v>0</v>
      </c>
      <c r="GI444" s="38">
        <f t="shared" si="793"/>
        <v>0</v>
      </c>
      <c r="GJ444" s="38">
        <f t="shared" si="794"/>
        <v>0</v>
      </c>
      <c r="GL444" s="38">
        <f t="shared" si="795"/>
        <v>0</v>
      </c>
      <c r="GM444" s="38">
        <f t="shared" si="796"/>
        <v>0</v>
      </c>
      <c r="GN444" s="1" t="s">
        <v>2</v>
      </c>
      <c r="GO444" s="1">
        <f t="shared" si="719"/>
        <v>151.69999999999999</v>
      </c>
      <c r="GP444" s="13">
        <f t="shared" si="720"/>
        <v>0.10076278475729883</v>
      </c>
      <c r="GQ444" s="41">
        <f t="shared" si="721"/>
        <v>152.85714447682233</v>
      </c>
      <c r="GR444" s="41">
        <f t="shared" si="722"/>
        <v>85845.579189796932</v>
      </c>
      <c r="GS444" s="14">
        <f t="shared" si="723"/>
        <v>565.89043632034895</v>
      </c>
      <c r="GT444" s="1">
        <f t="shared" si="797"/>
        <v>9.0686506281568953</v>
      </c>
      <c r="GU444" s="1">
        <f t="shared" si="798"/>
        <v>55.822582755543543</v>
      </c>
      <c r="GV444" s="1">
        <f t="shared" si="799"/>
        <v>87.965911093121861</v>
      </c>
      <c r="GW444" s="37">
        <f t="shared" si="724"/>
        <v>46.5</v>
      </c>
      <c r="GX444" s="44">
        <f>(BT444*CB444+CO444*CW444)/GW444</f>
        <v>0.10076278475729886</v>
      </c>
      <c r="GY444" s="41">
        <f>1000*GW444*GX444/100</f>
        <v>46.85469491214397</v>
      </c>
      <c r="GZ444" s="41">
        <f>SUM(FU444:GM444)</f>
        <v>27499.082405468896</v>
      </c>
      <c r="HA444" s="14">
        <f>GZ444/GW444</f>
        <v>591.37811624664289</v>
      </c>
      <c r="HB444" s="1">
        <f t="shared" si="800"/>
        <v>6.3480554397098263</v>
      </c>
      <c r="HC444" s="1">
        <f t="shared" si="801"/>
        <v>40.506639472434138</v>
      </c>
      <c r="HD444" s="37" t="s">
        <v>2</v>
      </c>
      <c r="HE444" s="1" t="s">
        <v>113</v>
      </c>
      <c r="HF444" s="1" t="s">
        <v>261</v>
      </c>
      <c r="HG444" s="1" t="s">
        <v>589</v>
      </c>
      <c r="HI444" s="1" t="s">
        <v>96</v>
      </c>
      <c r="HJ444" s="37" t="s">
        <v>2</v>
      </c>
      <c r="JH444" s="58" t="s">
        <v>2</v>
      </c>
    </row>
    <row r="445" spans="1:268" ht="16.25" customHeight="1" x14ac:dyDescent="0.2">
      <c r="A445" s="15" t="s">
        <v>1008</v>
      </c>
      <c r="F445" s="1" t="s">
        <v>1009</v>
      </c>
      <c r="I445" s="1">
        <v>38.700000000000003</v>
      </c>
      <c r="J445" s="1">
        <v>0.14000000000000001</v>
      </c>
      <c r="K445" s="13">
        <v>0.29925000000000002</v>
      </c>
      <c r="Q445" s="1">
        <v>0.22</v>
      </c>
      <c r="S445" s="13">
        <v>1.9351500000000001</v>
      </c>
      <c r="T445" s="13">
        <v>1.5880200000000002</v>
      </c>
      <c r="U445" s="13">
        <v>0.16359000000000001</v>
      </c>
      <c r="V445" s="13"/>
      <c r="W445" s="13"/>
      <c r="AD445" s="1">
        <v>138.9</v>
      </c>
      <c r="AE445" s="1">
        <v>0.14000000000000001</v>
      </c>
      <c r="AF445" s="13">
        <v>0.31574999999999998</v>
      </c>
      <c r="AL445" s="1">
        <v>0.22</v>
      </c>
      <c r="AN445" s="13">
        <v>2.0418499999999997</v>
      </c>
      <c r="AO445" s="13">
        <v>1.6755800000000001</v>
      </c>
      <c r="AP445" s="13">
        <v>0.17261000000000001</v>
      </c>
      <c r="AQ445" s="13"/>
      <c r="AR445" s="13"/>
      <c r="AY445" s="1">
        <v>47.4</v>
      </c>
      <c r="AZ445" s="1">
        <v>0.14000000000000001</v>
      </c>
      <c r="BA445" s="13">
        <v>0.31725000000000003</v>
      </c>
      <c r="BG445" s="1">
        <v>0.22</v>
      </c>
      <c r="BI445" s="13">
        <v>2.0515500000000002</v>
      </c>
      <c r="BJ445" s="13">
        <v>1.6835400000000003</v>
      </c>
      <c r="BK445" s="13">
        <v>0.17343000000000003</v>
      </c>
      <c r="BL445" s="13"/>
      <c r="BM445" s="13"/>
      <c r="BT445" s="1">
        <v>25.4</v>
      </c>
      <c r="BU445" s="1">
        <v>0.14000000000000001</v>
      </c>
      <c r="BV445" s="13">
        <v>0.25124999999999997</v>
      </c>
      <c r="CB445" s="1">
        <v>0.22</v>
      </c>
      <c r="CD445" s="13">
        <v>1.6247499999999999</v>
      </c>
      <c r="CE445" s="13">
        <v>1.3333000000000002</v>
      </c>
      <c r="CF445" s="13">
        <v>0.13735</v>
      </c>
      <c r="CG445" s="13"/>
      <c r="CH445" s="13"/>
      <c r="CO445" s="14">
        <v>27</v>
      </c>
      <c r="CP445" s="1">
        <v>0.14000000000000001</v>
      </c>
      <c r="CQ445" s="13">
        <v>0.24449999999999997</v>
      </c>
      <c r="CW445" s="1">
        <v>0.22</v>
      </c>
      <c r="CY445" s="13">
        <v>1.5810999999999999</v>
      </c>
      <c r="CZ445" s="13">
        <v>1.29748</v>
      </c>
      <c r="DA445" s="13">
        <v>0.13366</v>
      </c>
      <c r="DB445" s="13"/>
      <c r="DC445" s="13"/>
      <c r="DJ445" s="1" t="s">
        <v>96</v>
      </c>
      <c r="DL445" s="1">
        <f t="shared" si="717"/>
        <v>0.21999999999999997</v>
      </c>
      <c r="DM445" s="1">
        <f t="shared" si="718"/>
        <v>0</v>
      </c>
      <c r="DN445" s="1" t="s">
        <v>73</v>
      </c>
      <c r="DO445" s="1" t="s">
        <v>2</v>
      </c>
      <c r="DP445" s="38">
        <f t="shared" si="725"/>
        <v>0.31500000000000006</v>
      </c>
      <c r="DQ445" s="38">
        <f t="shared" si="726"/>
        <v>70.476300000000009</v>
      </c>
      <c r="DR445" s="38">
        <f t="shared" si="727"/>
        <v>0</v>
      </c>
      <c r="DS445" s="38">
        <f t="shared" si="728"/>
        <v>0</v>
      </c>
      <c r="DT445" s="38">
        <f t="shared" si="729"/>
        <v>0</v>
      </c>
      <c r="DU445" s="38">
        <f t="shared" si="730"/>
        <v>0</v>
      </c>
      <c r="DV445" s="38">
        <f t="shared" si="731"/>
        <v>0</v>
      </c>
      <c r="DW445" s="38">
        <f t="shared" si="732"/>
        <v>0.495</v>
      </c>
      <c r="DX445" s="38">
        <f t="shared" si="733"/>
        <v>0</v>
      </c>
      <c r="DY445" s="38">
        <f t="shared" si="734"/>
        <v>455.74673999999999</v>
      </c>
      <c r="DZ445" s="38">
        <f t="shared" si="735"/>
        <v>373.99423200000001</v>
      </c>
      <c r="EA445" s="38">
        <f t="shared" si="736"/>
        <v>38.527044000000004</v>
      </c>
      <c r="EB445" s="38">
        <f t="shared" si="737"/>
        <v>0</v>
      </c>
      <c r="EC445" s="38">
        <f t="shared" si="738"/>
        <v>0</v>
      </c>
      <c r="ED445" s="38">
        <f t="shared" si="739"/>
        <v>0</v>
      </c>
      <c r="EE445" s="38">
        <f t="shared" si="740"/>
        <v>0</v>
      </c>
      <c r="EG445" s="38">
        <f t="shared" si="741"/>
        <v>0</v>
      </c>
      <c r="EH445" s="38">
        <f t="shared" si="742"/>
        <v>0</v>
      </c>
      <c r="EI445" s="38">
        <f t="shared" si="743"/>
        <v>2055.5690400000003</v>
      </c>
      <c r="EJ445" s="38">
        <f t="shared" si="744"/>
        <v>2882.5033311897105</v>
      </c>
      <c r="EK445" s="38">
        <f t="shared" si="745"/>
        <v>0</v>
      </c>
      <c r="EL445" s="38">
        <f t="shared" si="746"/>
        <v>0</v>
      </c>
      <c r="EM445" s="38">
        <f t="shared" si="747"/>
        <v>0</v>
      </c>
      <c r="EN445" s="38">
        <f t="shared" si="748"/>
        <v>0</v>
      </c>
      <c r="EO445" s="38">
        <f t="shared" si="749"/>
        <v>0</v>
      </c>
      <c r="EP445" s="38">
        <f t="shared" si="750"/>
        <v>6491.43</v>
      </c>
      <c r="EQ445" s="38">
        <f t="shared" si="751"/>
        <v>0</v>
      </c>
      <c r="ER445" s="38">
        <f t="shared" si="752"/>
        <v>12934.707959112537</v>
      </c>
      <c r="ES445" s="38">
        <f t="shared" si="753"/>
        <v>12463.628356005145</v>
      </c>
      <c r="ET445" s="38">
        <f t="shared" si="754"/>
        <v>2756.7276853118979</v>
      </c>
      <c r="EU445" s="38">
        <f t="shared" si="755"/>
        <v>0</v>
      </c>
      <c r="EV445" s="38">
        <f t="shared" si="756"/>
        <v>0</v>
      </c>
      <c r="EW445" s="38">
        <f t="shared" si="757"/>
        <v>0</v>
      </c>
      <c r="EX445" s="38">
        <f t="shared" si="758"/>
        <v>0</v>
      </c>
      <c r="EZ445" s="38">
        <f t="shared" si="759"/>
        <v>0</v>
      </c>
      <c r="FA445" s="38">
        <f t="shared" si="760"/>
        <v>0</v>
      </c>
      <c r="FB445" s="1">
        <f t="shared" si="761"/>
        <v>7.3360000000000009E-2</v>
      </c>
      <c r="FC445" s="1">
        <f t="shared" si="762"/>
        <v>12.983249999999998</v>
      </c>
      <c r="FD445" s="1">
        <f t="shared" si="763"/>
        <v>0</v>
      </c>
      <c r="FE445" s="1">
        <f t="shared" si="764"/>
        <v>0</v>
      </c>
      <c r="FF445" s="1">
        <f t="shared" si="765"/>
        <v>0</v>
      </c>
      <c r="FG445" s="1">
        <f t="shared" si="766"/>
        <v>0</v>
      </c>
      <c r="FH445" s="1">
        <f t="shared" si="767"/>
        <v>0</v>
      </c>
      <c r="FI445" s="1">
        <f t="shared" si="768"/>
        <v>0.11528000000000001</v>
      </c>
      <c r="FJ445" s="1">
        <f t="shared" si="769"/>
        <v>0</v>
      </c>
      <c r="FK445" s="1">
        <f t="shared" si="770"/>
        <v>83.958349999999996</v>
      </c>
      <c r="FL445" s="1">
        <f t="shared" si="771"/>
        <v>68.897779999999997</v>
      </c>
      <c r="FM445" s="1">
        <f t="shared" si="772"/>
        <v>7.0975099999999998</v>
      </c>
      <c r="FN445" s="1">
        <f t="shared" si="773"/>
        <v>0</v>
      </c>
      <c r="FO445" s="1">
        <f t="shared" si="774"/>
        <v>0</v>
      </c>
      <c r="FP445" s="1">
        <f t="shared" si="775"/>
        <v>0</v>
      </c>
      <c r="FQ445" s="1">
        <f t="shared" si="776"/>
        <v>0</v>
      </c>
      <c r="FS445" s="1">
        <f t="shared" si="777"/>
        <v>0</v>
      </c>
      <c r="FT445" s="1">
        <f t="shared" si="778"/>
        <v>0</v>
      </c>
      <c r="FU445" s="38">
        <f t="shared" si="779"/>
        <v>478.71918976000006</v>
      </c>
      <c r="FV445" s="38">
        <f t="shared" si="780"/>
        <v>531.01909967845654</v>
      </c>
      <c r="FW445" s="38">
        <f t="shared" si="781"/>
        <v>0</v>
      </c>
      <c r="FX445" s="38">
        <f t="shared" si="782"/>
        <v>0</v>
      </c>
      <c r="FY445" s="38">
        <f t="shared" si="783"/>
        <v>0</v>
      </c>
      <c r="FZ445" s="38">
        <f t="shared" si="784"/>
        <v>0</v>
      </c>
      <c r="GA445" s="38">
        <f t="shared" si="785"/>
        <v>0</v>
      </c>
      <c r="GB445" s="38">
        <f t="shared" si="786"/>
        <v>1511.7819200000001</v>
      </c>
      <c r="GC445" s="38">
        <f t="shared" si="787"/>
        <v>0</v>
      </c>
      <c r="GD445" s="38">
        <f t="shared" si="788"/>
        <v>2382.8513572668803</v>
      </c>
      <c r="GE445" s="38">
        <f t="shared" si="789"/>
        <v>2296.068364160772</v>
      </c>
      <c r="GF445" s="38">
        <f t="shared" si="790"/>
        <v>507.8485209967846</v>
      </c>
      <c r="GG445" s="38">
        <f t="shared" si="791"/>
        <v>0</v>
      </c>
      <c r="GH445" s="38">
        <f t="shared" si="792"/>
        <v>0</v>
      </c>
      <c r="GI445" s="38">
        <f t="shared" si="793"/>
        <v>0</v>
      </c>
      <c r="GJ445" s="38">
        <f t="shared" si="794"/>
        <v>0</v>
      </c>
      <c r="GL445" s="38">
        <f t="shared" si="795"/>
        <v>0</v>
      </c>
      <c r="GM445" s="38">
        <f t="shared" si="796"/>
        <v>0</v>
      </c>
      <c r="GN445" s="1" t="s">
        <v>2</v>
      </c>
      <c r="GO445" s="1">
        <f t="shared" si="719"/>
        <v>225.00000000000003</v>
      </c>
      <c r="GP445" s="1">
        <f t="shared" si="720"/>
        <v>0.21999999999999997</v>
      </c>
      <c r="GQ445" s="41">
        <f t="shared" si="721"/>
        <v>495</v>
      </c>
      <c r="GR445" s="41">
        <f t="shared" si="722"/>
        <v>39584.566371619294</v>
      </c>
      <c r="GS445" s="14">
        <f t="shared" si="723"/>
        <v>175.93140609608574</v>
      </c>
      <c r="GT445" s="1">
        <f t="shared" si="797"/>
        <v>85.140000000000015</v>
      </c>
      <c r="GU445" s="1">
        <f t="shared" si="798"/>
        <v>305.58</v>
      </c>
      <c r="GV445" s="1">
        <f t="shared" si="799"/>
        <v>104.27999999999999</v>
      </c>
      <c r="GW445" s="37">
        <f t="shared" si="724"/>
        <v>52.4</v>
      </c>
      <c r="GX445" s="44">
        <f>(BT445*CB445+CO445*CW445)/GW445</f>
        <v>0.22</v>
      </c>
      <c r="GY445" s="41">
        <f>1000*GW445*GX445/100</f>
        <v>115.28</v>
      </c>
      <c r="GZ445" s="41">
        <f>SUM(FU445:GM445)</f>
        <v>7708.2884518628935</v>
      </c>
      <c r="HA445" s="14">
        <f>GZ445/GW445</f>
        <v>147.10474144776515</v>
      </c>
      <c r="HB445" s="1">
        <f t="shared" si="800"/>
        <v>55.88</v>
      </c>
      <c r="HC445" s="1">
        <f t="shared" si="801"/>
        <v>59.4</v>
      </c>
      <c r="HD445" s="37" t="s">
        <v>2</v>
      </c>
      <c r="HE445" s="1" t="s">
        <v>113</v>
      </c>
      <c r="HF445" s="1" t="s">
        <v>261</v>
      </c>
      <c r="HG445" s="1" t="s">
        <v>589</v>
      </c>
      <c r="HI445" s="1" t="s">
        <v>96</v>
      </c>
      <c r="HJ445" s="37" t="s">
        <v>2</v>
      </c>
      <c r="JH445" s="58" t="s">
        <v>2</v>
      </c>
    </row>
    <row r="446" spans="1:268" ht="16.25" customHeight="1" x14ac:dyDescent="0.2">
      <c r="A446" s="15" t="s">
        <v>1010</v>
      </c>
      <c r="F446" s="1" t="s">
        <v>1011</v>
      </c>
      <c r="I446" s="1">
        <v>28.4</v>
      </c>
      <c r="J446" s="1">
        <v>0.11</v>
      </c>
      <c r="K446" s="13">
        <v>0.28859999999999997</v>
      </c>
      <c r="Q446" s="1">
        <v>0.14000000000000001</v>
      </c>
      <c r="R446" s="1">
        <v>0.05</v>
      </c>
      <c r="S446" s="13">
        <v>1.7862</v>
      </c>
      <c r="T446" s="13">
        <v>1.3922999999999999</v>
      </c>
      <c r="U446" s="13">
        <v>0.15209999999999999</v>
      </c>
      <c r="V446" s="13">
        <v>0.156</v>
      </c>
      <c r="W446" s="13">
        <v>0.12479999999999999</v>
      </c>
      <c r="AD446" s="1">
        <v>15.4</v>
      </c>
      <c r="AE446" s="1">
        <v>0.11</v>
      </c>
      <c r="AF446" s="13">
        <v>0.28119999999999995</v>
      </c>
      <c r="AL446" s="1">
        <v>0.14000000000000001</v>
      </c>
      <c r="AM446" s="1">
        <v>0.05</v>
      </c>
      <c r="AN446" s="13">
        <v>1.7403999999999999</v>
      </c>
      <c r="AO446" s="13">
        <v>1.3565999999999998</v>
      </c>
      <c r="AP446" s="13">
        <v>0.1482</v>
      </c>
      <c r="AQ446" s="13">
        <v>0.152</v>
      </c>
      <c r="AR446" s="13">
        <v>0.1216</v>
      </c>
      <c r="AY446" s="1">
        <v>13.4</v>
      </c>
      <c r="AZ446" s="1">
        <v>0.11</v>
      </c>
      <c r="BA446" s="13">
        <v>0.26882985074626864</v>
      </c>
      <c r="BG446" s="1">
        <v>0.14000000000000001</v>
      </c>
      <c r="BH446" s="1">
        <v>0.05</v>
      </c>
      <c r="BI446" s="13">
        <v>1.6638388059701492</v>
      </c>
      <c r="BJ446" s="13">
        <v>1.2969223880597014</v>
      </c>
      <c r="BK446" s="13">
        <v>0.14168059701492536</v>
      </c>
      <c r="BL446" s="13">
        <v>0.1453134328358209</v>
      </c>
      <c r="BM446" s="13">
        <v>0.11625074626865671</v>
      </c>
      <c r="BT446" s="1">
        <v>10.9</v>
      </c>
      <c r="BU446" s="1">
        <v>0.11</v>
      </c>
      <c r="BV446" s="13">
        <v>0.27379999999999999</v>
      </c>
      <c r="CB446" s="1">
        <v>0.14000000000000001</v>
      </c>
      <c r="CC446" s="1">
        <v>0.05</v>
      </c>
      <c r="CD446" s="13">
        <v>1.6946000000000001</v>
      </c>
      <c r="CE446" s="13">
        <v>1.3209</v>
      </c>
      <c r="CF446" s="13">
        <v>0.14430000000000001</v>
      </c>
      <c r="CG446" s="13">
        <v>0.14800000000000002</v>
      </c>
      <c r="CH446" s="13">
        <v>0.11840000000000001</v>
      </c>
      <c r="CO446" s="1">
        <v>5.6</v>
      </c>
      <c r="CP446" s="1">
        <v>0.11</v>
      </c>
      <c r="CQ446" s="13">
        <v>0.26639999999999997</v>
      </c>
      <c r="CW446" s="1">
        <v>0.14000000000000001</v>
      </c>
      <c r="CX446" s="1">
        <v>0.05</v>
      </c>
      <c r="CY446" s="13">
        <v>1.6488</v>
      </c>
      <c r="CZ446" s="13">
        <v>1.2851999999999999</v>
      </c>
      <c r="DA446" s="13">
        <v>0.1404</v>
      </c>
      <c r="DB446" s="13">
        <v>0.14400000000000002</v>
      </c>
      <c r="DC446" s="13">
        <v>0.11520000000000001</v>
      </c>
      <c r="DJ446" s="1" t="s">
        <v>96</v>
      </c>
      <c r="DK446" s="1" t="s">
        <v>96</v>
      </c>
      <c r="DL446" s="1">
        <f t="shared" si="717"/>
        <v>0.13999999999999999</v>
      </c>
      <c r="DM446" s="1">
        <f t="shared" si="718"/>
        <v>0.05</v>
      </c>
      <c r="DN446" s="1" t="s">
        <v>73</v>
      </c>
      <c r="DO446" s="1" t="s">
        <v>2</v>
      </c>
      <c r="DP446" s="38">
        <f t="shared" si="725"/>
        <v>6.2920000000000004E-2</v>
      </c>
      <c r="DQ446" s="38">
        <f t="shared" si="726"/>
        <v>16.12904</v>
      </c>
      <c r="DR446" s="38">
        <f t="shared" si="727"/>
        <v>0</v>
      </c>
      <c r="DS446" s="38">
        <f t="shared" si="728"/>
        <v>0</v>
      </c>
      <c r="DT446" s="38">
        <f t="shared" si="729"/>
        <v>0</v>
      </c>
      <c r="DU446" s="38">
        <f t="shared" si="730"/>
        <v>0</v>
      </c>
      <c r="DV446" s="38">
        <f t="shared" si="731"/>
        <v>0</v>
      </c>
      <c r="DW446" s="38">
        <f t="shared" si="732"/>
        <v>8.0079999999999985E-2</v>
      </c>
      <c r="DX446" s="38">
        <f t="shared" si="733"/>
        <v>2.86E-2</v>
      </c>
      <c r="DY446" s="38">
        <f t="shared" si="734"/>
        <v>99.825679999999991</v>
      </c>
      <c r="DZ446" s="38">
        <f t="shared" si="735"/>
        <v>77.811719999999994</v>
      </c>
      <c r="EA446" s="38">
        <f t="shared" si="736"/>
        <v>8.5004399999999993</v>
      </c>
      <c r="EB446" s="38">
        <f t="shared" si="737"/>
        <v>8.7184000000000008</v>
      </c>
      <c r="EC446" s="38">
        <f t="shared" si="738"/>
        <v>6.9747199999999996</v>
      </c>
      <c r="ED446" s="38">
        <f t="shared" si="739"/>
        <v>0</v>
      </c>
      <c r="EE446" s="38">
        <f t="shared" si="740"/>
        <v>0</v>
      </c>
      <c r="EG446" s="38">
        <f t="shared" si="741"/>
        <v>0</v>
      </c>
      <c r="EH446" s="38">
        <f t="shared" si="742"/>
        <v>0</v>
      </c>
      <c r="EI446" s="38">
        <f t="shared" si="743"/>
        <v>410.59175872000003</v>
      </c>
      <c r="EJ446" s="38">
        <f t="shared" si="744"/>
        <v>659.68292218649503</v>
      </c>
      <c r="EK446" s="38">
        <f t="shared" si="745"/>
        <v>0</v>
      </c>
      <c r="EL446" s="38">
        <f t="shared" si="746"/>
        <v>0</v>
      </c>
      <c r="EM446" s="38">
        <f t="shared" si="747"/>
        <v>0</v>
      </c>
      <c r="EN446" s="38">
        <f t="shared" si="748"/>
        <v>0</v>
      </c>
      <c r="EO446" s="38">
        <f t="shared" si="749"/>
        <v>0</v>
      </c>
      <c r="EP446" s="38">
        <f t="shared" si="750"/>
        <v>1050.1691199999998</v>
      </c>
      <c r="EQ446" s="38">
        <f t="shared" si="751"/>
        <v>2076.9183863999997</v>
      </c>
      <c r="ER446" s="38">
        <f t="shared" si="752"/>
        <v>2833.1876112154337</v>
      </c>
      <c r="ES446" s="38">
        <f t="shared" si="753"/>
        <v>2593.131863652733</v>
      </c>
      <c r="ET446" s="38">
        <f t="shared" si="754"/>
        <v>608.23244797427651</v>
      </c>
      <c r="EU446" s="38">
        <f t="shared" si="755"/>
        <v>68.516531961414785</v>
      </c>
      <c r="EV446" s="38">
        <f t="shared" si="756"/>
        <v>290.0384609131832</v>
      </c>
      <c r="EW446" s="38">
        <f t="shared" si="757"/>
        <v>0</v>
      </c>
      <c r="EX446" s="38">
        <f t="shared" si="758"/>
        <v>0</v>
      </c>
      <c r="EZ446" s="38">
        <f t="shared" si="759"/>
        <v>0</v>
      </c>
      <c r="FA446" s="38">
        <f t="shared" si="760"/>
        <v>0</v>
      </c>
      <c r="FB446" s="1">
        <f t="shared" si="761"/>
        <v>1.8149999999999999E-2</v>
      </c>
      <c r="FC446" s="1">
        <f t="shared" si="762"/>
        <v>4.4762599999999999</v>
      </c>
      <c r="FD446" s="1">
        <f t="shared" si="763"/>
        <v>0</v>
      </c>
      <c r="FE446" s="1">
        <f t="shared" si="764"/>
        <v>0</v>
      </c>
      <c r="FF446" s="1">
        <f t="shared" si="765"/>
        <v>0</v>
      </c>
      <c r="FG446" s="1">
        <f t="shared" si="766"/>
        <v>0</v>
      </c>
      <c r="FH446" s="1">
        <f t="shared" si="767"/>
        <v>0</v>
      </c>
      <c r="FI446" s="1">
        <f t="shared" si="768"/>
        <v>2.3100000000000006E-2</v>
      </c>
      <c r="FJ446" s="1">
        <f t="shared" si="769"/>
        <v>8.2500000000000004E-3</v>
      </c>
      <c r="FK446" s="1">
        <f t="shared" si="770"/>
        <v>27.704419999999999</v>
      </c>
      <c r="FL446" s="1">
        <f t="shared" si="771"/>
        <v>21.594929999999998</v>
      </c>
      <c r="FM446" s="1">
        <f t="shared" si="772"/>
        <v>2.3591100000000003</v>
      </c>
      <c r="FN446" s="1">
        <f t="shared" si="773"/>
        <v>2.4196</v>
      </c>
      <c r="FO446" s="1">
        <f t="shared" si="774"/>
        <v>1.9356800000000001</v>
      </c>
      <c r="FP446" s="1">
        <f t="shared" si="775"/>
        <v>0</v>
      </c>
      <c r="FQ446" s="1">
        <f t="shared" si="776"/>
        <v>0</v>
      </c>
      <c r="FS446" s="1">
        <f t="shared" si="777"/>
        <v>0</v>
      </c>
      <c r="FT446" s="1">
        <f t="shared" si="778"/>
        <v>0</v>
      </c>
      <c r="FU446" s="38">
        <f t="shared" si="779"/>
        <v>118.43993039999999</v>
      </c>
      <c r="FV446" s="38">
        <f t="shared" si="780"/>
        <v>183.08047331189709</v>
      </c>
      <c r="FW446" s="38">
        <f t="shared" si="781"/>
        <v>0</v>
      </c>
      <c r="FX446" s="38">
        <f t="shared" si="782"/>
        <v>0</v>
      </c>
      <c r="FY446" s="38">
        <f t="shared" si="783"/>
        <v>0</v>
      </c>
      <c r="FZ446" s="38">
        <f t="shared" si="784"/>
        <v>0</v>
      </c>
      <c r="GA446" s="38">
        <f t="shared" si="785"/>
        <v>0</v>
      </c>
      <c r="GB446" s="38">
        <f t="shared" si="786"/>
        <v>302.93340000000006</v>
      </c>
      <c r="GC446" s="38">
        <f t="shared" si="787"/>
        <v>599.11107299999992</v>
      </c>
      <c r="GD446" s="38">
        <f t="shared" si="788"/>
        <v>786.2888539292602</v>
      </c>
      <c r="GE446" s="38">
        <f t="shared" si="789"/>
        <v>719.66666559163991</v>
      </c>
      <c r="GF446" s="38">
        <f t="shared" si="790"/>
        <v>168.80152678456597</v>
      </c>
      <c r="GG446" s="38">
        <f t="shared" si="791"/>
        <v>19.015255176848875</v>
      </c>
      <c r="GH446" s="38">
        <f t="shared" si="792"/>
        <v>80.493790147909948</v>
      </c>
      <c r="GI446" s="38">
        <f t="shared" si="793"/>
        <v>0</v>
      </c>
      <c r="GJ446" s="38">
        <f t="shared" si="794"/>
        <v>0</v>
      </c>
      <c r="GL446" s="38">
        <f t="shared" si="795"/>
        <v>0</v>
      </c>
      <c r="GM446" s="38">
        <f t="shared" si="796"/>
        <v>0</v>
      </c>
      <c r="GN446" s="1" t="s">
        <v>2</v>
      </c>
      <c r="GO446" s="1">
        <f t="shared" si="719"/>
        <v>57.199999999999996</v>
      </c>
      <c r="GP446" s="1">
        <f t="shared" si="720"/>
        <v>0.13999999999999999</v>
      </c>
      <c r="GQ446" s="41">
        <f t="shared" si="721"/>
        <v>80.079999999999984</v>
      </c>
      <c r="GR446" s="41">
        <f t="shared" si="722"/>
        <v>10590.469103023537</v>
      </c>
      <c r="GS446" s="14">
        <f t="shared" si="723"/>
        <v>185.14806124167023</v>
      </c>
      <c r="GT446" s="1">
        <f t="shared" si="797"/>
        <v>39.76</v>
      </c>
      <c r="GU446" s="1">
        <f t="shared" si="798"/>
        <v>21.56</v>
      </c>
      <c r="GV446" s="1">
        <f t="shared" si="799"/>
        <v>18.760000000000002</v>
      </c>
      <c r="GW446" s="37">
        <f t="shared" si="724"/>
        <v>16.5</v>
      </c>
      <c r="GX446" s="44">
        <f>(BT446*CB446+CO446*CW446)/GW446</f>
        <v>0.14000000000000004</v>
      </c>
      <c r="GY446" s="41">
        <f>1000*GW446*GX446/100</f>
        <v>23.100000000000005</v>
      </c>
      <c r="GZ446" s="41">
        <f>SUM(FU446:GM446)</f>
        <v>2977.8309683421212</v>
      </c>
      <c r="HA446" s="14">
        <f>GZ446/GW446</f>
        <v>180.47460414194674</v>
      </c>
      <c r="HB446" s="1">
        <f t="shared" si="800"/>
        <v>15.260000000000002</v>
      </c>
      <c r="HC446" s="1">
        <f t="shared" si="801"/>
        <v>7.84</v>
      </c>
      <c r="HD446" s="37" t="s">
        <v>2</v>
      </c>
      <c r="HE446" s="1" t="s">
        <v>113</v>
      </c>
      <c r="HF446" s="1" t="s">
        <v>261</v>
      </c>
      <c r="HG446" s="1" t="s">
        <v>589</v>
      </c>
      <c r="HI446" s="1" t="s">
        <v>96</v>
      </c>
      <c r="HJ446" s="37" t="s">
        <v>2</v>
      </c>
      <c r="JH446" s="58" t="s">
        <v>2</v>
      </c>
    </row>
    <row r="447" spans="1:268" ht="16.25" customHeight="1" x14ac:dyDescent="0.2">
      <c r="A447" s="15" t="s">
        <v>1012</v>
      </c>
      <c r="F447" s="1" t="s">
        <v>1013</v>
      </c>
      <c r="I447" s="1">
        <v>181.10000000000002</v>
      </c>
      <c r="J447" s="13">
        <v>7.781336278299282E-2</v>
      </c>
      <c r="K447" s="13">
        <v>0.25274897846493649</v>
      </c>
      <c r="Q447" s="13">
        <v>0.11468801766979568</v>
      </c>
      <c r="S447" s="13">
        <v>1.7395076753175041</v>
      </c>
      <c r="T447" s="13">
        <v>1.3826855880728877</v>
      </c>
      <c r="U447" s="13">
        <v>0.14495897294312532</v>
      </c>
      <c r="V447" s="13">
        <v>0.13009138597459965</v>
      </c>
      <c r="W447" s="13">
        <v>6.3187244616234123E-2</v>
      </c>
      <c r="AD447" s="1">
        <v>613.4</v>
      </c>
      <c r="AE447" s="13">
        <v>9.414411477013368E-2</v>
      </c>
      <c r="AF447" s="13">
        <v>0.25417732637756768</v>
      </c>
      <c r="AL447" s="13">
        <v>0.12181121617215519</v>
      </c>
      <c r="AN447" s="13">
        <v>1.7493380697750247</v>
      </c>
      <c r="AO447" s="13">
        <v>1.3904994913596349</v>
      </c>
      <c r="AP447" s="13">
        <v>0.14577817248125205</v>
      </c>
      <c r="AQ447" s="13">
        <v>0.13082656504727749</v>
      </c>
      <c r="AR447" s="13">
        <v>6.354433159439192E-2</v>
      </c>
      <c r="AY447" s="1">
        <v>207.3</v>
      </c>
      <c r="AZ447" s="13">
        <v>9.2233478051133605E-2</v>
      </c>
      <c r="BA447" s="13">
        <v>0.24833941148094546</v>
      </c>
      <c r="BG447" s="13">
        <v>0.1222334780511336</v>
      </c>
      <c r="BI447" s="13">
        <v>1.7091594790159188</v>
      </c>
      <c r="BJ447" s="13">
        <v>1.3585626628075251</v>
      </c>
      <c r="BK447" s="13">
        <v>0.14242995658465987</v>
      </c>
      <c r="BL447" s="13">
        <v>0.12782175590931016</v>
      </c>
      <c r="BM447" s="13">
        <v>6.2084852870236365E-2</v>
      </c>
      <c r="BT447" s="1">
        <v>93.4</v>
      </c>
      <c r="BU447" s="1">
        <v>7.0000000000000007E-2</v>
      </c>
      <c r="BV447" s="13">
        <v>0.22712000000000002</v>
      </c>
      <c r="CB447" s="13">
        <v>0.1</v>
      </c>
      <c r="CD447" s="13">
        <v>1.5631200000000001</v>
      </c>
      <c r="CE447" s="13">
        <v>1.24248</v>
      </c>
      <c r="CF447" s="13">
        <v>0.13025999999999999</v>
      </c>
      <c r="CG447" s="13">
        <v>0.1169</v>
      </c>
      <c r="CH447" s="13">
        <v>5.6780000000000004E-2</v>
      </c>
      <c r="CO447" s="1">
        <v>132.9</v>
      </c>
      <c r="CP447" s="1">
        <v>7.0000000000000007E-2</v>
      </c>
      <c r="CQ447" s="13">
        <v>0.22984000000000002</v>
      </c>
      <c r="CW447" s="13">
        <v>0.1</v>
      </c>
      <c r="CY447" s="13">
        <v>1.5818400000000001</v>
      </c>
      <c r="CZ447" s="13">
        <v>1.25736</v>
      </c>
      <c r="DA447" s="13">
        <v>0.13181999999999999</v>
      </c>
      <c r="DB447" s="13">
        <v>0.1183</v>
      </c>
      <c r="DC447" s="13">
        <v>5.7460000000000004E-2</v>
      </c>
      <c r="DJ447" s="1" t="s">
        <v>96</v>
      </c>
      <c r="DL447" s="1">
        <f t="shared" si="717"/>
        <v>0.12061090037931722</v>
      </c>
      <c r="DM447" s="1">
        <f t="shared" si="718"/>
        <v>0</v>
      </c>
      <c r="DN447" s="1" t="s">
        <v>73</v>
      </c>
      <c r="DO447" s="1" t="s">
        <v>2</v>
      </c>
      <c r="DP447" s="38">
        <f t="shared" si="725"/>
        <v>0.90960000000000008</v>
      </c>
      <c r="DQ447" s="38">
        <f t="shared" si="726"/>
        <v>253.16597200000001</v>
      </c>
      <c r="DR447" s="38">
        <f t="shared" si="727"/>
        <v>0</v>
      </c>
      <c r="DS447" s="38">
        <f t="shared" si="728"/>
        <v>0</v>
      </c>
      <c r="DT447" s="38">
        <f t="shared" si="729"/>
        <v>0</v>
      </c>
      <c r="DU447" s="38">
        <f t="shared" si="730"/>
        <v>0</v>
      </c>
      <c r="DV447" s="38">
        <f t="shared" si="731"/>
        <v>0</v>
      </c>
      <c r="DW447" s="38">
        <f t="shared" si="732"/>
        <v>1.2082799999999998</v>
      </c>
      <c r="DX447" s="38">
        <f t="shared" si="733"/>
        <v>0</v>
      </c>
      <c r="DY447" s="38">
        <f t="shared" si="734"/>
        <v>1742.3775720000003</v>
      </c>
      <c r="DZ447" s="38">
        <f t="shared" si="735"/>
        <v>1384.9667880000002</v>
      </c>
      <c r="EA447" s="38">
        <f t="shared" si="736"/>
        <v>145.19813099999999</v>
      </c>
      <c r="EB447" s="38">
        <f t="shared" si="737"/>
        <v>130.306015</v>
      </c>
      <c r="EC447" s="38">
        <f t="shared" si="738"/>
        <v>63.291493000000003</v>
      </c>
      <c r="ED447" s="38">
        <f t="shared" si="739"/>
        <v>0</v>
      </c>
      <c r="EE447" s="38">
        <f t="shared" si="740"/>
        <v>0</v>
      </c>
      <c r="EG447" s="38">
        <f t="shared" si="741"/>
        <v>0</v>
      </c>
      <c r="EH447" s="38">
        <f t="shared" si="742"/>
        <v>0</v>
      </c>
      <c r="EI447" s="38">
        <f t="shared" si="743"/>
        <v>5935.7003136000003</v>
      </c>
      <c r="EJ447" s="38">
        <f t="shared" si="744"/>
        <v>10354.569658649518</v>
      </c>
      <c r="EK447" s="38">
        <f t="shared" si="745"/>
        <v>0</v>
      </c>
      <c r="EL447" s="38">
        <f t="shared" si="746"/>
        <v>0</v>
      </c>
      <c r="EM447" s="38">
        <f t="shared" si="747"/>
        <v>0</v>
      </c>
      <c r="EN447" s="38">
        <f t="shared" si="748"/>
        <v>0</v>
      </c>
      <c r="EO447" s="38">
        <f t="shared" si="749"/>
        <v>0</v>
      </c>
      <c r="EP447" s="38">
        <f t="shared" si="750"/>
        <v>15845.383919999997</v>
      </c>
      <c r="EQ447" s="38">
        <f t="shared" si="751"/>
        <v>0</v>
      </c>
      <c r="ER447" s="38">
        <f t="shared" si="752"/>
        <v>49451.028543457236</v>
      </c>
      <c r="ES447" s="38">
        <f t="shared" si="753"/>
        <v>46155.020195718338</v>
      </c>
      <c r="ET447" s="38">
        <f t="shared" si="754"/>
        <v>10389.369804318329</v>
      </c>
      <c r="EU447" s="38">
        <f t="shared" si="755"/>
        <v>1024.0544413553052</v>
      </c>
      <c r="EV447" s="38">
        <f t="shared" si="756"/>
        <v>2631.9289116434084</v>
      </c>
      <c r="EW447" s="38">
        <f t="shared" si="757"/>
        <v>0</v>
      </c>
      <c r="EX447" s="38">
        <f t="shared" si="758"/>
        <v>0</v>
      </c>
      <c r="EZ447" s="38">
        <f t="shared" si="759"/>
        <v>0</v>
      </c>
      <c r="FA447" s="38">
        <f t="shared" si="760"/>
        <v>0</v>
      </c>
      <c r="FB447" s="1">
        <f t="shared" si="761"/>
        <v>0.15841000000000002</v>
      </c>
      <c r="FC447" s="1">
        <f t="shared" si="762"/>
        <v>51.758744000000007</v>
      </c>
      <c r="FD447" s="1">
        <f t="shared" si="763"/>
        <v>0</v>
      </c>
      <c r="FE447" s="1">
        <f t="shared" si="764"/>
        <v>0</v>
      </c>
      <c r="FF447" s="1">
        <f t="shared" si="765"/>
        <v>0</v>
      </c>
      <c r="FG447" s="1">
        <f t="shared" si="766"/>
        <v>0</v>
      </c>
      <c r="FH447" s="1">
        <f t="shared" si="767"/>
        <v>0</v>
      </c>
      <c r="FI447" s="1">
        <f t="shared" si="768"/>
        <v>0.22630000000000003</v>
      </c>
      <c r="FJ447" s="1">
        <f t="shared" si="769"/>
        <v>0</v>
      </c>
      <c r="FK447" s="1">
        <f t="shared" si="770"/>
        <v>356.22194400000006</v>
      </c>
      <c r="FL447" s="1">
        <f t="shared" si="771"/>
        <v>283.15077600000001</v>
      </c>
      <c r="FM447" s="1">
        <f t="shared" si="772"/>
        <v>29.685161999999998</v>
      </c>
      <c r="FN447" s="1">
        <f t="shared" si="773"/>
        <v>26.640530000000002</v>
      </c>
      <c r="FO447" s="1">
        <f t="shared" si="774"/>
        <v>12.939686000000002</v>
      </c>
      <c r="FP447" s="1">
        <f t="shared" si="775"/>
        <v>0</v>
      </c>
      <c r="FQ447" s="1">
        <f t="shared" si="776"/>
        <v>0</v>
      </c>
      <c r="FS447" s="1">
        <f t="shared" si="777"/>
        <v>0</v>
      </c>
      <c r="FT447" s="1">
        <f t="shared" si="778"/>
        <v>0</v>
      </c>
      <c r="FU447" s="38">
        <f t="shared" si="779"/>
        <v>1033.7228305600001</v>
      </c>
      <c r="FV447" s="38">
        <f t="shared" si="780"/>
        <v>2116.9492722829582</v>
      </c>
      <c r="FW447" s="38">
        <f t="shared" si="781"/>
        <v>0</v>
      </c>
      <c r="FX447" s="38">
        <f t="shared" si="782"/>
        <v>0</v>
      </c>
      <c r="FY447" s="38">
        <f t="shared" si="783"/>
        <v>0</v>
      </c>
      <c r="FZ447" s="38">
        <f t="shared" si="784"/>
        <v>0</v>
      </c>
      <c r="GA447" s="38">
        <f t="shared" si="785"/>
        <v>0</v>
      </c>
      <c r="GB447" s="38">
        <f t="shared" si="786"/>
        <v>2967.6982000000003</v>
      </c>
      <c r="GC447" s="38">
        <f t="shared" si="787"/>
        <v>0</v>
      </c>
      <c r="GD447" s="38">
        <f t="shared" si="788"/>
        <v>10110.059842155628</v>
      </c>
      <c r="GE447" s="38">
        <f t="shared" si="789"/>
        <v>9436.2044620475881</v>
      </c>
      <c r="GF447" s="38">
        <f t="shared" si="790"/>
        <v>2124.0640192475885</v>
      </c>
      <c r="GG447" s="38">
        <f t="shared" si="791"/>
        <v>209.36372788745979</v>
      </c>
      <c r="GH447" s="38">
        <f t="shared" si="792"/>
        <v>538.08706473376208</v>
      </c>
      <c r="GI447" s="38">
        <f t="shared" si="793"/>
        <v>0</v>
      </c>
      <c r="GJ447" s="38">
        <f t="shared" si="794"/>
        <v>0</v>
      </c>
      <c r="GL447" s="38">
        <f t="shared" si="795"/>
        <v>0</v>
      </c>
      <c r="GM447" s="38">
        <f t="shared" si="796"/>
        <v>0</v>
      </c>
      <c r="GN447" s="1" t="s">
        <v>2</v>
      </c>
      <c r="GO447" s="4">
        <f t="shared" si="719"/>
        <v>1001.8</v>
      </c>
      <c r="GP447" s="13">
        <f t="shared" si="720"/>
        <v>0.12061090037931722</v>
      </c>
      <c r="GQ447" s="43">
        <f t="shared" si="721"/>
        <v>1208.28</v>
      </c>
      <c r="GR447" s="41">
        <f t="shared" si="722"/>
        <v>141787.05578874215</v>
      </c>
      <c r="GS447" s="14">
        <f t="shared" si="723"/>
        <v>141.5322976529668</v>
      </c>
      <c r="GT447" s="1">
        <f t="shared" si="797"/>
        <v>207.7</v>
      </c>
      <c r="GU447" s="1">
        <f t="shared" si="798"/>
        <v>747.19</v>
      </c>
      <c r="GV447" s="1">
        <f t="shared" si="799"/>
        <v>253.39</v>
      </c>
      <c r="GW447" s="37">
        <f t="shared" si="724"/>
        <v>226.3</v>
      </c>
      <c r="GX447" s="44">
        <f>(BT447*CB447+CO447*CW447)/GW447</f>
        <v>0.1</v>
      </c>
      <c r="GY447" s="41">
        <f>1000*GW447*GX447/100</f>
        <v>226.3</v>
      </c>
      <c r="GZ447" s="41">
        <f>SUM(FU447:GM447)</f>
        <v>28536.149418914982</v>
      </c>
      <c r="HA447" s="14">
        <f>GZ447/GW447</f>
        <v>126.09876013661061</v>
      </c>
      <c r="HB447" s="1">
        <f t="shared" si="800"/>
        <v>93.40000000000002</v>
      </c>
      <c r="HC447" s="1">
        <f t="shared" si="801"/>
        <v>132.9</v>
      </c>
      <c r="HD447" s="37" t="s">
        <v>2</v>
      </c>
      <c r="HE447" s="1" t="s">
        <v>113</v>
      </c>
      <c r="HF447" s="1" t="s">
        <v>261</v>
      </c>
      <c r="HG447" s="1" t="s">
        <v>589</v>
      </c>
      <c r="HI447" s="1" t="s">
        <v>96</v>
      </c>
      <c r="HJ447" s="37" t="s">
        <v>2</v>
      </c>
      <c r="JH447" s="58" t="s">
        <v>2</v>
      </c>
    </row>
    <row r="448" spans="1:268" ht="16.25" customHeight="1" x14ac:dyDescent="0.2">
      <c r="A448" s="15" t="s">
        <v>1014</v>
      </c>
      <c r="F448" s="1" t="s">
        <v>1015</v>
      </c>
      <c r="I448" s="1">
        <v>0</v>
      </c>
      <c r="AD448" s="1">
        <v>40.17</v>
      </c>
      <c r="AE448" s="1">
        <v>0.18</v>
      </c>
      <c r="AF448" s="13">
        <v>0.4</v>
      </c>
      <c r="AL448" s="1">
        <v>0.22</v>
      </c>
      <c r="AN448" s="1">
        <v>1.86</v>
      </c>
      <c r="AO448" s="1">
        <v>1.42</v>
      </c>
      <c r="AP448" s="1">
        <v>0.13</v>
      </c>
      <c r="AY448" s="1">
        <v>41.61</v>
      </c>
      <c r="AZ448" s="1">
        <v>0.17</v>
      </c>
      <c r="BA448" s="1">
        <v>0.37</v>
      </c>
      <c r="BG448" s="1">
        <v>0.21</v>
      </c>
      <c r="BI448" s="1">
        <v>1.74</v>
      </c>
      <c r="BJ448" s="1">
        <v>1.23</v>
      </c>
      <c r="BK448" s="1">
        <v>0.13</v>
      </c>
      <c r="BT448" s="1">
        <v>0</v>
      </c>
      <c r="CO448" s="1">
        <v>0</v>
      </c>
      <c r="DJ448" s="1" t="s">
        <v>96</v>
      </c>
      <c r="DL448" s="1">
        <f t="shared" si="717"/>
        <v>0.21491195891415993</v>
      </c>
      <c r="DM448" s="1">
        <f t="shared" si="718"/>
        <v>0</v>
      </c>
      <c r="DN448" s="1" t="s">
        <v>1016</v>
      </c>
      <c r="DO448" s="1" t="s">
        <v>2</v>
      </c>
      <c r="DP448" s="38">
        <f t="shared" si="725"/>
        <v>0.143043</v>
      </c>
      <c r="DQ448" s="38">
        <f t="shared" si="726"/>
        <v>31.463700000000003</v>
      </c>
      <c r="DR448" s="38">
        <f t="shared" si="727"/>
        <v>0</v>
      </c>
      <c r="DS448" s="38">
        <f t="shared" si="728"/>
        <v>0</v>
      </c>
      <c r="DT448" s="38">
        <f t="shared" si="729"/>
        <v>0</v>
      </c>
      <c r="DU448" s="38">
        <f t="shared" si="730"/>
        <v>0</v>
      </c>
      <c r="DV448" s="38">
        <f t="shared" si="731"/>
        <v>0</v>
      </c>
      <c r="DW448" s="38">
        <f t="shared" si="732"/>
        <v>0.17575499999999999</v>
      </c>
      <c r="DX448" s="38">
        <f t="shared" si="733"/>
        <v>0</v>
      </c>
      <c r="DY448" s="38">
        <f t="shared" si="734"/>
        <v>147.11759999999998</v>
      </c>
      <c r="DZ448" s="38">
        <f t="shared" si="735"/>
        <v>108.2217</v>
      </c>
      <c r="EA448" s="38">
        <f t="shared" si="736"/>
        <v>10.631399999999999</v>
      </c>
      <c r="EB448" s="38">
        <f t="shared" si="737"/>
        <v>0</v>
      </c>
      <c r="EC448" s="38">
        <f t="shared" si="738"/>
        <v>0</v>
      </c>
      <c r="ED448" s="38">
        <f t="shared" si="739"/>
        <v>0</v>
      </c>
      <c r="EE448" s="38">
        <f t="shared" si="740"/>
        <v>0</v>
      </c>
      <c r="EG448" s="38">
        <f t="shared" si="741"/>
        <v>0</v>
      </c>
      <c r="EH448" s="38">
        <f t="shared" si="742"/>
        <v>0</v>
      </c>
      <c r="EI448" s="38">
        <f t="shared" si="743"/>
        <v>933.44368948800002</v>
      </c>
      <c r="EJ448" s="38">
        <f t="shared" si="744"/>
        <v>1286.8754469453374</v>
      </c>
      <c r="EK448" s="38">
        <f t="shared" si="745"/>
        <v>0</v>
      </c>
      <c r="EL448" s="38">
        <f t="shared" si="746"/>
        <v>0</v>
      </c>
      <c r="EM448" s="38">
        <f t="shared" si="747"/>
        <v>0</v>
      </c>
      <c r="EN448" s="38">
        <f t="shared" si="748"/>
        <v>0</v>
      </c>
      <c r="EO448" s="38">
        <f t="shared" si="749"/>
        <v>0</v>
      </c>
      <c r="EP448" s="38">
        <f t="shared" si="750"/>
        <v>2304.8510699999997</v>
      </c>
      <c r="EQ448" s="38">
        <f t="shared" si="751"/>
        <v>0</v>
      </c>
      <c r="ER448" s="38">
        <f t="shared" si="752"/>
        <v>4175.396167717041</v>
      </c>
      <c r="ES448" s="38">
        <f t="shared" si="753"/>
        <v>3606.5664479421225</v>
      </c>
      <c r="ET448" s="38">
        <f t="shared" si="754"/>
        <v>760.70914533762061</v>
      </c>
      <c r="EU448" s="38">
        <f t="shared" si="755"/>
        <v>0</v>
      </c>
      <c r="EV448" s="38">
        <f t="shared" si="756"/>
        <v>0</v>
      </c>
      <c r="EW448" s="38">
        <f t="shared" si="757"/>
        <v>0</v>
      </c>
      <c r="EX448" s="38">
        <f t="shared" si="758"/>
        <v>0</v>
      </c>
      <c r="EZ448" s="38">
        <f t="shared" si="759"/>
        <v>0</v>
      </c>
      <c r="FA448" s="38">
        <f t="shared" si="760"/>
        <v>0</v>
      </c>
      <c r="FB448" s="1">
        <f t="shared" si="761"/>
        <v>0</v>
      </c>
      <c r="FC448" s="1">
        <f t="shared" si="762"/>
        <v>0</v>
      </c>
      <c r="FD448" s="1">
        <f t="shared" si="763"/>
        <v>0</v>
      </c>
      <c r="FE448" s="1">
        <f t="shared" si="764"/>
        <v>0</v>
      </c>
      <c r="FF448" s="1">
        <f t="shared" si="765"/>
        <v>0</v>
      </c>
      <c r="FG448" s="1">
        <f t="shared" si="766"/>
        <v>0</v>
      </c>
      <c r="FH448" s="1">
        <f t="shared" si="767"/>
        <v>0</v>
      </c>
      <c r="FI448" s="1">
        <f t="shared" si="768"/>
        <v>0</v>
      </c>
      <c r="FJ448" s="1">
        <f t="shared" si="769"/>
        <v>0</v>
      </c>
      <c r="FK448" s="1">
        <f t="shared" si="770"/>
        <v>0</v>
      </c>
      <c r="FL448" s="1">
        <f t="shared" si="771"/>
        <v>0</v>
      </c>
      <c r="FM448" s="1">
        <f t="shared" si="772"/>
        <v>0</v>
      </c>
      <c r="FN448" s="1">
        <f t="shared" si="773"/>
        <v>0</v>
      </c>
      <c r="FO448" s="1">
        <f t="shared" si="774"/>
        <v>0</v>
      </c>
      <c r="FP448" s="1">
        <f t="shared" si="775"/>
        <v>0</v>
      </c>
      <c r="FQ448" s="1">
        <f t="shared" si="776"/>
        <v>0</v>
      </c>
      <c r="FS448" s="1">
        <f t="shared" si="777"/>
        <v>0</v>
      </c>
      <c r="FT448" s="1">
        <f t="shared" si="778"/>
        <v>0</v>
      </c>
      <c r="FU448" s="38">
        <f t="shared" si="779"/>
        <v>0</v>
      </c>
      <c r="FV448" s="38">
        <f t="shared" si="780"/>
        <v>0</v>
      </c>
      <c r="FW448" s="38">
        <f t="shared" si="781"/>
        <v>0</v>
      </c>
      <c r="FX448" s="38">
        <f t="shared" si="782"/>
        <v>0</v>
      </c>
      <c r="FY448" s="38">
        <f t="shared" si="783"/>
        <v>0</v>
      </c>
      <c r="FZ448" s="38">
        <f t="shared" si="784"/>
        <v>0</v>
      </c>
      <c r="GA448" s="38">
        <f t="shared" si="785"/>
        <v>0</v>
      </c>
      <c r="GB448" s="38">
        <f t="shared" si="786"/>
        <v>0</v>
      </c>
      <c r="GC448" s="38">
        <f t="shared" si="787"/>
        <v>0</v>
      </c>
      <c r="GD448" s="38">
        <f t="shared" si="788"/>
        <v>0</v>
      </c>
      <c r="GE448" s="38">
        <f t="shared" si="789"/>
        <v>0</v>
      </c>
      <c r="GF448" s="38">
        <f t="shared" si="790"/>
        <v>0</v>
      </c>
      <c r="GG448" s="38">
        <f t="shared" si="791"/>
        <v>0</v>
      </c>
      <c r="GH448" s="38">
        <f t="shared" si="792"/>
        <v>0</v>
      </c>
      <c r="GI448" s="38">
        <f t="shared" si="793"/>
        <v>0</v>
      </c>
      <c r="GJ448" s="38">
        <f t="shared" si="794"/>
        <v>0</v>
      </c>
      <c r="GL448" s="38">
        <f t="shared" si="795"/>
        <v>0</v>
      </c>
      <c r="GM448" s="38">
        <f t="shared" si="796"/>
        <v>0</v>
      </c>
      <c r="GN448" s="1" t="s">
        <v>2</v>
      </c>
      <c r="GO448" s="1">
        <f t="shared" si="719"/>
        <v>81.78</v>
      </c>
      <c r="GP448" s="13">
        <f t="shared" si="720"/>
        <v>0.21491195891415993</v>
      </c>
      <c r="GQ448" s="41">
        <f t="shared" si="721"/>
        <v>175.755</v>
      </c>
      <c r="GR448" s="41">
        <f t="shared" si="722"/>
        <v>13067.841967430122</v>
      </c>
      <c r="GS448" s="14">
        <f t="shared" si="723"/>
        <v>159.79263838872734</v>
      </c>
      <c r="GT448" s="1">
        <f t="shared" si="797"/>
        <v>0</v>
      </c>
      <c r="GU448" s="1">
        <f t="shared" si="798"/>
        <v>88.374000000000009</v>
      </c>
      <c r="GV448" s="1">
        <f t="shared" si="799"/>
        <v>87.380999999999986</v>
      </c>
      <c r="GW448" s="37">
        <f t="shared" si="724"/>
        <v>0</v>
      </c>
      <c r="GX448" s="37"/>
      <c r="GY448" s="37"/>
      <c r="GZ448" s="37"/>
      <c r="HB448" s="1">
        <f t="shared" si="800"/>
        <v>0</v>
      </c>
      <c r="HC448" s="1">
        <f t="shared" si="801"/>
        <v>0</v>
      </c>
      <c r="HD448" s="37" t="s">
        <v>2</v>
      </c>
      <c r="HE448" s="1" t="s">
        <v>113</v>
      </c>
      <c r="HF448" s="1" t="s">
        <v>261</v>
      </c>
      <c r="HG448" s="1" t="s">
        <v>589</v>
      </c>
      <c r="HI448" s="1" t="s">
        <v>96</v>
      </c>
      <c r="HJ448" s="37" t="s">
        <v>2</v>
      </c>
      <c r="JH448" s="58" t="s">
        <v>2</v>
      </c>
    </row>
    <row r="449" spans="1:268" ht="16.25" customHeight="1" x14ac:dyDescent="0.2">
      <c r="A449" s="15" t="s">
        <v>1017</v>
      </c>
      <c r="F449" s="1" t="s">
        <v>1015</v>
      </c>
      <c r="I449" s="1">
        <v>0</v>
      </c>
      <c r="AD449" s="1">
        <v>0</v>
      </c>
      <c r="AY449" s="1">
        <v>9.5399999999999991</v>
      </c>
      <c r="AZ449" s="1">
        <v>0.13</v>
      </c>
      <c r="BA449" s="1">
        <v>0.32</v>
      </c>
      <c r="BG449" s="1">
        <v>0.15</v>
      </c>
      <c r="BI449" s="1">
        <v>1.92</v>
      </c>
      <c r="BJ449" s="1">
        <v>1.28</v>
      </c>
      <c r="BK449" s="1">
        <v>0.15</v>
      </c>
      <c r="BT449" s="1">
        <v>0</v>
      </c>
      <c r="CO449" s="1">
        <v>0</v>
      </c>
      <c r="DJ449" s="1" t="s">
        <v>96</v>
      </c>
      <c r="DL449" s="1">
        <f t="shared" si="717"/>
        <v>0.15</v>
      </c>
      <c r="DM449" s="1">
        <f t="shared" si="718"/>
        <v>0</v>
      </c>
      <c r="DN449" s="1" t="s">
        <v>1016</v>
      </c>
      <c r="DO449" s="1" t="s">
        <v>2</v>
      </c>
      <c r="DP449" s="38">
        <f t="shared" si="725"/>
        <v>1.2402E-2</v>
      </c>
      <c r="DQ449" s="38">
        <f t="shared" si="726"/>
        <v>3.0528</v>
      </c>
      <c r="DR449" s="38">
        <f t="shared" si="727"/>
        <v>0</v>
      </c>
      <c r="DS449" s="38">
        <f t="shared" si="728"/>
        <v>0</v>
      </c>
      <c r="DT449" s="38">
        <f t="shared" si="729"/>
        <v>0</v>
      </c>
      <c r="DU449" s="38">
        <f t="shared" si="730"/>
        <v>0</v>
      </c>
      <c r="DV449" s="38">
        <f t="shared" si="731"/>
        <v>0</v>
      </c>
      <c r="DW449" s="38">
        <f t="shared" si="732"/>
        <v>1.4309999999999998E-2</v>
      </c>
      <c r="DX449" s="38">
        <f t="shared" si="733"/>
        <v>0</v>
      </c>
      <c r="DY449" s="38">
        <f t="shared" si="734"/>
        <v>18.316799999999997</v>
      </c>
      <c r="DZ449" s="38">
        <f t="shared" si="735"/>
        <v>12.2112</v>
      </c>
      <c r="EA449" s="38">
        <f t="shared" si="736"/>
        <v>1.4309999999999998</v>
      </c>
      <c r="EB449" s="38">
        <f t="shared" si="737"/>
        <v>0</v>
      </c>
      <c r="EC449" s="38">
        <f t="shared" si="738"/>
        <v>0</v>
      </c>
      <c r="ED449" s="38">
        <f t="shared" si="739"/>
        <v>0</v>
      </c>
      <c r="EE449" s="38">
        <f t="shared" si="740"/>
        <v>0</v>
      </c>
      <c r="EG449" s="38">
        <f t="shared" si="741"/>
        <v>0</v>
      </c>
      <c r="EH449" s="38">
        <f t="shared" si="742"/>
        <v>0</v>
      </c>
      <c r="EI449" s="38">
        <f t="shared" si="743"/>
        <v>80.930689631999996</v>
      </c>
      <c r="EJ449" s="38">
        <f t="shared" si="744"/>
        <v>124.86050160771703</v>
      </c>
      <c r="EK449" s="38">
        <f t="shared" si="745"/>
        <v>0</v>
      </c>
      <c r="EL449" s="38">
        <f t="shared" si="746"/>
        <v>0</v>
      </c>
      <c r="EM449" s="38">
        <f t="shared" si="747"/>
        <v>0</v>
      </c>
      <c r="EN449" s="38">
        <f t="shared" si="748"/>
        <v>0</v>
      </c>
      <c r="EO449" s="38">
        <f t="shared" si="749"/>
        <v>0</v>
      </c>
      <c r="EP449" s="38">
        <f t="shared" si="750"/>
        <v>187.66133999999997</v>
      </c>
      <c r="EQ449" s="38">
        <f t="shared" si="751"/>
        <v>0</v>
      </c>
      <c r="ER449" s="38">
        <f t="shared" si="752"/>
        <v>519.85552051446928</v>
      </c>
      <c r="ES449" s="38">
        <f t="shared" si="753"/>
        <v>406.94707446945341</v>
      </c>
      <c r="ET449" s="38">
        <f t="shared" si="754"/>
        <v>102.39242122186495</v>
      </c>
      <c r="EU449" s="38">
        <f t="shared" si="755"/>
        <v>0</v>
      </c>
      <c r="EV449" s="38">
        <f t="shared" si="756"/>
        <v>0</v>
      </c>
      <c r="EW449" s="38">
        <f t="shared" si="757"/>
        <v>0</v>
      </c>
      <c r="EX449" s="38">
        <f t="shared" si="758"/>
        <v>0</v>
      </c>
      <c r="EZ449" s="38">
        <f t="shared" si="759"/>
        <v>0</v>
      </c>
      <c r="FA449" s="38">
        <f t="shared" si="760"/>
        <v>0</v>
      </c>
      <c r="FB449" s="1">
        <f t="shared" si="761"/>
        <v>0</v>
      </c>
      <c r="FC449" s="1">
        <f t="shared" si="762"/>
        <v>0</v>
      </c>
      <c r="FD449" s="1">
        <f t="shared" si="763"/>
        <v>0</v>
      </c>
      <c r="FE449" s="1">
        <f t="shared" si="764"/>
        <v>0</v>
      </c>
      <c r="FF449" s="1">
        <f t="shared" si="765"/>
        <v>0</v>
      </c>
      <c r="FG449" s="1">
        <f t="shared" si="766"/>
        <v>0</v>
      </c>
      <c r="FH449" s="1">
        <f t="shared" si="767"/>
        <v>0</v>
      </c>
      <c r="FI449" s="1">
        <f t="shared" si="768"/>
        <v>0</v>
      </c>
      <c r="FJ449" s="1">
        <f t="shared" si="769"/>
        <v>0</v>
      </c>
      <c r="FK449" s="1">
        <f t="shared" si="770"/>
        <v>0</v>
      </c>
      <c r="FL449" s="1">
        <f t="shared" si="771"/>
        <v>0</v>
      </c>
      <c r="FM449" s="1">
        <f t="shared" si="772"/>
        <v>0</v>
      </c>
      <c r="FN449" s="1">
        <f t="shared" si="773"/>
        <v>0</v>
      </c>
      <c r="FO449" s="1">
        <f t="shared" si="774"/>
        <v>0</v>
      </c>
      <c r="FP449" s="1">
        <f t="shared" si="775"/>
        <v>0</v>
      </c>
      <c r="FQ449" s="1">
        <f t="shared" si="776"/>
        <v>0</v>
      </c>
      <c r="FS449" s="1">
        <f t="shared" si="777"/>
        <v>0</v>
      </c>
      <c r="FT449" s="1">
        <f t="shared" si="778"/>
        <v>0</v>
      </c>
      <c r="FU449" s="38">
        <f t="shared" si="779"/>
        <v>0</v>
      </c>
      <c r="FV449" s="38">
        <f t="shared" si="780"/>
        <v>0</v>
      </c>
      <c r="FW449" s="38">
        <f t="shared" si="781"/>
        <v>0</v>
      </c>
      <c r="FX449" s="38">
        <f t="shared" si="782"/>
        <v>0</v>
      </c>
      <c r="FY449" s="38">
        <f t="shared" si="783"/>
        <v>0</v>
      </c>
      <c r="FZ449" s="38">
        <f t="shared" si="784"/>
        <v>0</v>
      </c>
      <c r="GA449" s="38">
        <f t="shared" si="785"/>
        <v>0</v>
      </c>
      <c r="GB449" s="38">
        <f t="shared" si="786"/>
        <v>0</v>
      </c>
      <c r="GC449" s="38">
        <f t="shared" si="787"/>
        <v>0</v>
      </c>
      <c r="GD449" s="38">
        <f t="shared" si="788"/>
        <v>0</v>
      </c>
      <c r="GE449" s="38">
        <f t="shared" si="789"/>
        <v>0</v>
      </c>
      <c r="GF449" s="38">
        <f t="shared" si="790"/>
        <v>0</v>
      </c>
      <c r="GG449" s="38">
        <f t="shared" si="791"/>
        <v>0</v>
      </c>
      <c r="GH449" s="38">
        <f t="shared" si="792"/>
        <v>0</v>
      </c>
      <c r="GI449" s="38">
        <f t="shared" si="793"/>
        <v>0</v>
      </c>
      <c r="GJ449" s="38">
        <f t="shared" si="794"/>
        <v>0</v>
      </c>
      <c r="GL449" s="38">
        <f t="shared" si="795"/>
        <v>0</v>
      </c>
      <c r="GM449" s="38">
        <f t="shared" si="796"/>
        <v>0</v>
      </c>
      <c r="GN449" s="1" t="s">
        <v>2</v>
      </c>
      <c r="GO449" s="1">
        <f t="shared" si="719"/>
        <v>9.5399999999999991</v>
      </c>
      <c r="GP449" s="1">
        <f t="shared" si="720"/>
        <v>0.15</v>
      </c>
      <c r="GQ449" s="41">
        <f t="shared" si="721"/>
        <v>14.31</v>
      </c>
      <c r="GR449" s="41">
        <f t="shared" si="722"/>
        <v>1422.6475474455046</v>
      </c>
      <c r="GS449" s="14">
        <f t="shared" si="723"/>
        <v>149.12448086430868</v>
      </c>
      <c r="GT449" s="1">
        <f t="shared" si="797"/>
        <v>0</v>
      </c>
      <c r="GU449" s="1">
        <f t="shared" si="798"/>
        <v>0</v>
      </c>
      <c r="GV449" s="1">
        <f t="shared" si="799"/>
        <v>14.309999999999997</v>
      </c>
      <c r="GW449" s="37">
        <f t="shared" si="724"/>
        <v>0</v>
      </c>
      <c r="GX449" s="37"/>
      <c r="GY449" s="37"/>
      <c r="GZ449" s="37"/>
      <c r="HB449" s="1">
        <f t="shared" si="800"/>
        <v>0</v>
      </c>
      <c r="HC449" s="1">
        <f t="shared" si="801"/>
        <v>0</v>
      </c>
      <c r="HD449" s="37" t="s">
        <v>2</v>
      </c>
      <c r="HE449" s="1" t="s">
        <v>113</v>
      </c>
      <c r="HF449" s="1" t="s">
        <v>261</v>
      </c>
      <c r="HG449" s="1" t="s">
        <v>589</v>
      </c>
      <c r="HI449" s="1" t="s">
        <v>96</v>
      </c>
      <c r="HJ449" s="37" t="s">
        <v>2</v>
      </c>
      <c r="JH449" s="58" t="s">
        <v>2</v>
      </c>
    </row>
    <row r="450" spans="1:268" ht="16.25" customHeight="1" x14ac:dyDescent="0.2">
      <c r="A450" s="15" t="s">
        <v>1230</v>
      </c>
      <c r="F450" s="1" t="s">
        <v>1231</v>
      </c>
      <c r="I450" s="1">
        <v>1.8</v>
      </c>
      <c r="J450" s="13">
        <v>9.9999999999999992E-2</v>
      </c>
      <c r="K450" s="13">
        <v>0.25641949999999997</v>
      </c>
      <c r="Q450" s="13">
        <v>0.155</v>
      </c>
      <c r="S450" s="13">
        <v>2.1433679999999997</v>
      </c>
      <c r="T450" s="13">
        <v>1.5691869999999999</v>
      </c>
      <c r="U450" s="13">
        <v>0.18602549999999998</v>
      </c>
      <c r="AD450" s="1">
        <v>83.6</v>
      </c>
      <c r="AE450" s="13">
        <v>9.7033492822966513E-2</v>
      </c>
      <c r="AF450" s="13">
        <v>0.29550673205741629</v>
      </c>
      <c r="AL450" s="13">
        <v>0.1505502392344498</v>
      </c>
      <c r="AN450" s="13">
        <v>2.2980283397129191</v>
      </c>
      <c r="AO450" s="13">
        <v>1.7584097703349286</v>
      </c>
      <c r="AP450" s="13">
        <v>0.18169152153110046</v>
      </c>
      <c r="AY450" s="1">
        <v>89.4</v>
      </c>
      <c r="AZ450" s="13">
        <v>9.7852348993288582E-2</v>
      </c>
      <c r="BA450" s="13">
        <v>0.26753500671140934</v>
      </c>
      <c r="BG450" s="13">
        <v>0.1517785234899329</v>
      </c>
      <c r="BI450" s="13">
        <v>2.0486345302013418</v>
      </c>
      <c r="BJ450" s="13">
        <v>1.5827077315436242</v>
      </c>
      <c r="BK450" s="13">
        <v>0.15843816778523487</v>
      </c>
      <c r="BT450" s="1">
        <v>0</v>
      </c>
      <c r="CO450" s="1">
        <v>0</v>
      </c>
      <c r="DJ450" s="1" t="s">
        <v>96</v>
      </c>
      <c r="DL450" s="1">
        <f t="shared" si="717"/>
        <v>0.1512242562929062</v>
      </c>
      <c r="DM450" s="1">
        <f t="shared" si="718"/>
        <v>0</v>
      </c>
      <c r="DN450" s="1" t="s">
        <v>73</v>
      </c>
      <c r="DO450" s="1" t="s">
        <v>2</v>
      </c>
      <c r="DP450" s="38">
        <f t="shared" si="725"/>
        <v>0.1704</v>
      </c>
      <c r="DQ450" s="38">
        <f t="shared" si="726"/>
        <v>49.083547499999995</v>
      </c>
      <c r="DR450" s="38">
        <f t="shared" si="727"/>
        <v>0</v>
      </c>
      <c r="DS450" s="38">
        <f t="shared" si="728"/>
        <v>0</v>
      </c>
      <c r="DT450" s="38">
        <f t="shared" si="729"/>
        <v>0</v>
      </c>
      <c r="DU450" s="38">
        <f t="shared" si="730"/>
        <v>0</v>
      </c>
      <c r="DV450" s="38">
        <f t="shared" si="731"/>
        <v>0</v>
      </c>
      <c r="DW450" s="38">
        <f t="shared" si="732"/>
        <v>0.26434000000000002</v>
      </c>
      <c r="DX450" s="38">
        <f t="shared" si="733"/>
        <v>0</v>
      </c>
      <c r="DY450" s="38">
        <f t="shared" si="734"/>
        <v>379.1211586</v>
      </c>
      <c r="DZ450" s="38">
        <f t="shared" si="735"/>
        <v>291.32166460000002</v>
      </c>
      <c r="EA450" s="38">
        <f t="shared" si="736"/>
        <v>29.688629299999995</v>
      </c>
      <c r="EB450" s="38">
        <f t="shared" si="737"/>
        <v>0</v>
      </c>
      <c r="EC450" s="38">
        <f t="shared" si="738"/>
        <v>0</v>
      </c>
      <c r="ED450" s="38">
        <f t="shared" si="739"/>
        <v>0</v>
      </c>
      <c r="EE450" s="38">
        <f t="shared" si="740"/>
        <v>0</v>
      </c>
      <c r="EG450" s="38">
        <f t="shared" si="741"/>
        <v>0</v>
      </c>
      <c r="EH450" s="38">
        <f t="shared" si="742"/>
        <v>0</v>
      </c>
      <c r="EI450" s="38">
        <f t="shared" si="743"/>
        <v>1111.9649663999999</v>
      </c>
      <c r="EJ450" s="38">
        <f t="shared" si="744"/>
        <v>2007.5328752411569</v>
      </c>
      <c r="EK450" s="38">
        <f t="shared" si="745"/>
        <v>0</v>
      </c>
      <c r="EL450" s="38">
        <f t="shared" si="746"/>
        <v>0</v>
      </c>
      <c r="EM450" s="38">
        <f t="shared" si="747"/>
        <v>0</v>
      </c>
      <c r="EN450" s="38">
        <f t="shared" si="748"/>
        <v>0</v>
      </c>
      <c r="EO450" s="38">
        <f t="shared" si="749"/>
        <v>0</v>
      </c>
      <c r="EP450" s="38">
        <f t="shared" si="750"/>
        <v>3466.5547600000004</v>
      </c>
      <c r="EQ450" s="38">
        <f t="shared" si="751"/>
        <v>0</v>
      </c>
      <c r="ER450" s="38">
        <f t="shared" si="752"/>
        <v>10759.970477487972</v>
      </c>
      <c r="ES450" s="38">
        <f t="shared" si="753"/>
        <v>9708.5052360571717</v>
      </c>
      <c r="ET450" s="38">
        <f t="shared" si="754"/>
        <v>2124.312115154019</v>
      </c>
      <c r="EU450" s="38">
        <f t="shared" si="755"/>
        <v>0</v>
      </c>
      <c r="EV450" s="38">
        <f t="shared" si="756"/>
        <v>0</v>
      </c>
      <c r="EW450" s="38">
        <f t="shared" si="757"/>
        <v>0</v>
      </c>
      <c r="EX450" s="38">
        <f t="shared" si="758"/>
        <v>0</v>
      </c>
      <c r="EZ450" s="38">
        <f t="shared" si="759"/>
        <v>0</v>
      </c>
      <c r="FA450" s="38">
        <f t="shared" si="760"/>
        <v>0</v>
      </c>
      <c r="FB450" s="1">
        <f t="shared" si="761"/>
        <v>0</v>
      </c>
      <c r="FC450" s="1">
        <f t="shared" si="762"/>
        <v>0</v>
      </c>
      <c r="FD450" s="1">
        <f t="shared" si="763"/>
        <v>0</v>
      </c>
      <c r="FE450" s="1">
        <f t="shared" si="764"/>
        <v>0</v>
      </c>
      <c r="FF450" s="1">
        <f t="shared" si="765"/>
        <v>0</v>
      </c>
      <c r="FG450" s="1">
        <f t="shared" si="766"/>
        <v>0</v>
      </c>
      <c r="FH450" s="1">
        <f t="shared" si="767"/>
        <v>0</v>
      </c>
      <c r="FI450" s="1">
        <f t="shared" si="768"/>
        <v>0</v>
      </c>
      <c r="FJ450" s="1">
        <f t="shared" si="769"/>
        <v>0</v>
      </c>
      <c r="FK450" s="1">
        <f t="shared" si="770"/>
        <v>0</v>
      </c>
      <c r="FL450" s="1">
        <f t="shared" si="771"/>
        <v>0</v>
      </c>
      <c r="FM450" s="1">
        <f t="shared" si="772"/>
        <v>0</v>
      </c>
      <c r="FN450" s="1">
        <f t="shared" si="773"/>
        <v>0</v>
      </c>
      <c r="FO450" s="1">
        <f t="shared" si="774"/>
        <v>0</v>
      </c>
      <c r="FP450" s="1">
        <f t="shared" si="775"/>
        <v>0</v>
      </c>
      <c r="FQ450" s="1">
        <f t="shared" si="776"/>
        <v>0</v>
      </c>
      <c r="FS450" s="1">
        <f t="shared" si="777"/>
        <v>0</v>
      </c>
      <c r="FT450" s="1">
        <f t="shared" si="778"/>
        <v>0</v>
      </c>
      <c r="FU450" s="38">
        <f t="shared" si="779"/>
        <v>0</v>
      </c>
      <c r="FV450" s="38">
        <f t="shared" si="780"/>
        <v>0</v>
      </c>
      <c r="FW450" s="38">
        <f t="shared" si="781"/>
        <v>0</v>
      </c>
      <c r="FX450" s="38">
        <f t="shared" si="782"/>
        <v>0</v>
      </c>
      <c r="FY450" s="38">
        <f t="shared" si="783"/>
        <v>0</v>
      </c>
      <c r="FZ450" s="38">
        <f t="shared" si="784"/>
        <v>0</v>
      </c>
      <c r="GA450" s="38">
        <f t="shared" si="785"/>
        <v>0</v>
      </c>
      <c r="GB450" s="38">
        <f t="shared" si="786"/>
        <v>0</v>
      </c>
      <c r="GC450" s="38">
        <f t="shared" si="787"/>
        <v>0</v>
      </c>
      <c r="GD450" s="38">
        <f t="shared" si="788"/>
        <v>0</v>
      </c>
      <c r="GE450" s="38">
        <f t="shared" si="789"/>
        <v>0</v>
      </c>
      <c r="GF450" s="38">
        <f t="shared" si="790"/>
        <v>0</v>
      </c>
      <c r="GG450" s="38">
        <f t="shared" si="791"/>
        <v>0</v>
      </c>
      <c r="GH450" s="38">
        <f t="shared" si="792"/>
        <v>0</v>
      </c>
      <c r="GI450" s="38">
        <f t="shared" si="793"/>
        <v>0</v>
      </c>
      <c r="GJ450" s="38">
        <f t="shared" si="794"/>
        <v>0</v>
      </c>
      <c r="GL450" s="38">
        <f t="shared" si="795"/>
        <v>0</v>
      </c>
      <c r="GM450" s="38">
        <f t="shared" si="796"/>
        <v>0</v>
      </c>
      <c r="GN450" s="1" t="s">
        <v>2</v>
      </c>
      <c r="GO450" s="1">
        <f t="shared" si="719"/>
        <v>174.8</v>
      </c>
      <c r="GP450" s="13">
        <f t="shared" si="720"/>
        <v>0.1512242562929062</v>
      </c>
      <c r="GQ450" s="41">
        <f t="shared" si="721"/>
        <v>264.34000000000003</v>
      </c>
      <c r="GR450" s="41">
        <f t="shared" si="722"/>
        <v>29178.840430340319</v>
      </c>
      <c r="GS450" s="14">
        <f t="shared" si="723"/>
        <v>166.92700475023065</v>
      </c>
      <c r="GT450" s="1">
        <f t="shared" si="797"/>
        <v>2.79</v>
      </c>
      <c r="GU450" s="1">
        <f t="shared" si="798"/>
        <v>125.86000000000001</v>
      </c>
      <c r="GV450" s="1">
        <f t="shared" si="799"/>
        <v>135.69000000000003</v>
      </c>
      <c r="GW450" s="37">
        <f t="shared" si="724"/>
        <v>0</v>
      </c>
      <c r="GX450" s="37"/>
      <c r="GY450" s="37"/>
      <c r="GZ450" s="37"/>
      <c r="HB450" s="1">
        <f t="shared" si="800"/>
        <v>0</v>
      </c>
      <c r="HC450" s="1">
        <f t="shared" si="801"/>
        <v>0</v>
      </c>
      <c r="HD450" s="37" t="s">
        <v>2</v>
      </c>
      <c r="HE450" s="1" t="s">
        <v>113</v>
      </c>
      <c r="HF450" s="1" t="s">
        <v>261</v>
      </c>
      <c r="HG450" s="1" t="s">
        <v>1232</v>
      </c>
      <c r="HH450" s="1" t="s">
        <v>1194</v>
      </c>
      <c r="HI450" s="1" t="s">
        <v>96</v>
      </c>
      <c r="HJ450" s="37" t="s">
        <v>2</v>
      </c>
      <c r="JH450" s="58" t="s">
        <v>2</v>
      </c>
    </row>
    <row r="451" spans="1:268" ht="16.25" customHeight="1" x14ac:dyDescent="0.2">
      <c r="A451" s="15" t="s">
        <v>259</v>
      </c>
      <c r="B451" s="1" t="s">
        <v>69</v>
      </c>
      <c r="E451" s="1" t="s">
        <v>72</v>
      </c>
      <c r="F451" s="1" t="s">
        <v>256</v>
      </c>
      <c r="H451" s="1" t="s">
        <v>70</v>
      </c>
      <c r="I451" s="1">
        <v>0</v>
      </c>
      <c r="AD451" s="1">
        <v>0</v>
      </c>
      <c r="AY451" s="1">
        <f>15.7+4.7+6.8+3</f>
        <v>30.2</v>
      </c>
      <c r="AZ451" s="13">
        <f>(0.08*15.7+0.24*4.7+0.1*6.8+0.25*3)/AY451</f>
        <v>0.12629139072847684</v>
      </c>
      <c r="BA451" s="13">
        <f>(0.1*15.7+0.13*4.7+0.14*6.8+0.12*3)/AY451</f>
        <v>0.11566225165562914</v>
      </c>
      <c r="BG451" s="13">
        <f>(0.09*15.7+0.07*4.7+0.12*6.8+0.11*3)/AY451</f>
        <v>9.5629139072847674E-2</v>
      </c>
      <c r="BI451" s="13">
        <f>(0.69*15.7+0.07*4.7+0.71*6.8+0.06*3)/AY451</f>
        <v>0.53543046357615887</v>
      </c>
      <c r="BJ451" s="13">
        <f>(0.59*15.7+0.05*4.7+0.65*6.8+0.05*3)/AY451</f>
        <v>0.46582781456953642</v>
      </c>
      <c r="BT451" s="1">
        <v>0</v>
      </c>
      <c r="CO451" s="1">
        <v>0</v>
      </c>
      <c r="DJ451" s="1" t="s">
        <v>96</v>
      </c>
      <c r="DL451" s="1">
        <f t="shared" si="717"/>
        <v>9.5629139072847674E-2</v>
      </c>
      <c r="DM451" s="1">
        <f t="shared" si="718"/>
        <v>0</v>
      </c>
      <c r="DN451" s="1" t="s">
        <v>260</v>
      </c>
      <c r="DO451" s="1" t="s">
        <v>2</v>
      </c>
      <c r="DP451" s="38">
        <f t="shared" si="725"/>
        <v>3.8140000000000007E-2</v>
      </c>
      <c r="DQ451" s="38">
        <f t="shared" si="726"/>
        <v>3.4929999999999999</v>
      </c>
      <c r="DR451" s="38">
        <f t="shared" si="727"/>
        <v>0</v>
      </c>
      <c r="DS451" s="38">
        <f t="shared" si="728"/>
        <v>0</v>
      </c>
      <c r="DT451" s="38">
        <f t="shared" si="729"/>
        <v>0</v>
      </c>
      <c r="DU451" s="38">
        <f t="shared" si="730"/>
        <v>0</v>
      </c>
      <c r="DV451" s="38">
        <f t="shared" si="731"/>
        <v>0</v>
      </c>
      <c r="DW451" s="38">
        <f t="shared" si="732"/>
        <v>2.8879999999999999E-2</v>
      </c>
      <c r="DX451" s="38">
        <f t="shared" si="733"/>
        <v>0</v>
      </c>
      <c r="DY451" s="38">
        <f t="shared" si="734"/>
        <v>16.169999999999998</v>
      </c>
      <c r="DZ451" s="38">
        <f t="shared" si="735"/>
        <v>14.068</v>
      </c>
      <c r="EA451" s="38">
        <f t="shared" si="736"/>
        <v>0</v>
      </c>
      <c r="EB451" s="38">
        <f t="shared" si="737"/>
        <v>0</v>
      </c>
      <c r="EC451" s="38">
        <f t="shared" si="738"/>
        <v>0</v>
      </c>
      <c r="ED451" s="38">
        <f t="shared" si="739"/>
        <v>0</v>
      </c>
      <c r="EE451" s="38">
        <f t="shared" si="740"/>
        <v>0</v>
      </c>
      <c r="EG451" s="38">
        <f t="shared" si="741"/>
        <v>0</v>
      </c>
      <c r="EH451" s="38">
        <f t="shared" si="742"/>
        <v>0</v>
      </c>
      <c r="EI451" s="38">
        <f t="shared" si="743"/>
        <v>248.88699424000004</v>
      </c>
      <c r="EJ451" s="38">
        <f t="shared" si="744"/>
        <v>142.86482315112536</v>
      </c>
      <c r="EK451" s="38">
        <f t="shared" si="745"/>
        <v>0</v>
      </c>
      <c r="EL451" s="38">
        <f t="shared" si="746"/>
        <v>0</v>
      </c>
      <c r="EM451" s="38">
        <f t="shared" si="747"/>
        <v>0</v>
      </c>
      <c r="EN451" s="38">
        <f t="shared" si="748"/>
        <v>0</v>
      </c>
      <c r="EO451" s="38">
        <f t="shared" si="749"/>
        <v>0</v>
      </c>
      <c r="EP451" s="38">
        <f t="shared" si="750"/>
        <v>378.73232000000002</v>
      </c>
      <c r="EQ451" s="38">
        <f t="shared" si="751"/>
        <v>0</v>
      </c>
      <c r="ER451" s="38">
        <f t="shared" si="752"/>
        <v>458.92643729903523</v>
      </c>
      <c r="ES451" s="38">
        <f t="shared" si="753"/>
        <v>468.82627781350482</v>
      </c>
      <c r="ET451" s="38">
        <f t="shared" si="754"/>
        <v>0</v>
      </c>
      <c r="EU451" s="38">
        <f t="shared" si="755"/>
        <v>0</v>
      </c>
      <c r="EV451" s="38">
        <f t="shared" si="756"/>
        <v>0</v>
      </c>
      <c r="EW451" s="38">
        <f t="shared" si="757"/>
        <v>0</v>
      </c>
      <c r="EX451" s="38">
        <f t="shared" si="758"/>
        <v>0</v>
      </c>
      <c r="EZ451" s="38">
        <f t="shared" si="759"/>
        <v>0</v>
      </c>
      <c r="FA451" s="38">
        <f t="shared" si="760"/>
        <v>0</v>
      </c>
      <c r="FB451" s="1">
        <f t="shared" si="761"/>
        <v>0</v>
      </c>
      <c r="FC451" s="1">
        <f t="shared" si="762"/>
        <v>0</v>
      </c>
      <c r="FD451" s="1">
        <f t="shared" si="763"/>
        <v>0</v>
      </c>
      <c r="FE451" s="1">
        <f t="shared" si="764"/>
        <v>0</v>
      </c>
      <c r="FF451" s="1">
        <f t="shared" si="765"/>
        <v>0</v>
      </c>
      <c r="FG451" s="1">
        <f t="shared" si="766"/>
        <v>0</v>
      </c>
      <c r="FH451" s="1">
        <f t="shared" si="767"/>
        <v>0</v>
      </c>
      <c r="FI451" s="1">
        <f t="shared" si="768"/>
        <v>0</v>
      </c>
      <c r="FJ451" s="1">
        <f t="shared" si="769"/>
        <v>0</v>
      </c>
      <c r="FK451" s="1">
        <f t="shared" si="770"/>
        <v>0</v>
      </c>
      <c r="FL451" s="1">
        <f t="shared" si="771"/>
        <v>0</v>
      </c>
      <c r="FM451" s="1">
        <f t="shared" si="772"/>
        <v>0</v>
      </c>
      <c r="FN451" s="1">
        <f t="shared" si="773"/>
        <v>0</v>
      </c>
      <c r="FO451" s="1">
        <f t="shared" si="774"/>
        <v>0</v>
      </c>
      <c r="FP451" s="1">
        <f t="shared" si="775"/>
        <v>0</v>
      </c>
      <c r="FQ451" s="1">
        <f t="shared" si="776"/>
        <v>0</v>
      </c>
      <c r="FS451" s="1">
        <f t="shared" si="777"/>
        <v>0</v>
      </c>
      <c r="FT451" s="1">
        <f t="shared" si="778"/>
        <v>0</v>
      </c>
      <c r="FU451" s="38">
        <f t="shared" si="779"/>
        <v>0</v>
      </c>
      <c r="FV451" s="38">
        <f t="shared" si="780"/>
        <v>0</v>
      </c>
      <c r="FW451" s="38">
        <f t="shared" si="781"/>
        <v>0</v>
      </c>
      <c r="FX451" s="38">
        <f t="shared" si="782"/>
        <v>0</v>
      </c>
      <c r="FY451" s="38">
        <f t="shared" si="783"/>
        <v>0</v>
      </c>
      <c r="FZ451" s="38">
        <f t="shared" si="784"/>
        <v>0</v>
      </c>
      <c r="GA451" s="38">
        <f t="shared" si="785"/>
        <v>0</v>
      </c>
      <c r="GB451" s="38">
        <f t="shared" si="786"/>
        <v>0</v>
      </c>
      <c r="GC451" s="38">
        <f t="shared" si="787"/>
        <v>0</v>
      </c>
      <c r="GD451" s="38">
        <f t="shared" si="788"/>
        <v>0</v>
      </c>
      <c r="GE451" s="38">
        <f t="shared" si="789"/>
        <v>0</v>
      </c>
      <c r="GF451" s="38">
        <f t="shared" si="790"/>
        <v>0</v>
      </c>
      <c r="GG451" s="38">
        <f t="shared" si="791"/>
        <v>0</v>
      </c>
      <c r="GH451" s="38">
        <f t="shared" si="792"/>
        <v>0</v>
      </c>
      <c r="GI451" s="38">
        <f t="shared" si="793"/>
        <v>0</v>
      </c>
      <c r="GJ451" s="38">
        <f t="shared" si="794"/>
        <v>0</v>
      </c>
      <c r="GL451" s="38">
        <f t="shared" si="795"/>
        <v>0</v>
      </c>
      <c r="GM451" s="38">
        <f t="shared" si="796"/>
        <v>0</v>
      </c>
      <c r="GN451" s="1" t="s">
        <v>2</v>
      </c>
      <c r="GO451" s="1">
        <f t="shared" si="719"/>
        <v>30.2</v>
      </c>
      <c r="GP451" s="2">
        <f t="shared" si="720"/>
        <v>9.5629139072847674E-2</v>
      </c>
      <c r="GQ451" s="41">
        <f t="shared" si="721"/>
        <v>28.879999999999995</v>
      </c>
      <c r="GR451" s="41">
        <f t="shared" si="722"/>
        <v>1698.2368525036654</v>
      </c>
      <c r="GS451" s="14">
        <f t="shared" si="723"/>
        <v>56.233008361048526</v>
      </c>
      <c r="GT451" s="1">
        <f t="shared" si="797"/>
        <v>0</v>
      </c>
      <c r="GU451" s="1">
        <f t="shared" si="798"/>
        <v>0</v>
      </c>
      <c r="GV451" s="1">
        <f t="shared" si="799"/>
        <v>28.88</v>
      </c>
      <c r="GW451" s="37">
        <f t="shared" si="724"/>
        <v>0</v>
      </c>
      <c r="GX451" s="37"/>
      <c r="GY451" s="37"/>
      <c r="GZ451" s="37"/>
      <c r="HB451" s="1">
        <f t="shared" si="800"/>
        <v>0</v>
      </c>
      <c r="HC451" s="1">
        <f t="shared" si="801"/>
        <v>0</v>
      </c>
      <c r="HD451" s="37" t="s">
        <v>2</v>
      </c>
      <c r="HE451" s="1" t="s">
        <v>113</v>
      </c>
      <c r="HF451" s="1" t="s">
        <v>261</v>
      </c>
      <c r="HI451" s="1" t="s">
        <v>96</v>
      </c>
      <c r="HJ451" s="37" t="s">
        <v>2</v>
      </c>
      <c r="JH451" s="58" t="s">
        <v>2</v>
      </c>
    </row>
    <row r="452" spans="1:268" ht="16.25" customHeight="1" x14ac:dyDescent="0.2">
      <c r="A452" s="15" t="s">
        <v>362</v>
      </c>
      <c r="B452" s="1" t="s">
        <v>69</v>
      </c>
      <c r="E452" s="1" t="s">
        <v>65</v>
      </c>
      <c r="F452" s="1" t="s">
        <v>363</v>
      </c>
      <c r="H452" s="1" t="s">
        <v>70</v>
      </c>
      <c r="I452" s="1">
        <v>0</v>
      </c>
      <c r="AD452" s="1">
        <v>0</v>
      </c>
      <c r="AY452" s="14">
        <f>44.5+5.5</f>
        <v>50</v>
      </c>
      <c r="AZ452" s="13">
        <f>(0.12*44.5+0.18*5.5)/AY452</f>
        <v>0.12659999999999999</v>
      </c>
      <c r="BG452" s="13">
        <f>(0.31*44.5+0.25*5.5)/AY452</f>
        <v>0.3034</v>
      </c>
      <c r="BH452" s="13">
        <f>(0.03*44.5+0.03*5.5)/AY452</f>
        <v>0.03</v>
      </c>
      <c r="BT452" s="1">
        <v>0</v>
      </c>
      <c r="CO452" s="1">
        <v>0</v>
      </c>
      <c r="DJ452" s="1" t="s">
        <v>96</v>
      </c>
      <c r="DK452" s="1" t="s">
        <v>96</v>
      </c>
      <c r="DL452" s="1">
        <f t="shared" ref="DL452:DL515" si="802">(Q452*I452+AL452*AD452+BG452*AY452)/(I452+AD452+AY452)</f>
        <v>0.3034</v>
      </c>
      <c r="DM452" s="1">
        <f t="shared" ref="DM452:DM515" si="803">(R452*I452+AM452*AD452+BH452*AY452)/(I452+AD452+AY452)</f>
        <v>0.03</v>
      </c>
      <c r="DN452" s="1" t="s">
        <v>148</v>
      </c>
      <c r="DO452" s="1" t="s">
        <v>2</v>
      </c>
      <c r="DP452" s="38">
        <f t="shared" si="725"/>
        <v>6.3299999999999995E-2</v>
      </c>
      <c r="DQ452" s="38">
        <f t="shared" si="726"/>
        <v>0</v>
      </c>
      <c r="DR452" s="38">
        <f t="shared" si="727"/>
        <v>0</v>
      </c>
      <c r="DS452" s="38">
        <f t="shared" si="728"/>
        <v>0</v>
      </c>
      <c r="DT452" s="38">
        <f t="shared" si="729"/>
        <v>0</v>
      </c>
      <c r="DU452" s="38">
        <f t="shared" si="730"/>
        <v>0</v>
      </c>
      <c r="DV452" s="38">
        <f t="shared" si="731"/>
        <v>0</v>
      </c>
      <c r="DW452" s="38">
        <f t="shared" si="732"/>
        <v>0.1517</v>
      </c>
      <c r="DX452" s="38">
        <f t="shared" si="733"/>
        <v>1.4999999999999999E-2</v>
      </c>
      <c r="DY452" s="38">
        <f t="shared" si="734"/>
        <v>0</v>
      </c>
      <c r="DZ452" s="38">
        <f t="shared" si="735"/>
        <v>0</v>
      </c>
      <c r="EA452" s="38">
        <f t="shared" si="736"/>
        <v>0</v>
      </c>
      <c r="EB452" s="38">
        <f t="shared" si="737"/>
        <v>0</v>
      </c>
      <c r="EC452" s="38">
        <f t="shared" si="738"/>
        <v>0</v>
      </c>
      <c r="ED452" s="38">
        <f t="shared" si="739"/>
        <v>0</v>
      </c>
      <c r="EE452" s="38">
        <f t="shared" si="740"/>
        <v>0</v>
      </c>
      <c r="EG452" s="38">
        <f t="shared" si="741"/>
        <v>0</v>
      </c>
      <c r="EH452" s="38">
        <f t="shared" si="742"/>
        <v>0</v>
      </c>
      <c r="EI452" s="38">
        <f t="shared" si="743"/>
        <v>413.07149279999999</v>
      </c>
      <c r="EJ452" s="38">
        <f t="shared" si="744"/>
        <v>0</v>
      </c>
      <c r="EK452" s="38">
        <f t="shared" si="745"/>
        <v>0</v>
      </c>
      <c r="EL452" s="38">
        <f t="shared" si="746"/>
        <v>0</v>
      </c>
      <c r="EM452" s="38">
        <f t="shared" si="747"/>
        <v>0</v>
      </c>
      <c r="EN452" s="38">
        <f t="shared" si="748"/>
        <v>0</v>
      </c>
      <c r="EO452" s="38">
        <f t="shared" si="749"/>
        <v>0</v>
      </c>
      <c r="EP452" s="38">
        <f t="shared" si="750"/>
        <v>1989.3938000000001</v>
      </c>
      <c r="EQ452" s="38">
        <f t="shared" si="751"/>
        <v>1089.2928599999998</v>
      </c>
      <c r="ER452" s="38">
        <f t="shared" si="752"/>
        <v>0</v>
      </c>
      <c r="ES452" s="38">
        <f t="shared" si="753"/>
        <v>0</v>
      </c>
      <c r="ET452" s="38">
        <f t="shared" si="754"/>
        <v>0</v>
      </c>
      <c r="EU452" s="38">
        <f t="shared" si="755"/>
        <v>0</v>
      </c>
      <c r="EV452" s="38">
        <f t="shared" si="756"/>
        <v>0</v>
      </c>
      <c r="EW452" s="38">
        <f t="shared" si="757"/>
        <v>0</v>
      </c>
      <c r="EX452" s="38">
        <f t="shared" si="758"/>
        <v>0</v>
      </c>
      <c r="EZ452" s="38">
        <f t="shared" si="759"/>
        <v>0</v>
      </c>
      <c r="FA452" s="38">
        <f t="shared" si="760"/>
        <v>0</v>
      </c>
      <c r="FB452" s="1">
        <f t="shared" si="761"/>
        <v>0</v>
      </c>
      <c r="FC452" s="1">
        <f t="shared" si="762"/>
        <v>0</v>
      </c>
      <c r="FD452" s="1">
        <f t="shared" si="763"/>
        <v>0</v>
      </c>
      <c r="FE452" s="1">
        <f t="shared" si="764"/>
        <v>0</v>
      </c>
      <c r="FF452" s="1">
        <f t="shared" si="765"/>
        <v>0</v>
      </c>
      <c r="FG452" s="1">
        <f t="shared" si="766"/>
        <v>0</v>
      </c>
      <c r="FH452" s="1">
        <f t="shared" si="767"/>
        <v>0</v>
      </c>
      <c r="FI452" s="1">
        <f t="shared" si="768"/>
        <v>0</v>
      </c>
      <c r="FJ452" s="1">
        <f t="shared" si="769"/>
        <v>0</v>
      </c>
      <c r="FK452" s="1">
        <f t="shared" si="770"/>
        <v>0</v>
      </c>
      <c r="FL452" s="1">
        <f t="shared" si="771"/>
        <v>0</v>
      </c>
      <c r="FM452" s="1">
        <f t="shared" si="772"/>
        <v>0</v>
      </c>
      <c r="FN452" s="1">
        <f t="shared" si="773"/>
        <v>0</v>
      </c>
      <c r="FO452" s="1">
        <f t="shared" si="774"/>
        <v>0</v>
      </c>
      <c r="FP452" s="1">
        <f t="shared" si="775"/>
        <v>0</v>
      </c>
      <c r="FQ452" s="1">
        <f t="shared" si="776"/>
        <v>0</v>
      </c>
      <c r="FS452" s="1">
        <f t="shared" si="777"/>
        <v>0</v>
      </c>
      <c r="FT452" s="1">
        <f t="shared" si="778"/>
        <v>0</v>
      </c>
      <c r="FU452" s="38">
        <f t="shared" si="779"/>
        <v>0</v>
      </c>
      <c r="FV452" s="38">
        <f t="shared" si="780"/>
        <v>0</v>
      </c>
      <c r="FW452" s="38">
        <f t="shared" si="781"/>
        <v>0</v>
      </c>
      <c r="FX452" s="38">
        <f t="shared" si="782"/>
        <v>0</v>
      </c>
      <c r="FY452" s="38">
        <f t="shared" si="783"/>
        <v>0</v>
      </c>
      <c r="FZ452" s="38">
        <f t="shared" si="784"/>
        <v>0</v>
      </c>
      <c r="GA452" s="38">
        <f t="shared" si="785"/>
        <v>0</v>
      </c>
      <c r="GB452" s="38">
        <f t="shared" si="786"/>
        <v>0</v>
      </c>
      <c r="GC452" s="38">
        <f t="shared" si="787"/>
        <v>0</v>
      </c>
      <c r="GD452" s="38">
        <f t="shared" si="788"/>
        <v>0</v>
      </c>
      <c r="GE452" s="38">
        <f t="shared" si="789"/>
        <v>0</v>
      </c>
      <c r="GF452" s="38">
        <f t="shared" si="790"/>
        <v>0</v>
      </c>
      <c r="GG452" s="38">
        <f t="shared" si="791"/>
        <v>0</v>
      </c>
      <c r="GH452" s="38">
        <f t="shared" si="792"/>
        <v>0</v>
      </c>
      <c r="GI452" s="38">
        <f t="shared" si="793"/>
        <v>0</v>
      </c>
      <c r="GJ452" s="38">
        <f t="shared" si="794"/>
        <v>0</v>
      </c>
      <c r="GL452" s="38">
        <f t="shared" si="795"/>
        <v>0</v>
      </c>
      <c r="GM452" s="38">
        <f t="shared" si="796"/>
        <v>0</v>
      </c>
      <c r="GN452" s="1" t="s">
        <v>2</v>
      </c>
      <c r="GO452" s="1">
        <f t="shared" ref="GO452:GO515" si="804">I452+AD452+AY452</f>
        <v>50</v>
      </c>
      <c r="GP452" s="13">
        <f t="shared" ref="GP452:GP515" si="805">(I452*Q452+AD452*AL452+AY452*BG452)/GO452</f>
        <v>0.3034</v>
      </c>
      <c r="GQ452" s="41">
        <f t="shared" ref="GQ452:GQ515" si="806">1000*GO452*GP452/100</f>
        <v>151.69999999999999</v>
      </c>
      <c r="GR452" s="41">
        <f t="shared" ref="GR452:GR515" si="807">SUM(EI452:FA452)</f>
        <v>3491.7581528000001</v>
      </c>
      <c r="GS452" s="14">
        <f t="shared" ref="GS452:GS515" si="808">GR452/GO452</f>
        <v>69.835163055999999</v>
      </c>
      <c r="GT452" s="1">
        <f t="shared" si="797"/>
        <v>0</v>
      </c>
      <c r="GU452" s="1">
        <f t="shared" si="798"/>
        <v>0</v>
      </c>
      <c r="GV452" s="1">
        <f t="shared" si="799"/>
        <v>151.69999999999999</v>
      </c>
      <c r="GW452" s="37">
        <f t="shared" ref="GW452:GW515" si="809">BT452+CO452</f>
        <v>0</v>
      </c>
      <c r="GX452" s="37"/>
      <c r="GY452" s="37"/>
      <c r="GZ452" s="37"/>
      <c r="HB452" s="1">
        <f t="shared" si="800"/>
        <v>0</v>
      </c>
      <c r="HC452" s="1">
        <f t="shared" si="801"/>
        <v>0</v>
      </c>
      <c r="HD452" s="37" t="s">
        <v>2</v>
      </c>
      <c r="HE452" s="1" t="s">
        <v>113</v>
      </c>
      <c r="HF452" s="1" t="s">
        <v>261</v>
      </c>
      <c r="HI452" s="1" t="s">
        <v>96</v>
      </c>
      <c r="HJ452" s="37" t="s">
        <v>2</v>
      </c>
      <c r="JH452" s="58" t="s">
        <v>2</v>
      </c>
    </row>
    <row r="453" spans="1:268" ht="16.25" customHeight="1" x14ac:dyDescent="0.2">
      <c r="A453" s="15" t="s">
        <v>377</v>
      </c>
      <c r="B453" s="1" t="s">
        <v>71</v>
      </c>
      <c r="E453" s="1" t="s">
        <v>65</v>
      </c>
      <c r="F453" s="1" t="s">
        <v>365</v>
      </c>
      <c r="H453" s="1" t="s">
        <v>70</v>
      </c>
      <c r="I453" s="1">
        <f>1.275+0.78</f>
        <v>2.0549999999999997</v>
      </c>
      <c r="J453" s="13">
        <f>(0.87*1.275+0.76*0.78)/I453</f>
        <v>0.82824817518248184</v>
      </c>
      <c r="Q453" s="13">
        <f>(1.51*1.275+1.64*0.78)/I453</f>
        <v>1.5593430656934306</v>
      </c>
      <c r="R453" s="13">
        <f>(0.07*1.275+0.1*0.78)/I453</f>
        <v>8.138686131386863E-2</v>
      </c>
      <c r="AD453" s="1">
        <f>0.759+0.125+4.229+2.697+0.242</f>
        <v>8.0519999999999996</v>
      </c>
      <c r="AE453" s="13">
        <f>(0.9*0.759+0.75*0.125+0.65*4.229+0.98*2.697+0.5*0.242)/AD453</f>
        <v>0.78114257327372094</v>
      </c>
      <c r="AL453" s="13">
        <f>(1.2*0.759+1.72*0.125+1.64*4.229+1.96*2.697+2.22*0.242)/AD453</f>
        <v>1.7243815201192254</v>
      </c>
      <c r="AM453" s="13">
        <f>(0.07*0.759+0.09*0.125+0.12*4.229+0.14*2.697+0.14*0.242)/AD453</f>
        <v>0.12212121212121214</v>
      </c>
      <c r="AY453" s="1">
        <f>1.759+0.853+0.493</f>
        <v>3.105</v>
      </c>
      <c r="AZ453" s="13">
        <f>(0.49*1.759+0.93*0.853+0.53*0.493)/AY453</f>
        <v>0.61722705314009663</v>
      </c>
      <c r="BG453" s="13">
        <f>(1.25*1.759+2.02*0.853+1.67*0.493)/AY453</f>
        <v>1.5282190016103059</v>
      </c>
      <c r="BH453" s="13">
        <f>(0.1*1.759+0.13*0.853+0.11*0.493)/AY453</f>
        <v>0.10982930756843801</v>
      </c>
      <c r="BT453" s="1">
        <v>1.365</v>
      </c>
      <c r="BU453" s="1">
        <v>0.66</v>
      </c>
      <c r="CB453" s="1">
        <v>1.1499999999999999</v>
      </c>
      <c r="CC453" s="1">
        <v>0.06</v>
      </c>
      <c r="CO453" s="1">
        <f>0.194+6.65</f>
        <v>6.8440000000000003</v>
      </c>
      <c r="CP453" s="13">
        <f>(1.28*0.194+1.28*6.65)/CO453</f>
        <v>1.28</v>
      </c>
      <c r="CW453" s="13">
        <f>(1.24*0.194+1.24*6.65)/CO453</f>
        <v>1.24</v>
      </c>
      <c r="CX453" s="13">
        <f>(0.07*0.194+0.1*6.65)/CO453</f>
        <v>9.9149620105201647E-2</v>
      </c>
      <c r="DJ453" s="1" t="s">
        <v>96</v>
      </c>
      <c r="DK453" s="1" t="s">
        <v>96</v>
      </c>
      <c r="DL453" s="1">
        <f t="shared" si="802"/>
        <v>1.652610505600969</v>
      </c>
      <c r="DM453" s="1">
        <f t="shared" si="803"/>
        <v>0.11289660914320315</v>
      </c>
      <c r="DN453" s="1" t="s">
        <v>67</v>
      </c>
      <c r="DO453" s="1" t="s">
        <v>2</v>
      </c>
      <c r="DP453" s="38">
        <f t="shared" si="725"/>
        <v>9.9083000000000004E-2</v>
      </c>
      <c r="DQ453" s="38">
        <f t="shared" si="726"/>
        <v>0</v>
      </c>
      <c r="DR453" s="38">
        <f t="shared" si="727"/>
        <v>0</v>
      </c>
      <c r="DS453" s="38">
        <f t="shared" si="728"/>
        <v>0</v>
      </c>
      <c r="DT453" s="38">
        <f t="shared" si="729"/>
        <v>0</v>
      </c>
      <c r="DU453" s="38">
        <f t="shared" si="730"/>
        <v>0</v>
      </c>
      <c r="DV453" s="38">
        <f t="shared" si="731"/>
        <v>0</v>
      </c>
      <c r="DW453" s="38">
        <f t="shared" si="732"/>
        <v>0.21834290000000003</v>
      </c>
      <c r="DX453" s="38">
        <f t="shared" si="733"/>
        <v>1.4915899999999999E-2</v>
      </c>
      <c r="DY453" s="38">
        <f t="shared" si="734"/>
        <v>0</v>
      </c>
      <c r="DZ453" s="38">
        <f t="shared" si="735"/>
        <v>0</v>
      </c>
      <c r="EA453" s="38">
        <f t="shared" si="736"/>
        <v>0</v>
      </c>
      <c r="EB453" s="38">
        <f t="shared" si="737"/>
        <v>0</v>
      </c>
      <c r="EC453" s="38">
        <f t="shared" si="738"/>
        <v>0</v>
      </c>
      <c r="ED453" s="38">
        <f t="shared" si="739"/>
        <v>0</v>
      </c>
      <c r="EE453" s="38">
        <f t="shared" si="740"/>
        <v>0</v>
      </c>
      <c r="EG453" s="38">
        <f t="shared" si="741"/>
        <v>0</v>
      </c>
      <c r="EH453" s="38">
        <f t="shared" si="742"/>
        <v>0</v>
      </c>
      <c r="EI453" s="38">
        <f t="shared" si="743"/>
        <v>646.57761012800006</v>
      </c>
      <c r="EJ453" s="38">
        <f t="shared" si="744"/>
        <v>0</v>
      </c>
      <c r="EK453" s="38">
        <f t="shared" si="745"/>
        <v>0</v>
      </c>
      <c r="EL453" s="38">
        <f t="shared" si="746"/>
        <v>0</v>
      </c>
      <c r="EM453" s="38">
        <f t="shared" si="747"/>
        <v>0</v>
      </c>
      <c r="EN453" s="38">
        <f t="shared" si="748"/>
        <v>0</v>
      </c>
      <c r="EO453" s="38">
        <f t="shared" si="749"/>
        <v>0</v>
      </c>
      <c r="EP453" s="38">
        <f t="shared" si="750"/>
        <v>2863.3487906000005</v>
      </c>
      <c r="EQ453" s="38">
        <f t="shared" si="751"/>
        <v>1083.1855580315998</v>
      </c>
      <c r="ER453" s="38">
        <f t="shared" si="752"/>
        <v>0</v>
      </c>
      <c r="ES453" s="38">
        <f t="shared" si="753"/>
        <v>0</v>
      </c>
      <c r="ET453" s="38">
        <f t="shared" si="754"/>
        <v>0</v>
      </c>
      <c r="EU453" s="38">
        <f t="shared" si="755"/>
        <v>0</v>
      </c>
      <c r="EV453" s="38">
        <f t="shared" si="756"/>
        <v>0</v>
      </c>
      <c r="EW453" s="38">
        <f t="shared" si="757"/>
        <v>0</v>
      </c>
      <c r="EX453" s="38">
        <f t="shared" si="758"/>
        <v>0</v>
      </c>
      <c r="EZ453" s="38">
        <f t="shared" si="759"/>
        <v>0</v>
      </c>
      <c r="FA453" s="38">
        <f t="shared" si="760"/>
        <v>0</v>
      </c>
      <c r="FB453" s="1">
        <f t="shared" si="761"/>
        <v>9.6612199999999995E-2</v>
      </c>
      <c r="FC453" s="1">
        <f t="shared" si="762"/>
        <v>0</v>
      </c>
      <c r="FD453" s="1">
        <f t="shared" si="763"/>
        <v>0</v>
      </c>
      <c r="FE453" s="1">
        <f t="shared" si="764"/>
        <v>0</v>
      </c>
      <c r="FF453" s="1">
        <f t="shared" si="765"/>
        <v>0</v>
      </c>
      <c r="FG453" s="1">
        <f t="shared" si="766"/>
        <v>0</v>
      </c>
      <c r="FH453" s="1">
        <f t="shared" si="767"/>
        <v>0</v>
      </c>
      <c r="FI453" s="1">
        <f t="shared" si="768"/>
        <v>0.1005631</v>
      </c>
      <c r="FJ453" s="1">
        <f t="shared" si="769"/>
        <v>7.6048000000000001E-3</v>
      </c>
      <c r="FK453" s="1">
        <f t="shared" si="770"/>
        <v>0</v>
      </c>
      <c r="FL453" s="1">
        <f t="shared" si="771"/>
        <v>0</v>
      </c>
      <c r="FM453" s="1">
        <f t="shared" si="772"/>
        <v>0</v>
      </c>
      <c r="FN453" s="1">
        <f t="shared" si="773"/>
        <v>0</v>
      </c>
      <c r="FO453" s="1">
        <f t="shared" si="774"/>
        <v>0</v>
      </c>
      <c r="FP453" s="1">
        <f t="shared" si="775"/>
        <v>0</v>
      </c>
      <c r="FQ453" s="1">
        <f t="shared" si="776"/>
        <v>0</v>
      </c>
      <c r="FS453" s="1">
        <f t="shared" si="777"/>
        <v>0</v>
      </c>
      <c r="FT453" s="1">
        <f t="shared" si="778"/>
        <v>0</v>
      </c>
      <c r="FU453" s="38">
        <f t="shared" si="779"/>
        <v>630.4541181152</v>
      </c>
      <c r="FV453" s="38">
        <f t="shared" si="780"/>
        <v>0</v>
      </c>
      <c r="FW453" s="38">
        <f t="shared" si="781"/>
        <v>0</v>
      </c>
      <c r="FX453" s="38">
        <f t="shared" si="782"/>
        <v>0</v>
      </c>
      <c r="FY453" s="38">
        <f t="shared" si="783"/>
        <v>0</v>
      </c>
      <c r="FZ453" s="38">
        <f t="shared" si="784"/>
        <v>0</v>
      </c>
      <c r="GA453" s="38">
        <f t="shared" si="785"/>
        <v>0</v>
      </c>
      <c r="GB453" s="38">
        <f t="shared" si="786"/>
        <v>1318.7844934</v>
      </c>
      <c r="GC453" s="38">
        <f t="shared" si="787"/>
        <v>552.25695611519996</v>
      </c>
      <c r="GD453" s="38">
        <f t="shared" si="788"/>
        <v>0</v>
      </c>
      <c r="GE453" s="38">
        <f t="shared" si="789"/>
        <v>0</v>
      </c>
      <c r="GF453" s="38">
        <f t="shared" si="790"/>
        <v>0</v>
      </c>
      <c r="GG453" s="38">
        <f t="shared" si="791"/>
        <v>0</v>
      </c>
      <c r="GH453" s="38">
        <f t="shared" si="792"/>
        <v>0</v>
      </c>
      <c r="GI453" s="38">
        <f t="shared" si="793"/>
        <v>0</v>
      </c>
      <c r="GJ453" s="38">
        <f t="shared" si="794"/>
        <v>0</v>
      </c>
      <c r="GL453" s="38">
        <f t="shared" si="795"/>
        <v>0</v>
      </c>
      <c r="GM453" s="38">
        <f t="shared" si="796"/>
        <v>0</v>
      </c>
      <c r="GN453" s="1" t="s">
        <v>2</v>
      </c>
      <c r="GO453" s="13">
        <f t="shared" si="804"/>
        <v>13.212</v>
      </c>
      <c r="GP453" s="13">
        <f t="shared" si="805"/>
        <v>1.652610505600969</v>
      </c>
      <c r="GQ453" s="41">
        <f t="shared" si="806"/>
        <v>218.34290000000001</v>
      </c>
      <c r="GR453" s="41">
        <f t="shared" si="807"/>
        <v>4593.1119587596004</v>
      </c>
      <c r="GS453" s="14">
        <f t="shared" si="808"/>
        <v>347.64698446560703</v>
      </c>
      <c r="GT453" s="1">
        <f t="shared" si="797"/>
        <v>32.044499999999992</v>
      </c>
      <c r="GU453" s="1">
        <f t="shared" si="798"/>
        <v>138.84720000000002</v>
      </c>
      <c r="GV453" s="1">
        <f t="shared" si="799"/>
        <v>47.4512</v>
      </c>
      <c r="GW453" s="37">
        <f t="shared" si="809"/>
        <v>8.2089999999999996</v>
      </c>
      <c r="GX453" s="44">
        <f>(BT453*CB453+CO453*CW453)/GW453</f>
        <v>1.2250347179924475</v>
      </c>
      <c r="GY453" s="41">
        <f>1000*GW453*GX453/100</f>
        <v>100.56310000000002</v>
      </c>
      <c r="GZ453" s="41">
        <f>SUM(FU453:GM453)</f>
        <v>2501.4955676303998</v>
      </c>
      <c r="HA453" s="14">
        <f>GZ453/GW453</f>
        <v>304.72597973326833</v>
      </c>
      <c r="HB453" s="1">
        <f t="shared" si="800"/>
        <v>15.6975</v>
      </c>
      <c r="HC453" s="1">
        <f t="shared" si="801"/>
        <v>84.865600000000015</v>
      </c>
      <c r="HD453" s="37" t="s">
        <v>2</v>
      </c>
      <c r="HE453" s="1" t="s">
        <v>113</v>
      </c>
      <c r="HF453" s="1" t="s">
        <v>261</v>
      </c>
      <c r="HI453" s="1" t="s">
        <v>96</v>
      </c>
      <c r="HJ453" s="37" t="s">
        <v>2</v>
      </c>
      <c r="JH453" s="58" t="s">
        <v>2</v>
      </c>
    </row>
    <row r="454" spans="1:268" ht="16.25" customHeight="1" x14ac:dyDescent="0.2">
      <c r="A454" s="15" t="s">
        <v>384</v>
      </c>
      <c r="B454" s="1" t="s">
        <v>69</v>
      </c>
      <c r="E454" s="1" t="s">
        <v>65</v>
      </c>
      <c r="F454" s="1" t="s">
        <v>365</v>
      </c>
      <c r="H454" s="1" t="s">
        <v>70</v>
      </c>
      <c r="I454" s="1">
        <f>4.4+2.13</f>
        <v>6.53</v>
      </c>
      <c r="J454" s="13">
        <f>(0.08*4.4+0.03*2.13)/I454</f>
        <v>6.3690658499234304E-2</v>
      </c>
      <c r="K454" s="13">
        <f>(0.42*4.4+0.1*2.13)/I454</f>
        <v>0.31562021439509952</v>
      </c>
      <c r="Q454" s="13">
        <f>(0.28*4.4+0.18*2.13)/I454</f>
        <v>0.24738131699846863</v>
      </c>
      <c r="S454" s="13">
        <f>(2.46*4.4+1.36*2.13)/I454</f>
        <v>2.1011944869831547</v>
      </c>
      <c r="T454" s="13">
        <f>(2.83*4.4+1.09*2.13)/I454</f>
        <v>2.2624349157733539</v>
      </c>
      <c r="AD454" s="1">
        <f>4.13+1.5</f>
        <v>5.63</v>
      </c>
      <c r="AE454" s="13">
        <f>(0.09*4.13+0.04*1.5)/AD454</f>
        <v>7.6678507992895203E-2</v>
      </c>
      <c r="AF454" s="13">
        <f>(0.38*4.13+0.1*1.5)/AD454</f>
        <v>0.30539964476021314</v>
      </c>
      <c r="AL454" s="13">
        <f>(0.31*4.13+0.19*1.5)/AD454</f>
        <v>0.27802841918294852</v>
      </c>
      <c r="AN454" s="13">
        <f>(2.73*4.13+1.56*1.5)/AD454</f>
        <v>2.4182770870337476</v>
      </c>
      <c r="AO454" s="13">
        <f>(3.21*4.13+1.28*1.5)/AD454</f>
        <v>2.6957904085257547</v>
      </c>
      <c r="AY454" s="1">
        <f>1.56+0.6</f>
        <v>2.16</v>
      </c>
      <c r="AZ454" s="13">
        <f>(0.13*1.56+0.05*0.6)/AY454</f>
        <v>0.10777777777777778</v>
      </c>
      <c r="BA454" s="13">
        <f>(0.38*1.56+0.1*0.6)/AY454</f>
        <v>0.30222222222222223</v>
      </c>
      <c r="BG454" s="13">
        <f>(0.36*1.56+0.19*0.6)/AY454</f>
        <v>0.31277777777777777</v>
      </c>
      <c r="BI454" s="13">
        <f>(2.1*1.56+1.22*0.6)/AY454</f>
        <v>1.8555555555555554</v>
      </c>
      <c r="BJ454" s="13">
        <f>(2.35*1.56+1.07*0.6)/AY454</f>
        <v>1.9944444444444447</v>
      </c>
      <c r="BT454" s="1">
        <v>0</v>
      </c>
      <c r="CO454" s="1">
        <v>0</v>
      </c>
      <c r="DJ454" s="1" t="s">
        <v>96</v>
      </c>
      <c r="DL454" s="1">
        <f t="shared" si="802"/>
        <v>0.26929469273743017</v>
      </c>
      <c r="DM454" s="1">
        <f t="shared" si="803"/>
        <v>0</v>
      </c>
      <c r="DN454" s="1" t="s">
        <v>67</v>
      </c>
      <c r="DO454" s="1" t="s">
        <v>2</v>
      </c>
      <c r="DP454" s="38">
        <f t="shared" si="725"/>
        <v>1.0804000000000001E-2</v>
      </c>
      <c r="DQ454" s="38">
        <f t="shared" si="726"/>
        <v>4.4332000000000003</v>
      </c>
      <c r="DR454" s="38">
        <f t="shared" si="727"/>
        <v>0</v>
      </c>
      <c r="DS454" s="38">
        <f t="shared" si="728"/>
        <v>0</v>
      </c>
      <c r="DT454" s="38">
        <f t="shared" si="729"/>
        <v>0</v>
      </c>
      <c r="DU454" s="38">
        <f t="shared" si="730"/>
        <v>0</v>
      </c>
      <c r="DV454" s="38">
        <f t="shared" si="731"/>
        <v>0</v>
      </c>
      <c r="DW454" s="38">
        <f t="shared" si="732"/>
        <v>3.8563E-2</v>
      </c>
      <c r="DX454" s="38">
        <f t="shared" si="733"/>
        <v>0</v>
      </c>
      <c r="DY454" s="38">
        <f t="shared" si="734"/>
        <v>31.343699999999998</v>
      </c>
      <c r="DZ454" s="38">
        <f t="shared" si="735"/>
        <v>34.259</v>
      </c>
      <c r="EA454" s="38">
        <f t="shared" si="736"/>
        <v>0</v>
      </c>
      <c r="EB454" s="38">
        <f t="shared" si="737"/>
        <v>0</v>
      </c>
      <c r="EC454" s="38">
        <f t="shared" si="738"/>
        <v>0</v>
      </c>
      <c r="ED454" s="38">
        <f t="shared" si="739"/>
        <v>0</v>
      </c>
      <c r="EE454" s="38">
        <f t="shared" si="740"/>
        <v>0</v>
      </c>
      <c r="EG454" s="38">
        <f t="shared" si="741"/>
        <v>0</v>
      </c>
      <c r="EH454" s="38">
        <f t="shared" si="742"/>
        <v>0</v>
      </c>
      <c r="EI454" s="38">
        <f t="shared" si="743"/>
        <v>70.502755264000001</v>
      </c>
      <c r="EJ454" s="38">
        <f t="shared" si="744"/>
        <v>181.31930546623792</v>
      </c>
      <c r="EK454" s="38">
        <f t="shared" si="745"/>
        <v>0</v>
      </c>
      <c r="EL454" s="38">
        <f t="shared" si="746"/>
        <v>0</v>
      </c>
      <c r="EM454" s="38">
        <f t="shared" si="747"/>
        <v>0</v>
      </c>
      <c r="EN454" s="38">
        <f t="shared" si="748"/>
        <v>0</v>
      </c>
      <c r="EO454" s="38">
        <f t="shared" si="749"/>
        <v>0</v>
      </c>
      <c r="EP454" s="38">
        <f t="shared" si="750"/>
        <v>505.71518200000003</v>
      </c>
      <c r="EQ454" s="38">
        <f t="shared" si="751"/>
        <v>0</v>
      </c>
      <c r="ER454" s="38">
        <f t="shared" si="752"/>
        <v>889.57653511254</v>
      </c>
      <c r="ES454" s="38">
        <f t="shared" si="753"/>
        <v>1141.7059604501608</v>
      </c>
      <c r="ET454" s="38">
        <f t="shared" si="754"/>
        <v>0</v>
      </c>
      <c r="EU454" s="38">
        <f t="shared" si="755"/>
        <v>0</v>
      </c>
      <c r="EV454" s="38">
        <f t="shared" si="756"/>
        <v>0</v>
      </c>
      <c r="EW454" s="38">
        <f t="shared" si="757"/>
        <v>0</v>
      </c>
      <c r="EX454" s="38">
        <f t="shared" si="758"/>
        <v>0</v>
      </c>
      <c r="EZ454" s="38">
        <f t="shared" si="759"/>
        <v>0</v>
      </c>
      <c r="FA454" s="38">
        <f t="shared" si="760"/>
        <v>0</v>
      </c>
      <c r="FB454" s="1">
        <f t="shared" si="761"/>
        <v>0</v>
      </c>
      <c r="FC454" s="1">
        <f t="shared" si="762"/>
        <v>0</v>
      </c>
      <c r="FD454" s="1">
        <f t="shared" si="763"/>
        <v>0</v>
      </c>
      <c r="FE454" s="1">
        <f t="shared" si="764"/>
        <v>0</v>
      </c>
      <c r="FF454" s="1">
        <f t="shared" si="765"/>
        <v>0</v>
      </c>
      <c r="FG454" s="1">
        <f t="shared" si="766"/>
        <v>0</v>
      </c>
      <c r="FH454" s="1">
        <f t="shared" si="767"/>
        <v>0</v>
      </c>
      <c r="FI454" s="1">
        <f t="shared" si="768"/>
        <v>0</v>
      </c>
      <c r="FJ454" s="1">
        <f t="shared" si="769"/>
        <v>0</v>
      </c>
      <c r="FK454" s="1">
        <f t="shared" si="770"/>
        <v>0</v>
      </c>
      <c r="FL454" s="1">
        <f t="shared" si="771"/>
        <v>0</v>
      </c>
      <c r="FM454" s="1">
        <f t="shared" si="772"/>
        <v>0</v>
      </c>
      <c r="FN454" s="1">
        <f t="shared" si="773"/>
        <v>0</v>
      </c>
      <c r="FO454" s="1">
        <f t="shared" si="774"/>
        <v>0</v>
      </c>
      <c r="FP454" s="1">
        <f t="shared" si="775"/>
        <v>0</v>
      </c>
      <c r="FQ454" s="1">
        <f t="shared" si="776"/>
        <v>0</v>
      </c>
      <c r="FS454" s="1">
        <f t="shared" si="777"/>
        <v>0</v>
      </c>
      <c r="FT454" s="1">
        <f t="shared" si="778"/>
        <v>0</v>
      </c>
      <c r="FU454" s="38">
        <f t="shared" si="779"/>
        <v>0</v>
      </c>
      <c r="FV454" s="38">
        <f t="shared" si="780"/>
        <v>0</v>
      </c>
      <c r="FW454" s="38">
        <f t="shared" si="781"/>
        <v>0</v>
      </c>
      <c r="FX454" s="38">
        <f t="shared" si="782"/>
        <v>0</v>
      </c>
      <c r="FY454" s="38">
        <f t="shared" si="783"/>
        <v>0</v>
      </c>
      <c r="FZ454" s="38">
        <f t="shared" si="784"/>
        <v>0</v>
      </c>
      <c r="GA454" s="38">
        <f t="shared" si="785"/>
        <v>0</v>
      </c>
      <c r="GB454" s="38">
        <f t="shared" si="786"/>
        <v>0</v>
      </c>
      <c r="GC454" s="38">
        <f t="shared" si="787"/>
        <v>0</v>
      </c>
      <c r="GD454" s="38">
        <f t="shared" si="788"/>
        <v>0</v>
      </c>
      <c r="GE454" s="38">
        <f t="shared" si="789"/>
        <v>0</v>
      </c>
      <c r="GF454" s="38">
        <f t="shared" si="790"/>
        <v>0</v>
      </c>
      <c r="GG454" s="38">
        <f t="shared" si="791"/>
        <v>0</v>
      </c>
      <c r="GH454" s="38">
        <f t="shared" si="792"/>
        <v>0</v>
      </c>
      <c r="GI454" s="38">
        <f t="shared" si="793"/>
        <v>0</v>
      </c>
      <c r="GJ454" s="38">
        <f t="shared" si="794"/>
        <v>0</v>
      </c>
      <c r="GL454" s="38">
        <f t="shared" si="795"/>
        <v>0</v>
      </c>
      <c r="GM454" s="38">
        <f t="shared" si="796"/>
        <v>0</v>
      </c>
      <c r="GN454" s="1" t="s">
        <v>2</v>
      </c>
      <c r="GO454" s="1">
        <f t="shared" si="804"/>
        <v>14.32</v>
      </c>
      <c r="GP454" s="13">
        <f t="shared" si="805"/>
        <v>0.26929469273743017</v>
      </c>
      <c r="GQ454" s="41">
        <f t="shared" si="806"/>
        <v>38.563000000000002</v>
      </c>
      <c r="GR454" s="41">
        <f t="shared" si="807"/>
        <v>2788.8197382929384</v>
      </c>
      <c r="GS454" s="14">
        <f t="shared" si="808"/>
        <v>194.74998172436719</v>
      </c>
      <c r="GT454" s="1">
        <f t="shared" si="797"/>
        <v>16.154</v>
      </c>
      <c r="GU454" s="1">
        <f t="shared" si="798"/>
        <v>15.653000000000002</v>
      </c>
      <c r="GV454" s="1">
        <f t="shared" si="799"/>
        <v>6.7560000000000002</v>
      </c>
      <c r="GW454" s="37">
        <f t="shared" si="809"/>
        <v>0</v>
      </c>
      <c r="GX454" s="37"/>
      <c r="GY454" s="37"/>
      <c r="GZ454" s="37"/>
      <c r="HB454" s="1">
        <f t="shared" si="800"/>
        <v>0</v>
      </c>
      <c r="HC454" s="1">
        <f t="shared" si="801"/>
        <v>0</v>
      </c>
      <c r="HD454" s="37" t="s">
        <v>2</v>
      </c>
      <c r="HE454" s="1" t="s">
        <v>113</v>
      </c>
      <c r="HF454" s="1" t="s">
        <v>261</v>
      </c>
      <c r="HI454" s="1" t="s">
        <v>96</v>
      </c>
      <c r="HJ454" s="37" t="s">
        <v>2</v>
      </c>
      <c r="JH454" s="58" t="s">
        <v>2</v>
      </c>
    </row>
    <row r="455" spans="1:268" ht="16.25" customHeight="1" x14ac:dyDescent="0.2">
      <c r="A455" s="15" t="s">
        <v>386</v>
      </c>
      <c r="B455" s="1" t="s">
        <v>69</v>
      </c>
      <c r="E455" s="1" t="s">
        <v>65</v>
      </c>
      <c r="F455" s="1" t="s">
        <v>387</v>
      </c>
      <c r="H455" s="1" t="s">
        <v>70</v>
      </c>
      <c r="I455" s="1">
        <v>12.4</v>
      </c>
      <c r="J455" s="1">
        <v>0.09</v>
      </c>
      <c r="K455" s="1">
        <v>0.2</v>
      </c>
      <c r="Q455" s="1">
        <v>7.0000000000000007E-2</v>
      </c>
      <c r="S455" s="1">
        <v>1.1000000000000001</v>
      </c>
      <c r="T455" s="1">
        <v>1.4</v>
      </c>
      <c r="U455" s="1">
        <v>0.1</v>
      </c>
      <c r="AD455" s="1">
        <v>9.8000000000000007</v>
      </c>
      <c r="AE455" s="1">
        <v>0.22</v>
      </c>
      <c r="AF455" s="1">
        <v>0.3</v>
      </c>
      <c r="AL455" s="1">
        <v>0.11</v>
      </c>
      <c r="AN455" s="1">
        <v>1.1000000000000001</v>
      </c>
      <c r="AO455" s="1">
        <v>1.6</v>
      </c>
      <c r="AP455" s="1">
        <v>0.1</v>
      </c>
      <c r="AY455" s="1">
        <v>1.4</v>
      </c>
      <c r="AZ455" s="1">
        <v>0.15</v>
      </c>
      <c r="BA455" s="1">
        <v>0.3</v>
      </c>
      <c r="BG455" s="1">
        <v>0.09</v>
      </c>
      <c r="BI455" s="1">
        <v>1.1000000000000001</v>
      </c>
      <c r="BJ455" s="1">
        <v>1.6</v>
      </c>
      <c r="BK455" s="1">
        <v>0.1</v>
      </c>
      <c r="BT455" s="1">
        <v>0</v>
      </c>
      <c r="CO455" s="1">
        <v>0</v>
      </c>
      <c r="DJ455" s="1" t="s">
        <v>96</v>
      </c>
      <c r="DL455" s="1">
        <f t="shared" si="802"/>
        <v>8.7796610169491529E-2</v>
      </c>
      <c r="DM455" s="1">
        <f t="shared" si="803"/>
        <v>0</v>
      </c>
      <c r="DN455" s="1" t="s">
        <v>126</v>
      </c>
      <c r="DO455" s="1" t="s">
        <v>2</v>
      </c>
      <c r="DP455" s="38">
        <f t="shared" si="725"/>
        <v>3.4820000000000004E-2</v>
      </c>
      <c r="DQ455" s="38">
        <f t="shared" si="726"/>
        <v>5.84</v>
      </c>
      <c r="DR455" s="38">
        <f t="shared" si="727"/>
        <v>0</v>
      </c>
      <c r="DS455" s="38">
        <f t="shared" si="728"/>
        <v>0</v>
      </c>
      <c r="DT455" s="38">
        <f t="shared" si="729"/>
        <v>0</v>
      </c>
      <c r="DU455" s="38">
        <f t="shared" si="730"/>
        <v>0</v>
      </c>
      <c r="DV455" s="38">
        <f t="shared" si="731"/>
        <v>0</v>
      </c>
      <c r="DW455" s="38">
        <f t="shared" si="732"/>
        <v>2.0720000000000002E-2</v>
      </c>
      <c r="DX455" s="38">
        <f t="shared" si="733"/>
        <v>0</v>
      </c>
      <c r="DY455" s="38">
        <f t="shared" si="734"/>
        <v>25.96</v>
      </c>
      <c r="DZ455" s="38">
        <f t="shared" si="735"/>
        <v>35.28</v>
      </c>
      <c r="EA455" s="38">
        <f t="shared" si="736"/>
        <v>2.3600000000000003</v>
      </c>
      <c r="EB455" s="38">
        <f t="shared" si="737"/>
        <v>0</v>
      </c>
      <c r="EC455" s="38">
        <f t="shared" si="738"/>
        <v>0</v>
      </c>
      <c r="ED455" s="38">
        <f t="shared" si="739"/>
        <v>0</v>
      </c>
      <c r="EE455" s="38">
        <f t="shared" si="740"/>
        <v>0</v>
      </c>
      <c r="EG455" s="38">
        <f t="shared" si="741"/>
        <v>0</v>
      </c>
      <c r="EH455" s="38">
        <f t="shared" si="742"/>
        <v>0</v>
      </c>
      <c r="EI455" s="38">
        <f t="shared" si="743"/>
        <v>227.22194912000003</v>
      </c>
      <c r="EJ455" s="38">
        <f t="shared" si="744"/>
        <v>238.85787781350479</v>
      </c>
      <c r="EK455" s="38">
        <f t="shared" si="745"/>
        <v>0</v>
      </c>
      <c r="EL455" s="38">
        <f t="shared" si="746"/>
        <v>0</v>
      </c>
      <c r="EM455" s="38">
        <f t="shared" si="747"/>
        <v>0</v>
      </c>
      <c r="EN455" s="38">
        <f t="shared" si="748"/>
        <v>0</v>
      </c>
      <c r="EO455" s="38">
        <f t="shared" si="749"/>
        <v>0</v>
      </c>
      <c r="EP455" s="38">
        <f t="shared" si="750"/>
        <v>271.72208000000001</v>
      </c>
      <c r="EQ455" s="38">
        <f t="shared" si="751"/>
        <v>0</v>
      </c>
      <c r="ER455" s="38">
        <f t="shared" si="752"/>
        <v>736.77985852090023</v>
      </c>
      <c r="ES455" s="38">
        <f t="shared" si="753"/>
        <v>1175.7315241157557</v>
      </c>
      <c r="ET455" s="38">
        <f t="shared" si="754"/>
        <v>168.86520900321545</v>
      </c>
      <c r="EU455" s="38">
        <f t="shared" si="755"/>
        <v>0</v>
      </c>
      <c r="EV455" s="38">
        <f t="shared" si="756"/>
        <v>0</v>
      </c>
      <c r="EW455" s="38">
        <f t="shared" si="757"/>
        <v>0</v>
      </c>
      <c r="EX455" s="38">
        <f t="shared" si="758"/>
        <v>0</v>
      </c>
      <c r="EZ455" s="38">
        <f t="shared" si="759"/>
        <v>0</v>
      </c>
      <c r="FA455" s="38">
        <f t="shared" si="760"/>
        <v>0</v>
      </c>
      <c r="FB455" s="1">
        <f t="shared" si="761"/>
        <v>0</v>
      </c>
      <c r="FC455" s="1">
        <f t="shared" si="762"/>
        <v>0</v>
      </c>
      <c r="FD455" s="1">
        <f t="shared" si="763"/>
        <v>0</v>
      </c>
      <c r="FE455" s="1">
        <f t="shared" si="764"/>
        <v>0</v>
      </c>
      <c r="FF455" s="1">
        <f t="shared" si="765"/>
        <v>0</v>
      </c>
      <c r="FG455" s="1">
        <f t="shared" si="766"/>
        <v>0</v>
      </c>
      <c r="FH455" s="1">
        <f t="shared" si="767"/>
        <v>0</v>
      </c>
      <c r="FI455" s="1">
        <f t="shared" si="768"/>
        <v>0</v>
      </c>
      <c r="FJ455" s="1">
        <f t="shared" si="769"/>
        <v>0</v>
      </c>
      <c r="FK455" s="1">
        <f t="shared" si="770"/>
        <v>0</v>
      </c>
      <c r="FL455" s="1">
        <f t="shared" si="771"/>
        <v>0</v>
      </c>
      <c r="FM455" s="1">
        <f t="shared" si="772"/>
        <v>0</v>
      </c>
      <c r="FN455" s="1">
        <f t="shared" si="773"/>
        <v>0</v>
      </c>
      <c r="FO455" s="1">
        <f t="shared" si="774"/>
        <v>0</v>
      </c>
      <c r="FP455" s="1">
        <f t="shared" si="775"/>
        <v>0</v>
      </c>
      <c r="FQ455" s="1">
        <f t="shared" si="776"/>
        <v>0</v>
      </c>
      <c r="FS455" s="1">
        <f t="shared" si="777"/>
        <v>0</v>
      </c>
      <c r="FT455" s="1">
        <f t="shared" si="778"/>
        <v>0</v>
      </c>
      <c r="FU455" s="38">
        <f t="shared" si="779"/>
        <v>0</v>
      </c>
      <c r="FV455" s="38">
        <f t="shared" si="780"/>
        <v>0</v>
      </c>
      <c r="FW455" s="38">
        <f t="shared" si="781"/>
        <v>0</v>
      </c>
      <c r="FX455" s="38">
        <f t="shared" si="782"/>
        <v>0</v>
      </c>
      <c r="FY455" s="38">
        <f t="shared" si="783"/>
        <v>0</v>
      </c>
      <c r="FZ455" s="38">
        <f t="shared" si="784"/>
        <v>0</v>
      </c>
      <c r="GA455" s="38">
        <f t="shared" si="785"/>
        <v>0</v>
      </c>
      <c r="GB455" s="38">
        <f t="shared" si="786"/>
        <v>0</v>
      </c>
      <c r="GC455" s="38">
        <f t="shared" si="787"/>
        <v>0</v>
      </c>
      <c r="GD455" s="38">
        <f t="shared" si="788"/>
        <v>0</v>
      </c>
      <c r="GE455" s="38">
        <f t="shared" si="789"/>
        <v>0</v>
      </c>
      <c r="GF455" s="38">
        <f t="shared" si="790"/>
        <v>0</v>
      </c>
      <c r="GG455" s="38">
        <f t="shared" si="791"/>
        <v>0</v>
      </c>
      <c r="GH455" s="38">
        <f t="shared" si="792"/>
        <v>0</v>
      </c>
      <c r="GI455" s="38">
        <f t="shared" si="793"/>
        <v>0</v>
      </c>
      <c r="GJ455" s="38">
        <f t="shared" si="794"/>
        <v>0</v>
      </c>
      <c r="GL455" s="38">
        <f t="shared" si="795"/>
        <v>0</v>
      </c>
      <c r="GM455" s="38">
        <f t="shared" si="796"/>
        <v>0</v>
      </c>
      <c r="GN455" s="1" t="s">
        <v>2</v>
      </c>
      <c r="GO455" s="1">
        <f t="shared" si="804"/>
        <v>23.6</v>
      </c>
      <c r="GP455" s="2">
        <f t="shared" si="805"/>
        <v>8.7796610169491529E-2</v>
      </c>
      <c r="GQ455" s="41">
        <f t="shared" si="806"/>
        <v>20.72</v>
      </c>
      <c r="GR455" s="41">
        <f t="shared" si="807"/>
        <v>2819.1784985733766</v>
      </c>
      <c r="GS455" s="14">
        <f t="shared" si="808"/>
        <v>119.45671604124476</v>
      </c>
      <c r="GT455" s="1">
        <f t="shared" si="797"/>
        <v>8.6800000000000015</v>
      </c>
      <c r="GU455" s="1">
        <f t="shared" si="798"/>
        <v>10.78</v>
      </c>
      <c r="GV455" s="1">
        <f t="shared" si="799"/>
        <v>1.26</v>
      </c>
      <c r="GW455" s="37">
        <f t="shared" si="809"/>
        <v>0</v>
      </c>
      <c r="GX455" s="37"/>
      <c r="GY455" s="37"/>
      <c r="GZ455" s="37"/>
      <c r="HB455" s="1">
        <f t="shared" si="800"/>
        <v>0</v>
      </c>
      <c r="HC455" s="1">
        <f t="shared" si="801"/>
        <v>0</v>
      </c>
      <c r="HD455" s="37" t="s">
        <v>2</v>
      </c>
      <c r="HE455" s="1" t="s">
        <v>113</v>
      </c>
      <c r="HF455" s="1" t="s">
        <v>261</v>
      </c>
      <c r="HI455" s="1" t="s">
        <v>96</v>
      </c>
      <c r="HJ455" s="37" t="s">
        <v>2</v>
      </c>
      <c r="JH455" s="58" t="s">
        <v>2</v>
      </c>
    </row>
    <row r="456" spans="1:268" ht="16.25" customHeight="1" x14ac:dyDescent="0.2">
      <c r="A456" s="15" t="s">
        <v>413</v>
      </c>
      <c r="B456" s="1" t="s">
        <v>69</v>
      </c>
      <c r="E456" s="1" t="s">
        <v>65</v>
      </c>
      <c r="F456" s="1" t="s">
        <v>414</v>
      </c>
      <c r="H456" s="1" t="s">
        <v>70</v>
      </c>
      <c r="I456" s="1">
        <v>0</v>
      </c>
      <c r="AD456" s="1">
        <v>0</v>
      </c>
      <c r="AY456" s="1">
        <v>0.1</v>
      </c>
      <c r="BG456" s="1">
        <v>1.4</v>
      </c>
      <c r="BT456" s="1">
        <v>0</v>
      </c>
      <c r="CO456" s="1">
        <v>0</v>
      </c>
      <c r="DJ456" s="1" t="s">
        <v>96</v>
      </c>
      <c r="DL456" s="1">
        <f t="shared" si="802"/>
        <v>1.3999999999999997</v>
      </c>
      <c r="DM456" s="1">
        <f t="shared" si="803"/>
        <v>0</v>
      </c>
      <c r="DN456" s="1" t="s">
        <v>148</v>
      </c>
      <c r="DO456" s="1" t="s">
        <v>2</v>
      </c>
      <c r="DP456" s="38">
        <f t="shared" si="725"/>
        <v>0</v>
      </c>
      <c r="DQ456" s="38">
        <f t="shared" si="726"/>
        <v>0</v>
      </c>
      <c r="DR456" s="38">
        <f t="shared" si="727"/>
        <v>0</v>
      </c>
      <c r="DS456" s="38">
        <f t="shared" si="728"/>
        <v>0</v>
      </c>
      <c r="DT456" s="38">
        <f t="shared" si="729"/>
        <v>0</v>
      </c>
      <c r="DU456" s="38">
        <f t="shared" si="730"/>
        <v>0</v>
      </c>
      <c r="DV456" s="38">
        <f t="shared" si="731"/>
        <v>0</v>
      </c>
      <c r="DW456" s="38">
        <f t="shared" si="732"/>
        <v>1.3999999999999998E-3</v>
      </c>
      <c r="DX456" s="38">
        <f t="shared" si="733"/>
        <v>0</v>
      </c>
      <c r="DY456" s="38">
        <f t="shared" si="734"/>
        <v>0</v>
      </c>
      <c r="DZ456" s="38">
        <f t="shared" si="735"/>
        <v>0</v>
      </c>
      <c r="EA456" s="38">
        <f t="shared" si="736"/>
        <v>0</v>
      </c>
      <c r="EB456" s="38">
        <f t="shared" si="737"/>
        <v>0</v>
      </c>
      <c r="EC456" s="38">
        <f t="shared" si="738"/>
        <v>0</v>
      </c>
      <c r="ED456" s="38">
        <f t="shared" si="739"/>
        <v>0</v>
      </c>
      <c r="EE456" s="38">
        <f t="shared" si="740"/>
        <v>0</v>
      </c>
      <c r="EG456" s="38">
        <f t="shared" si="741"/>
        <v>0</v>
      </c>
      <c r="EH456" s="38">
        <f t="shared" si="742"/>
        <v>0</v>
      </c>
      <c r="EI456" s="38">
        <f t="shared" si="743"/>
        <v>0</v>
      </c>
      <c r="EJ456" s="38">
        <f t="shared" si="744"/>
        <v>0</v>
      </c>
      <c r="EK456" s="38">
        <f t="shared" si="745"/>
        <v>0</v>
      </c>
      <c r="EL456" s="38">
        <f t="shared" si="746"/>
        <v>0</v>
      </c>
      <c r="EM456" s="38">
        <f t="shared" si="747"/>
        <v>0</v>
      </c>
      <c r="EN456" s="38">
        <f t="shared" si="748"/>
        <v>0</v>
      </c>
      <c r="EO456" s="38">
        <f t="shared" si="749"/>
        <v>0</v>
      </c>
      <c r="EP456" s="38">
        <f t="shared" si="750"/>
        <v>18.359599999999997</v>
      </c>
      <c r="EQ456" s="38">
        <f t="shared" si="751"/>
        <v>0</v>
      </c>
      <c r="ER456" s="38">
        <f t="shared" si="752"/>
        <v>0</v>
      </c>
      <c r="ES456" s="38">
        <f t="shared" si="753"/>
        <v>0</v>
      </c>
      <c r="ET456" s="38">
        <f t="shared" si="754"/>
        <v>0</v>
      </c>
      <c r="EU456" s="38">
        <f t="shared" si="755"/>
        <v>0</v>
      </c>
      <c r="EV456" s="38">
        <f t="shared" si="756"/>
        <v>0</v>
      </c>
      <c r="EW456" s="38">
        <f t="shared" si="757"/>
        <v>0</v>
      </c>
      <c r="EX456" s="38">
        <f t="shared" si="758"/>
        <v>0</v>
      </c>
      <c r="EZ456" s="38">
        <f t="shared" si="759"/>
        <v>0</v>
      </c>
      <c r="FA456" s="38">
        <f t="shared" si="760"/>
        <v>0</v>
      </c>
      <c r="FB456" s="1">
        <f t="shared" si="761"/>
        <v>0</v>
      </c>
      <c r="FC456" s="1">
        <f t="shared" si="762"/>
        <v>0</v>
      </c>
      <c r="FD456" s="1">
        <f t="shared" si="763"/>
        <v>0</v>
      </c>
      <c r="FE456" s="1">
        <f t="shared" si="764"/>
        <v>0</v>
      </c>
      <c r="FF456" s="1">
        <f t="shared" si="765"/>
        <v>0</v>
      </c>
      <c r="FG456" s="1">
        <f t="shared" si="766"/>
        <v>0</v>
      </c>
      <c r="FH456" s="1">
        <f t="shared" si="767"/>
        <v>0</v>
      </c>
      <c r="FI456" s="1">
        <f t="shared" si="768"/>
        <v>0</v>
      </c>
      <c r="FJ456" s="1">
        <f t="shared" si="769"/>
        <v>0</v>
      </c>
      <c r="FK456" s="1">
        <f t="shared" si="770"/>
        <v>0</v>
      </c>
      <c r="FL456" s="1">
        <f t="shared" si="771"/>
        <v>0</v>
      </c>
      <c r="FM456" s="1">
        <f t="shared" si="772"/>
        <v>0</v>
      </c>
      <c r="FN456" s="1">
        <f t="shared" si="773"/>
        <v>0</v>
      </c>
      <c r="FO456" s="1">
        <f t="shared" si="774"/>
        <v>0</v>
      </c>
      <c r="FP456" s="1">
        <f t="shared" si="775"/>
        <v>0</v>
      </c>
      <c r="FQ456" s="1">
        <f t="shared" si="776"/>
        <v>0</v>
      </c>
      <c r="FS456" s="1">
        <f t="shared" si="777"/>
        <v>0</v>
      </c>
      <c r="FT456" s="1">
        <f t="shared" si="778"/>
        <v>0</v>
      </c>
      <c r="FU456" s="38">
        <f t="shared" si="779"/>
        <v>0</v>
      </c>
      <c r="FV456" s="38">
        <f t="shared" si="780"/>
        <v>0</v>
      </c>
      <c r="FW456" s="38">
        <f t="shared" si="781"/>
        <v>0</v>
      </c>
      <c r="FX456" s="38">
        <f t="shared" si="782"/>
        <v>0</v>
      </c>
      <c r="FY456" s="38">
        <f t="shared" si="783"/>
        <v>0</v>
      </c>
      <c r="FZ456" s="38">
        <f t="shared" si="784"/>
        <v>0</v>
      </c>
      <c r="GA456" s="38">
        <f t="shared" si="785"/>
        <v>0</v>
      </c>
      <c r="GB456" s="38">
        <f t="shared" si="786"/>
        <v>0</v>
      </c>
      <c r="GC456" s="38">
        <f t="shared" si="787"/>
        <v>0</v>
      </c>
      <c r="GD456" s="38">
        <f t="shared" si="788"/>
        <v>0</v>
      </c>
      <c r="GE456" s="38">
        <f t="shared" si="789"/>
        <v>0</v>
      </c>
      <c r="GF456" s="38">
        <f t="shared" si="790"/>
        <v>0</v>
      </c>
      <c r="GG456" s="38">
        <f t="shared" si="791"/>
        <v>0</v>
      </c>
      <c r="GH456" s="38">
        <f t="shared" si="792"/>
        <v>0</v>
      </c>
      <c r="GI456" s="38">
        <f t="shared" si="793"/>
        <v>0</v>
      </c>
      <c r="GJ456" s="38">
        <f t="shared" si="794"/>
        <v>0</v>
      </c>
      <c r="GL456" s="38">
        <f t="shared" si="795"/>
        <v>0</v>
      </c>
      <c r="GM456" s="38">
        <f t="shared" si="796"/>
        <v>0</v>
      </c>
      <c r="GN456" s="1" t="s">
        <v>2</v>
      </c>
      <c r="GO456" s="1">
        <f t="shared" si="804"/>
        <v>0.1</v>
      </c>
      <c r="GP456" s="1">
        <f t="shared" si="805"/>
        <v>1.3999999999999997</v>
      </c>
      <c r="GQ456" s="41">
        <f t="shared" si="806"/>
        <v>1.3999999999999997</v>
      </c>
      <c r="GR456" s="41">
        <f t="shared" si="807"/>
        <v>18.359599999999997</v>
      </c>
      <c r="GS456" s="14">
        <f t="shared" si="808"/>
        <v>183.59599999999995</v>
      </c>
      <c r="GT456" s="1">
        <f t="shared" si="797"/>
        <v>0</v>
      </c>
      <c r="GU456" s="1">
        <f t="shared" si="798"/>
        <v>0</v>
      </c>
      <c r="GV456" s="1">
        <f t="shared" si="799"/>
        <v>1.3999999999999997</v>
      </c>
      <c r="GW456" s="37">
        <f t="shared" si="809"/>
        <v>0</v>
      </c>
      <c r="GX456" s="37"/>
      <c r="GY456" s="37"/>
      <c r="GZ456" s="37"/>
      <c r="HB456" s="1">
        <f t="shared" si="800"/>
        <v>0</v>
      </c>
      <c r="HC456" s="1">
        <f t="shared" si="801"/>
        <v>0</v>
      </c>
      <c r="HD456" s="37" t="s">
        <v>2</v>
      </c>
      <c r="HE456" s="1" t="s">
        <v>113</v>
      </c>
      <c r="HF456" s="1" t="s">
        <v>261</v>
      </c>
      <c r="HI456" s="1" t="s">
        <v>96</v>
      </c>
      <c r="HJ456" s="37" t="s">
        <v>2</v>
      </c>
      <c r="JH456" s="58" t="s">
        <v>2</v>
      </c>
    </row>
    <row r="457" spans="1:268" ht="16.25" customHeight="1" x14ac:dyDescent="0.2">
      <c r="A457" s="15" t="s">
        <v>430</v>
      </c>
      <c r="B457" s="1" t="s">
        <v>69</v>
      </c>
      <c r="E457" s="1" t="s">
        <v>72</v>
      </c>
      <c r="F457" s="1" t="s">
        <v>431</v>
      </c>
      <c r="G457" s="1" t="s">
        <v>432</v>
      </c>
      <c r="H457" s="1" t="s">
        <v>188</v>
      </c>
      <c r="I457" s="1">
        <v>0</v>
      </c>
      <c r="AD457" s="1">
        <v>0</v>
      </c>
      <c r="AY457" s="1">
        <v>14.3</v>
      </c>
      <c r="AZ457" s="2">
        <v>2.1700000000000001E-2</v>
      </c>
      <c r="BG457" s="2">
        <v>6.6600000000000006E-2</v>
      </c>
      <c r="BH457" s="2">
        <v>2.0799999999999999E-2</v>
      </c>
      <c r="BT457" s="1">
        <v>0</v>
      </c>
      <c r="CO457" s="1">
        <v>0</v>
      </c>
      <c r="DJ457" s="1" t="s">
        <v>96</v>
      </c>
      <c r="DK457" s="1" t="s">
        <v>96</v>
      </c>
      <c r="DL457" s="1">
        <f t="shared" si="802"/>
        <v>6.6600000000000006E-2</v>
      </c>
      <c r="DM457" s="1">
        <f t="shared" si="803"/>
        <v>2.0799999999999999E-2</v>
      </c>
      <c r="DN457" s="1" t="s">
        <v>433</v>
      </c>
      <c r="DO457" s="1" t="s">
        <v>2</v>
      </c>
      <c r="DP457" s="38">
        <f t="shared" si="725"/>
        <v>3.1031000000000001E-3</v>
      </c>
      <c r="DQ457" s="38">
        <f t="shared" si="726"/>
        <v>0</v>
      </c>
      <c r="DR457" s="38">
        <f t="shared" si="727"/>
        <v>0</v>
      </c>
      <c r="DS457" s="38">
        <f t="shared" si="728"/>
        <v>0</v>
      </c>
      <c r="DT457" s="38">
        <f t="shared" si="729"/>
        <v>0</v>
      </c>
      <c r="DU457" s="38">
        <f t="shared" si="730"/>
        <v>0</v>
      </c>
      <c r="DV457" s="38">
        <f t="shared" si="731"/>
        <v>0</v>
      </c>
      <c r="DW457" s="38">
        <f t="shared" si="732"/>
        <v>9.5238000000000007E-3</v>
      </c>
      <c r="DX457" s="38">
        <f t="shared" si="733"/>
        <v>2.9743999999999999E-3</v>
      </c>
      <c r="DY457" s="38">
        <f t="shared" si="734"/>
        <v>0</v>
      </c>
      <c r="DZ457" s="38">
        <f t="shared" si="735"/>
        <v>0</v>
      </c>
      <c r="EA457" s="38">
        <f t="shared" si="736"/>
        <v>0</v>
      </c>
      <c r="EB457" s="38">
        <f t="shared" si="737"/>
        <v>0</v>
      </c>
      <c r="EC457" s="38">
        <f t="shared" si="738"/>
        <v>0</v>
      </c>
      <c r="ED457" s="38">
        <f t="shared" si="739"/>
        <v>0</v>
      </c>
      <c r="EE457" s="38">
        <f t="shared" si="740"/>
        <v>0</v>
      </c>
      <c r="EG457" s="38">
        <f t="shared" si="741"/>
        <v>0</v>
      </c>
      <c r="EH457" s="38">
        <f t="shared" si="742"/>
        <v>0</v>
      </c>
      <c r="EI457" s="38">
        <f t="shared" si="743"/>
        <v>20.249639009599999</v>
      </c>
      <c r="EJ457" s="38">
        <f t="shared" si="744"/>
        <v>0</v>
      </c>
      <c r="EK457" s="38">
        <f t="shared" si="745"/>
        <v>0</v>
      </c>
      <c r="EL457" s="38">
        <f t="shared" si="746"/>
        <v>0</v>
      </c>
      <c r="EM457" s="38">
        <f t="shared" si="747"/>
        <v>0</v>
      </c>
      <c r="EN457" s="38">
        <f t="shared" si="748"/>
        <v>0</v>
      </c>
      <c r="EO457" s="38">
        <f t="shared" si="749"/>
        <v>0</v>
      </c>
      <c r="EP457" s="38">
        <f t="shared" si="750"/>
        <v>124.89511320000001</v>
      </c>
      <c r="EQ457" s="38">
        <f t="shared" si="751"/>
        <v>215.99951218559997</v>
      </c>
      <c r="ER457" s="38">
        <f t="shared" si="752"/>
        <v>0</v>
      </c>
      <c r="ES457" s="38">
        <f t="shared" si="753"/>
        <v>0</v>
      </c>
      <c r="ET457" s="38">
        <f t="shared" si="754"/>
        <v>0</v>
      </c>
      <c r="EU457" s="38">
        <f t="shared" si="755"/>
        <v>0</v>
      </c>
      <c r="EV457" s="38">
        <f t="shared" si="756"/>
        <v>0</v>
      </c>
      <c r="EW457" s="38">
        <f t="shared" si="757"/>
        <v>0</v>
      </c>
      <c r="EX457" s="38">
        <f t="shared" si="758"/>
        <v>0</v>
      </c>
      <c r="EZ457" s="38">
        <f t="shared" si="759"/>
        <v>0</v>
      </c>
      <c r="FA457" s="38">
        <f t="shared" si="760"/>
        <v>0</v>
      </c>
      <c r="FB457" s="1">
        <f t="shared" si="761"/>
        <v>0</v>
      </c>
      <c r="FC457" s="1">
        <f t="shared" si="762"/>
        <v>0</v>
      </c>
      <c r="FD457" s="1">
        <f t="shared" si="763"/>
        <v>0</v>
      </c>
      <c r="FE457" s="1">
        <f t="shared" si="764"/>
        <v>0</v>
      </c>
      <c r="FF457" s="1">
        <f t="shared" si="765"/>
        <v>0</v>
      </c>
      <c r="FG457" s="1">
        <f t="shared" si="766"/>
        <v>0</v>
      </c>
      <c r="FH457" s="1">
        <f t="shared" si="767"/>
        <v>0</v>
      </c>
      <c r="FI457" s="1">
        <f t="shared" si="768"/>
        <v>0</v>
      </c>
      <c r="FJ457" s="1">
        <f t="shared" si="769"/>
        <v>0</v>
      </c>
      <c r="FK457" s="1">
        <f t="shared" si="770"/>
        <v>0</v>
      </c>
      <c r="FL457" s="1">
        <f t="shared" si="771"/>
        <v>0</v>
      </c>
      <c r="FM457" s="1">
        <f t="shared" si="772"/>
        <v>0</v>
      </c>
      <c r="FN457" s="1">
        <f t="shared" si="773"/>
        <v>0</v>
      </c>
      <c r="FO457" s="1">
        <f t="shared" si="774"/>
        <v>0</v>
      </c>
      <c r="FP457" s="1">
        <f t="shared" si="775"/>
        <v>0</v>
      </c>
      <c r="FQ457" s="1">
        <f t="shared" si="776"/>
        <v>0</v>
      </c>
      <c r="FS457" s="1">
        <f t="shared" si="777"/>
        <v>0</v>
      </c>
      <c r="FT457" s="1">
        <f t="shared" si="778"/>
        <v>0</v>
      </c>
      <c r="FU457" s="38">
        <f t="shared" si="779"/>
        <v>0</v>
      </c>
      <c r="FV457" s="38">
        <f t="shared" si="780"/>
        <v>0</v>
      </c>
      <c r="FW457" s="38">
        <f t="shared" si="781"/>
        <v>0</v>
      </c>
      <c r="FX457" s="38">
        <f t="shared" si="782"/>
        <v>0</v>
      </c>
      <c r="FY457" s="38">
        <f t="shared" si="783"/>
        <v>0</v>
      </c>
      <c r="FZ457" s="38">
        <f t="shared" si="784"/>
        <v>0</v>
      </c>
      <c r="GA457" s="38">
        <f t="shared" si="785"/>
        <v>0</v>
      </c>
      <c r="GB457" s="38">
        <f t="shared" si="786"/>
        <v>0</v>
      </c>
      <c r="GC457" s="38">
        <f t="shared" si="787"/>
        <v>0</v>
      </c>
      <c r="GD457" s="38">
        <f t="shared" si="788"/>
        <v>0</v>
      </c>
      <c r="GE457" s="38">
        <f t="shared" si="789"/>
        <v>0</v>
      </c>
      <c r="GF457" s="38">
        <f t="shared" si="790"/>
        <v>0</v>
      </c>
      <c r="GG457" s="38">
        <f t="shared" si="791"/>
        <v>0</v>
      </c>
      <c r="GH457" s="38">
        <f t="shared" si="792"/>
        <v>0</v>
      </c>
      <c r="GI457" s="38">
        <f t="shared" si="793"/>
        <v>0</v>
      </c>
      <c r="GJ457" s="38">
        <f t="shared" si="794"/>
        <v>0</v>
      </c>
      <c r="GL457" s="38">
        <f t="shared" si="795"/>
        <v>0</v>
      </c>
      <c r="GM457" s="38">
        <f t="shared" si="796"/>
        <v>0</v>
      </c>
      <c r="GN457" s="1" t="s">
        <v>2</v>
      </c>
      <c r="GO457" s="1">
        <f t="shared" si="804"/>
        <v>14.3</v>
      </c>
      <c r="GP457" s="2">
        <f t="shared" si="805"/>
        <v>6.6600000000000006E-2</v>
      </c>
      <c r="GQ457" s="41">
        <f t="shared" si="806"/>
        <v>9.5238000000000014</v>
      </c>
      <c r="GR457" s="41">
        <f t="shared" si="807"/>
        <v>361.14426439519997</v>
      </c>
      <c r="GS457" s="14">
        <f t="shared" si="808"/>
        <v>25.254843663999996</v>
      </c>
      <c r="GT457" s="1">
        <f t="shared" si="797"/>
        <v>0</v>
      </c>
      <c r="GU457" s="1">
        <f t="shared" si="798"/>
        <v>0</v>
      </c>
      <c r="GV457" s="1">
        <f t="shared" si="799"/>
        <v>9.5238000000000014</v>
      </c>
      <c r="GW457" s="37">
        <f t="shared" si="809"/>
        <v>0</v>
      </c>
      <c r="GX457" s="37"/>
      <c r="GY457" s="37"/>
      <c r="GZ457" s="37"/>
      <c r="HB457" s="1">
        <f t="shared" si="800"/>
        <v>0</v>
      </c>
      <c r="HC457" s="1">
        <f t="shared" si="801"/>
        <v>0</v>
      </c>
      <c r="HD457" s="37" t="s">
        <v>2</v>
      </c>
      <c r="HE457" s="1" t="s">
        <v>113</v>
      </c>
      <c r="HF457" s="1" t="s">
        <v>261</v>
      </c>
      <c r="HH457" s="1" t="s">
        <v>434</v>
      </c>
      <c r="HI457" s="1" t="s">
        <v>96</v>
      </c>
      <c r="HJ457" s="37" t="s">
        <v>2</v>
      </c>
      <c r="JH457" s="58" t="s">
        <v>2</v>
      </c>
    </row>
    <row r="458" spans="1:268" ht="16.25" customHeight="1" x14ac:dyDescent="0.2">
      <c r="A458" s="15" t="s">
        <v>437</v>
      </c>
      <c r="B458" s="1" t="s">
        <v>71</v>
      </c>
      <c r="E458" s="1" t="s">
        <v>65</v>
      </c>
      <c r="F458" s="1" t="s">
        <v>438</v>
      </c>
      <c r="H458" s="1" t="s">
        <v>70</v>
      </c>
      <c r="I458" s="1">
        <v>0</v>
      </c>
      <c r="AD458" s="1">
        <f>0.524+1.459</f>
        <v>1.9830000000000001</v>
      </c>
      <c r="AE458" s="13">
        <f>(0.6*0.524+0.7*1.459)/AD458</f>
        <v>0.67357539082198692</v>
      </c>
      <c r="AL458" s="13">
        <f>(0.6*0.524+0.5*1.459)/AD458</f>
        <v>0.52642460917801315</v>
      </c>
      <c r="AM458" s="1">
        <v>0.04</v>
      </c>
      <c r="AY458" s="1">
        <f>1.305+1.865</f>
        <v>3.17</v>
      </c>
      <c r="AZ458" s="13">
        <f>(0.64*1.305+0.49*1.865)/AY458</f>
        <v>0.55175078864353311</v>
      </c>
      <c r="BG458" s="13">
        <f>(0.47*1.305+0.43*1.865)/AY458</f>
        <v>0.44646687697160875</v>
      </c>
      <c r="BH458" s="1">
        <v>0.04</v>
      </c>
      <c r="BJ458" s="13">
        <f>(0.62*2.069)/AY458</f>
        <v>0.40466246056782335</v>
      </c>
      <c r="BT458" s="1">
        <v>0</v>
      </c>
      <c r="CO458" s="1">
        <v>0</v>
      </c>
      <c r="DJ458" s="1" t="s">
        <v>96</v>
      </c>
      <c r="DK458" s="1" t="s">
        <v>96</v>
      </c>
      <c r="DL458" s="1">
        <f t="shared" si="802"/>
        <v>0.47723656122646996</v>
      </c>
      <c r="DM458" s="1">
        <f t="shared" si="803"/>
        <v>3.9999999999999994E-2</v>
      </c>
      <c r="DN458" s="1" t="s">
        <v>148</v>
      </c>
      <c r="DO458" s="1" t="s">
        <v>2</v>
      </c>
      <c r="DP458" s="38">
        <f t="shared" si="725"/>
        <v>3.08475E-2</v>
      </c>
      <c r="DQ458" s="38">
        <f t="shared" si="726"/>
        <v>0</v>
      </c>
      <c r="DR458" s="38">
        <f t="shared" si="727"/>
        <v>0</v>
      </c>
      <c r="DS458" s="38">
        <f t="shared" si="728"/>
        <v>0</v>
      </c>
      <c r="DT458" s="38">
        <f t="shared" si="729"/>
        <v>0</v>
      </c>
      <c r="DU458" s="38">
        <f t="shared" si="730"/>
        <v>0</v>
      </c>
      <c r="DV458" s="38">
        <f t="shared" si="731"/>
        <v>0</v>
      </c>
      <c r="DW458" s="38">
        <f t="shared" si="732"/>
        <v>2.4591999999999999E-2</v>
      </c>
      <c r="DX458" s="38">
        <f t="shared" si="733"/>
        <v>2.0612E-3</v>
      </c>
      <c r="DY458" s="38">
        <f t="shared" si="734"/>
        <v>0</v>
      </c>
      <c r="DZ458" s="38">
        <f t="shared" si="735"/>
        <v>1.28278</v>
      </c>
      <c r="EA458" s="38">
        <f t="shared" si="736"/>
        <v>0</v>
      </c>
      <c r="EB458" s="38">
        <f t="shared" si="737"/>
        <v>0</v>
      </c>
      <c r="EC458" s="38">
        <f t="shared" si="738"/>
        <v>0</v>
      </c>
      <c r="ED458" s="38">
        <f t="shared" si="739"/>
        <v>0</v>
      </c>
      <c r="EE458" s="38">
        <f t="shared" si="740"/>
        <v>0</v>
      </c>
      <c r="EG458" s="38">
        <f t="shared" si="741"/>
        <v>0</v>
      </c>
      <c r="EH458" s="38">
        <f t="shared" si="742"/>
        <v>0</v>
      </c>
      <c r="EI458" s="38">
        <f t="shared" si="743"/>
        <v>201.29893956000001</v>
      </c>
      <c r="EJ458" s="38">
        <f t="shared" si="744"/>
        <v>0</v>
      </c>
      <c r="EK458" s="38">
        <f t="shared" si="745"/>
        <v>0</v>
      </c>
      <c r="EL458" s="38">
        <f t="shared" si="746"/>
        <v>0</v>
      </c>
      <c r="EM458" s="38">
        <f t="shared" si="747"/>
        <v>0</v>
      </c>
      <c r="EN458" s="38">
        <f t="shared" si="748"/>
        <v>0</v>
      </c>
      <c r="EO458" s="38">
        <f t="shared" si="749"/>
        <v>0</v>
      </c>
      <c r="EP458" s="38">
        <f t="shared" si="750"/>
        <v>322.49948799999999</v>
      </c>
      <c r="EQ458" s="38">
        <f t="shared" si="751"/>
        <v>149.68336286879997</v>
      </c>
      <c r="ER458" s="38">
        <f t="shared" si="752"/>
        <v>0</v>
      </c>
      <c r="ES458" s="38">
        <f t="shared" si="753"/>
        <v>42.749571556270098</v>
      </c>
      <c r="ET458" s="38">
        <f t="shared" si="754"/>
        <v>0</v>
      </c>
      <c r="EU458" s="38">
        <f t="shared" si="755"/>
        <v>0</v>
      </c>
      <c r="EV458" s="38">
        <f t="shared" si="756"/>
        <v>0</v>
      </c>
      <c r="EW458" s="38">
        <f t="shared" si="757"/>
        <v>0</v>
      </c>
      <c r="EX458" s="38">
        <f t="shared" si="758"/>
        <v>0</v>
      </c>
      <c r="EZ458" s="38">
        <f t="shared" si="759"/>
        <v>0</v>
      </c>
      <c r="FA458" s="38">
        <f t="shared" si="760"/>
        <v>0</v>
      </c>
      <c r="FB458" s="1">
        <f t="shared" si="761"/>
        <v>0</v>
      </c>
      <c r="FC458" s="1">
        <f t="shared" si="762"/>
        <v>0</v>
      </c>
      <c r="FD458" s="1">
        <f t="shared" si="763"/>
        <v>0</v>
      </c>
      <c r="FE458" s="1">
        <f t="shared" si="764"/>
        <v>0</v>
      </c>
      <c r="FF458" s="1">
        <f t="shared" si="765"/>
        <v>0</v>
      </c>
      <c r="FG458" s="1">
        <f t="shared" si="766"/>
        <v>0</v>
      </c>
      <c r="FH458" s="1">
        <f t="shared" si="767"/>
        <v>0</v>
      </c>
      <c r="FI458" s="1">
        <f t="shared" si="768"/>
        <v>0</v>
      </c>
      <c r="FJ458" s="1">
        <f t="shared" si="769"/>
        <v>0</v>
      </c>
      <c r="FK458" s="1">
        <f t="shared" si="770"/>
        <v>0</v>
      </c>
      <c r="FL458" s="1">
        <f t="shared" si="771"/>
        <v>0</v>
      </c>
      <c r="FM458" s="1">
        <f t="shared" si="772"/>
        <v>0</v>
      </c>
      <c r="FN458" s="1">
        <f t="shared" si="773"/>
        <v>0</v>
      </c>
      <c r="FO458" s="1">
        <f t="shared" si="774"/>
        <v>0</v>
      </c>
      <c r="FP458" s="1">
        <f t="shared" si="775"/>
        <v>0</v>
      </c>
      <c r="FQ458" s="1">
        <f t="shared" si="776"/>
        <v>0</v>
      </c>
      <c r="FS458" s="1">
        <f t="shared" si="777"/>
        <v>0</v>
      </c>
      <c r="FT458" s="1">
        <f t="shared" si="778"/>
        <v>0</v>
      </c>
      <c r="FU458" s="38">
        <f t="shared" si="779"/>
        <v>0</v>
      </c>
      <c r="FV458" s="38">
        <f t="shared" si="780"/>
        <v>0</v>
      </c>
      <c r="FW458" s="38">
        <f t="shared" si="781"/>
        <v>0</v>
      </c>
      <c r="FX458" s="38">
        <f t="shared" si="782"/>
        <v>0</v>
      </c>
      <c r="FY458" s="38">
        <f t="shared" si="783"/>
        <v>0</v>
      </c>
      <c r="FZ458" s="38">
        <f t="shared" si="784"/>
        <v>0</v>
      </c>
      <c r="GA458" s="38">
        <f t="shared" si="785"/>
        <v>0</v>
      </c>
      <c r="GB458" s="38">
        <f t="shared" si="786"/>
        <v>0</v>
      </c>
      <c r="GC458" s="38">
        <f t="shared" si="787"/>
        <v>0</v>
      </c>
      <c r="GD458" s="38">
        <f t="shared" si="788"/>
        <v>0</v>
      </c>
      <c r="GE458" s="38">
        <f t="shared" si="789"/>
        <v>0</v>
      </c>
      <c r="GF458" s="38">
        <f t="shared" si="790"/>
        <v>0</v>
      </c>
      <c r="GG458" s="38">
        <f t="shared" si="791"/>
        <v>0</v>
      </c>
      <c r="GH458" s="38">
        <f t="shared" si="792"/>
        <v>0</v>
      </c>
      <c r="GI458" s="38">
        <f t="shared" si="793"/>
        <v>0</v>
      </c>
      <c r="GJ458" s="38">
        <f t="shared" si="794"/>
        <v>0</v>
      </c>
      <c r="GL458" s="38">
        <f t="shared" si="795"/>
        <v>0</v>
      </c>
      <c r="GM458" s="38">
        <f t="shared" si="796"/>
        <v>0</v>
      </c>
      <c r="GN458" s="1" t="s">
        <v>2</v>
      </c>
      <c r="GO458" s="1">
        <f t="shared" si="804"/>
        <v>5.1530000000000005</v>
      </c>
      <c r="GP458" s="13">
        <f t="shared" si="805"/>
        <v>0.47723656122646996</v>
      </c>
      <c r="GQ458" s="41">
        <f t="shared" si="806"/>
        <v>24.592000000000002</v>
      </c>
      <c r="GR458" s="41">
        <f t="shared" si="807"/>
        <v>716.23136198507007</v>
      </c>
      <c r="GS458" s="14">
        <f t="shared" si="808"/>
        <v>138.9930840258238</v>
      </c>
      <c r="GT458" s="1">
        <f t="shared" si="797"/>
        <v>0</v>
      </c>
      <c r="GU458" s="1">
        <f t="shared" si="798"/>
        <v>10.439</v>
      </c>
      <c r="GV458" s="1">
        <f t="shared" si="799"/>
        <v>14.152999999999997</v>
      </c>
      <c r="GW458" s="37">
        <f t="shared" si="809"/>
        <v>0</v>
      </c>
      <c r="GX458" s="37"/>
      <c r="GY458" s="37"/>
      <c r="GZ458" s="37"/>
      <c r="HB458" s="1">
        <f t="shared" si="800"/>
        <v>0</v>
      </c>
      <c r="HC458" s="1">
        <f t="shared" si="801"/>
        <v>0</v>
      </c>
      <c r="HD458" s="37" t="s">
        <v>2</v>
      </c>
      <c r="HE458" s="1" t="s">
        <v>113</v>
      </c>
      <c r="HF458" s="1" t="s">
        <v>261</v>
      </c>
      <c r="HI458" s="1" t="s">
        <v>96</v>
      </c>
      <c r="HJ458" s="37" t="s">
        <v>2</v>
      </c>
      <c r="JH458" s="58" t="s">
        <v>2</v>
      </c>
    </row>
    <row r="459" spans="1:268" ht="16.25" customHeight="1" x14ac:dyDescent="0.2">
      <c r="A459" s="15" t="s">
        <v>909</v>
      </c>
      <c r="B459" s="1" t="s">
        <v>71</v>
      </c>
      <c r="F459" s="1" t="s">
        <v>249</v>
      </c>
      <c r="I459" s="1">
        <v>0</v>
      </c>
      <c r="AD459" s="1">
        <v>124</v>
      </c>
      <c r="AE459" s="1">
        <v>0.27</v>
      </c>
      <c r="AL459" s="1">
        <v>0.23</v>
      </c>
      <c r="AY459" s="1">
        <v>11.3</v>
      </c>
      <c r="AZ459" s="1">
        <v>0.3</v>
      </c>
      <c r="BG459" s="1">
        <v>0.27</v>
      </c>
      <c r="BT459" s="1">
        <v>0</v>
      </c>
      <c r="CO459" s="1">
        <v>0</v>
      </c>
      <c r="DJ459" s="1" t="s">
        <v>96</v>
      </c>
      <c r="DL459" s="1">
        <f t="shared" si="802"/>
        <v>0.23334072431633407</v>
      </c>
      <c r="DM459" s="1">
        <f t="shared" si="803"/>
        <v>0</v>
      </c>
      <c r="DN459" s="1" t="s">
        <v>195</v>
      </c>
      <c r="DO459" s="1" t="s">
        <v>2</v>
      </c>
      <c r="DP459" s="38">
        <f t="shared" si="725"/>
        <v>0.36870000000000003</v>
      </c>
      <c r="DQ459" s="38">
        <f t="shared" si="726"/>
        <v>0</v>
      </c>
      <c r="DR459" s="38">
        <f t="shared" si="727"/>
        <v>0</v>
      </c>
      <c r="DS459" s="38">
        <f t="shared" si="728"/>
        <v>0</v>
      </c>
      <c r="DT459" s="38">
        <f t="shared" si="729"/>
        <v>0</v>
      </c>
      <c r="DU459" s="38">
        <f t="shared" si="730"/>
        <v>0</v>
      </c>
      <c r="DV459" s="38">
        <f t="shared" si="731"/>
        <v>0</v>
      </c>
      <c r="DW459" s="38">
        <f t="shared" si="732"/>
        <v>0.31570999999999999</v>
      </c>
      <c r="DX459" s="38">
        <f t="shared" si="733"/>
        <v>0</v>
      </c>
      <c r="DY459" s="38">
        <f t="shared" si="734"/>
        <v>0</v>
      </c>
      <c r="DZ459" s="38">
        <f t="shared" si="735"/>
        <v>0</v>
      </c>
      <c r="EA459" s="38">
        <f t="shared" si="736"/>
        <v>0</v>
      </c>
      <c r="EB459" s="38">
        <f t="shared" si="737"/>
        <v>0</v>
      </c>
      <c r="EC459" s="38">
        <f t="shared" si="738"/>
        <v>0</v>
      </c>
      <c r="ED459" s="38">
        <f t="shared" si="739"/>
        <v>0</v>
      </c>
      <c r="EE459" s="38">
        <f t="shared" si="740"/>
        <v>0</v>
      </c>
      <c r="EG459" s="38">
        <f t="shared" si="741"/>
        <v>0</v>
      </c>
      <c r="EH459" s="38">
        <f t="shared" si="742"/>
        <v>0</v>
      </c>
      <c r="EI459" s="38">
        <f t="shared" si="743"/>
        <v>2405.9946192000002</v>
      </c>
      <c r="EJ459" s="38">
        <f t="shared" si="744"/>
        <v>0</v>
      </c>
      <c r="EK459" s="38">
        <f t="shared" si="745"/>
        <v>0</v>
      </c>
      <c r="EL459" s="38">
        <f t="shared" si="746"/>
        <v>0</v>
      </c>
      <c r="EM459" s="38">
        <f t="shared" si="747"/>
        <v>0</v>
      </c>
      <c r="EN459" s="38">
        <f t="shared" si="748"/>
        <v>0</v>
      </c>
      <c r="EO459" s="38">
        <f t="shared" si="749"/>
        <v>0</v>
      </c>
      <c r="EP459" s="38">
        <f t="shared" si="750"/>
        <v>4140.2209400000002</v>
      </c>
      <c r="EQ459" s="38">
        <f t="shared" si="751"/>
        <v>0</v>
      </c>
      <c r="ER459" s="38">
        <f t="shared" si="752"/>
        <v>0</v>
      </c>
      <c r="ES459" s="38">
        <f t="shared" si="753"/>
        <v>0</v>
      </c>
      <c r="ET459" s="38">
        <f t="shared" si="754"/>
        <v>0</v>
      </c>
      <c r="EU459" s="38">
        <f t="shared" si="755"/>
        <v>0</v>
      </c>
      <c r="EV459" s="38">
        <f t="shared" si="756"/>
        <v>0</v>
      </c>
      <c r="EW459" s="38">
        <f t="shared" si="757"/>
        <v>0</v>
      </c>
      <c r="EX459" s="38">
        <f t="shared" si="758"/>
        <v>0</v>
      </c>
      <c r="EZ459" s="38">
        <f t="shared" si="759"/>
        <v>0</v>
      </c>
      <c r="FA459" s="38">
        <f t="shared" si="760"/>
        <v>0</v>
      </c>
      <c r="FB459" s="1">
        <f t="shared" si="761"/>
        <v>0</v>
      </c>
      <c r="FC459" s="1">
        <f t="shared" si="762"/>
        <v>0</v>
      </c>
      <c r="FD459" s="1">
        <f t="shared" si="763"/>
        <v>0</v>
      </c>
      <c r="FE459" s="1">
        <f t="shared" si="764"/>
        <v>0</v>
      </c>
      <c r="FF459" s="1">
        <f t="shared" si="765"/>
        <v>0</v>
      </c>
      <c r="FG459" s="1">
        <f t="shared" si="766"/>
        <v>0</v>
      </c>
      <c r="FH459" s="1">
        <f t="shared" si="767"/>
        <v>0</v>
      </c>
      <c r="FI459" s="1">
        <f t="shared" si="768"/>
        <v>0</v>
      </c>
      <c r="FJ459" s="1">
        <f t="shared" si="769"/>
        <v>0</v>
      </c>
      <c r="FK459" s="1">
        <f t="shared" si="770"/>
        <v>0</v>
      </c>
      <c r="FL459" s="1">
        <f t="shared" si="771"/>
        <v>0</v>
      </c>
      <c r="FM459" s="1">
        <f t="shared" si="772"/>
        <v>0</v>
      </c>
      <c r="FN459" s="1">
        <f t="shared" si="773"/>
        <v>0</v>
      </c>
      <c r="FO459" s="1">
        <f t="shared" si="774"/>
        <v>0</v>
      </c>
      <c r="FP459" s="1">
        <f t="shared" si="775"/>
        <v>0</v>
      </c>
      <c r="FQ459" s="1">
        <f t="shared" si="776"/>
        <v>0</v>
      </c>
      <c r="FS459" s="1">
        <f t="shared" si="777"/>
        <v>0</v>
      </c>
      <c r="FT459" s="1">
        <f t="shared" si="778"/>
        <v>0</v>
      </c>
      <c r="FU459" s="38">
        <f t="shared" si="779"/>
        <v>0</v>
      </c>
      <c r="FV459" s="38">
        <f t="shared" si="780"/>
        <v>0</v>
      </c>
      <c r="FW459" s="38">
        <f t="shared" si="781"/>
        <v>0</v>
      </c>
      <c r="FX459" s="38">
        <f t="shared" si="782"/>
        <v>0</v>
      </c>
      <c r="FY459" s="38">
        <f t="shared" si="783"/>
        <v>0</v>
      </c>
      <c r="FZ459" s="38">
        <f t="shared" si="784"/>
        <v>0</v>
      </c>
      <c r="GA459" s="38">
        <f t="shared" si="785"/>
        <v>0</v>
      </c>
      <c r="GB459" s="38">
        <f t="shared" si="786"/>
        <v>0</v>
      </c>
      <c r="GC459" s="38">
        <f t="shared" si="787"/>
        <v>0</v>
      </c>
      <c r="GD459" s="38">
        <f t="shared" si="788"/>
        <v>0</v>
      </c>
      <c r="GE459" s="38">
        <f t="shared" si="789"/>
        <v>0</v>
      </c>
      <c r="GF459" s="38">
        <f t="shared" si="790"/>
        <v>0</v>
      </c>
      <c r="GG459" s="38">
        <f t="shared" si="791"/>
        <v>0</v>
      </c>
      <c r="GH459" s="38">
        <f t="shared" si="792"/>
        <v>0</v>
      </c>
      <c r="GI459" s="38">
        <f t="shared" si="793"/>
        <v>0</v>
      </c>
      <c r="GJ459" s="38">
        <f t="shared" si="794"/>
        <v>0</v>
      </c>
      <c r="GL459" s="38">
        <f t="shared" si="795"/>
        <v>0</v>
      </c>
      <c r="GM459" s="38">
        <f t="shared" si="796"/>
        <v>0</v>
      </c>
      <c r="GN459" s="1" t="s">
        <v>2</v>
      </c>
      <c r="GO459" s="1">
        <f t="shared" si="804"/>
        <v>135.30000000000001</v>
      </c>
      <c r="GP459" s="13">
        <f t="shared" si="805"/>
        <v>0.23334072431633407</v>
      </c>
      <c r="GQ459" s="41">
        <f t="shared" si="806"/>
        <v>315.70999999999998</v>
      </c>
      <c r="GR459" s="41">
        <f t="shared" si="807"/>
        <v>6546.2155591999999</v>
      </c>
      <c r="GS459" s="14">
        <f t="shared" si="808"/>
        <v>48.382967917220988</v>
      </c>
      <c r="GT459" s="1">
        <f t="shared" si="797"/>
        <v>0</v>
      </c>
      <c r="GU459" s="1">
        <f t="shared" si="798"/>
        <v>285.2</v>
      </c>
      <c r="GV459" s="1">
        <f t="shared" si="799"/>
        <v>30.510000000000005</v>
      </c>
      <c r="GW459" s="37">
        <f t="shared" si="809"/>
        <v>0</v>
      </c>
      <c r="GX459" s="37"/>
      <c r="GY459" s="37"/>
      <c r="GZ459" s="37"/>
      <c r="HB459" s="1">
        <f t="shared" si="800"/>
        <v>0</v>
      </c>
      <c r="HC459" s="1">
        <f t="shared" si="801"/>
        <v>0</v>
      </c>
      <c r="HD459" s="37" t="s">
        <v>2</v>
      </c>
      <c r="HE459" s="1" t="s">
        <v>113</v>
      </c>
      <c r="HF459" s="1" t="s">
        <v>261</v>
      </c>
      <c r="HI459" s="1" t="s">
        <v>96</v>
      </c>
      <c r="HJ459" s="37" t="s">
        <v>2</v>
      </c>
      <c r="JH459" s="58" t="s">
        <v>2</v>
      </c>
    </row>
    <row r="460" spans="1:268" ht="16.25" customHeight="1" x14ac:dyDescent="0.2">
      <c r="A460" s="15" t="s">
        <v>694</v>
      </c>
      <c r="B460" s="1" t="s">
        <v>69</v>
      </c>
      <c r="F460" s="1" t="s">
        <v>695</v>
      </c>
      <c r="I460" s="1">
        <v>4.4640000000000004</v>
      </c>
      <c r="J460" s="1">
        <v>0.23</v>
      </c>
      <c r="Q460" s="1">
        <v>0.42</v>
      </c>
      <c r="R460" s="1">
        <v>0.01</v>
      </c>
      <c r="AD460" s="1">
        <v>2.6749999999999998</v>
      </c>
      <c r="AE460" s="13">
        <v>0.5</v>
      </c>
      <c r="AL460" s="1">
        <v>0.96</v>
      </c>
      <c r="AM460" s="1">
        <v>0.02</v>
      </c>
      <c r="AY460" s="1">
        <v>0.11799999999999999</v>
      </c>
      <c r="AZ460" s="1">
        <v>0.88</v>
      </c>
      <c r="BG460" s="1">
        <v>1.38</v>
      </c>
      <c r="BH460" s="1">
        <v>3.0000000000000001E-3</v>
      </c>
      <c r="BT460" s="1">
        <v>0</v>
      </c>
      <c r="CO460" s="1">
        <v>0</v>
      </c>
      <c r="DJ460" s="1" t="s">
        <v>96</v>
      </c>
      <c r="DK460" s="1" t="s">
        <v>96</v>
      </c>
      <c r="DL460" s="1">
        <f t="shared" si="802"/>
        <v>0.63465894997933026</v>
      </c>
      <c r="DM460" s="1">
        <f t="shared" si="803"/>
        <v>1.3572275044784345E-2</v>
      </c>
      <c r="DN460" s="1" t="s">
        <v>156</v>
      </c>
      <c r="DO460" s="1" t="s">
        <v>2</v>
      </c>
      <c r="DP460" s="38">
        <f t="shared" si="725"/>
        <v>2.46806E-2</v>
      </c>
      <c r="DQ460" s="38">
        <f t="shared" si="726"/>
        <v>0</v>
      </c>
      <c r="DR460" s="38">
        <f t="shared" si="727"/>
        <v>0</v>
      </c>
      <c r="DS460" s="38">
        <f t="shared" si="728"/>
        <v>0</v>
      </c>
      <c r="DT460" s="38">
        <f t="shared" si="729"/>
        <v>0</v>
      </c>
      <c r="DU460" s="38">
        <f t="shared" si="730"/>
        <v>0</v>
      </c>
      <c r="DV460" s="38">
        <f t="shared" si="731"/>
        <v>0</v>
      </c>
      <c r="DW460" s="38">
        <f t="shared" si="732"/>
        <v>4.60572E-2</v>
      </c>
      <c r="DX460" s="38">
        <f t="shared" si="733"/>
        <v>9.849399999999999E-4</v>
      </c>
      <c r="DY460" s="38">
        <f t="shared" si="734"/>
        <v>0</v>
      </c>
      <c r="DZ460" s="38">
        <f t="shared" si="735"/>
        <v>0</v>
      </c>
      <c r="EA460" s="38">
        <f t="shared" si="736"/>
        <v>0</v>
      </c>
      <c r="EB460" s="38">
        <f t="shared" si="737"/>
        <v>0</v>
      </c>
      <c r="EC460" s="38">
        <f t="shared" si="738"/>
        <v>0</v>
      </c>
      <c r="ED460" s="38">
        <f t="shared" si="739"/>
        <v>0</v>
      </c>
      <c r="EE460" s="38">
        <f t="shared" si="740"/>
        <v>0</v>
      </c>
      <c r="EG460" s="38">
        <f t="shared" si="741"/>
        <v>0</v>
      </c>
      <c r="EH460" s="38">
        <f t="shared" si="742"/>
        <v>0</v>
      </c>
      <c r="EI460" s="38">
        <f t="shared" si="743"/>
        <v>161.05611824959999</v>
      </c>
      <c r="EJ460" s="38">
        <f t="shared" si="744"/>
        <v>0</v>
      </c>
      <c r="EK460" s="38">
        <f t="shared" si="745"/>
        <v>0</v>
      </c>
      <c r="EL460" s="38">
        <f t="shared" si="746"/>
        <v>0</v>
      </c>
      <c r="EM460" s="38">
        <f t="shared" si="747"/>
        <v>0</v>
      </c>
      <c r="EN460" s="38">
        <f t="shared" si="748"/>
        <v>0</v>
      </c>
      <c r="EO460" s="38">
        <f t="shared" si="749"/>
        <v>0</v>
      </c>
      <c r="EP460" s="38">
        <f t="shared" si="750"/>
        <v>603.99412080000002</v>
      </c>
      <c r="EQ460" s="38">
        <f t="shared" si="751"/>
        <v>71.525873968559978</v>
      </c>
      <c r="ER460" s="38">
        <f t="shared" si="752"/>
        <v>0</v>
      </c>
      <c r="ES460" s="38">
        <f t="shared" si="753"/>
        <v>0</v>
      </c>
      <c r="ET460" s="38">
        <f t="shared" si="754"/>
        <v>0</v>
      </c>
      <c r="EU460" s="38">
        <f t="shared" si="755"/>
        <v>0</v>
      </c>
      <c r="EV460" s="38">
        <f t="shared" si="756"/>
        <v>0</v>
      </c>
      <c r="EW460" s="38">
        <f t="shared" si="757"/>
        <v>0</v>
      </c>
      <c r="EX460" s="38">
        <f t="shared" si="758"/>
        <v>0</v>
      </c>
      <c r="EZ460" s="38">
        <f t="shared" si="759"/>
        <v>0</v>
      </c>
      <c r="FA460" s="38">
        <f t="shared" si="760"/>
        <v>0</v>
      </c>
      <c r="FB460" s="1">
        <f t="shared" si="761"/>
        <v>0</v>
      </c>
      <c r="FC460" s="1">
        <f t="shared" si="762"/>
        <v>0</v>
      </c>
      <c r="FD460" s="1">
        <f t="shared" si="763"/>
        <v>0</v>
      </c>
      <c r="FE460" s="1">
        <f t="shared" si="764"/>
        <v>0</v>
      </c>
      <c r="FF460" s="1">
        <f t="shared" si="765"/>
        <v>0</v>
      </c>
      <c r="FG460" s="1">
        <f t="shared" si="766"/>
        <v>0</v>
      </c>
      <c r="FH460" s="1">
        <f t="shared" si="767"/>
        <v>0</v>
      </c>
      <c r="FI460" s="1">
        <f t="shared" si="768"/>
        <v>0</v>
      </c>
      <c r="FJ460" s="1">
        <f t="shared" si="769"/>
        <v>0</v>
      </c>
      <c r="FK460" s="1">
        <f t="shared" si="770"/>
        <v>0</v>
      </c>
      <c r="FL460" s="1">
        <f t="shared" si="771"/>
        <v>0</v>
      </c>
      <c r="FM460" s="1">
        <f t="shared" si="772"/>
        <v>0</v>
      </c>
      <c r="FN460" s="1">
        <f t="shared" si="773"/>
        <v>0</v>
      </c>
      <c r="FO460" s="1">
        <f t="shared" si="774"/>
        <v>0</v>
      </c>
      <c r="FP460" s="1">
        <f t="shared" si="775"/>
        <v>0</v>
      </c>
      <c r="FQ460" s="1">
        <f t="shared" si="776"/>
        <v>0</v>
      </c>
      <c r="FS460" s="1">
        <f t="shared" si="777"/>
        <v>0</v>
      </c>
      <c r="FT460" s="1">
        <f t="shared" si="778"/>
        <v>0</v>
      </c>
      <c r="FU460" s="38">
        <f t="shared" si="779"/>
        <v>0</v>
      </c>
      <c r="FV460" s="38">
        <f t="shared" si="780"/>
        <v>0</v>
      </c>
      <c r="FW460" s="38">
        <f t="shared" si="781"/>
        <v>0</v>
      </c>
      <c r="FX460" s="38">
        <f t="shared" si="782"/>
        <v>0</v>
      </c>
      <c r="FY460" s="38">
        <f t="shared" si="783"/>
        <v>0</v>
      </c>
      <c r="FZ460" s="38">
        <f t="shared" si="784"/>
        <v>0</v>
      </c>
      <c r="GA460" s="38">
        <f t="shared" si="785"/>
        <v>0</v>
      </c>
      <c r="GB460" s="38">
        <f t="shared" si="786"/>
        <v>0</v>
      </c>
      <c r="GC460" s="38">
        <f t="shared" si="787"/>
        <v>0</v>
      </c>
      <c r="GD460" s="38">
        <f t="shared" si="788"/>
        <v>0</v>
      </c>
      <c r="GE460" s="38">
        <f t="shared" si="789"/>
        <v>0</v>
      </c>
      <c r="GF460" s="38">
        <f t="shared" si="790"/>
        <v>0</v>
      </c>
      <c r="GG460" s="38">
        <f t="shared" si="791"/>
        <v>0</v>
      </c>
      <c r="GH460" s="38">
        <f t="shared" si="792"/>
        <v>0</v>
      </c>
      <c r="GI460" s="38">
        <f t="shared" si="793"/>
        <v>0</v>
      </c>
      <c r="GJ460" s="38">
        <f t="shared" si="794"/>
        <v>0</v>
      </c>
      <c r="GL460" s="38">
        <f t="shared" si="795"/>
        <v>0</v>
      </c>
      <c r="GM460" s="38">
        <f t="shared" si="796"/>
        <v>0</v>
      </c>
      <c r="GN460" s="1" t="s">
        <v>2</v>
      </c>
      <c r="GO460" s="1">
        <f t="shared" si="804"/>
        <v>7.2570000000000006</v>
      </c>
      <c r="GP460" s="13">
        <f t="shared" si="805"/>
        <v>0.63465894997933026</v>
      </c>
      <c r="GQ460" s="41">
        <f t="shared" si="806"/>
        <v>46.057200000000002</v>
      </c>
      <c r="GR460" s="41">
        <f t="shared" si="807"/>
        <v>836.57611301815996</v>
      </c>
      <c r="GS460" s="14">
        <f t="shared" si="808"/>
        <v>115.27850530772494</v>
      </c>
      <c r="GT460" s="1">
        <f t="shared" si="797"/>
        <v>18.748800000000003</v>
      </c>
      <c r="GU460" s="1">
        <f t="shared" si="798"/>
        <v>25.679999999999996</v>
      </c>
      <c r="GV460" s="1">
        <f t="shared" si="799"/>
        <v>1.6283999999999998</v>
      </c>
      <c r="GW460" s="37">
        <f t="shared" si="809"/>
        <v>0</v>
      </c>
      <c r="GX460" s="37"/>
      <c r="GY460" s="37"/>
      <c r="GZ460" s="37"/>
      <c r="HB460" s="1">
        <f t="shared" si="800"/>
        <v>0</v>
      </c>
      <c r="HC460" s="1">
        <f t="shared" si="801"/>
        <v>0</v>
      </c>
      <c r="HD460" s="37" t="s">
        <v>2</v>
      </c>
      <c r="HE460" s="1" t="s">
        <v>113</v>
      </c>
      <c r="HF460" s="1" t="s">
        <v>261</v>
      </c>
      <c r="HI460" s="1" t="s">
        <v>96</v>
      </c>
      <c r="HJ460" s="37" t="s">
        <v>2</v>
      </c>
      <c r="JH460" s="58" t="s">
        <v>2</v>
      </c>
    </row>
    <row r="461" spans="1:268" ht="16.25" customHeight="1" x14ac:dyDescent="0.2">
      <c r="A461" s="69" t="s">
        <v>806</v>
      </c>
      <c r="B461" s="1" t="s">
        <v>69</v>
      </c>
      <c r="F461" s="1" t="s">
        <v>807</v>
      </c>
      <c r="I461" s="1">
        <v>0</v>
      </c>
      <c r="AD461" s="1">
        <v>14.159000000000001</v>
      </c>
      <c r="AE461" s="13">
        <v>0.2</v>
      </c>
      <c r="AF461" s="1">
        <v>0.03</v>
      </c>
      <c r="AL461" s="1">
        <v>0.24</v>
      </c>
      <c r="AM461" s="1">
        <v>0.02</v>
      </c>
      <c r="AN461" s="1">
        <v>0.11</v>
      </c>
      <c r="AO461" s="1">
        <v>0.28999999999999998</v>
      </c>
      <c r="AP461" s="1">
        <v>0.01</v>
      </c>
      <c r="AY461" s="1">
        <v>26.48</v>
      </c>
      <c r="AZ461" s="1">
        <v>0.18</v>
      </c>
      <c r="BA461" s="1">
        <v>0.03</v>
      </c>
      <c r="BG461" s="1">
        <v>0.24</v>
      </c>
      <c r="BH461" s="1">
        <v>0.01</v>
      </c>
      <c r="BI461" s="1">
        <v>0.09</v>
      </c>
      <c r="BJ461" s="1">
        <v>0.31</v>
      </c>
      <c r="BK461" s="1">
        <v>0.01</v>
      </c>
      <c r="BT461" s="1">
        <v>0</v>
      </c>
      <c r="CO461" s="1">
        <v>0</v>
      </c>
      <c r="DJ461" s="1" t="s">
        <v>96</v>
      </c>
      <c r="DK461" s="1" t="s">
        <v>96</v>
      </c>
      <c r="DL461" s="1">
        <f t="shared" si="802"/>
        <v>0.24</v>
      </c>
      <c r="DM461" s="1">
        <f t="shared" si="803"/>
        <v>1.3484091636113096E-2</v>
      </c>
      <c r="DN461" s="1" t="s">
        <v>808</v>
      </c>
      <c r="DO461" s="1" t="s">
        <v>2</v>
      </c>
      <c r="DP461" s="38">
        <f t="shared" si="725"/>
        <v>7.5982000000000008E-2</v>
      </c>
      <c r="DQ461" s="38">
        <f t="shared" si="726"/>
        <v>1.2191700000000001</v>
      </c>
      <c r="DR461" s="38">
        <f t="shared" si="727"/>
        <v>0</v>
      </c>
      <c r="DS461" s="38">
        <f t="shared" si="728"/>
        <v>0</v>
      </c>
      <c r="DT461" s="38">
        <f t="shared" si="729"/>
        <v>0</v>
      </c>
      <c r="DU461" s="38">
        <f t="shared" si="730"/>
        <v>0</v>
      </c>
      <c r="DV461" s="38">
        <f t="shared" si="731"/>
        <v>0</v>
      </c>
      <c r="DW461" s="38">
        <f t="shared" si="732"/>
        <v>9.7533600000000012E-2</v>
      </c>
      <c r="DX461" s="38">
        <f t="shared" si="733"/>
        <v>5.4798000000000017E-3</v>
      </c>
      <c r="DY461" s="38">
        <f t="shared" si="734"/>
        <v>3.94069</v>
      </c>
      <c r="DZ461" s="38">
        <f t="shared" si="735"/>
        <v>12.314910000000001</v>
      </c>
      <c r="EA461" s="38">
        <f t="shared" si="736"/>
        <v>0.40639000000000003</v>
      </c>
      <c r="EB461" s="38">
        <f t="shared" si="737"/>
        <v>0</v>
      </c>
      <c r="EC461" s="38">
        <f t="shared" si="738"/>
        <v>0</v>
      </c>
      <c r="ED461" s="38">
        <f t="shared" si="739"/>
        <v>0</v>
      </c>
      <c r="EE461" s="38">
        <f t="shared" si="740"/>
        <v>0</v>
      </c>
      <c r="EG461" s="38">
        <f t="shared" si="741"/>
        <v>0</v>
      </c>
      <c r="EH461" s="38">
        <f t="shared" si="742"/>
        <v>0</v>
      </c>
      <c r="EI461" s="38">
        <f t="shared" si="743"/>
        <v>495.82935491200004</v>
      </c>
      <c r="EJ461" s="38">
        <f t="shared" si="744"/>
        <v>49.86444501607717</v>
      </c>
      <c r="EK461" s="38">
        <f t="shared" si="745"/>
        <v>0</v>
      </c>
      <c r="EL461" s="38">
        <f t="shared" si="746"/>
        <v>0</v>
      </c>
      <c r="EM461" s="38">
        <f t="shared" si="747"/>
        <v>0</v>
      </c>
      <c r="EN461" s="38">
        <f t="shared" si="748"/>
        <v>0</v>
      </c>
      <c r="EO461" s="38">
        <f t="shared" si="749"/>
        <v>0</v>
      </c>
      <c r="EP461" s="38">
        <f t="shared" si="750"/>
        <v>1279.0556304000002</v>
      </c>
      <c r="EQ461" s="38">
        <f t="shared" si="751"/>
        <v>397.94046761520008</v>
      </c>
      <c r="ER461" s="38">
        <f t="shared" si="752"/>
        <v>111.84210403215432</v>
      </c>
      <c r="ES461" s="38">
        <f t="shared" si="753"/>
        <v>410.40328525080389</v>
      </c>
      <c r="ET461" s="38">
        <f t="shared" si="754"/>
        <v>29.078445884244378</v>
      </c>
      <c r="EU461" s="38">
        <f t="shared" si="755"/>
        <v>0</v>
      </c>
      <c r="EV461" s="38">
        <f t="shared" si="756"/>
        <v>0</v>
      </c>
      <c r="EW461" s="38">
        <f t="shared" si="757"/>
        <v>0</v>
      </c>
      <c r="EX461" s="38">
        <f t="shared" si="758"/>
        <v>0</v>
      </c>
      <c r="EZ461" s="38">
        <f t="shared" si="759"/>
        <v>0</v>
      </c>
      <c r="FA461" s="38">
        <f t="shared" si="760"/>
        <v>0</v>
      </c>
      <c r="FB461" s="1">
        <f t="shared" si="761"/>
        <v>0</v>
      </c>
      <c r="FC461" s="1">
        <f t="shared" si="762"/>
        <v>0</v>
      </c>
      <c r="FD461" s="1">
        <f t="shared" si="763"/>
        <v>0</v>
      </c>
      <c r="FE461" s="1">
        <f t="shared" si="764"/>
        <v>0</v>
      </c>
      <c r="FF461" s="1">
        <f t="shared" si="765"/>
        <v>0</v>
      </c>
      <c r="FG461" s="1">
        <f t="shared" si="766"/>
        <v>0</v>
      </c>
      <c r="FH461" s="1">
        <f t="shared" si="767"/>
        <v>0</v>
      </c>
      <c r="FI461" s="1">
        <f t="shared" si="768"/>
        <v>0</v>
      </c>
      <c r="FJ461" s="1">
        <f t="shared" si="769"/>
        <v>0</v>
      </c>
      <c r="FK461" s="1">
        <f t="shared" si="770"/>
        <v>0</v>
      </c>
      <c r="FL461" s="1">
        <f t="shared" si="771"/>
        <v>0</v>
      </c>
      <c r="FM461" s="1">
        <f t="shared" si="772"/>
        <v>0</v>
      </c>
      <c r="FN461" s="1">
        <f t="shared" si="773"/>
        <v>0</v>
      </c>
      <c r="FO461" s="1">
        <f t="shared" si="774"/>
        <v>0</v>
      </c>
      <c r="FP461" s="1">
        <f t="shared" si="775"/>
        <v>0</v>
      </c>
      <c r="FQ461" s="1">
        <f t="shared" si="776"/>
        <v>0</v>
      </c>
      <c r="FS461" s="1">
        <f t="shared" si="777"/>
        <v>0</v>
      </c>
      <c r="FT461" s="1">
        <f t="shared" si="778"/>
        <v>0</v>
      </c>
      <c r="FU461" s="38">
        <f t="shared" si="779"/>
        <v>0</v>
      </c>
      <c r="FV461" s="38">
        <f t="shared" si="780"/>
        <v>0</v>
      </c>
      <c r="FW461" s="38">
        <f t="shared" si="781"/>
        <v>0</v>
      </c>
      <c r="FX461" s="38">
        <f t="shared" si="782"/>
        <v>0</v>
      </c>
      <c r="FY461" s="38">
        <f t="shared" si="783"/>
        <v>0</v>
      </c>
      <c r="FZ461" s="38">
        <f t="shared" si="784"/>
        <v>0</v>
      </c>
      <c r="GA461" s="38">
        <f t="shared" si="785"/>
        <v>0</v>
      </c>
      <c r="GB461" s="38">
        <f t="shared" si="786"/>
        <v>0</v>
      </c>
      <c r="GC461" s="38">
        <f t="shared" si="787"/>
        <v>0</v>
      </c>
      <c r="GD461" s="38">
        <f t="shared" si="788"/>
        <v>0</v>
      </c>
      <c r="GE461" s="38">
        <f t="shared" si="789"/>
        <v>0</v>
      </c>
      <c r="GF461" s="38">
        <f t="shared" si="790"/>
        <v>0</v>
      </c>
      <c r="GG461" s="38">
        <f t="shared" si="791"/>
        <v>0</v>
      </c>
      <c r="GH461" s="38">
        <f t="shared" si="792"/>
        <v>0</v>
      </c>
      <c r="GI461" s="38">
        <f t="shared" si="793"/>
        <v>0</v>
      </c>
      <c r="GJ461" s="38">
        <f t="shared" si="794"/>
        <v>0</v>
      </c>
      <c r="GL461" s="38">
        <f t="shared" si="795"/>
        <v>0</v>
      </c>
      <c r="GM461" s="38">
        <f t="shared" si="796"/>
        <v>0</v>
      </c>
      <c r="GN461" s="1" t="s">
        <v>2</v>
      </c>
      <c r="GO461" s="13">
        <f t="shared" si="804"/>
        <v>40.639000000000003</v>
      </c>
      <c r="GP461" s="1">
        <f t="shared" si="805"/>
        <v>0.24</v>
      </c>
      <c r="GQ461" s="41">
        <f t="shared" si="806"/>
        <v>97.533599999999993</v>
      </c>
      <c r="GR461" s="41">
        <f t="shared" si="807"/>
        <v>2774.0137331104797</v>
      </c>
      <c r="GS461" s="14">
        <f t="shared" si="808"/>
        <v>68.259891560089557</v>
      </c>
      <c r="GT461" s="1">
        <f t="shared" si="797"/>
        <v>0</v>
      </c>
      <c r="GU461" s="1">
        <f t="shared" si="798"/>
        <v>33.9816</v>
      </c>
      <c r="GV461" s="1">
        <f t="shared" si="799"/>
        <v>63.552</v>
      </c>
      <c r="GW461" s="37">
        <f t="shared" si="809"/>
        <v>0</v>
      </c>
      <c r="GX461" s="37"/>
      <c r="GY461" s="37"/>
      <c r="GZ461" s="37"/>
      <c r="HB461" s="1">
        <f t="shared" si="800"/>
        <v>0</v>
      </c>
      <c r="HC461" s="1">
        <f t="shared" si="801"/>
        <v>0</v>
      </c>
      <c r="HD461" s="37" t="s">
        <v>2</v>
      </c>
      <c r="HE461" s="1" t="s">
        <v>113</v>
      </c>
      <c r="HF461" s="1" t="s">
        <v>261</v>
      </c>
      <c r="HI461" s="1" t="s">
        <v>96</v>
      </c>
      <c r="HJ461" s="37" t="s">
        <v>2</v>
      </c>
      <c r="JH461" s="58" t="s">
        <v>2</v>
      </c>
    </row>
    <row r="462" spans="1:268" ht="16.25" customHeight="1" x14ac:dyDescent="0.2">
      <c r="A462" s="15" t="s">
        <v>820</v>
      </c>
      <c r="B462" s="1" t="s">
        <v>69</v>
      </c>
      <c r="F462" s="1" t="s">
        <v>131</v>
      </c>
      <c r="I462" s="1">
        <v>0</v>
      </c>
      <c r="AD462" s="1">
        <v>0</v>
      </c>
      <c r="AY462" s="1">
        <v>143</v>
      </c>
      <c r="AZ462" s="1">
        <v>0.22</v>
      </c>
      <c r="BG462" s="1">
        <v>0.28999999999999998</v>
      </c>
      <c r="BH462" s="1">
        <v>1.4999999999999999E-2</v>
      </c>
      <c r="BT462" s="1">
        <v>0</v>
      </c>
      <c r="CO462" s="1">
        <v>0</v>
      </c>
      <c r="DJ462" s="1" t="s">
        <v>96</v>
      </c>
      <c r="DK462" s="1" t="s">
        <v>96</v>
      </c>
      <c r="DL462" s="1">
        <f t="shared" si="802"/>
        <v>0.28999999999999998</v>
      </c>
      <c r="DM462" s="1">
        <f t="shared" si="803"/>
        <v>1.4999999999999999E-2</v>
      </c>
      <c r="DN462" s="1" t="s">
        <v>821</v>
      </c>
      <c r="DO462" s="1" t="s">
        <v>2</v>
      </c>
      <c r="DP462" s="38">
        <f t="shared" si="725"/>
        <v>0.31459999999999999</v>
      </c>
      <c r="DQ462" s="38">
        <f t="shared" si="726"/>
        <v>0</v>
      </c>
      <c r="DR462" s="38">
        <f t="shared" si="727"/>
        <v>0</v>
      </c>
      <c r="DS462" s="38">
        <f t="shared" si="728"/>
        <v>0</v>
      </c>
      <c r="DT462" s="38">
        <f t="shared" si="729"/>
        <v>0</v>
      </c>
      <c r="DU462" s="38">
        <f t="shared" si="730"/>
        <v>0</v>
      </c>
      <c r="DV462" s="38">
        <f t="shared" si="731"/>
        <v>0</v>
      </c>
      <c r="DW462" s="38">
        <f t="shared" si="732"/>
        <v>0.41470000000000001</v>
      </c>
      <c r="DX462" s="38">
        <f t="shared" si="733"/>
        <v>2.145E-2</v>
      </c>
      <c r="DY462" s="38">
        <f t="shared" si="734"/>
        <v>0</v>
      </c>
      <c r="DZ462" s="38">
        <f t="shared" si="735"/>
        <v>0</v>
      </c>
      <c r="EA462" s="38">
        <f t="shared" si="736"/>
        <v>0</v>
      </c>
      <c r="EB462" s="38">
        <f t="shared" si="737"/>
        <v>0</v>
      </c>
      <c r="EC462" s="38">
        <f t="shared" si="738"/>
        <v>0</v>
      </c>
      <c r="ED462" s="38">
        <f t="shared" si="739"/>
        <v>0</v>
      </c>
      <c r="EE462" s="38">
        <f t="shared" si="740"/>
        <v>0</v>
      </c>
      <c r="EG462" s="38">
        <f t="shared" si="741"/>
        <v>0</v>
      </c>
      <c r="EH462" s="38">
        <f t="shared" si="742"/>
        <v>0</v>
      </c>
      <c r="EI462" s="38">
        <f t="shared" si="743"/>
        <v>2052.9587935999998</v>
      </c>
      <c r="EJ462" s="38">
        <f t="shared" si="744"/>
        <v>0</v>
      </c>
      <c r="EK462" s="38">
        <f t="shared" si="745"/>
        <v>0</v>
      </c>
      <c r="EL462" s="38">
        <f t="shared" si="746"/>
        <v>0</v>
      </c>
      <c r="EM462" s="38">
        <f t="shared" si="747"/>
        <v>0</v>
      </c>
      <c r="EN462" s="38">
        <f t="shared" si="748"/>
        <v>0</v>
      </c>
      <c r="EO462" s="38">
        <f t="shared" si="749"/>
        <v>0</v>
      </c>
      <c r="EP462" s="38">
        <f t="shared" si="750"/>
        <v>5438.3757999999998</v>
      </c>
      <c r="EQ462" s="38">
        <f t="shared" si="751"/>
        <v>1557.6887897999998</v>
      </c>
      <c r="ER462" s="38">
        <f t="shared" si="752"/>
        <v>0</v>
      </c>
      <c r="ES462" s="38">
        <f t="shared" si="753"/>
        <v>0</v>
      </c>
      <c r="ET462" s="38">
        <f t="shared" si="754"/>
        <v>0</v>
      </c>
      <c r="EU462" s="38">
        <f t="shared" si="755"/>
        <v>0</v>
      </c>
      <c r="EV462" s="38">
        <f t="shared" si="756"/>
        <v>0</v>
      </c>
      <c r="EW462" s="38">
        <f t="shared" si="757"/>
        <v>0</v>
      </c>
      <c r="EX462" s="38">
        <f t="shared" si="758"/>
        <v>0</v>
      </c>
      <c r="EZ462" s="38">
        <f t="shared" si="759"/>
        <v>0</v>
      </c>
      <c r="FA462" s="38">
        <f t="shared" si="760"/>
        <v>0</v>
      </c>
      <c r="FB462" s="1">
        <f t="shared" si="761"/>
        <v>0</v>
      </c>
      <c r="FC462" s="1">
        <f t="shared" si="762"/>
        <v>0</v>
      </c>
      <c r="FD462" s="1">
        <f t="shared" si="763"/>
        <v>0</v>
      </c>
      <c r="FE462" s="1">
        <f t="shared" si="764"/>
        <v>0</v>
      </c>
      <c r="FF462" s="1">
        <f t="shared" si="765"/>
        <v>0</v>
      </c>
      <c r="FG462" s="1">
        <f t="shared" si="766"/>
        <v>0</v>
      </c>
      <c r="FH462" s="1">
        <f t="shared" si="767"/>
        <v>0</v>
      </c>
      <c r="FI462" s="1">
        <f t="shared" si="768"/>
        <v>0</v>
      </c>
      <c r="FJ462" s="1">
        <f t="shared" si="769"/>
        <v>0</v>
      </c>
      <c r="FK462" s="1">
        <f t="shared" si="770"/>
        <v>0</v>
      </c>
      <c r="FL462" s="1">
        <f t="shared" si="771"/>
        <v>0</v>
      </c>
      <c r="FM462" s="1">
        <f t="shared" si="772"/>
        <v>0</v>
      </c>
      <c r="FN462" s="1">
        <f t="shared" si="773"/>
        <v>0</v>
      </c>
      <c r="FO462" s="1">
        <f t="shared" si="774"/>
        <v>0</v>
      </c>
      <c r="FP462" s="1">
        <f t="shared" si="775"/>
        <v>0</v>
      </c>
      <c r="FQ462" s="1">
        <f t="shared" si="776"/>
        <v>0</v>
      </c>
      <c r="FS462" s="1">
        <f t="shared" si="777"/>
        <v>0</v>
      </c>
      <c r="FT462" s="1">
        <f t="shared" si="778"/>
        <v>0</v>
      </c>
      <c r="FU462" s="38">
        <f t="shared" si="779"/>
        <v>0</v>
      </c>
      <c r="FV462" s="38">
        <f t="shared" si="780"/>
        <v>0</v>
      </c>
      <c r="FW462" s="38">
        <f t="shared" si="781"/>
        <v>0</v>
      </c>
      <c r="FX462" s="38">
        <f t="shared" si="782"/>
        <v>0</v>
      </c>
      <c r="FY462" s="38">
        <f t="shared" si="783"/>
        <v>0</v>
      </c>
      <c r="FZ462" s="38">
        <f t="shared" si="784"/>
        <v>0</v>
      </c>
      <c r="GA462" s="38">
        <f t="shared" si="785"/>
        <v>0</v>
      </c>
      <c r="GB462" s="38">
        <f t="shared" si="786"/>
        <v>0</v>
      </c>
      <c r="GC462" s="38">
        <f t="shared" si="787"/>
        <v>0</v>
      </c>
      <c r="GD462" s="38">
        <f t="shared" si="788"/>
        <v>0</v>
      </c>
      <c r="GE462" s="38">
        <f t="shared" si="789"/>
        <v>0</v>
      </c>
      <c r="GF462" s="38">
        <f t="shared" si="790"/>
        <v>0</v>
      </c>
      <c r="GG462" s="38">
        <f t="shared" si="791"/>
        <v>0</v>
      </c>
      <c r="GH462" s="38">
        <f t="shared" si="792"/>
        <v>0</v>
      </c>
      <c r="GI462" s="38">
        <f t="shared" si="793"/>
        <v>0</v>
      </c>
      <c r="GJ462" s="38">
        <f t="shared" si="794"/>
        <v>0</v>
      </c>
      <c r="GL462" s="38">
        <f t="shared" si="795"/>
        <v>0</v>
      </c>
      <c r="GM462" s="38">
        <f t="shared" si="796"/>
        <v>0</v>
      </c>
      <c r="GN462" s="1" t="s">
        <v>2</v>
      </c>
      <c r="GO462" s="1">
        <f t="shared" si="804"/>
        <v>143</v>
      </c>
      <c r="GP462" s="1">
        <f t="shared" si="805"/>
        <v>0.28999999999999998</v>
      </c>
      <c r="GQ462" s="41">
        <f t="shared" si="806"/>
        <v>414.7</v>
      </c>
      <c r="GR462" s="41">
        <f t="shared" si="807"/>
        <v>9049.0233833999991</v>
      </c>
      <c r="GS462" s="14">
        <f t="shared" si="808"/>
        <v>63.279883799999993</v>
      </c>
      <c r="GT462" s="1">
        <f t="shared" si="797"/>
        <v>0</v>
      </c>
      <c r="GU462" s="1">
        <f t="shared" si="798"/>
        <v>0</v>
      </c>
      <c r="GV462" s="1">
        <f t="shared" si="799"/>
        <v>414.7</v>
      </c>
      <c r="GW462" s="37">
        <f t="shared" si="809"/>
        <v>0</v>
      </c>
      <c r="GX462" s="37"/>
      <c r="GY462" s="37"/>
      <c r="GZ462" s="37"/>
      <c r="HB462" s="1">
        <f t="shared" si="800"/>
        <v>0</v>
      </c>
      <c r="HC462" s="1">
        <f t="shared" si="801"/>
        <v>0</v>
      </c>
      <c r="HD462" s="37" t="s">
        <v>2</v>
      </c>
      <c r="HE462" s="1" t="s">
        <v>113</v>
      </c>
      <c r="HF462" s="1" t="s">
        <v>261</v>
      </c>
      <c r="HI462" s="1" t="s">
        <v>96</v>
      </c>
      <c r="HJ462" s="37" t="s">
        <v>2</v>
      </c>
      <c r="JH462" s="58" t="s">
        <v>2</v>
      </c>
    </row>
    <row r="463" spans="1:268" ht="16.25" customHeight="1" x14ac:dyDescent="0.2">
      <c r="A463" s="15" t="s">
        <v>822</v>
      </c>
      <c r="B463" s="1" t="s">
        <v>69</v>
      </c>
      <c r="F463" s="1" t="s">
        <v>131</v>
      </c>
      <c r="I463" s="1">
        <v>0</v>
      </c>
      <c r="AD463" s="1">
        <v>0</v>
      </c>
      <c r="AY463" s="1">
        <v>260.5</v>
      </c>
      <c r="AZ463" s="1">
        <v>0.11</v>
      </c>
      <c r="BA463" s="1">
        <v>7.0999999999999994E-2</v>
      </c>
      <c r="BG463" s="1">
        <v>7.0000000000000007E-2</v>
      </c>
      <c r="BI463" s="1">
        <f>(1.371-0.071)*0.5</f>
        <v>0.65</v>
      </c>
      <c r="BJ463" s="1">
        <f>(1.371-0.071)*0.5</f>
        <v>0.65</v>
      </c>
      <c r="BT463" s="1">
        <v>0</v>
      </c>
      <c r="CO463" s="1">
        <v>0</v>
      </c>
      <c r="DJ463" s="1" t="s">
        <v>96</v>
      </c>
      <c r="DL463" s="1">
        <f t="shared" si="802"/>
        <v>7.0000000000000007E-2</v>
      </c>
      <c r="DM463" s="1">
        <f t="shared" si="803"/>
        <v>0</v>
      </c>
      <c r="DN463" s="1" t="s">
        <v>812</v>
      </c>
      <c r="DO463" s="1" t="s">
        <v>2</v>
      </c>
      <c r="DP463" s="38">
        <f t="shared" si="725"/>
        <v>0.28655000000000003</v>
      </c>
      <c r="DQ463" s="38">
        <f t="shared" si="726"/>
        <v>18.4955</v>
      </c>
      <c r="DR463" s="38">
        <f t="shared" si="727"/>
        <v>0</v>
      </c>
      <c r="DS463" s="38">
        <f t="shared" si="728"/>
        <v>0</v>
      </c>
      <c r="DT463" s="38">
        <f t="shared" si="729"/>
        <v>0</v>
      </c>
      <c r="DU463" s="38">
        <f t="shared" si="730"/>
        <v>0</v>
      </c>
      <c r="DV463" s="38">
        <f t="shared" si="731"/>
        <v>0</v>
      </c>
      <c r="DW463" s="38">
        <f t="shared" si="732"/>
        <v>0.18235000000000004</v>
      </c>
      <c r="DX463" s="38">
        <f t="shared" si="733"/>
        <v>0</v>
      </c>
      <c r="DY463" s="38">
        <f t="shared" si="734"/>
        <v>169.32500000000002</v>
      </c>
      <c r="DZ463" s="38">
        <f t="shared" si="735"/>
        <v>169.32500000000002</v>
      </c>
      <c r="EA463" s="38">
        <f t="shared" si="736"/>
        <v>0</v>
      </c>
      <c r="EB463" s="38">
        <f t="shared" si="737"/>
        <v>0</v>
      </c>
      <c r="EC463" s="38">
        <f t="shared" si="738"/>
        <v>0</v>
      </c>
      <c r="ED463" s="38">
        <f t="shared" si="739"/>
        <v>0</v>
      </c>
      <c r="EE463" s="38">
        <f t="shared" si="740"/>
        <v>0</v>
      </c>
      <c r="EG463" s="38">
        <f t="shared" si="741"/>
        <v>0</v>
      </c>
      <c r="EH463" s="38">
        <f t="shared" si="742"/>
        <v>0</v>
      </c>
      <c r="EI463" s="38">
        <f t="shared" si="743"/>
        <v>1869.9152648000002</v>
      </c>
      <c r="EJ463" s="38">
        <f t="shared" si="744"/>
        <v>756.47189710610928</v>
      </c>
      <c r="EK463" s="38">
        <f t="shared" si="745"/>
        <v>0</v>
      </c>
      <c r="EL463" s="38">
        <f t="shared" si="746"/>
        <v>0</v>
      </c>
      <c r="EM463" s="38">
        <f t="shared" si="747"/>
        <v>0</v>
      </c>
      <c r="EN463" s="38">
        <f t="shared" si="748"/>
        <v>0</v>
      </c>
      <c r="EO463" s="38">
        <f t="shared" si="749"/>
        <v>0</v>
      </c>
      <c r="EP463" s="38">
        <f t="shared" si="750"/>
        <v>2391.3379000000004</v>
      </c>
      <c r="EQ463" s="38">
        <f t="shared" si="751"/>
        <v>0</v>
      </c>
      <c r="ER463" s="38">
        <f t="shared" si="752"/>
        <v>4805.6721704180063</v>
      </c>
      <c r="ES463" s="38">
        <f t="shared" si="753"/>
        <v>5642.878127009647</v>
      </c>
      <c r="ET463" s="38">
        <f t="shared" si="754"/>
        <v>0</v>
      </c>
      <c r="EU463" s="38">
        <f t="shared" si="755"/>
        <v>0</v>
      </c>
      <c r="EV463" s="38">
        <f t="shared" si="756"/>
        <v>0</v>
      </c>
      <c r="EW463" s="38">
        <f t="shared" si="757"/>
        <v>0</v>
      </c>
      <c r="EX463" s="38">
        <f t="shared" si="758"/>
        <v>0</v>
      </c>
      <c r="EZ463" s="38">
        <f t="shared" si="759"/>
        <v>0</v>
      </c>
      <c r="FA463" s="38">
        <f t="shared" si="760"/>
        <v>0</v>
      </c>
      <c r="FB463" s="1">
        <f t="shared" si="761"/>
        <v>0</v>
      </c>
      <c r="FC463" s="1">
        <f t="shared" si="762"/>
        <v>0</v>
      </c>
      <c r="FD463" s="1">
        <f t="shared" si="763"/>
        <v>0</v>
      </c>
      <c r="FE463" s="1">
        <f t="shared" si="764"/>
        <v>0</v>
      </c>
      <c r="FF463" s="1">
        <f t="shared" si="765"/>
        <v>0</v>
      </c>
      <c r="FG463" s="1">
        <f t="shared" si="766"/>
        <v>0</v>
      </c>
      <c r="FH463" s="1">
        <f t="shared" si="767"/>
        <v>0</v>
      </c>
      <c r="FI463" s="1">
        <f t="shared" si="768"/>
        <v>0</v>
      </c>
      <c r="FJ463" s="1">
        <f t="shared" si="769"/>
        <v>0</v>
      </c>
      <c r="FK463" s="1">
        <f t="shared" si="770"/>
        <v>0</v>
      </c>
      <c r="FL463" s="1">
        <f t="shared" si="771"/>
        <v>0</v>
      </c>
      <c r="FM463" s="1">
        <f t="shared" si="772"/>
        <v>0</v>
      </c>
      <c r="FN463" s="1">
        <f t="shared" si="773"/>
        <v>0</v>
      </c>
      <c r="FO463" s="1">
        <f t="shared" si="774"/>
        <v>0</v>
      </c>
      <c r="FP463" s="1">
        <f t="shared" si="775"/>
        <v>0</v>
      </c>
      <c r="FQ463" s="1">
        <f t="shared" si="776"/>
        <v>0</v>
      </c>
      <c r="FS463" s="1">
        <f t="shared" si="777"/>
        <v>0</v>
      </c>
      <c r="FT463" s="1">
        <f t="shared" si="778"/>
        <v>0</v>
      </c>
      <c r="FU463" s="38">
        <f t="shared" si="779"/>
        <v>0</v>
      </c>
      <c r="FV463" s="38">
        <f t="shared" si="780"/>
        <v>0</v>
      </c>
      <c r="FW463" s="38">
        <f t="shared" si="781"/>
        <v>0</v>
      </c>
      <c r="FX463" s="38">
        <f t="shared" si="782"/>
        <v>0</v>
      </c>
      <c r="FY463" s="38">
        <f t="shared" si="783"/>
        <v>0</v>
      </c>
      <c r="FZ463" s="38">
        <f t="shared" si="784"/>
        <v>0</v>
      </c>
      <c r="GA463" s="38">
        <f t="shared" si="785"/>
        <v>0</v>
      </c>
      <c r="GB463" s="38">
        <f t="shared" si="786"/>
        <v>0</v>
      </c>
      <c r="GC463" s="38">
        <f t="shared" si="787"/>
        <v>0</v>
      </c>
      <c r="GD463" s="38">
        <f t="shared" si="788"/>
        <v>0</v>
      </c>
      <c r="GE463" s="38">
        <f t="shared" si="789"/>
        <v>0</v>
      </c>
      <c r="GF463" s="38">
        <f t="shared" si="790"/>
        <v>0</v>
      </c>
      <c r="GG463" s="38">
        <f t="shared" si="791"/>
        <v>0</v>
      </c>
      <c r="GH463" s="38">
        <f t="shared" si="792"/>
        <v>0</v>
      </c>
      <c r="GI463" s="38">
        <f t="shared" si="793"/>
        <v>0</v>
      </c>
      <c r="GJ463" s="38">
        <f t="shared" si="794"/>
        <v>0</v>
      </c>
      <c r="GL463" s="38">
        <f t="shared" si="795"/>
        <v>0</v>
      </c>
      <c r="GM463" s="38">
        <f t="shared" si="796"/>
        <v>0</v>
      </c>
      <c r="GN463" s="1" t="s">
        <v>2</v>
      </c>
      <c r="GO463" s="1">
        <f t="shared" si="804"/>
        <v>260.5</v>
      </c>
      <c r="GP463" s="1">
        <f t="shared" si="805"/>
        <v>7.0000000000000007E-2</v>
      </c>
      <c r="GQ463" s="41">
        <f t="shared" si="806"/>
        <v>182.35</v>
      </c>
      <c r="GR463" s="41">
        <f t="shared" si="807"/>
        <v>15466.275359333762</v>
      </c>
      <c r="GS463" s="14">
        <f t="shared" si="808"/>
        <v>59.371498500321543</v>
      </c>
      <c r="GT463" s="1">
        <f t="shared" si="797"/>
        <v>0</v>
      </c>
      <c r="GU463" s="1">
        <f t="shared" si="798"/>
        <v>0</v>
      </c>
      <c r="GV463" s="1">
        <f t="shared" si="799"/>
        <v>182.35000000000002</v>
      </c>
      <c r="GW463" s="37">
        <f t="shared" si="809"/>
        <v>0</v>
      </c>
      <c r="GX463" s="37"/>
      <c r="GY463" s="37"/>
      <c r="GZ463" s="37"/>
      <c r="HB463" s="1">
        <f t="shared" si="800"/>
        <v>0</v>
      </c>
      <c r="HC463" s="1">
        <f t="shared" si="801"/>
        <v>0</v>
      </c>
      <c r="HD463" s="37" t="s">
        <v>2</v>
      </c>
      <c r="HE463" s="1" t="s">
        <v>113</v>
      </c>
      <c r="HF463" s="1" t="s">
        <v>261</v>
      </c>
      <c r="HI463" s="1" t="s">
        <v>96</v>
      </c>
      <c r="HJ463" s="37" t="s">
        <v>2</v>
      </c>
      <c r="JH463" s="58" t="s">
        <v>2</v>
      </c>
    </row>
    <row r="464" spans="1:268" ht="16.25" customHeight="1" x14ac:dyDescent="0.2">
      <c r="A464" s="15" t="s">
        <v>860</v>
      </c>
      <c r="B464" s="1" t="s">
        <v>69</v>
      </c>
      <c r="F464" s="1" t="s">
        <v>131</v>
      </c>
      <c r="I464" s="1">
        <v>1.103</v>
      </c>
      <c r="J464" s="1">
        <v>0.17</v>
      </c>
      <c r="K464" s="1">
        <v>0.26400000000000001</v>
      </c>
      <c r="Q464" s="1">
        <v>0.23</v>
      </c>
      <c r="S464" s="13">
        <f>(6.685-0.264)*0.4</f>
        <v>2.5684</v>
      </c>
      <c r="T464" s="13">
        <f>(6.685-0.264)*0.6</f>
        <v>3.8525999999999994</v>
      </c>
      <c r="AD464" s="1">
        <v>0</v>
      </c>
      <c r="AY464" s="1">
        <v>0</v>
      </c>
      <c r="BT464" s="1">
        <v>1.103</v>
      </c>
      <c r="BU464" s="1">
        <v>0.17</v>
      </c>
      <c r="BV464" s="1">
        <v>0.26400000000000001</v>
      </c>
      <c r="CB464" s="1">
        <v>0.23</v>
      </c>
      <c r="CD464" s="13">
        <f>(6.685-0.264)*0.4</f>
        <v>2.5684</v>
      </c>
      <c r="CE464" s="13">
        <f>(6.685-0.264)*0.6</f>
        <v>3.8525999999999994</v>
      </c>
      <c r="CO464" s="1">
        <v>0</v>
      </c>
      <c r="DJ464" s="1" t="s">
        <v>96</v>
      </c>
      <c r="DL464" s="1">
        <f t="shared" si="802"/>
        <v>0.23000000000000004</v>
      </c>
      <c r="DM464" s="1">
        <f t="shared" si="803"/>
        <v>0</v>
      </c>
      <c r="DN464" s="1" t="s">
        <v>812</v>
      </c>
      <c r="DO464" s="1" t="s">
        <v>2</v>
      </c>
      <c r="DP464" s="38">
        <f t="shared" si="725"/>
        <v>1.8751000000000002E-3</v>
      </c>
      <c r="DQ464" s="38">
        <f t="shared" si="726"/>
        <v>0.29119200000000001</v>
      </c>
      <c r="DR464" s="38">
        <f t="shared" si="727"/>
        <v>0</v>
      </c>
      <c r="DS464" s="38">
        <f t="shared" si="728"/>
        <v>0</v>
      </c>
      <c r="DT464" s="38">
        <f t="shared" si="729"/>
        <v>0</v>
      </c>
      <c r="DU464" s="38">
        <f t="shared" si="730"/>
        <v>0</v>
      </c>
      <c r="DV464" s="38">
        <f t="shared" si="731"/>
        <v>0</v>
      </c>
      <c r="DW464" s="38">
        <f t="shared" si="732"/>
        <v>2.5369000000000004E-3</v>
      </c>
      <c r="DX464" s="38">
        <f t="shared" si="733"/>
        <v>0</v>
      </c>
      <c r="DY464" s="38">
        <f t="shared" si="734"/>
        <v>2.8329452000000002</v>
      </c>
      <c r="DZ464" s="38">
        <f t="shared" si="735"/>
        <v>4.2494177999999989</v>
      </c>
      <c r="EA464" s="38">
        <f t="shared" si="736"/>
        <v>0</v>
      </c>
      <c r="EB464" s="38">
        <f t="shared" si="737"/>
        <v>0</v>
      </c>
      <c r="EC464" s="38">
        <f t="shared" si="738"/>
        <v>0</v>
      </c>
      <c r="ED464" s="38">
        <f t="shared" si="739"/>
        <v>0</v>
      </c>
      <c r="EE464" s="38">
        <f t="shared" si="740"/>
        <v>0</v>
      </c>
      <c r="EG464" s="38">
        <f t="shared" si="741"/>
        <v>0</v>
      </c>
      <c r="EH464" s="38">
        <f t="shared" si="742"/>
        <v>0</v>
      </c>
      <c r="EI464" s="38">
        <f t="shared" si="743"/>
        <v>12.236182561600002</v>
      </c>
      <c r="EJ464" s="38">
        <f t="shared" si="744"/>
        <v>11.909846430868166</v>
      </c>
      <c r="EK464" s="38">
        <f t="shared" si="745"/>
        <v>0</v>
      </c>
      <c r="EL464" s="38">
        <f t="shared" si="746"/>
        <v>0</v>
      </c>
      <c r="EM464" s="38">
        <f t="shared" si="747"/>
        <v>0</v>
      </c>
      <c r="EN464" s="38">
        <f t="shared" si="748"/>
        <v>0</v>
      </c>
      <c r="EO464" s="38">
        <f t="shared" si="749"/>
        <v>0</v>
      </c>
      <c r="EP464" s="38">
        <f t="shared" si="750"/>
        <v>33.268906600000001</v>
      </c>
      <c r="EQ464" s="38">
        <f t="shared" si="751"/>
        <v>0</v>
      </c>
      <c r="ER464" s="38">
        <f t="shared" si="752"/>
        <v>80.40281061839228</v>
      </c>
      <c r="ES464" s="38">
        <f t="shared" si="753"/>
        <v>141.61492252263662</v>
      </c>
      <c r="ET464" s="38">
        <f t="shared" si="754"/>
        <v>0</v>
      </c>
      <c r="EU464" s="38">
        <f t="shared" si="755"/>
        <v>0</v>
      </c>
      <c r="EV464" s="38">
        <f t="shared" si="756"/>
        <v>0</v>
      </c>
      <c r="EW464" s="38">
        <f t="shared" si="757"/>
        <v>0</v>
      </c>
      <c r="EX464" s="38">
        <f t="shared" si="758"/>
        <v>0</v>
      </c>
      <c r="EZ464" s="38">
        <f t="shared" si="759"/>
        <v>0</v>
      </c>
      <c r="FA464" s="38">
        <f t="shared" si="760"/>
        <v>0</v>
      </c>
      <c r="FB464" s="1">
        <f t="shared" si="761"/>
        <v>1.8751000000000002E-3</v>
      </c>
      <c r="FC464" s="1">
        <f t="shared" si="762"/>
        <v>0.29119200000000001</v>
      </c>
      <c r="FD464" s="1">
        <f t="shared" si="763"/>
        <v>0</v>
      </c>
      <c r="FE464" s="1">
        <f t="shared" si="764"/>
        <v>0</v>
      </c>
      <c r="FF464" s="1">
        <f t="shared" si="765"/>
        <v>0</v>
      </c>
      <c r="FG464" s="1">
        <f t="shared" si="766"/>
        <v>0</v>
      </c>
      <c r="FH464" s="1">
        <f t="shared" si="767"/>
        <v>0</v>
      </c>
      <c r="FI464" s="1">
        <f t="shared" si="768"/>
        <v>2.5369000000000004E-3</v>
      </c>
      <c r="FJ464" s="1">
        <f t="shared" si="769"/>
        <v>0</v>
      </c>
      <c r="FK464" s="1">
        <f t="shared" si="770"/>
        <v>2.8329452000000002</v>
      </c>
      <c r="FL464" s="1">
        <f t="shared" si="771"/>
        <v>4.2494177999999989</v>
      </c>
      <c r="FM464" s="1">
        <f t="shared" si="772"/>
        <v>0</v>
      </c>
      <c r="FN464" s="1">
        <f t="shared" si="773"/>
        <v>0</v>
      </c>
      <c r="FO464" s="1">
        <f t="shared" si="774"/>
        <v>0</v>
      </c>
      <c r="FP464" s="1">
        <f t="shared" si="775"/>
        <v>0</v>
      </c>
      <c r="FQ464" s="1">
        <f t="shared" si="776"/>
        <v>0</v>
      </c>
      <c r="FS464" s="1">
        <f t="shared" si="777"/>
        <v>0</v>
      </c>
      <c r="FT464" s="1">
        <f t="shared" si="778"/>
        <v>0</v>
      </c>
      <c r="FU464" s="38">
        <f t="shared" si="779"/>
        <v>12.236182561600002</v>
      </c>
      <c r="FV464" s="38">
        <f t="shared" si="780"/>
        <v>11.909846430868166</v>
      </c>
      <c r="FW464" s="38">
        <f t="shared" si="781"/>
        <v>0</v>
      </c>
      <c r="FX464" s="38">
        <f t="shared" si="782"/>
        <v>0</v>
      </c>
      <c r="FY464" s="38">
        <f t="shared" si="783"/>
        <v>0</v>
      </c>
      <c r="FZ464" s="38">
        <f t="shared" si="784"/>
        <v>0</v>
      </c>
      <c r="GA464" s="38">
        <f t="shared" si="785"/>
        <v>0</v>
      </c>
      <c r="GB464" s="38">
        <f t="shared" si="786"/>
        <v>33.268906600000001</v>
      </c>
      <c r="GC464" s="38">
        <f t="shared" si="787"/>
        <v>0</v>
      </c>
      <c r="GD464" s="38">
        <f t="shared" si="788"/>
        <v>80.40281061839228</v>
      </c>
      <c r="GE464" s="38">
        <f t="shared" si="789"/>
        <v>141.61492252263662</v>
      </c>
      <c r="GF464" s="38">
        <f t="shared" si="790"/>
        <v>0</v>
      </c>
      <c r="GG464" s="38">
        <f t="shared" si="791"/>
        <v>0</v>
      </c>
      <c r="GH464" s="38">
        <f t="shared" si="792"/>
        <v>0</v>
      </c>
      <c r="GI464" s="38">
        <f t="shared" si="793"/>
        <v>0</v>
      </c>
      <c r="GJ464" s="38">
        <f t="shared" si="794"/>
        <v>0</v>
      </c>
      <c r="GL464" s="38">
        <f t="shared" si="795"/>
        <v>0</v>
      </c>
      <c r="GM464" s="38">
        <f t="shared" si="796"/>
        <v>0</v>
      </c>
      <c r="GN464" s="1" t="s">
        <v>2</v>
      </c>
      <c r="GO464" s="1">
        <f t="shared" si="804"/>
        <v>1.103</v>
      </c>
      <c r="GP464" s="1">
        <f t="shared" si="805"/>
        <v>0.23000000000000004</v>
      </c>
      <c r="GQ464" s="41">
        <f t="shared" si="806"/>
        <v>2.5369000000000006</v>
      </c>
      <c r="GR464" s="41">
        <f t="shared" si="807"/>
        <v>279.43266873349705</v>
      </c>
      <c r="GS464" s="14">
        <f t="shared" si="808"/>
        <v>253.33877491704175</v>
      </c>
      <c r="GT464" s="1">
        <f t="shared" si="797"/>
        <v>2.5369000000000002</v>
      </c>
      <c r="GU464" s="1">
        <f t="shared" si="798"/>
        <v>0</v>
      </c>
      <c r="GV464" s="1">
        <f t="shared" si="799"/>
        <v>0</v>
      </c>
      <c r="GW464" s="37">
        <f t="shared" si="809"/>
        <v>1.103</v>
      </c>
      <c r="GX464" s="44">
        <f>(BT464*CB464+CO464*CW464)/GW464</f>
        <v>0.23000000000000004</v>
      </c>
      <c r="GY464" s="41">
        <f>1000*GW464*GX464/100</f>
        <v>2.5369000000000006</v>
      </c>
      <c r="GZ464" s="41">
        <f>SUM(FU464:GM464)</f>
        <v>279.43266873349705</v>
      </c>
      <c r="HA464" s="14">
        <f>GZ464/GW464</f>
        <v>253.33877491704175</v>
      </c>
      <c r="HB464" s="1">
        <f t="shared" si="800"/>
        <v>2.5369000000000002</v>
      </c>
      <c r="HC464" s="1">
        <f t="shared" si="801"/>
        <v>0</v>
      </c>
      <c r="HD464" s="37" t="s">
        <v>2</v>
      </c>
      <c r="HE464" s="1" t="s">
        <v>113</v>
      </c>
      <c r="HF464" s="1" t="s">
        <v>261</v>
      </c>
      <c r="HI464" s="1" t="s">
        <v>96</v>
      </c>
      <c r="HJ464" s="37" t="s">
        <v>2</v>
      </c>
      <c r="JH464" s="58" t="s">
        <v>2</v>
      </c>
    </row>
    <row r="465" spans="1:268" ht="16.25" customHeight="1" x14ac:dyDescent="0.2">
      <c r="A465" s="15" t="s">
        <v>861</v>
      </c>
      <c r="B465" s="1" t="s">
        <v>69</v>
      </c>
      <c r="F465" s="1" t="s">
        <v>131</v>
      </c>
      <c r="I465" s="1">
        <v>12.712999999999999</v>
      </c>
      <c r="J465" s="1">
        <v>0.16</v>
      </c>
      <c r="K465" s="1">
        <v>0.14899999999999999</v>
      </c>
      <c r="Q465" s="1">
        <v>0.12</v>
      </c>
      <c r="S465" s="13">
        <f>(3.652-0.149)*0.4</f>
        <v>1.4012000000000002</v>
      </c>
      <c r="T465" s="13">
        <f>(3.652-0.149)*0.6</f>
        <v>2.1017999999999999</v>
      </c>
      <c r="AD465" s="1">
        <v>0</v>
      </c>
      <c r="AY465" s="1">
        <v>0</v>
      </c>
      <c r="BT465" s="1">
        <v>12.712999999999999</v>
      </c>
      <c r="BU465" s="1">
        <v>0.16</v>
      </c>
      <c r="BV465" s="1">
        <v>0.14899999999999999</v>
      </c>
      <c r="CB465" s="1">
        <v>0.12</v>
      </c>
      <c r="CD465" s="13">
        <f>(3.652-0.149)*0.4</f>
        <v>1.4012000000000002</v>
      </c>
      <c r="CE465" s="13">
        <f>(3.652-0.149)*0.6</f>
        <v>2.1017999999999999</v>
      </c>
      <c r="CO465" s="1">
        <v>0</v>
      </c>
      <c r="DJ465" s="1" t="s">
        <v>96</v>
      </c>
      <c r="DL465" s="1">
        <f t="shared" si="802"/>
        <v>0.12</v>
      </c>
      <c r="DM465" s="1">
        <f t="shared" si="803"/>
        <v>0</v>
      </c>
      <c r="DN465" s="1" t="s">
        <v>812</v>
      </c>
      <c r="DO465" s="1" t="s">
        <v>2</v>
      </c>
      <c r="DP465" s="38">
        <f t="shared" si="725"/>
        <v>2.0340799999999999E-2</v>
      </c>
      <c r="DQ465" s="38">
        <f t="shared" si="726"/>
        <v>1.8942369999999997</v>
      </c>
      <c r="DR465" s="38">
        <f t="shared" si="727"/>
        <v>0</v>
      </c>
      <c r="DS465" s="38">
        <f t="shared" si="728"/>
        <v>0</v>
      </c>
      <c r="DT465" s="38">
        <f t="shared" si="729"/>
        <v>0</v>
      </c>
      <c r="DU465" s="38">
        <f t="shared" si="730"/>
        <v>0</v>
      </c>
      <c r="DV465" s="38">
        <f t="shared" si="731"/>
        <v>0</v>
      </c>
      <c r="DW465" s="38">
        <f t="shared" si="732"/>
        <v>1.5255599999999998E-2</v>
      </c>
      <c r="DX465" s="38">
        <f t="shared" si="733"/>
        <v>0</v>
      </c>
      <c r="DY465" s="38">
        <f t="shared" si="734"/>
        <v>17.813455600000001</v>
      </c>
      <c r="DZ465" s="38">
        <f t="shared" si="735"/>
        <v>26.720183399999996</v>
      </c>
      <c r="EA465" s="38">
        <f t="shared" si="736"/>
        <v>0</v>
      </c>
      <c r="EB465" s="38">
        <f t="shared" si="737"/>
        <v>0</v>
      </c>
      <c r="EC465" s="38">
        <f t="shared" si="738"/>
        <v>0</v>
      </c>
      <c r="ED465" s="38">
        <f t="shared" si="739"/>
        <v>0</v>
      </c>
      <c r="EE465" s="38">
        <f t="shared" si="740"/>
        <v>0</v>
      </c>
      <c r="EG465" s="38">
        <f t="shared" si="741"/>
        <v>0</v>
      </c>
      <c r="EH465" s="38">
        <f t="shared" si="742"/>
        <v>0</v>
      </c>
      <c r="EI465" s="38">
        <f t="shared" si="743"/>
        <v>132.73624993280001</v>
      </c>
      <c r="EJ465" s="38">
        <f t="shared" si="744"/>
        <v>77.474902379421209</v>
      </c>
      <c r="EK465" s="38">
        <f t="shared" si="745"/>
        <v>0</v>
      </c>
      <c r="EL465" s="38">
        <f t="shared" si="746"/>
        <v>0</v>
      </c>
      <c r="EM465" s="38">
        <f t="shared" si="747"/>
        <v>0</v>
      </c>
      <c r="EN465" s="38">
        <f t="shared" si="748"/>
        <v>0</v>
      </c>
      <c r="EO465" s="38">
        <f t="shared" si="749"/>
        <v>0</v>
      </c>
      <c r="EP465" s="38">
        <f t="shared" si="750"/>
        <v>200.06193839999997</v>
      </c>
      <c r="EQ465" s="38">
        <f t="shared" si="751"/>
        <v>0</v>
      </c>
      <c r="ER465" s="38">
        <f t="shared" si="752"/>
        <v>505.5699266847588</v>
      </c>
      <c r="ES465" s="38">
        <f t="shared" si="753"/>
        <v>890.46944312739538</v>
      </c>
      <c r="ET465" s="38">
        <f t="shared" si="754"/>
        <v>0</v>
      </c>
      <c r="EU465" s="38">
        <f t="shared" si="755"/>
        <v>0</v>
      </c>
      <c r="EV465" s="38">
        <f t="shared" si="756"/>
        <v>0</v>
      </c>
      <c r="EW465" s="38">
        <f t="shared" si="757"/>
        <v>0</v>
      </c>
      <c r="EX465" s="38">
        <f t="shared" si="758"/>
        <v>0</v>
      </c>
      <c r="EZ465" s="38">
        <f t="shared" si="759"/>
        <v>0</v>
      </c>
      <c r="FA465" s="38">
        <f t="shared" si="760"/>
        <v>0</v>
      </c>
      <c r="FB465" s="1">
        <f t="shared" si="761"/>
        <v>2.0340799999999999E-2</v>
      </c>
      <c r="FC465" s="1">
        <f t="shared" si="762"/>
        <v>1.8942369999999997</v>
      </c>
      <c r="FD465" s="1">
        <f t="shared" si="763"/>
        <v>0</v>
      </c>
      <c r="FE465" s="1">
        <f t="shared" si="764"/>
        <v>0</v>
      </c>
      <c r="FF465" s="1">
        <f t="shared" si="765"/>
        <v>0</v>
      </c>
      <c r="FG465" s="1">
        <f t="shared" si="766"/>
        <v>0</v>
      </c>
      <c r="FH465" s="1">
        <f t="shared" si="767"/>
        <v>0</v>
      </c>
      <c r="FI465" s="1">
        <f t="shared" si="768"/>
        <v>1.5255599999999998E-2</v>
      </c>
      <c r="FJ465" s="1">
        <f t="shared" si="769"/>
        <v>0</v>
      </c>
      <c r="FK465" s="1">
        <f t="shared" si="770"/>
        <v>17.813455600000001</v>
      </c>
      <c r="FL465" s="1">
        <f t="shared" si="771"/>
        <v>26.720183399999996</v>
      </c>
      <c r="FM465" s="1">
        <f t="shared" si="772"/>
        <v>0</v>
      </c>
      <c r="FN465" s="1">
        <f t="shared" si="773"/>
        <v>0</v>
      </c>
      <c r="FO465" s="1">
        <f t="shared" si="774"/>
        <v>0</v>
      </c>
      <c r="FP465" s="1">
        <f t="shared" si="775"/>
        <v>0</v>
      </c>
      <c r="FQ465" s="1">
        <f t="shared" si="776"/>
        <v>0</v>
      </c>
      <c r="FS465" s="1">
        <f t="shared" si="777"/>
        <v>0</v>
      </c>
      <c r="FT465" s="1">
        <f t="shared" si="778"/>
        <v>0</v>
      </c>
      <c r="FU465" s="38">
        <f t="shared" si="779"/>
        <v>132.73624993280001</v>
      </c>
      <c r="FV465" s="38">
        <f t="shared" si="780"/>
        <v>77.474902379421209</v>
      </c>
      <c r="FW465" s="38">
        <f t="shared" si="781"/>
        <v>0</v>
      </c>
      <c r="FX465" s="38">
        <f t="shared" si="782"/>
        <v>0</v>
      </c>
      <c r="FY465" s="38">
        <f t="shared" si="783"/>
        <v>0</v>
      </c>
      <c r="FZ465" s="38">
        <f t="shared" si="784"/>
        <v>0</v>
      </c>
      <c r="GA465" s="38">
        <f t="shared" si="785"/>
        <v>0</v>
      </c>
      <c r="GB465" s="38">
        <f t="shared" si="786"/>
        <v>200.06193839999997</v>
      </c>
      <c r="GC465" s="38">
        <f t="shared" si="787"/>
        <v>0</v>
      </c>
      <c r="GD465" s="38">
        <f t="shared" si="788"/>
        <v>505.5699266847588</v>
      </c>
      <c r="GE465" s="38">
        <f t="shared" si="789"/>
        <v>890.46944312739538</v>
      </c>
      <c r="GF465" s="38">
        <f t="shared" si="790"/>
        <v>0</v>
      </c>
      <c r="GG465" s="38">
        <f t="shared" si="791"/>
        <v>0</v>
      </c>
      <c r="GH465" s="38">
        <f t="shared" si="792"/>
        <v>0</v>
      </c>
      <c r="GI465" s="38">
        <f t="shared" si="793"/>
        <v>0</v>
      </c>
      <c r="GJ465" s="38">
        <f t="shared" si="794"/>
        <v>0</v>
      </c>
      <c r="GL465" s="38">
        <f t="shared" si="795"/>
        <v>0</v>
      </c>
      <c r="GM465" s="38">
        <f t="shared" si="796"/>
        <v>0</v>
      </c>
      <c r="GN465" s="1" t="s">
        <v>2</v>
      </c>
      <c r="GO465" s="13">
        <f t="shared" si="804"/>
        <v>12.712999999999999</v>
      </c>
      <c r="GP465" s="1">
        <f t="shared" si="805"/>
        <v>0.12</v>
      </c>
      <c r="GQ465" s="41">
        <f t="shared" si="806"/>
        <v>15.255599999999999</v>
      </c>
      <c r="GR465" s="41">
        <f t="shared" si="807"/>
        <v>1806.3124605243754</v>
      </c>
      <c r="GS465" s="14">
        <f t="shared" si="808"/>
        <v>142.08388740064308</v>
      </c>
      <c r="GT465" s="1">
        <f t="shared" si="797"/>
        <v>15.255599999999998</v>
      </c>
      <c r="GU465" s="1">
        <f t="shared" si="798"/>
        <v>0</v>
      </c>
      <c r="GV465" s="1">
        <f t="shared" si="799"/>
        <v>0</v>
      </c>
      <c r="GW465" s="37">
        <f t="shared" si="809"/>
        <v>12.712999999999999</v>
      </c>
      <c r="GX465" s="44">
        <f>(BT465*CB465+CO465*CW465)/GW465</f>
        <v>0.12</v>
      </c>
      <c r="GY465" s="41">
        <f>1000*GW465*GX465/100</f>
        <v>15.255599999999999</v>
      </c>
      <c r="GZ465" s="41">
        <f>SUM(FU465:GM465)</f>
        <v>1806.3124605243754</v>
      </c>
      <c r="HA465" s="14">
        <f>GZ465/GW465</f>
        <v>142.08388740064308</v>
      </c>
      <c r="HB465" s="1">
        <f t="shared" si="800"/>
        <v>15.255599999999998</v>
      </c>
      <c r="HC465" s="1">
        <f t="shared" si="801"/>
        <v>0</v>
      </c>
      <c r="HD465" s="37" t="s">
        <v>2</v>
      </c>
      <c r="HE465" s="1" t="s">
        <v>113</v>
      </c>
      <c r="HF465" s="1" t="s">
        <v>261</v>
      </c>
      <c r="HI465" s="1" t="s">
        <v>96</v>
      </c>
      <c r="HJ465" s="37" t="s">
        <v>2</v>
      </c>
      <c r="JH465" s="58" t="s">
        <v>2</v>
      </c>
    </row>
    <row r="466" spans="1:268" ht="16.25" customHeight="1" x14ac:dyDescent="0.2">
      <c r="A466" s="15" t="s">
        <v>178</v>
      </c>
      <c r="B466" s="1" t="s">
        <v>69</v>
      </c>
      <c r="E466" s="1" t="s">
        <v>72</v>
      </c>
      <c r="F466" s="1" t="s">
        <v>179</v>
      </c>
      <c r="H466" s="1" t="s">
        <v>70</v>
      </c>
      <c r="I466" s="1">
        <v>0</v>
      </c>
      <c r="AD466" s="1">
        <v>0</v>
      </c>
      <c r="AY466" s="1">
        <v>9.4E-2</v>
      </c>
      <c r="AZ466" s="14">
        <v>1</v>
      </c>
      <c r="BG466" s="1">
        <v>0.8</v>
      </c>
      <c r="BT466" s="1">
        <v>0</v>
      </c>
      <c r="CO466" s="1">
        <v>0</v>
      </c>
      <c r="DJ466" s="1" t="s">
        <v>163</v>
      </c>
      <c r="DL466" s="1">
        <f t="shared" si="802"/>
        <v>0.8</v>
      </c>
      <c r="DM466" s="1">
        <f t="shared" si="803"/>
        <v>0</v>
      </c>
      <c r="DN466" s="1" t="s">
        <v>180</v>
      </c>
      <c r="DO466" s="1" t="s">
        <v>2</v>
      </c>
      <c r="DP466" s="38">
        <f t="shared" si="725"/>
        <v>9.3999999999999997E-4</v>
      </c>
      <c r="DQ466" s="38">
        <f t="shared" si="726"/>
        <v>0</v>
      </c>
      <c r="DR466" s="38">
        <f t="shared" si="727"/>
        <v>0</v>
      </c>
      <c r="DS466" s="38">
        <f t="shared" si="728"/>
        <v>0</v>
      </c>
      <c r="DT466" s="38">
        <f t="shared" si="729"/>
        <v>0</v>
      </c>
      <c r="DU466" s="38">
        <f t="shared" si="730"/>
        <v>0</v>
      </c>
      <c r="DV466" s="38">
        <f t="shared" si="731"/>
        <v>0</v>
      </c>
      <c r="DW466" s="38">
        <f t="shared" si="732"/>
        <v>7.5200000000000006E-4</v>
      </c>
      <c r="DX466" s="38">
        <f t="shared" si="733"/>
        <v>0</v>
      </c>
      <c r="DY466" s="38">
        <f t="shared" si="734"/>
        <v>0</v>
      </c>
      <c r="DZ466" s="38">
        <f t="shared" si="735"/>
        <v>0</v>
      </c>
      <c r="EA466" s="38">
        <f t="shared" si="736"/>
        <v>0</v>
      </c>
      <c r="EB466" s="38">
        <f t="shared" si="737"/>
        <v>0</v>
      </c>
      <c r="EC466" s="38">
        <f t="shared" si="738"/>
        <v>0</v>
      </c>
      <c r="ED466" s="38">
        <f t="shared" si="739"/>
        <v>0</v>
      </c>
      <c r="EE466" s="38">
        <f t="shared" si="740"/>
        <v>0</v>
      </c>
      <c r="EG466" s="38">
        <f t="shared" si="741"/>
        <v>0</v>
      </c>
      <c r="EH466" s="38">
        <f t="shared" si="742"/>
        <v>0</v>
      </c>
      <c r="EI466" s="38">
        <f t="shared" si="743"/>
        <v>6.1340790399999996</v>
      </c>
      <c r="EJ466" s="38">
        <f t="shared" si="744"/>
        <v>0</v>
      </c>
      <c r="EK466" s="38">
        <f t="shared" si="745"/>
        <v>0</v>
      </c>
      <c r="EL466" s="38">
        <f t="shared" si="746"/>
        <v>0</v>
      </c>
      <c r="EM466" s="38">
        <f t="shared" si="747"/>
        <v>0</v>
      </c>
      <c r="EN466" s="38">
        <f t="shared" si="748"/>
        <v>0</v>
      </c>
      <c r="EO466" s="38">
        <f t="shared" si="749"/>
        <v>0</v>
      </c>
      <c r="EP466" s="38">
        <f t="shared" si="750"/>
        <v>9.8617280000000012</v>
      </c>
      <c r="EQ466" s="38">
        <f t="shared" si="751"/>
        <v>0</v>
      </c>
      <c r="ER466" s="38">
        <f t="shared" si="752"/>
        <v>0</v>
      </c>
      <c r="ES466" s="38">
        <f t="shared" si="753"/>
        <v>0</v>
      </c>
      <c r="ET466" s="38">
        <f t="shared" si="754"/>
        <v>0</v>
      </c>
      <c r="EU466" s="38">
        <f t="shared" si="755"/>
        <v>0</v>
      </c>
      <c r="EV466" s="38">
        <f t="shared" si="756"/>
        <v>0</v>
      </c>
      <c r="EW466" s="38">
        <f t="shared" si="757"/>
        <v>0</v>
      </c>
      <c r="EX466" s="38">
        <f t="shared" si="758"/>
        <v>0</v>
      </c>
      <c r="EZ466" s="38">
        <f t="shared" si="759"/>
        <v>0</v>
      </c>
      <c r="FA466" s="38">
        <f t="shared" si="760"/>
        <v>0</v>
      </c>
      <c r="FB466" s="1">
        <f t="shared" si="761"/>
        <v>0</v>
      </c>
      <c r="FC466" s="1">
        <f t="shared" si="762"/>
        <v>0</v>
      </c>
      <c r="FD466" s="1">
        <f t="shared" si="763"/>
        <v>0</v>
      </c>
      <c r="FE466" s="1">
        <f t="shared" si="764"/>
        <v>0</v>
      </c>
      <c r="FF466" s="1">
        <f t="shared" si="765"/>
        <v>0</v>
      </c>
      <c r="FG466" s="1">
        <f t="shared" si="766"/>
        <v>0</v>
      </c>
      <c r="FH466" s="1">
        <f t="shared" si="767"/>
        <v>0</v>
      </c>
      <c r="FI466" s="1">
        <f t="shared" si="768"/>
        <v>0</v>
      </c>
      <c r="FJ466" s="1">
        <f t="shared" si="769"/>
        <v>0</v>
      </c>
      <c r="FK466" s="1">
        <f t="shared" si="770"/>
        <v>0</v>
      </c>
      <c r="FL466" s="1">
        <f t="shared" si="771"/>
        <v>0</v>
      </c>
      <c r="FM466" s="1">
        <f t="shared" si="772"/>
        <v>0</v>
      </c>
      <c r="FN466" s="1">
        <f t="shared" si="773"/>
        <v>0</v>
      </c>
      <c r="FO466" s="1">
        <f t="shared" si="774"/>
        <v>0</v>
      </c>
      <c r="FP466" s="1">
        <f t="shared" si="775"/>
        <v>0</v>
      </c>
      <c r="FQ466" s="1">
        <f t="shared" si="776"/>
        <v>0</v>
      </c>
      <c r="FS466" s="1">
        <f t="shared" si="777"/>
        <v>0</v>
      </c>
      <c r="FT466" s="1">
        <f t="shared" si="778"/>
        <v>0</v>
      </c>
      <c r="FU466" s="38">
        <f t="shared" si="779"/>
        <v>0</v>
      </c>
      <c r="FV466" s="38">
        <f t="shared" si="780"/>
        <v>0</v>
      </c>
      <c r="FW466" s="38">
        <f t="shared" si="781"/>
        <v>0</v>
      </c>
      <c r="FX466" s="38">
        <f t="shared" si="782"/>
        <v>0</v>
      </c>
      <c r="FY466" s="38">
        <f t="shared" si="783"/>
        <v>0</v>
      </c>
      <c r="FZ466" s="38">
        <f t="shared" si="784"/>
        <v>0</v>
      </c>
      <c r="GA466" s="38">
        <f t="shared" si="785"/>
        <v>0</v>
      </c>
      <c r="GB466" s="38">
        <f t="shared" si="786"/>
        <v>0</v>
      </c>
      <c r="GC466" s="38">
        <f t="shared" si="787"/>
        <v>0</v>
      </c>
      <c r="GD466" s="38">
        <f t="shared" si="788"/>
        <v>0</v>
      </c>
      <c r="GE466" s="38">
        <f t="shared" si="789"/>
        <v>0</v>
      </c>
      <c r="GF466" s="38">
        <f t="shared" si="790"/>
        <v>0</v>
      </c>
      <c r="GG466" s="38">
        <f t="shared" si="791"/>
        <v>0</v>
      </c>
      <c r="GH466" s="38">
        <f t="shared" si="792"/>
        <v>0</v>
      </c>
      <c r="GI466" s="38">
        <f t="shared" si="793"/>
        <v>0</v>
      </c>
      <c r="GJ466" s="38">
        <f t="shared" si="794"/>
        <v>0</v>
      </c>
      <c r="GL466" s="38">
        <f t="shared" si="795"/>
        <v>0</v>
      </c>
      <c r="GM466" s="38">
        <f t="shared" si="796"/>
        <v>0</v>
      </c>
      <c r="GN466" s="1" t="s">
        <v>2</v>
      </c>
      <c r="GO466" s="1">
        <f t="shared" si="804"/>
        <v>9.4E-2</v>
      </c>
      <c r="GP466" s="1">
        <f t="shared" si="805"/>
        <v>0.8</v>
      </c>
      <c r="GQ466" s="41">
        <f t="shared" si="806"/>
        <v>0.752</v>
      </c>
      <c r="GR466" s="41">
        <f t="shared" si="807"/>
        <v>15.995807040000001</v>
      </c>
      <c r="GS466" s="14">
        <f t="shared" si="808"/>
        <v>170.16816</v>
      </c>
      <c r="GT466" s="1">
        <f t="shared" si="797"/>
        <v>0</v>
      </c>
      <c r="GU466" s="1">
        <f t="shared" si="798"/>
        <v>0</v>
      </c>
      <c r="GV466" s="1">
        <f t="shared" si="799"/>
        <v>0.752</v>
      </c>
      <c r="GW466" s="37">
        <f t="shared" si="809"/>
        <v>0</v>
      </c>
      <c r="GX466" s="37"/>
      <c r="GY466" s="37"/>
      <c r="GZ466" s="37"/>
      <c r="HB466" s="1">
        <f t="shared" si="800"/>
        <v>0</v>
      </c>
      <c r="HC466" s="1">
        <f t="shared" si="801"/>
        <v>0</v>
      </c>
      <c r="HD466" s="37" t="s">
        <v>2</v>
      </c>
      <c r="HE466" s="1" t="s">
        <v>113</v>
      </c>
      <c r="HF466" s="1" t="s">
        <v>181</v>
      </c>
      <c r="HI466" s="1" t="s">
        <v>163</v>
      </c>
      <c r="HJ466" s="37" t="s">
        <v>2</v>
      </c>
      <c r="JH466" s="58" t="s">
        <v>2</v>
      </c>
    </row>
    <row r="467" spans="1:268" ht="16.25" customHeight="1" x14ac:dyDescent="0.2">
      <c r="A467" s="15" t="s">
        <v>1289</v>
      </c>
      <c r="B467" s="1" t="s">
        <v>69</v>
      </c>
      <c r="F467" s="1" t="s">
        <v>1282</v>
      </c>
      <c r="I467" s="1">
        <v>0</v>
      </c>
      <c r="AD467" s="1">
        <v>0</v>
      </c>
      <c r="AY467" s="1">
        <v>133.43</v>
      </c>
      <c r="AZ467" s="13">
        <v>0.10798927886436387</v>
      </c>
      <c r="BA467" s="13">
        <v>9.3515517999999992E-2</v>
      </c>
      <c r="BG467" s="13">
        <v>0.20463110206781226</v>
      </c>
      <c r="BI467" s="13">
        <v>0.56108131600000011</v>
      </c>
      <c r="BJ467" s="13">
        <v>0.68540330000000005</v>
      </c>
      <c r="BT467" s="1">
        <v>0</v>
      </c>
      <c r="CO467" s="1">
        <v>0</v>
      </c>
      <c r="DJ467" s="1" t="s">
        <v>163</v>
      </c>
      <c r="DL467" s="1">
        <f t="shared" si="802"/>
        <v>0.20463110206781226</v>
      </c>
      <c r="DM467" s="1">
        <f t="shared" si="803"/>
        <v>0</v>
      </c>
      <c r="DN467" s="1" t="s">
        <v>1290</v>
      </c>
      <c r="DO467" s="1" t="s">
        <v>2</v>
      </c>
      <c r="DP467" s="38">
        <f t="shared" si="725"/>
        <v>0.14409009478872073</v>
      </c>
      <c r="DQ467" s="38">
        <f t="shared" si="726"/>
        <v>12.47777556674</v>
      </c>
      <c r="DR467" s="38">
        <f t="shared" si="727"/>
        <v>0</v>
      </c>
      <c r="DS467" s="38">
        <f t="shared" si="728"/>
        <v>0</v>
      </c>
      <c r="DT467" s="38">
        <f t="shared" si="729"/>
        <v>0</v>
      </c>
      <c r="DU467" s="38">
        <f t="shared" si="730"/>
        <v>0</v>
      </c>
      <c r="DV467" s="38">
        <f t="shared" si="731"/>
        <v>0</v>
      </c>
      <c r="DW467" s="38">
        <f t="shared" si="732"/>
        <v>0.27303927948908191</v>
      </c>
      <c r="DX467" s="38">
        <f t="shared" si="733"/>
        <v>0</v>
      </c>
      <c r="DY467" s="38">
        <f t="shared" si="734"/>
        <v>74.865079993880016</v>
      </c>
      <c r="DZ467" s="38">
        <f t="shared" si="735"/>
        <v>91.453362319000007</v>
      </c>
      <c r="EA467" s="38">
        <f t="shared" si="736"/>
        <v>0</v>
      </c>
      <c r="EB467" s="38">
        <f t="shared" si="737"/>
        <v>0</v>
      </c>
      <c r="EC467" s="38">
        <f t="shared" si="738"/>
        <v>0</v>
      </c>
      <c r="ED467" s="38">
        <f t="shared" si="739"/>
        <v>0</v>
      </c>
      <c r="EE467" s="38">
        <f t="shared" si="740"/>
        <v>0</v>
      </c>
      <c r="EG467" s="38">
        <f t="shared" si="741"/>
        <v>0</v>
      </c>
      <c r="EH467" s="38">
        <f t="shared" si="742"/>
        <v>0</v>
      </c>
      <c r="EI467" s="38">
        <f t="shared" si="743"/>
        <v>940.27662799479265</v>
      </c>
      <c r="EJ467" s="38">
        <f t="shared" si="744"/>
        <v>510.34503282615043</v>
      </c>
      <c r="EK467" s="38">
        <f t="shared" si="745"/>
        <v>0</v>
      </c>
      <c r="EL467" s="38">
        <f t="shared" si="746"/>
        <v>0</v>
      </c>
      <c r="EM467" s="38">
        <f t="shared" si="747"/>
        <v>0</v>
      </c>
      <c r="EN467" s="38">
        <f t="shared" si="748"/>
        <v>0</v>
      </c>
      <c r="EO467" s="38">
        <f t="shared" si="749"/>
        <v>0</v>
      </c>
      <c r="EP467" s="38">
        <f t="shared" si="750"/>
        <v>3580.6371112198203</v>
      </c>
      <c r="EQ467" s="38">
        <f t="shared" si="751"/>
        <v>0</v>
      </c>
      <c r="ER467" s="38">
        <f t="shared" si="752"/>
        <v>2124.7720741928661</v>
      </c>
      <c r="ES467" s="38">
        <f t="shared" si="753"/>
        <v>3047.7494632887842</v>
      </c>
      <c r="ET467" s="38">
        <f t="shared" si="754"/>
        <v>0</v>
      </c>
      <c r="EU467" s="38">
        <f t="shared" si="755"/>
        <v>0</v>
      </c>
      <c r="EV467" s="38">
        <f t="shared" si="756"/>
        <v>0</v>
      </c>
      <c r="EW467" s="38">
        <f t="shared" si="757"/>
        <v>0</v>
      </c>
      <c r="EX467" s="38">
        <f t="shared" si="758"/>
        <v>0</v>
      </c>
      <c r="EZ467" s="38">
        <f t="shared" si="759"/>
        <v>0</v>
      </c>
      <c r="FA467" s="38">
        <f t="shared" si="760"/>
        <v>0</v>
      </c>
      <c r="FB467" s="1">
        <f t="shared" si="761"/>
        <v>0</v>
      </c>
      <c r="FC467" s="1">
        <f t="shared" si="762"/>
        <v>0</v>
      </c>
      <c r="FD467" s="1">
        <f t="shared" si="763"/>
        <v>0</v>
      </c>
      <c r="FE467" s="1">
        <f t="shared" si="764"/>
        <v>0</v>
      </c>
      <c r="FF467" s="1">
        <f t="shared" si="765"/>
        <v>0</v>
      </c>
      <c r="FG467" s="1">
        <f t="shared" si="766"/>
        <v>0</v>
      </c>
      <c r="FH467" s="1">
        <f t="shared" si="767"/>
        <v>0</v>
      </c>
      <c r="FI467" s="1">
        <f t="shared" si="768"/>
        <v>0</v>
      </c>
      <c r="FJ467" s="1">
        <f t="shared" si="769"/>
        <v>0</v>
      </c>
      <c r="FK467" s="1">
        <f t="shared" si="770"/>
        <v>0</v>
      </c>
      <c r="FL467" s="1">
        <f t="shared" si="771"/>
        <v>0</v>
      </c>
      <c r="FM467" s="1">
        <f t="shared" si="772"/>
        <v>0</v>
      </c>
      <c r="FN467" s="1">
        <f t="shared" si="773"/>
        <v>0</v>
      </c>
      <c r="FO467" s="1">
        <f t="shared" si="774"/>
        <v>0</v>
      </c>
      <c r="FP467" s="1">
        <f t="shared" si="775"/>
        <v>0</v>
      </c>
      <c r="FQ467" s="1">
        <f t="shared" si="776"/>
        <v>0</v>
      </c>
      <c r="FS467" s="1">
        <f t="shared" si="777"/>
        <v>0</v>
      </c>
      <c r="FT467" s="1">
        <f t="shared" si="778"/>
        <v>0</v>
      </c>
      <c r="FU467" s="38">
        <f t="shared" si="779"/>
        <v>0</v>
      </c>
      <c r="FV467" s="38">
        <f t="shared" si="780"/>
        <v>0</v>
      </c>
      <c r="FW467" s="38">
        <f t="shared" si="781"/>
        <v>0</v>
      </c>
      <c r="FX467" s="38">
        <f t="shared" si="782"/>
        <v>0</v>
      </c>
      <c r="FY467" s="38">
        <f t="shared" si="783"/>
        <v>0</v>
      </c>
      <c r="FZ467" s="38">
        <f t="shared" si="784"/>
        <v>0</v>
      </c>
      <c r="GA467" s="38">
        <f t="shared" si="785"/>
        <v>0</v>
      </c>
      <c r="GB467" s="38">
        <f t="shared" si="786"/>
        <v>0</v>
      </c>
      <c r="GC467" s="38">
        <f t="shared" si="787"/>
        <v>0</v>
      </c>
      <c r="GD467" s="38">
        <f t="shared" si="788"/>
        <v>0</v>
      </c>
      <c r="GE467" s="38">
        <f t="shared" si="789"/>
        <v>0</v>
      </c>
      <c r="GF467" s="38">
        <f t="shared" si="790"/>
        <v>0</v>
      </c>
      <c r="GG467" s="38">
        <f t="shared" si="791"/>
        <v>0</v>
      </c>
      <c r="GH467" s="38">
        <f t="shared" si="792"/>
        <v>0</v>
      </c>
      <c r="GI467" s="38">
        <f t="shared" si="793"/>
        <v>0</v>
      </c>
      <c r="GJ467" s="38">
        <f t="shared" si="794"/>
        <v>0</v>
      </c>
      <c r="GL467" s="38">
        <f t="shared" si="795"/>
        <v>0</v>
      </c>
      <c r="GM467" s="38">
        <f t="shared" si="796"/>
        <v>0</v>
      </c>
      <c r="GN467" s="1" t="s">
        <v>2</v>
      </c>
      <c r="GO467" s="14">
        <f t="shared" si="804"/>
        <v>133.43</v>
      </c>
      <c r="GP467" s="13">
        <f t="shared" si="805"/>
        <v>0.20463110206781226</v>
      </c>
      <c r="GQ467" s="41">
        <f t="shared" si="806"/>
        <v>273.03927948908188</v>
      </c>
      <c r="GR467" s="41">
        <f t="shared" si="807"/>
        <v>10203.780309522414</v>
      </c>
      <c r="GS467" s="14">
        <f t="shared" si="808"/>
        <v>76.472909462058112</v>
      </c>
      <c r="GT467" s="1">
        <f t="shared" si="797"/>
        <v>0</v>
      </c>
      <c r="GU467" s="1">
        <f t="shared" si="798"/>
        <v>0</v>
      </c>
      <c r="GV467" s="1">
        <f t="shared" si="799"/>
        <v>273.03927948908193</v>
      </c>
      <c r="GW467" s="37">
        <f t="shared" si="809"/>
        <v>0</v>
      </c>
      <c r="GX467" s="37"/>
      <c r="GY467" s="37"/>
      <c r="GZ467" s="37"/>
      <c r="HB467" s="1">
        <f t="shared" si="800"/>
        <v>0</v>
      </c>
      <c r="HC467" s="1">
        <f t="shared" si="801"/>
        <v>0</v>
      </c>
      <c r="HD467" s="37" t="s">
        <v>2</v>
      </c>
      <c r="HE467" s="1" t="s">
        <v>113</v>
      </c>
      <c r="HF467" s="1" t="s">
        <v>261</v>
      </c>
      <c r="HG467" s="1" t="s">
        <v>708</v>
      </c>
      <c r="HH467" s="1" t="s">
        <v>1276</v>
      </c>
      <c r="HI467" s="1" t="s">
        <v>163</v>
      </c>
      <c r="HJ467" s="37" t="s">
        <v>2</v>
      </c>
      <c r="JH467" s="58" t="s">
        <v>2</v>
      </c>
    </row>
    <row r="468" spans="1:268" ht="16.25" customHeight="1" x14ac:dyDescent="0.2">
      <c r="A468" s="15" t="s">
        <v>811</v>
      </c>
      <c r="B468" s="1" t="s">
        <v>69</v>
      </c>
      <c r="F468" s="1" t="s">
        <v>131</v>
      </c>
      <c r="I468" s="1">
        <v>0</v>
      </c>
      <c r="AD468" s="1">
        <v>0</v>
      </c>
      <c r="AY468" s="12">
        <v>2773.79</v>
      </c>
      <c r="BG468" s="1">
        <v>0.28999999999999998</v>
      </c>
      <c r="BT468" s="1">
        <v>0</v>
      </c>
      <c r="CO468" s="1">
        <v>0</v>
      </c>
      <c r="DJ468" s="1" t="s">
        <v>163</v>
      </c>
      <c r="DL468" s="1">
        <f t="shared" si="802"/>
        <v>0.28999999999999998</v>
      </c>
      <c r="DM468" s="1">
        <f t="shared" si="803"/>
        <v>0</v>
      </c>
      <c r="DN468" s="1" t="s">
        <v>812</v>
      </c>
      <c r="DO468" s="1" t="s">
        <v>2</v>
      </c>
      <c r="DP468" s="38">
        <f t="shared" si="725"/>
        <v>0</v>
      </c>
      <c r="DQ468" s="38">
        <f t="shared" si="726"/>
        <v>0</v>
      </c>
      <c r="DR468" s="38">
        <f t="shared" si="727"/>
        <v>0</v>
      </c>
      <c r="DS468" s="38">
        <f t="shared" si="728"/>
        <v>0</v>
      </c>
      <c r="DT468" s="38">
        <f t="shared" si="729"/>
        <v>0</v>
      </c>
      <c r="DU468" s="38">
        <f t="shared" si="730"/>
        <v>0</v>
      </c>
      <c r="DV468" s="38">
        <f t="shared" si="731"/>
        <v>0</v>
      </c>
      <c r="DW468" s="38">
        <f t="shared" si="732"/>
        <v>8.0439910000000001</v>
      </c>
      <c r="DX468" s="38">
        <f t="shared" si="733"/>
        <v>0</v>
      </c>
      <c r="DY468" s="38">
        <f t="shared" si="734"/>
        <v>0</v>
      </c>
      <c r="DZ468" s="38">
        <f t="shared" si="735"/>
        <v>0</v>
      </c>
      <c r="EA468" s="38">
        <f t="shared" si="736"/>
        <v>0</v>
      </c>
      <c r="EB468" s="38">
        <f t="shared" si="737"/>
        <v>0</v>
      </c>
      <c r="EC468" s="38">
        <f t="shared" si="738"/>
        <v>0</v>
      </c>
      <c r="ED468" s="38">
        <f t="shared" si="739"/>
        <v>0</v>
      </c>
      <c r="EE468" s="38">
        <f t="shared" si="740"/>
        <v>0</v>
      </c>
      <c r="EG468" s="38">
        <f t="shared" si="741"/>
        <v>0</v>
      </c>
      <c r="EH468" s="38">
        <f t="shared" si="742"/>
        <v>0</v>
      </c>
      <c r="EI468" s="38">
        <f t="shared" si="743"/>
        <v>0</v>
      </c>
      <c r="EJ468" s="38">
        <f t="shared" si="744"/>
        <v>0</v>
      </c>
      <c r="EK468" s="38">
        <f t="shared" si="745"/>
        <v>0</v>
      </c>
      <c r="EL468" s="38">
        <f t="shared" si="746"/>
        <v>0</v>
      </c>
      <c r="EM468" s="38">
        <f t="shared" si="747"/>
        <v>0</v>
      </c>
      <c r="EN468" s="38">
        <f t="shared" si="748"/>
        <v>0</v>
      </c>
      <c r="EO468" s="38">
        <f t="shared" si="749"/>
        <v>0</v>
      </c>
      <c r="EP468" s="38">
        <f t="shared" si="750"/>
        <v>105488.89797400001</v>
      </c>
      <c r="EQ468" s="38">
        <f t="shared" si="751"/>
        <v>0</v>
      </c>
      <c r="ER468" s="38">
        <f t="shared" si="752"/>
        <v>0</v>
      </c>
      <c r="ES468" s="38">
        <f t="shared" si="753"/>
        <v>0</v>
      </c>
      <c r="ET468" s="38">
        <f t="shared" si="754"/>
        <v>0</v>
      </c>
      <c r="EU468" s="38">
        <f t="shared" si="755"/>
        <v>0</v>
      </c>
      <c r="EV468" s="38">
        <f t="shared" si="756"/>
        <v>0</v>
      </c>
      <c r="EW468" s="38">
        <f t="shared" si="757"/>
        <v>0</v>
      </c>
      <c r="EX468" s="38">
        <f t="shared" si="758"/>
        <v>0</v>
      </c>
      <c r="EZ468" s="38">
        <f t="shared" si="759"/>
        <v>0</v>
      </c>
      <c r="FA468" s="38">
        <f t="shared" si="760"/>
        <v>0</v>
      </c>
      <c r="FB468" s="1">
        <f t="shared" si="761"/>
        <v>0</v>
      </c>
      <c r="FC468" s="1">
        <f t="shared" si="762"/>
        <v>0</v>
      </c>
      <c r="FD468" s="1">
        <f t="shared" si="763"/>
        <v>0</v>
      </c>
      <c r="FE468" s="1">
        <f t="shared" si="764"/>
        <v>0</v>
      </c>
      <c r="FF468" s="1">
        <f t="shared" si="765"/>
        <v>0</v>
      </c>
      <c r="FG468" s="1">
        <f t="shared" si="766"/>
        <v>0</v>
      </c>
      <c r="FH468" s="1">
        <f t="shared" si="767"/>
        <v>0</v>
      </c>
      <c r="FI468" s="1">
        <f t="shared" si="768"/>
        <v>0</v>
      </c>
      <c r="FJ468" s="1">
        <f t="shared" si="769"/>
        <v>0</v>
      </c>
      <c r="FK468" s="1">
        <f t="shared" si="770"/>
        <v>0</v>
      </c>
      <c r="FL468" s="1">
        <f t="shared" si="771"/>
        <v>0</v>
      </c>
      <c r="FM468" s="1">
        <f t="shared" si="772"/>
        <v>0</v>
      </c>
      <c r="FN468" s="1">
        <f t="shared" si="773"/>
        <v>0</v>
      </c>
      <c r="FO468" s="1">
        <f t="shared" si="774"/>
        <v>0</v>
      </c>
      <c r="FP468" s="1">
        <f t="shared" si="775"/>
        <v>0</v>
      </c>
      <c r="FQ468" s="1">
        <f t="shared" si="776"/>
        <v>0</v>
      </c>
      <c r="FS468" s="1">
        <f t="shared" si="777"/>
        <v>0</v>
      </c>
      <c r="FT468" s="1">
        <f t="shared" si="778"/>
        <v>0</v>
      </c>
      <c r="FU468" s="38">
        <f t="shared" si="779"/>
        <v>0</v>
      </c>
      <c r="FV468" s="38">
        <f t="shared" si="780"/>
        <v>0</v>
      </c>
      <c r="FW468" s="38">
        <f t="shared" si="781"/>
        <v>0</v>
      </c>
      <c r="FX468" s="38">
        <f t="shared" si="782"/>
        <v>0</v>
      </c>
      <c r="FY468" s="38">
        <f t="shared" si="783"/>
        <v>0</v>
      </c>
      <c r="FZ468" s="38">
        <f t="shared" si="784"/>
        <v>0</v>
      </c>
      <c r="GA468" s="38">
        <f t="shared" si="785"/>
        <v>0</v>
      </c>
      <c r="GB468" s="38">
        <f t="shared" si="786"/>
        <v>0</v>
      </c>
      <c r="GC468" s="38">
        <f t="shared" si="787"/>
        <v>0</v>
      </c>
      <c r="GD468" s="38">
        <f t="shared" si="788"/>
        <v>0</v>
      </c>
      <c r="GE468" s="38">
        <f t="shared" si="789"/>
        <v>0</v>
      </c>
      <c r="GF468" s="38">
        <f t="shared" si="790"/>
        <v>0</v>
      </c>
      <c r="GG468" s="38">
        <f t="shared" si="791"/>
        <v>0</v>
      </c>
      <c r="GH468" s="38">
        <f t="shared" si="792"/>
        <v>0</v>
      </c>
      <c r="GI468" s="38">
        <f t="shared" si="793"/>
        <v>0</v>
      </c>
      <c r="GJ468" s="38">
        <f t="shared" si="794"/>
        <v>0</v>
      </c>
      <c r="GL468" s="38">
        <f t="shared" si="795"/>
        <v>0</v>
      </c>
      <c r="GM468" s="38">
        <f t="shared" si="796"/>
        <v>0</v>
      </c>
      <c r="GN468" s="1" t="s">
        <v>2</v>
      </c>
      <c r="GO468" s="12">
        <f t="shared" si="804"/>
        <v>2773.79</v>
      </c>
      <c r="GP468" s="1">
        <f t="shared" si="805"/>
        <v>0.28999999999999998</v>
      </c>
      <c r="GQ468" s="43">
        <f t="shared" si="806"/>
        <v>8043.991</v>
      </c>
      <c r="GR468" s="41">
        <f t="shared" si="807"/>
        <v>105488.89797400001</v>
      </c>
      <c r="GS468" s="14">
        <f t="shared" si="808"/>
        <v>38.0306</v>
      </c>
      <c r="GT468" s="1">
        <f t="shared" si="797"/>
        <v>0</v>
      </c>
      <c r="GU468" s="1">
        <f t="shared" si="798"/>
        <v>0</v>
      </c>
      <c r="GV468" s="1">
        <f t="shared" si="799"/>
        <v>8043.991</v>
      </c>
      <c r="GW468" s="37">
        <f t="shared" si="809"/>
        <v>0</v>
      </c>
      <c r="GX468" s="37"/>
      <c r="GY468" s="37"/>
      <c r="GZ468" s="37"/>
      <c r="HB468" s="1">
        <f t="shared" si="800"/>
        <v>0</v>
      </c>
      <c r="HC468" s="1">
        <f t="shared" si="801"/>
        <v>0</v>
      </c>
      <c r="HD468" s="37" t="s">
        <v>2</v>
      </c>
      <c r="HE468" s="1" t="s">
        <v>113</v>
      </c>
      <c r="HF468" s="1" t="s">
        <v>261</v>
      </c>
      <c r="HG468" s="1" t="s">
        <v>589</v>
      </c>
      <c r="HH468" s="1" t="s">
        <v>813</v>
      </c>
      <c r="HI468" s="1" t="s">
        <v>163</v>
      </c>
      <c r="HJ468" s="37" t="s">
        <v>2</v>
      </c>
      <c r="JH468" s="58" t="s">
        <v>2</v>
      </c>
    </row>
    <row r="469" spans="1:268" ht="16.25" customHeight="1" x14ac:dyDescent="0.2">
      <c r="A469" s="15" t="s">
        <v>849</v>
      </c>
      <c r="B469" s="1" t="s">
        <v>69</v>
      </c>
      <c r="F469" s="1" t="s">
        <v>850</v>
      </c>
      <c r="I469" s="1">
        <v>0</v>
      </c>
      <c r="AD469" s="1">
        <v>0</v>
      </c>
      <c r="AY469" s="13">
        <v>13.8407</v>
      </c>
      <c r="AZ469" s="2">
        <v>0.14000000000000001</v>
      </c>
      <c r="BA469" s="1">
        <v>0.14299999999999999</v>
      </c>
      <c r="BG469" s="1">
        <v>0.121</v>
      </c>
      <c r="BI469" s="1">
        <v>0.52700000000000002</v>
      </c>
      <c r="BJ469" s="1">
        <v>3.2170000000000001</v>
      </c>
      <c r="BT469" s="1">
        <v>0</v>
      </c>
      <c r="CO469" s="1">
        <v>0</v>
      </c>
      <c r="DJ469" s="1" t="s">
        <v>163</v>
      </c>
      <c r="DL469" s="1">
        <f t="shared" si="802"/>
        <v>0.12099999999999998</v>
      </c>
      <c r="DM469" s="1">
        <f t="shared" si="803"/>
        <v>0</v>
      </c>
      <c r="DN469" s="1" t="s">
        <v>851</v>
      </c>
      <c r="DO469" s="1" t="s">
        <v>2</v>
      </c>
      <c r="DP469" s="38">
        <f t="shared" si="725"/>
        <v>1.9376980000000002E-2</v>
      </c>
      <c r="DQ469" s="38">
        <f t="shared" si="726"/>
        <v>1.9792200999999998</v>
      </c>
      <c r="DR469" s="38">
        <f t="shared" si="727"/>
        <v>0</v>
      </c>
      <c r="DS469" s="38">
        <f t="shared" si="728"/>
        <v>0</v>
      </c>
      <c r="DT469" s="38">
        <f t="shared" si="729"/>
        <v>0</v>
      </c>
      <c r="DU469" s="38">
        <f t="shared" si="730"/>
        <v>0</v>
      </c>
      <c r="DV469" s="38">
        <f t="shared" si="731"/>
        <v>0</v>
      </c>
      <c r="DW469" s="38">
        <f t="shared" si="732"/>
        <v>1.6747247E-2</v>
      </c>
      <c r="DX469" s="38">
        <f t="shared" si="733"/>
        <v>0</v>
      </c>
      <c r="DY469" s="38">
        <f t="shared" si="734"/>
        <v>7.2940488999999999</v>
      </c>
      <c r="DZ469" s="38">
        <f t="shared" si="735"/>
        <v>44.525531900000004</v>
      </c>
      <c r="EA469" s="38">
        <f t="shared" si="736"/>
        <v>0</v>
      </c>
      <c r="EB469" s="38">
        <f t="shared" si="737"/>
        <v>0</v>
      </c>
      <c r="EC469" s="38">
        <f t="shared" si="738"/>
        <v>0</v>
      </c>
      <c r="ED469" s="38">
        <f t="shared" si="739"/>
        <v>0</v>
      </c>
      <c r="EE469" s="38">
        <f t="shared" si="740"/>
        <v>0</v>
      </c>
      <c r="EG469" s="38">
        <f t="shared" si="741"/>
        <v>0</v>
      </c>
      <c r="EH469" s="38">
        <f t="shared" si="742"/>
        <v>0</v>
      </c>
      <c r="EI469" s="38">
        <f t="shared" si="743"/>
        <v>126.44673071968002</v>
      </c>
      <c r="EJ469" s="38">
        <f t="shared" si="744"/>
        <v>80.950738495176836</v>
      </c>
      <c r="EK469" s="38">
        <f t="shared" si="745"/>
        <v>0</v>
      </c>
      <c r="EL469" s="38">
        <f t="shared" si="746"/>
        <v>0</v>
      </c>
      <c r="EM469" s="38">
        <f t="shared" si="747"/>
        <v>0</v>
      </c>
      <c r="EN469" s="38">
        <f t="shared" si="748"/>
        <v>0</v>
      </c>
      <c r="EO469" s="38">
        <f t="shared" si="749"/>
        <v>0</v>
      </c>
      <c r="EP469" s="38">
        <f t="shared" si="750"/>
        <v>219.62339715799999</v>
      </c>
      <c r="EQ469" s="38">
        <f t="shared" si="751"/>
        <v>0</v>
      </c>
      <c r="ER469" s="38">
        <f t="shared" si="752"/>
        <v>207.01495826604497</v>
      </c>
      <c r="ES469" s="38">
        <f t="shared" si="753"/>
        <v>1483.8455635728942</v>
      </c>
      <c r="ET469" s="38">
        <f t="shared" si="754"/>
        <v>0</v>
      </c>
      <c r="EU469" s="38">
        <f t="shared" si="755"/>
        <v>0</v>
      </c>
      <c r="EV469" s="38">
        <f t="shared" si="756"/>
        <v>0</v>
      </c>
      <c r="EW469" s="38">
        <f t="shared" si="757"/>
        <v>0</v>
      </c>
      <c r="EX469" s="38">
        <f t="shared" si="758"/>
        <v>0</v>
      </c>
      <c r="EZ469" s="38">
        <f t="shared" si="759"/>
        <v>0</v>
      </c>
      <c r="FA469" s="38">
        <f t="shared" si="760"/>
        <v>0</v>
      </c>
      <c r="FB469" s="1">
        <f t="shared" si="761"/>
        <v>0</v>
      </c>
      <c r="FC469" s="1">
        <f t="shared" si="762"/>
        <v>0</v>
      </c>
      <c r="FD469" s="1">
        <f t="shared" si="763"/>
        <v>0</v>
      </c>
      <c r="FE469" s="1">
        <f t="shared" si="764"/>
        <v>0</v>
      </c>
      <c r="FF469" s="1">
        <f t="shared" si="765"/>
        <v>0</v>
      </c>
      <c r="FG469" s="1">
        <f t="shared" si="766"/>
        <v>0</v>
      </c>
      <c r="FH469" s="1">
        <f t="shared" si="767"/>
        <v>0</v>
      </c>
      <c r="FI469" s="1">
        <f t="shared" si="768"/>
        <v>0</v>
      </c>
      <c r="FJ469" s="1">
        <f t="shared" si="769"/>
        <v>0</v>
      </c>
      <c r="FK469" s="1">
        <f t="shared" si="770"/>
        <v>0</v>
      </c>
      <c r="FL469" s="1">
        <f t="shared" si="771"/>
        <v>0</v>
      </c>
      <c r="FM469" s="1">
        <f t="shared" si="772"/>
        <v>0</v>
      </c>
      <c r="FN469" s="1">
        <f t="shared" si="773"/>
        <v>0</v>
      </c>
      <c r="FO469" s="1">
        <f t="shared" si="774"/>
        <v>0</v>
      </c>
      <c r="FP469" s="1">
        <f t="shared" si="775"/>
        <v>0</v>
      </c>
      <c r="FQ469" s="1">
        <f t="shared" si="776"/>
        <v>0</v>
      </c>
      <c r="FS469" s="1">
        <f t="shared" si="777"/>
        <v>0</v>
      </c>
      <c r="FT469" s="1">
        <f t="shared" si="778"/>
        <v>0</v>
      </c>
      <c r="FU469" s="38">
        <f t="shared" si="779"/>
        <v>0</v>
      </c>
      <c r="FV469" s="38">
        <f t="shared" si="780"/>
        <v>0</v>
      </c>
      <c r="FW469" s="38">
        <f t="shared" si="781"/>
        <v>0</v>
      </c>
      <c r="FX469" s="38">
        <f t="shared" si="782"/>
        <v>0</v>
      </c>
      <c r="FY469" s="38">
        <f t="shared" si="783"/>
        <v>0</v>
      </c>
      <c r="FZ469" s="38">
        <f t="shared" si="784"/>
        <v>0</v>
      </c>
      <c r="GA469" s="38">
        <f t="shared" si="785"/>
        <v>0</v>
      </c>
      <c r="GB469" s="38">
        <f t="shared" si="786"/>
        <v>0</v>
      </c>
      <c r="GC469" s="38">
        <f t="shared" si="787"/>
        <v>0</v>
      </c>
      <c r="GD469" s="38">
        <f t="shared" si="788"/>
        <v>0</v>
      </c>
      <c r="GE469" s="38">
        <f t="shared" si="789"/>
        <v>0</v>
      </c>
      <c r="GF469" s="38">
        <f t="shared" si="790"/>
        <v>0</v>
      </c>
      <c r="GG469" s="38">
        <f t="shared" si="791"/>
        <v>0</v>
      </c>
      <c r="GH469" s="38">
        <f t="shared" si="792"/>
        <v>0</v>
      </c>
      <c r="GI469" s="38">
        <f t="shared" si="793"/>
        <v>0</v>
      </c>
      <c r="GJ469" s="38">
        <f t="shared" si="794"/>
        <v>0</v>
      </c>
      <c r="GL469" s="38">
        <f t="shared" si="795"/>
        <v>0</v>
      </c>
      <c r="GM469" s="38">
        <f t="shared" si="796"/>
        <v>0</v>
      </c>
      <c r="GN469" s="1" t="s">
        <v>2</v>
      </c>
      <c r="GO469" s="13">
        <f t="shared" si="804"/>
        <v>13.8407</v>
      </c>
      <c r="GP469" s="13">
        <f t="shared" si="805"/>
        <v>0.12099999999999998</v>
      </c>
      <c r="GQ469" s="41">
        <f t="shared" si="806"/>
        <v>16.747246999999998</v>
      </c>
      <c r="GR469" s="41">
        <f t="shared" si="807"/>
        <v>2117.8813882117961</v>
      </c>
      <c r="GS469" s="14">
        <f t="shared" si="808"/>
        <v>153.01837249646306</v>
      </c>
      <c r="GT469" s="1">
        <f t="shared" si="797"/>
        <v>0</v>
      </c>
      <c r="GU469" s="1">
        <f t="shared" si="798"/>
        <v>0</v>
      </c>
      <c r="GV469" s="1">
        <f t="shared" si="799"/>
        <v>16.747246999999998</v>
      </c>
      <c r="GW469" s="37">
        <f t="shared" si="809"/>
        <v>0</v>
      </c>
      <c r="GX469" s="37"/>
      <c r="GY469" s="37"/>
      <c r="GZ469" s="37"/>
      <c r="HB469" s="1">
        <f t="shared" si="800"/>
        <v>0</v>
      </c>
      <c r="HC469" s="1">
        <f t="shared" si="801"/>
        <v>0</v>
      </c>
      <c r="HD469" s="37" t="s">
        <v>2</v>
      </c>
      <c r="HE469" s="1" t="s">
        <v>113</v>
      </c>
      <c r="HF469" s="1" t="s">
        <v>261</v>
      </c>
      <c r="HG469" s="1" t="s">
        <v>589</v>
      </c>
      <c r="HI469" s="1" t="s">
        <v>163</v>
      </c>
      <c r="HJ469" s="37" t="s">
        <v>2</v>
      </c>
      <c r="JH469" s="58" t="s">
        <v>2</v>
      </c>
    </row>
    <row r="470" spans="1:268" ht="16.25" customHeight="1" x14ac:dyDescent="0.2">
      <c r="A470" s="15" t="s">
        <v>1057</v>
      </c>
      <c r="B470" s="1" t="s">
        <v>69</v>
      </c>
      <c r="F470" s="1" t="s">
        <v>131</v>
      </c>
      <c r="G470" s="30"/>
      <c r="I470" s="1">
        <v>0</v>
      </c>
      <c r="AD470" s="1">
        <v>0</v>
      </c>
      <c r="AY470" s="17">
        <f>145*0.9072</f>
        <v>131.54400000000001</v>
      </c>
      <c r="AZ470" s="1">
        <v>0.28999999999999998</v>
      </c>
      <c r="BG470" s="1">
        <v>0.31</v>
      </c>
      <c r="BT470" s="1">
        <v>0</v>
      </c>
      <c r="CO470" s="1">
        <v>0</v>
      </c>
      <c r="DJ470" s="1" t="s">
        <v>163</v>
      </c>
      <c r="DL470" s="1">
        <f t="shared" si="802"/>
        <v>0.31</v>
      </c>
      <c r="DM470" s="1">
        <f t="shared" si="803"/>
        <v>0</v>
      </c>
      <c r="DN470" s="1" t="s">
        <v>1058</v>
      </c>
      <c r="DO470" s="1" t="s">
        <v>2</v>
      </c>
      <c r="DP470" s="38">
        <f t="shared" si="725"/>
        <v>0.38147759999999997</v>
      </c>
      <c r="DQ470" s="38">
        <f t="shared" si="726"/>
        <v>0</v>
      </c>
      <c r="DR470" s="38">
        <f t="shared" si="727"/>
        <v>0</v>
      </c>
      <c r="DS470" s="38">
        <f t="shared" si="728"/>
        <v>0</v>
      </c>
      <c r="DT470" s="38">
        <f t="shared" si="729"/>
        <v>0</v>
      </c>
      <c r="DU470" s="38">
        <f t="shared" si="730"/>
        <v>0</v>
      </c>
      <c r="DV470" s="38">
        <f t="shared" si="731"/>
        <v>0</v>
      </c>
      <c r="DW470" s="38">
        <f t="shared" si="732"/>
        <v>0.40778640000000005</v>
      </c>
      <c r="DX470" s="38">
        <f t="shared" si="733"/>
        <v>0</v>
      </c>
      <c r="DY470" s="38">
        <f t="shared" si="734"/>
        <v>0</v>
      </c>
      <c r="DZ470" s="38">
        <f t="shared" si="735"/>
        <v>0</v>
      </c>
      <c r="EA470" s="38">
        <f t="shared" si="736"/>
        <v>0</v>
      </c>
      <c r="EB470" s="38">
        <f t="shared" si="737"/>
        <v>0</v>
      </c>
      <c r="EC470" s="38">
        <f t="shared" si="738"/>
        <v>0</v>
      </c>
      <c r="ED470" s="38">
        <f t="shared" si="739"/>
        <v>0</v>
      </c>
      <c r="EE470" s="38">
        <f t="shared" si="740"/>
        <v>0</v>
      </c>
      <c r="EG470" s="38">
        <f t="shared" si="741"/>
        <v>0</v>
      </c>
      <c r="EH470" s="38">
        <f t="shared" si="742"/>
        <v>0</v>
      </c>
      <c r="EI470" s="38">
        <f t="shared" si="743"/>
        <v>2489.3763302016</v>
      </c>
      <c r="EJ470" s="38">
        <f t="shared" si="744"/>
        <v>0</v>
      </c>
      <c r="EK470" s="38">
        <f t="shared" si="745"/>
        <v>0</v>
      </c>
      <c r="EL470" s="38">
        <f t="shared" si="746"/>
        <v>0</v>
      </c>
      <c r="EM470" s="38">
        <f t="shared" si="747"/>
        <v>0</v>
      </c>
      <c r="EN470" s="38">
        <f t="shared" si="748"/>
        <v>0</v>
      </c>
      <c r="EO470" s="38">
        <f t="shared" si="749"/>
        <v>0</v>
      </c>
      <c r="EP470" s="38">
        <f t="shared" si="750"/>
        <v>5347.710849600001</v>
      </c>
      <c r="EQ470" s="38">
        <f t="shared" si="751"/>
        <v>0</v>
      </c>
      <c r="ER470" s="38">
        <f t="shared" si="752"/>
        <v>0</v>
      </c>
      <c r="ES470" s="38">
        <f t="shared" si="753"/>
        <v>0</v>
      </c>
      <c r="ET470" s="38">
        <f t="shared" si="754"/>
        <v>0</v>
      </c>
      <c r="EU470" s="38">
        <f t="shared" si="755"/>
        <v>0</v>
      </c>
      <c r="EV470" s="38">
        <f t="shared" si="756"/>
        <v>0</v>
      </c>
      <c r="EW470" s="38">
        <f t="shared" si="757"/>
        <v>0</v>
      </c>
      <c r="EX470" s="38">
        <f t="shared" si="758"/>
        <v>0</v>
      </c>
      <c r="EZ470" s="38">
        <f t="shared" si="759"/>
        <v>0</v>
      </c>
      <c r="FA470" s="38">
        <f t="shared" si="760"/>
        <v>0</v>
      </c>
      <c r="FB470" s="1">
        <f t="shared" si="761"/>
        <v>0</v>
      </c>
      <c r="FC470" s="1">
        <f t="shared" si="762"/>
        <v>0</v>
      </c>
      <c r="FD470" s="1">
        <f t="shared" si="763"/>
        <v>0</v>
      </c>
      <c r="FE470" s="1">
        <f t="shared" si="764"/>
        <v>0</v>
      </c>
      <c r="FF470" s="1">
        <f t="shared" si="765"/>
        <v>0</v>
      </c>
      <c r="FG470" s="1">
        <f t="shared" si="766"/>
        <v>0</v>
      </c>
      <c r="FH470" s="1">
        <f t="shared" si="767"/>
        <v>0</v>
      </c>
      <c r="FI470" s="1">
        <f t="shared" si="768"/>
        <v>0</v>
      </c>
      <c r="FJ470" s="1">
        <f t="shared" si="769"/>
        <v>0</v>
      </c>
      <c r="FK470" s="1">
        <f t="shared" si="770"/>
        <v>0</v>
      </c>
      <c r="FL470" s="1">
        <f t="shared" si="771"/>
        <v>0</v>
      </c>
      <c r="FM470" s="1">
        <f t="shared" si="772"/>
        <v>0</v>
      </c>
      <c r="FN470" s="1">
        <f t="shared" si="773"/>
        <v>0</v>
      </c>
      <c r="FO470" s="1">
        <f t="shared" si="774"/>
        <v>0</v>
      </c>
      <c r="FP470" s="1">
        <f t="shared" si="775"/>
        <v>0</v>
      </c>
      <c r="FQ470" s="1">
        <f t="shared" si="776"/>
        <v>0</v>
      </c>
      <c r="FS470" s="1">
        <f t="shared" si="777"/>
        <v>0</v>
      </c>
      <c r="FT470" s="1">
        <f t="shared" si="778"/>
        <v>0</v>
      </c>
      <c r="FU470" s="38">
        <f t="shared" si="779"/>
        <v>0</v>
      </c>
      <c r="FV470" s="38">
        <f t="shared" si="780"/>
        <v>0</v>
      </c>
      <c r="FW470" s="38">
        <f t="shared" si="781"/>
        <v>0</v>
      </c>
      <c r="FX470" s="38">
        <f t="shared" si="782"/>
        <v>0</v>
      </c>
      <c r="FY470" s="38">
        <f t="shared" si="783"/>
        <v>0</v>
      </c>
      <c r="FZ470" s="38">
        <f t="shared" si="784"/>
        <v>0</v>
      </c>
      <c r="GA470" s="38">
        <f t="shared" si="785"/>
        <v>0</v>
      </c>
      <c r="GB470" s="38">
        <f t="shared" si="786"/>
        <v>0</v>
      </c>
      <c r="GC470" s="38">
        <f t="shared" si="787"/>
        <v>0</v>
      </c>
      <c r="GD470" s="38">
        <f t="shared" si="788"/>
        <v>0</v>
      </c>
      <c r="GE470" s="38">
        <f t="shared" si="789"/>
        <v>0</v>
      </c>
      <c r="GF470" s="38">
        <f t="shared" si="790"/>
        <v>0</v>
      </c>
      <c r="GG470" s="38">
        <f t="shared" si="791"/>
        <v>0</v>
      </c>
      <c r="GH470" s="38">
        <f t="shared" si="792"/>
        <v>0</v>
      </c>
      <c r="GI470" s="38">
        <f t="shared" si="793"/>
        <v>0</v>
      </c>
      <c r="GJ470" s="38">
        <f t="shared" si="794"/>
        <v>0</v>
      </c>
      <c r="GL470" s="38">
        <f t="shared" si="795"/>
        <v>0</v>
      </c>
      <c r="GM470" s="38">
        <f t="shared" si="796"/>
        <v>0</v>
      </c>
      <c r="GN470" s="1" t="s">
        <v>2</v>
      </c>
      <c r="GO470" s="14">
        <f t="shared" si="804"/>
        <v>131.54400000000001</v>
      </c>
      <c r="GP470" s="1">
        <f t="shared" si="805"/>
        <v>0.31</v>
      </c>
      <c r="GQ470" s="41">
        <f t="shared" si="806"/>
        <v>407.78640000000001</v>
      </c>
      <c r="GR470" s="41">
        <f t="shared" si="807"/>
        <v>7837.0871798016015</v>
      </c>
      <c r="GS470" s="14">
        <f t="shared" si="808"/>
        <v>59.577686400000005</v>
      </c>
      <c r="GT470" s="1">
        <f t="shared" si="797"/>
        <v>0</v>
      </c>
      <c r="GU470" s="1">
        <f t="shared" si="798"/>
        <v>0</v>
      </c>
      <c r="GV470" s="1">
        <f t="shared" si="799"/>
        <v>407.78640000000001</v>
      </c>
      <c r="GW470" s="37">
        <f t="shared" si="809"/>
        <v>0</v>
      </c>
      <c r="GX470" s="37"/>
      <c r="GY470" s="37"/>
      <c r="GZ470" s="37"/>
      <c r="HB470" s="1">
        <f t="shared" si="800"/>
        <v>0</v>
      </c>
      <c r="HC470" s="1">
        <f t="shared" si="801"/>
        <v>0</v>
      </c>
      <c r="HD470" s="37" t="s">
        <v>2</v>
      </c>
      <c r="HE470" s="1" t="s">
        <v>113</v>
      </c>
      <c r="HF470" s="1" t="s">
        <v>261</v>
      </c>
      <c r="HG470" s="1" t="s">
        <v>589</v>
      </c>
      <c r="HI470" s="1" t="s">
        <v>163</v>
      </c>
      <c r="HJ470" s="37" t="s">
        <v>2</v>
      </c>
      <c r="JH470" s="58" t="s">
        <v>2</v>
      </c>
    </row>
    <row r="471" spans="1:268" ht="16.25" customHeight="1" x14ac:dyDescent="0.2">
      <c r="A471" s="15" t="s">
        <v>1059</v>
      </c>
      <c r="B471" s="1" t="s">
        <v>69</v>
      </c>
      <c r="F471" s="1" t="s">
        <v>131</v>
      </c>
      <c r="G471" s="30"/>
      <c r="I471" s="1">
        <v>0</v>
      </c>
      <c r="AD471" s="1">
        <v>0</v>
      </c>
      <c r="AY471" s="17">
        <f>60*0.9072</f>
        <v>54.432000000000002</v>
      </c>
      <c r="AZ471" s="1">
        <v>0.52</v>
      </c>
      <c r="BG471" s="1">
        <v>0.59</v>
      </c>
      <c r="BT471" s="1">
        <v>0</v>
      </c>
      <c r="CO471" s="1">
        <v>0</v>
      </c>
      <c r="DJ471" s="1" t="s">
        <v>163</v>
      </c>
      <c r="DL471" s="1">
        <f t="shared" si="802"/>
        <v>0.59</v>
      </c>
      <c r="DM471" s="1">
        <f t="shared" si="803"/>
        <v>0</v>
      </c>
      <c r="DN471" s="1" t="s">
        <v>1058</v>
      </c>
      <c r="DO471" s="1" t="s">
        <v>2</v>
      </c>
      <c r="DP471" s="38">
        <f t="shared" si="725"/>
        <v>0.28304640000000003</v>
      </c>
      <c r="DQ471" s="38">
        <f t="shared" si="726"/>
        <v>0</v>
      </c>
      <c r="DR471" s="38">
        <f t="shared" si="727"/>
        <v>0</v>
      </c>
      <c r="DS471" s="38">
        <f t="shared" si="728"/>
        <v>0</v>
      </c>
      <c r="DT471" s="38">
        <f t="shared" si="729"/>
        <v>0</v>
      </c>
      <c r="DU471" s="38">
        <f t="shared" si="730"/>
        <v>0</v>
      </c>
      <c r="DV471" s="38">
        <f t="shared" si="731"/>
        <v>0</v>
      </c>
      <c r="DW471" s="38">
        <f t="shared" si="732"/>
        <v>0.32114880000000001</v>
      </c>
      <c r="DX471" s="38">
        <f t="shared" si="733"/>
        <v>0</v>
      </c>
      <c r="DY471" s="38">
        <f t="shared" si="734"/>
        <v>0</v>
      </c>
      <c r="DZ471" s="38">
        <f t="shared" si="735"/>
        <v>0</v>
      </c>
      <c r="EA471" s="38">
        <f t="shared" si="736"/>
        <v>0</v>
      </c>
      <c r="EB471" s="38">
        <f t="shared" si="737"/>
        <v>0</v>
      </c>
      <c r="EC471" s="38">
        <f t="shared" si="738"/>
        <v>0</v>
      </c>
      <c r="ED471" s="38">
        <f t="shared" si="739"/>
        <v>0</v>
      </c>
      <c r="EE471" s="38">
        <f t="shared" si="740"/>
        <v>0</v>
      </c>
      <c r="EG471" s="38">
        <f t="shared" si="741"/>
        <v>0</v>
      </c>
      <c r="EH471" s="38">
        <f t="shared" si="742"/>
        <v>0</v>
      </c>
      <c r="EI471" s="38">
        <f t="shared" si="743"/>
        <v>1847.0521165824002</v>
      </c>
      <c r="EJ471" s="38">
        <f t="shared" si="744"/>
        <v>0</v>
      </c>
      <c r="EK471" s="38">
        <f t="shared" si="745"/>
        <v>0</v>
      </c>
      <c r="EL471" s="38">
        <f t="shared" si="746"/>
        <v>0</v>
      </c>
      <c r="EM471" s="38">
        <f t="shared" si="747"/>
        <v>0</v>
      </c>
      <c r="EN471" s="38">
        <f t="shared" si="748"/>
        <v>0</v>
      </c>
      <c r="EO471" s="38">
        <f t="shared" si="749"/>
        <v>0</v>
      </c>
      <c r="EP471" s="38">
        <f t="shared" si="750"/>
        <v>4211.5453631999999</v>
      </c>
      <c r="EQ471" s="38">
        <f t="shared" si="751"/>
        <v>0</v>
      </c>
      <c r="ER471" s="38">
        <f t="shared" si="752"/>
        <v>0</v>
      </c>
      <c r="ES471" s="38">
        <f t="shared" si="753"/>
        <v>0</v>
      </c>
      <c r="ET471" s="38">
        <f t="shared" si="754"/>
        <v>0</v>
      </c>
      <c r="EU471" s="38">
        <f t="shared" si="755"/>
        <v>0</v>
      </c>
      <c r="EV471" s="38">
        <f t="shared" si="756"/>
        <v>0</v>
      </c>
      <c r="EW471" s="38">
        <f t="shared" si="757"/>
        <v>0</v>
      </c>
      <c r="EX471" s="38">
        <f t="shared" si="758"/>
        <v>0</v>
      </c>
      <c r="EZ471" s="38">
        <f t="shared" si="759"/>
        <v>0</v>
      </c>
      <c r="FA471" s="38">
        <f t="shared" si="760"/>
        <v>0</v>
      </c>
      <c r="FB471" s="1">
        <f t="shared" si="761"/>
        <v>0</v>
      </c>
      <c r="FC471" s="1">
        <f t="shared" si="762"/>
        <v>0</v>
      </c>
      <c r="FD471" s="1">
        <f t="shared" si="763"/>
        <v>0</v>
      </c>
      <c r="FE471" s="1">
        <f t="shared" si="764"/>
        <v>0</v>
      </c>
      <c r="FF471" s="1">
        <f t="shared" si="765"/>
        <v>0</v>
      </c>
      <c r="FG471" s="1">
        <f t="shared" si="766"/>
        <v>0</v>
      </c>
      <c r="FH471" s="1">
        <f t="shared" si="767"/>
        <v>0</v>
      </c>
      <c r="FI471" s="1">
        <f t="shared" si="768"/>
        <v>0</v>
      </c>
      <c r="FJ471" s="1">
        <f t="shared" si="769"/>
        <v>0</v>
      </c>
      <c r="FK471" s="1">
        <f t="shared" si="770"/>
        <v>0</v>
      </c>
      <c r="FL471" s="1">
        <f t="shared" si="771"/>
        <v>0</v>
      </c>
      <c r="FM471" s="1">
        <f t="shared" si="772"/>
        <v>0</v>
      </c>
      <c r="FN471" s="1">
        <f t="shared" si="773"/>
        <v>0</v>
      </c>
      <c r="FO471" s="1">
        <f t="shared" si="774"/>
        <v>0</v>
      </c>
      <c r="FP471" s="1">
        <f t="shared" si="775"/>
        <v>0</v>
      </c>
      <c r="FQ471" s="1">
        <f t="shared" si="776"/>
        <v>0</v>
      </c>
      <c r="FS471" s="1">
        <f t="shared" si="777"/>
        <v>0</v>
      </c>
      <c r="FT471" s="1">
        <f t="shared" si="778"/>
        <v>0</v>
      </c>
      <c r="FU471" s="38">
        <f t="shared" si="779"/>
        <v>0</v>
      </c>
      <c r="FV471" s="38">
        <f t="shared" si="780"/>
        <v>0</v>
      </c>
      <c r="FW471" s="38">
        <f t="shared" si="781"/>
        <v>0</v>
      </c>
      <c r="FX471" s="38">
        <f t="shared" si="782"/>
        <v>0</v>
      </c>
      <c r="FY471" s="38">
        <f t="shared" si="783"/>
        <v>0</v>
      </c>
      <c r="FZ471" s="38">
        <f t="shared" si="784"/>
        <v>0</v>
      </c>
      <c r="GA471" s="38">
        <f t="shared" si="785"/>
        <v>0</v>
      </c>
      <c r="GB471" s="38">
        <f t="shared" si="786"/>
        <v>0</v>
      </c>
      <c r="GC471" s="38">
        <f t="shared" si="787"/>
        <v>0</v>
      </c>
      <c r="GD471" s="38">
        <f t="shared" si="788"/>
        <v>0</v>
      </c>
      <c r="GE471" s="38">
        <f t="shared" si="789"/>
        <v>0</v>
      </c>
      <c r="GF471" s="38">
        <f t="shared" si="790"/>
        <v>0</v>
      </c>
      <c r="GG471" s="38">
        <f t="shared" si="791"/>
        <v>0</v>
      </c>
      <c r="GH471" s="38">
        <f t="shared" si="792"/>
        <v>0</v>
      </c>
      <c r="GI471" s="38">
        <f t="shared" si="793"/>
        <v>0</v>
      </c>
      <c r="GJ471" s="38">
        <f t="shared" si="794"/>
        <v>0</v>
      </c>
      <c r="GL471" s="38">
        <f t="shared" si="795"/>
        <v>0</v>
      </c>
      <c r="GM471" s="38">
        <f t="shared" si="796"/>
        <v>0</v>
      </c>
      <c r="GN471" s="1" t="s">
        <v>2</v>
      </c>
      <c r="GO471" s="13">
        <f t="shared" si="804"/>
        <v>54.432000000000002</v>
      </c>
      <c r="GP471" s="1">
        <f t="shared" si="805"/>
        <v>0.59</v>
      </c>
      <c r="GQ471" s="41">
        <f t="shared" si="806"/>
        <v>321.14879999999999</v>
      </c>
      <c r="GR471" s="41">
        <f t="shared" si="807"/>
        <v>6058.5974797824001</v>
      </c>
      <c r="GS471" s="14">
        <f t="shared" si="808"/>
        <v>111.3058032</v>
      </c>
      <c r="GT471" s="1">
        <f t="shared" si="797"/>
        <v>0</v>
      </c>
      <c r="GU471" s="1">
        <f t="shared" si="798"/>
        <v>0</v>
      </c>
      <c r="GV471" s="1">
        <f t="shared" si="799"/>
        <v>321.14879999999999</v>
      </c>
      <c r="GW471" s="37">
        <f t="shared" si="809"/>
        <v>0</v>
      </c>
      <c r="GX471" s="37"/>
      <c r="GY471" s="37"/>
      <c r="GZ471" s="37"/>
      <c r="HB471" s="1">
        <f t="shared" si="800"/>
        <v>0</v>
      </c>
      <c r="HC471" s="1">
        <f t="shared" si="801"/>
        <v>0</v>
      </c>
      <c r="HD471" s="37" t="s">
        <v>2</v>
      </c>
      <c r="HE471" s="1" t="s">
        <v>113</v>
      </c>
      <c r="HF471" s="1" t="s">
        <v>261</v>
      </c>
      <c r="HG471" s="1" t="s">
        <v>589</v>
      </c>
      <c r="HI471" s="1" t="s">
        <v>163</v>
      </c>
      <c r="HJ471" s="37" t="s">
        <v>2</v>
      </c>
      <c r="JH471" s="58" t="s">
        <v>2</v>
      </c>
    </row>
    <row r="472" spans="1:268" ht="16.25" customHeight="1" x14ac:dyDescent="0.2">
      <c r="A472" s="15" t="s">
        <v>590</v>
      </c>
      <c r="B472" s="1" t="s">
        <v>69</v>
      </c>
      <c r="F472" s="1" t="s">
        <v>131</v>
      </c>
      <c r="I472" s="1">
        <v>0</v>
      </c>
      <c r="AD472" s="1">
        <v>0</v>
      </c>
      <c r="AY472" s="1">
        <v>200</v>
      </c>
      <c r="AZ472" s="1">
        <v>0.13</v>
      </c>
      <c r="BG472" s="13">
        <v>0.2</v>
      </c>
      <c r="BH472" s="1">
        <v>1.6E-2</v>
      </c>
      <c r="BT472" s="1">
        <v>0</v>
      </c>
      <c r="CO472" s="1">
        <v>0</v>
      </c>
      <c r="DJ472" s="1" t="s">
        <v>163</v>
      </c>
      <c r="DK472" s="1" t="s">
        <v>163</v>
      </c>
      <c r="DL472" s="1">
        <f t="shared" si="802"/>
        <v>0.2</v>
      </c>
      <c r="DM472" s="1">
        <f t="shared" si="803"/>
        <v>1.6E-2</v>
      </c>
      <c r="DN472" s="1" t="s">
        <v>591</v>
      </c>
      <c r="DO472" s="1" t="s">
        <v>2</v>
      </c>
      <c r="DP472" s="38">
        <f t="shared" si="725"/>
        <v>0.26</v>
      </c>
      <c r="DQ472" s="38">
        <f t="shared" si="726"/>
        <v>0</v>
      </c>
      <c r="DR472" s="38">
        <f t="shared" si="727"/>
        <v>0</v>
      </c>
      <c r="DS472" s="38">
        <f t="shared" si="728"/>
        <v>0</v>
      </c>
      <c r="DT472" s="38">
        <f t="shared" si="729"/>
        <v>0</v>
      </c>
      <c r="DU472" s="38">
        <f t="shared" si="730"/>
        <v>0</v>
      </c>
      <c r="DV472" s="38">
        <f t="shared" si="731"/>
        <v>0</v>
      </c>
      <c r="DW472" s="38">
        <f t="shared" si="732"/>
        <v>0.4</v>
      </c>
      <c r="DX472" s="38">
        <f t="shared" si="733"/>
        <v>3.2000000000000001E-2</v>
      </c>
      <c r="DY472" s="38">
        <f t="shared" si="734"/>
        <v>0</v>
      </c>
      <c r="DZ472" s="38">
        <f t="shared" si="735"/>
        <v>0</v>
      </c>
      <c r="EA472" s="38">
        <f t="shared" si="736"/>
        <v>0</v>
      </c>
      <c r="EB472" s="38">
        <f t="shared" si="737"/>
        <v>0</v>
      </c>
      <c r="EC472" s="38">
        <f t="shared" si="738"/>
        <v>0</v>
      </c>
      <c r="ED472" s="38">
        <f t="shared" si="739"/>
        <v>0</v>
      </c>
      <c r="EE472" s="38">
        <f t="shared" si="740"/>
        <v>0</v>
      </c>
      <c r="EG472" s="38">
        <f t="shared" si="741"/>
        <v>0</v>
      </c>
      <c r="EH472" s="38">
        <f t="shared" si="742"/>
        <v>0</v>
      </c>
      <c r="EI472" s="38">
        <f t="shared" si="743"/>
        <v>1696.6601600000001</v>
      </c>
      <c r="EJ472" s="38">
        <f t="shared" si="744"/>
        <v>0</v>
      </c>
      <c r="EK472" s="38">
        <f t="shared" si="745"/>
        <v>0</v>
      </c>
      <c r="EL472" s="38">
        <f t="shared" si="746"/>
        <v>0</v>
      </c>
      <c r="EM472" s="38">
        <f t="shared" si="747"/>
        <v>0</v>
      </c>
      <c r="EN472" s="38">
        <f t="shared" si="748"/>
        <v>0</v>
      </c>
      <c r="EO472" s="38">
        <f t="shared" si="749"/>
        <v>0</v>
      </c>
      <c r="EP472" s="38">
        <f t="shared" si="750"/>
        <v>5245.6</v>
      </c>
      <c r="EQ472" s="38">
        <f t="shared" si="751"/>
        <v>2323.8247679999999</v>
      </c>
      <c r="ER472" s="38">
        <f t="shared" si="752"/>
        <v>0</v>
      </c>
      <c r="ES472" s="38">
        <f t="shared" si="753"/>
        <v>0</v>
      </c>
      <c r="ET472" s="38">
        <f t="shared" si="754"/>
        <v>0</v>
      </c>
      <c r="EU472" s="38">
        <f t="shared" si="755"/>
        <v>0</v>
      </c>
      <c r="EV472" s="38">
        <f t="shared" si="756"/>
        <v>0</v>
      </c>
      <c r="EW472" s="38">
        <f t="shared" si="757"/>
        <v>0</v>
      </c>
      <c r="EX472" s="38">
        <f t="shared" si="758"/>
        <v>0</v>
      </c>
      <c r="EZ472" s="38">
        <f t="shared" si="759"/>
        <v>0</v>
      </c>
      <c r="FA472" s="38">
        <f t="shared" si="760"/>
        <v>0</v>
      </c>
      <c r="FB472" s="1">
        <f t="shared" si="761"/>
        <v>0</v>
      </c>
      <c r="FC472" s="1">
        <f t="shared" si="762"/>
        <v>0</v>
      </c>
      <c r="FD472" s="1">
        <f t="shared" si="763"/>
        <v>0</v>
      </c>
      <c r="FE472" s="1">
        <f t="shared" si="764"/>
        <v>0</v>
      </c>
      <c r="FF472" s="1">
        <f t="shared" si="765"/>
        <v>0</v>
      </c>
      <c r="FG472" s="1">
        <f t="shared" si="766"/>
        <v>0</v>
      </c>
      <c r="FH472" s="1">
        <f t="shared" si="767"/>
        <v>0</v>
      </c>
      <c r="FI472" s="1">
        <f t="shared" si="768"/>
        <v>0</v>
      </c>
      <c r="FJ472" s="1">
        <f t="shared" si="769"/>
        <v>0</v>
      </c>
      <c r="FK472" s="1">
        <f t="shared" si="770"/>
        <v>0</v>
      </c>
      <c r="FL472" s="1">
        <f t="shared" si="771"/>
        <v>0</v>
      </c>
      <c r="FM472" s="1">
        <f t="shared" si="772"/>
        <v>0</v>
      </c>
      <c r="FN472" s="1">
        <f t="shared" si="773"/>
        <v>0</v>
      </c>
      <c r="FO472" s="1">
        <f t="shared" si="774"/>
        <v>0</v>
      </c>
      <c r="FP472" s="1">
        <f t="shared" si="775"/>
        <v>0</v>
      </c>
      <c r="FQ472" s="1">
        <f t="shared" si="776"/>
        <v>0</v>
      </c>
      <c r="FS472" s="1">
        <f t="shared" si="777"/>
        <v>0</v>
      </c>
      <c r="FT472" s="1">
        <f t="shared" si="778"/>
        <v>0</v>
      </c>
      <c r="FU472" s="38">
        <f t="shared" si="779"/>
        <v>0</v>
      </c>
      <c r="FV472" s="38">
        <f t="shared" si="780"/>
        <v>0</v>
      </c>
      <c r="FW472" s="38">
        <f t="shared" si="781"/>
        <v>0</v>
      </c>
      <c r="FX472" s="38">
        <f t="shared" si="782"/>
        <v>0</v>
      </c>
      <c r="FY472" s="38">
        <f t="shared" si="783"/>
        <v>0</v>
      </c>
      <c r="FZ472" s="38">
        <f t="shared" si="784"/>
        <v>0</v>
      </c>
      <c r="GA472" s="38">
        <f t="shared" si="785"/>
        <v>0</v>
      </c>
      <c r="GB472" s="38">
        <f t="shared" si="786"/>
        <v>0</v>
      </c>
      <c r="GC472" s="38">
        <f t="shared" si="787"/>
        <v>0</v>
      </c>
      <c r="GD472" s="38">
        <f t="shared" si="788"/>
        <v>0</v>
      </c>
      <c r="GE472" s="38">
        <f t="shared" si="789"/>
        <v>0</v>
      </c>
      <c r="GF472" s="38">
        <f t="shared" si="790"/>
        <v>0</v>
      </c>
      <c r="GG472" s="38">
        <f t="shared" si="791"/>
        <v>0</v>
      </c>
      <c r="GH472" s="38">
        <f t="shared" si="792"/>
        <v>0</v>
      </c>
      <c r="GI472" s="38">
        <f t="shared" si="793"/>
        <v>0</v>
      </c>
      <c r="GJ472" s="38">
        <f t="shared" si="794"/>
        <v>0</v>
      </c>
      <c r="GL472" s="38">
        <f t="shared" si="795"/>
        <v>0</v>
      </c>
      <c r="GM472" s="38">
        <f t="shared" si="796"/>
        <v>0</v>
      </c>
      <c r="GN472" s="1" t="s">
        <v>2</v>
      </c>
      <c r="GO472" s="1">
        <f t="shared" si="804"/>
        <v>200</v>
      </c>
      <c r="GP472" s="1">
        <f t="shared" si="805"/>
        <v>0.2</v>
      </c>
      <c r="GQ472" s="41">
        <f t="shared" si="806"/>
        <v>400</v>
      </c>
      <c r="GR472" s="41">
        <f t="shared" si="807"/>
        <v>9266.0849280000002</v>
      </c>
      <c r="GS472" s="14">
        <f t="shared" si="808"/>
        <v>46.330424640000004</v>
      </c>
      <c r="GT472" s="1">
        <f t="shared" si="797"/>
        <v>0</v>
      </c>
      <c r="GU472" s="1">
        <f t="shared" si="798"/>
        <v>0</v>
      </c>
      <c r="GV472" s="1">
        <f t="shared" si="799"/>
        <v>400</v>
      </c>
      <c r="GW472" s="37">
        <f t="shared" si="809"/>
        <v>0</v>
      </c>
      <c r="GX472" s="37"/>
      <c r="GY472" s="37"/>
      <c r="GZ472" s="37"/>
      <c r="HB472" s="1">
        <f t="shared" si="800"/>
        <v>0</v>
      </c>
      <c r="HC472" s="1">
        <f t="shared" si="801"/>
        <v>0</v>
      </c>
      <c r="HD472" s="37" t="s">
        <v>2</v>
      </c>
      <c r="HE472" s="1" t="s">
        <v>113</v>
      </c>
      <c r="HF472" s="1" t="s">
        <v>261</v>
      </c>
      <c r="HI472" s="1" t="s">
        <v>163</v>
      </c>
      <c r="HJ472" s="37" t="s">
        <v>2</v>
      </c>
      <c r="JH472" s="58" t="s">
        <v>2</v>
      </c>
    </row>
    <row r="473" spans="1:268" ht="16.25" customHeight="1" x14ac:dyDescent="0.2">
      <c r="A473" s="15" t="s">
        <v>592</v>
      </c>
      <c r="B473" s="1" t="s">
        <v>69</v>
      </c>
      <c r="F473" s="1" t="s">
        <v>593</v>
      </c>
      <c r="I473" s="1">
        <v>0</v>
      </c>
      <c r="AD473" s="1">
        <v>0</v>
      </c>
      <c r="AY473" s="1">
        <v>3.09</v>
      </c>
      <c r="AZ473" s="1">
        <v>1.02</v>
      </c>
      <c r="BG473" s="1">
        <v>1.1200000000000001</v>
      </c>
      <c r="BH473" s="2">
        <v>6.6199999999999995E-2</v>
      </c>
      <c r="BT473" s="1">
        <v>0</v>
      </c>
      <c r="CO473" s="1">
        <v>0</v>
      </c>
      <c r="DJ473" s="1" t="s">
        <v>163</v>
      </c>
      <c r="DK473" s="1" t="s">
        <v>163</v>
      </c>
      <c r="DL473" s="1">
        <f t="shared" si="802"/>
        <v>1.1200000000000001</v>
      </c>
      <c r="DM473" s="1">
        <f t="shared" si="803"/>
        <v>6.6199999999999995E-2</v>
      </c>
      <c r="DN473" s="1" t="s">
        <v>594</v>
      </c>
      <c r="DO473" s="1" t="s">
        <v>2</v>
      </c>
      <c r="DP473" s="38">
        <f t="shared" si="725"/>
        <v>3.1517999999999997E-2</v>
      </c>
      <c r="DQ473" s="38">
        <f t="shared" si="726"/>
        <v>0</v>
      </c>
      <c r="DR473" s="38">
        <f t="shared" si="727"/>
        <v>0</v>
      </c>
      <c r="DS473" s="38">
        <f t="shared" si="728"/>
        <v>0</v>
      </c>
      <c r="DT473" s="38">
        <f t="shared" si="729"/>
        <v>0</v>
      </c>
      <c r="DU473" s="38">
        <f t="shared" si="730"/>
        <v>0</v>
      </c>
      <c r="DV473" s="38">
        <f t="shared" si="731"/>
        <v>0</v>
      </c>
      <c r="DW473" s="38">
        <f t="shared" si="732"/>
        <v>3.4608E-2</v>
      </c>
      <c r="DX473" s="38">
        <f t="shared" si="733"/>
        <v>2.0455799999999995E-3</v>
      </c>
      <c r="DY473" s="38">
        <f t="shared" si="734"/>
        <v>0</v>
      </c>
      <c r="DZ473" s="38">
        <f t="shared" si="735"/>
        <v>0</v>
      </c>
      <c r="EA473" s="38">
        <f t="shared" si="736"/>
        <v>0</v>
      </c>
      <c r="EB473" s="38">
        <f t="shared" si="737"/>
        <v>0</v>
      </c>
      <c r="EC473" s="38">
        <f t="shared" si="738"/>
        <v>0</v>
      </c>
      <c r="ED473" s="38">
        <f t="shared" si="739"/>
        <v>0</v>
      </c>
      <c r="EE473" s="38">
        <f t="shared" si="740"/>
        <v>0</v>
      </c>
      <c r="EG473" s="38">
        <f t="shared" si="741"/>
        <v>0</v>
      </c>
      <c r="EH473" s="38">
        <f t="shared" si="742"/>
        <v>0</v>
      </c>
      <c r="EI473" s="38">
        <f t="shared" si="743"/>
        <v>205.67436508799997</v>
      </c>
      <c r="EJ473" s="38">
        <f t="shared" si="744"/>
        <v>0</v>
      </c>
      <c r="EK473" s="38">
        <f t="shared" si="745"/>
        <v>0</v>
      </c>
      <c r="EL473" s="38">
        <f t="shared" si="746"/>
        <v>0</v>
      </c>
      <c r="EM473" s="38">
        <f t="shared" si="747"/>
        <v>0</v>
      </c>
      <c r="EN473" s="38">
        <f t="shared" si="748"/>
        <v>0</v>
      </c>
      <c r="EO473" s="38">
        <f t="shared" si="749"/>
        <v>0</v>
      </c>
      <c r="EP473" s="38">
        <f t="shared" si="750"/>
        <v>453.849312</v>
      </c>
      <c r="EQ473" s="38">
        <f t="shared" si="751"/>
        <v>148.54904590391993</v>
      </c>
      <c r="ER473" s="38">
        <f t="shared" si="752"/>
        <v>0</v>
      </c>
      <c r="ES473" s="38">
        <f t="shared" si="753"/>
        <v>0</v>
      </c>
      <c r="ET473" s="38">
        <f t="shared" si="754"/>
        <v>0</v>
      </c>
      <c r="EU473" s="38">
        <f t="shared" si="755"/>
        <v>0</v>
      </c>
      <c r="EV473" s="38">
        <f t="shared" si="756"/>
        <v>0</v>
      </c>
      <c r="EW473" s="38">
        <f t="shared" si="757"/>
        <v>0</v>
      </c>
      <c r="EX473" s="38">
        <f t="shared" si="758"/>
        <v>0</v>
      </c>
      <c r="EZ473" s="38">
        <f t="shared" si="759"/>
        <v>0</v>
      </c>
      <c r="FA473" s="38">
        <f t="shared" si="760"/>
        <v>0</v>
      </c>
      <c r="FB473" s="1">
        <f t="shared" si="761"/>
        <v>0</v>
      </c>
      <c r="FC473" s="1">
        <f t="shared" si="762"/>
        <v>0</v>
      </c>
      <c r="FD473" s="1">
        <f t="shared" si="763"/>
        <v>0</v>
      </c>
      <c r="FE473" s="1">
        <f t="shared" si="764"/>
        <v>0</v>
      </c>
      <c r="FF473" s="1">
        <f t="shared" si="765"/>
        <v>0</v>
      </c>
      <c r="FG473" s="1">
        <f t="shared" si="766"/>
        <v>0</v>
      </c>
      <c r="FH473" s="1">
        <f t="shared" si="767"/>
        <v>0</v>
      </c>
      <c r="FI473" s="1">
        <f t="shared" si="768"/>
        <v>0</v>
      </c>
      <c r="FJ473" s="1">
        <f t="shared" si="769"/>
        <v>0</v>
      </c>
      <c r="FK473" s="1">
        <f t="shared" si="770"/>
        <v>0</v>
      </c>
      <c r="FL473" s="1">
        <f t="shared" si="771"/>
        <v>0</v>
      </c>
      <c r="FM473" s="1">
        <f t="shared" si="772"/>
        <v>0</v>
      </c>
      <c r="FN473" s="1">
        <f t="shared" si="773"/>
        <v>0</v>
      </c>
      <c r="FO473" s="1">
        <f t="shared" si="774"/>
        <v>0</v>
      </c>
      <c r="FP473" s="1">
        <f t="shared" si="775"/>
        <v>0</v>
      </c>
      <c r="FQ473" s="1">
        <f t="shared" si="776"/>
        <v>0</v>
      </c>
      <c r="FS473" s="1">
        <f t="shared" si="777"/>
        <v>0</v>
      </c>
      <c r="FT473" s="1">
        <f t="shared" si="778"/>
        <v>0</v>
      </c>
      <c r="FU473" s="38">
        <f t="shared" si="779"/>
        <v>0</v>
      </c>
      <c r="FV473" s="38">
        <f t="shared" si="780"/>
        <v>0</v>
      </c>
      <c r="FW473" s="38">
        <f t="shared" si="781"/>
        <v>0</v>
      </c>
      <c r="FX473" s="38">
        <f t="shared" si="782"/>
        <v>0</v>
      </c>
      <c r="FY473" s="38">
        <f t="shared" si="783"/>
        <v>0</v>
      </c>
      <c r="FZ473" s="38">
        <f t="shared" si="784"/>
        <v>0</v>
      </c>
      <c r="GA473" s="38">
        <f t="shared" si="785"/>
        <v>0</v>
      </c>
      <c r="GB473" s="38">
        <f t="shared" si="786"/>
        <v>0</v>
      </c>
      <c r="GC473" s="38">
        <f t="shared" si="787"/>
        <v>0</v>
      </c>
      <c r="GD473" s="38">
        <f t="shared" si="788"/>
        <v>0</v>
      </c>
      <c r="GE473" s="38">
        <f t="shared" si="789"/>
        <v>0</v>
      </c>
      <c r="GF473" s="38">
        <f t="shared" si="790"/>
        <v>0</v>
      </c>
      <c r="GG473" s="38">
        <f t="shared" si="791"/>
        <v>0</v>
      </c>
      <c r="GH473" s="38">
        <f t="shared" si="792"/>
        <v>0</v>
      </c>
      <c r="GI473" s="38">
        <f t="shared" si="793"/>
        <v>0</v>
      </c>
      <c r="GJ473" s="38">
        <f t="shared" si="794"/>
        <v>0</v>
      </c>
      <c r="GL473" s="38">
        <f t="shared" si="795"/>
        <v>0</v>
      </c>
      <c r="GM473" s="38">
        <f t="shared" si="796"/>
        <v>0</v>
      </c>
      <c r="GN473" s="1" t="s">
        <v>2</v>
      </c>
      <c r="GO473" s="1">
        <f t="shared" si="804"/>
        <v>3.09</v>
      </c>
      <c r="GP473" s="1">
        <f t="shared" si="805"/>
        <v>1.1200000000000001</v>
      </c>
      <c r="GQ473" s="41">
        <f t="shared" si="806"/>
        <v>34.608000000000004</v>
      </c>
      <c r="GR473" s="41">
        <f t="shared" si="807"/>
        <v>808.07272299191993</v>
      </c>
      <c r="GS473" s="14">
        <f t="shared" si="808"/>
        <v>261.51220808799997</v>
      </c>
      <c r="GT473" s="1">
        <f t="shared" si="797"/>
        <v>0</v>
      </c>
      <c r="GU473" s="1">
        <f t="shared" si="798"/>
        <v>0</v>
      </c>
      <c r="GV473" s="1">
        <f t="shared" si="799"/>
        <v>34.608000000000004</v>
      </c>
      <c r="GW473" s="37">
        <f t="shared" si="809"/>
        <v>0</v>
      </c>
      <c r="GX473" s="37"/>
      <c r="GY473" s="37"/>
      <c r="GZ473" s="37"/>
      <c r="HB473" s="1">
        <f t="shared" si="800"/>
        <v>0</v>
      </c>
      <c r="HC473" s="1">
        <f t="shared" si="801"/>
        <v>0</v>
      </c>
      <c r="HD473" s="37" t="s">
        <v>2</v>
      </c>
      <c r="HE473" s="1" t="s">
        <v>113</v>
      </c>
      <c r="HF473" s="1" t="s">
        <v>261</v>
      </c>
      <c r="HI473" s="1" t="s">
        <v>163</v>
      </c>
      <c r="HJ473" s="37" t="s">
        <v>2</v>
      </c>
      <c r="JH473" s="58" t="s">
        <v>2</v>
      </c>
    </row>
    <row r="474" spans="1:268" ht="16.25" customHeight="1" x14ac:dyDescent="0.2">
      <c r="A474" s="15" t="s">
        <v>657</v>
      </c>
      <c r="B474" s="1" t="s">
        <v>69</v>
      </c>
      <c r="F474" s="1" t="s">
        <v>131</v>
      </c>
      <c r="I474" s="1">
        <v>0</v>
      </c>
      <c r="AD474" s="1">
        <v>0</v>
      </c>
      <c r="AY474" s="1">
        <v>2</v>
      </c>
      <c r="AZ474" s="1">
        <v>0.75</v>
      </c>
      <c r="BG474" s="1">
        <v>0.33</v>
      </c>
      <c r="BT474" s="1">
        <v>0</v>
      </c>
      <c r="CO474" s="1">
        <v>0</v>
      </c>
      <c r="DJ474" s="1" t="s">
        <v>163</v>
      </c>
      <c r="DL474" s="1">
        <f t="shared" si="802"/>
        <v>0.33</v>
      </c>
      <c r="DM474" s="1">
        <f t="shared" si="803"/>
        <v>0</v>
      </c>
      <c r="DN474" s="1" t="s">
        <v>658</v>
      </c>
      <c r="DO474" s="1" t="s">
        <v>2</v>
      </c>
      <c r="DP474" s="38">
        <f t="shared" si="725"/>
        <v>1.4999999999999999E-2</v>
      </c>
      <c r="DQ474" s="38">
        <f t="shared" si="726"/>
        <v>0</v>
      </c>
      <c r="DR474" s="38">
        <f t="shared" si="727"/>
        <v>0</v>
      </c>
      <c r="DS474" s="38">
        <f t="shared" si="728"/>
        <v>0</v>
      </c>
      <c r="DT474" s="38">
        <f t="shared" si="729"/>
        <v>0</v>
      </c>
      <c r="DU474" s="38">
        <f t="shared" si="730"/>
        <v>0</v>
      </c>
      <c r="DV474" s="38">
        <f t="shared" si="731"/>
        <v>0</v>
      </c>
      <c r="DW474" s="38">
        <f t="shared" si="732"/>
        <v>6.6E-3</v>
      </c>
      <c r="DX474" s="38">
        <f t="shared" si="733"/>
        <v>0</v>
      </c>
      <c r="DY474" s="38">
        <f t="shared" si="734"/>
        <v>0</v>
      </c>
      <c r="DZ474" s="38">
        <f t="shared" si="735"/>
        <v>0</v>
      </c>
      <c r="EA474" s="38">
        <f t="shared" si="736"/>
        <v>0</v>
      </c>
      <c r="EB474" s="38">
        <f t="shared" si="737"/>
        <v>0</v>
      </c>
      <c r="EC474" s="38">
        <f t="shared" si="738"/>
        <v>0</v>
      </c>
      <c r="ED474" s="38">
        <f t="shared" si="739"/>
        <v>0</v>
      </c>
      <c r="EE474" s="38">
        <f t="shared" si="740"/>
        <v>0</v>
      </c>
      <c r="EG474" s="38">
        <f t="shared" si="741"/>
        <v>0</v>
      </c>
      <c r="EH474" s="38">
        <f t="shared" si="742"/>
        <v>0</v>
      </c>
      <c r="EI474" s="38">
        <f t="shared" si="743"/>
        <v>97.884239999999991</v>
      </c>
      <c r="EJ474" s="38">
        <f t="shared" si="744"/>
        <v>0</v>
      </c>
      <c r="EK474" s="38">
        <f t="shared" si="745"/>
        <v>0</v>
      </c>
      <c r="EL474" s="38">
        <f t="shared" si="746"/>
        <v>0</v>
      </c>
      <c r="EM474" s="38">
        <f t="shared" si="747"/>
        <v>0</v>
      </c>
      <c r="EN474" s="38">
        <f t="shared" si="748"/>
        <v>0</v>
      </c>
      <c r="EO474" s="38">
        <f t="shared" si="749"/>
        <v>0</v>
      </c>
      <c r="EP474" s="38">
        <f t="shared" si="750"/>
        <v>86.552400000000006</v>
      </c>
      <c r="EQ474" s="38">
        <f t="shared" si="751"/>
        <v>0</v>
      </c>
      <c r="ER474" s="38">
        <f t="shared" si="752"/>
        <v>0</v>
      </c>
      <c r="ES474" s="38">
        <f t="shared" si="753"/>
        <v>0</v>
      </c>
      <c r="ET474" s="38">
        <f t="shared" si="754"/>
        <v>0</v>
      </c>
      <c r="EU474" s="38">
        <f t="shared" si="755"/>
        <v>0</v>
      </c>
      <c r="EV474" s="38">
        <f t="shared" si="756"/>
        <v>0</v>
      </c>
      <c r="EW474" s="38">
        <f t="shared" si="757"/>
        <v>0</v>
      </c>
      <c r="EX474" s="38">
        <f t="shared" si="758"/>
        <v>0</v>
      </c>
      <c r="EZ474" s="38">
        <f t="shared" si="759"/>
        <v>0</v>
      </c>
      <c r="FA474" s="38">
        <f t="shared" si="760"/>
        <v>0</v>
      </c>
      <c r="FB474" s="1">
        <f t="shared" si="761"/>
        <v>0</v>
      </c>
      <c r="FC474" s="1">
        <f t="shared" si="762"/>
        <v>0</v>
      </c>
      <c r="FD474" s="1">
        <f t="shared" si="763"/>
        <v>0</v>
      </c>
      <c r="FE474" s="1">
        <f t="shared" si="764"/>
        <v>0</v>
      </c>
      <c r="FF474" s="1">
        <f t="shared" si="765"/>
        <v>0</v>
      </c>
      <c r="FG474" s="1">
        <f t="shared" si="766"/>
        <v>0</v>
      </c>
      <c r="FH474" s="1">
        <f t="shared" si="767"/>
        <v>0</v>
      </c>
      <c r="FI474" s="1">
        <f t="shared" si="768"/>
        <v>0</v>
      </c>
      <c r="FJ474" s="1">
        <f t="shared" si="769"/>
        <v>0</v>
      </c>
      <c r="FK474" s="1">
        <f t="shared" si="770"/>
        <v>0</v>
      </c>
      <c r="FL474" s="1">
        <f t="shared" si="771"/>
        <v>0</v>
      </c>
      <c r="FM474" s="1">
        <f t="shared" si="772"/>
        <v>0</v>
      </c>
      <c r="FN474" s="1">
        <f t="shared" si="773"/>
        <v>0</v>
      </c>
      <c r="FO474" s="1">
        <f t="shared" si="774"/>
        <v>0</v>
      </c>
      <c r="FP474" s="1">
        <f t="shared" si="775"/>
        <v>0</v>
      </c>
      <c r="FQ474" s="1">
        <f t="shared" si="776"/>
        <v>0</v>
      </c>
      <c r="FS474" s="1">
        <f t="shared" si="777"/>
        <v>0</v>
      </c>
      <c r="FT474" s="1">
        <f t="shared" si="778"/>
        <v>0</v>
      </c>
      <c r="FU474" s="38">
        <f t="shared" si="779"/>
        <v>0</v>
      </c>
      <c r="FV474" s="38">
        <f t="shared" si="780"/>
        <v>0</v>
      </c>
      <c r="FW474" s="38">
        <f t="shared" si="781"/>
        <v>0</v>
      </c>
      <c r="FX474" s="38">
        <f t="shared" si="782"/>
        <v>0</v>
      </c>
      <c r="FY474" s="38">
        <f t="shared" si="783"/>
        <v>0</v>
      </c>
      <c r="FZ474" s="38">
        <f t="shared" si="784"/>
        <v>0</v>
      </c>
      <c r="GA474" s="38">
        <f t="shared" si="785"/>
        <v>0</v>
      </c>
      <c r="GB474" s="38">
        <f t="shared" si="786"/>
        <v>0</v>
      </c>
      <c r="GC474" s="38">
        <f t="shared" si="787"/>
        <v>0</v>
      </c>
      <c r="GD474" s="38">
        <f t="shared" si="788"/>
        <v>0</v>
      </c>
      <c r="GE474" s="38">
        <f t="shared" si="789"/>
        <v>0</v>
      </c>
      <c r="GF474" s="38">
        <f t="shared" si="790"/>
        <v>0</v>
      </c>
      <c r="GG474" s="38">
        <f t="shared" si="791"/>
        <v>0</v>
      </c>
      <c r="GH474" s="38">
        <f t="shared" si="792"/>
        <v>0</v>
      </c>
      <c r="GI474" s="38">
        <f t="shared" si="793"/>
        <v>0</v>
      </c>
      <c r="GJ474" s="38">
        <f t="shared" si="794"/>
        <v>0</v>
      </c>
      <c r="GL474" s="38">
        <f t="shared" si="795"/>
        <v>0</v>
      </c>
      <c r="GM474" s="38">
        <f t="shared" si="796"/>
        <v>0</v>
      </c>
      <c r="GN474" s="1" t="s">
        <v>2</v>
      </c>
      <c r="GO474" s="1">
        <f t="shared" si="804"/>
        <v>2</v>
      </c>
      <c r="GP474" s="1">
        <f t="shared" si="805"/>
        <v>0.33</v>
      </c>
      <c r="GQ474" s="41">
        <f t="shared" si="806"/>
        <v>6.6</v>
      </c>
      <c r="GR474" s="41">
        <f t="shared" si="807"/>
        <v>184.43664000000001</v>
      </c>
      <c r="GS474" s="14">
        <f t="shared" si="808"/>
        <v>92.218320000000006</v>
      </c>
      <c r="GT474" s="1">
        <f t="shared" si="797"/>
        <v>0</v>
      </c>
      <c r="GU474" s="1">
        <f t="shared" si="798"/>
        <v>0</v>
      </c>
      <c r="GV474" s="1">
        <f t="shared" si="799"/>
        <v>6.6</v>
      </c>
      <c r="GW474" s="37">
        <f t="shared" si="809"/>
        <v>0</v>
      </c>
      <c r="GX474" s="37"/>
      <c r="GY474" s="37"/>
      <c r="GZ474" s="37"/>
      <c r="HB474" s="1">
        <f t="shared" si="800"/>
        <v>0</v>
      </c>
      <c r="HC474" s="1">
        <f t="shared" si="801"/>
        <v>0</v>
      </c>
      <c r="HD474" s="37" t="s">
        <v>2</v>
      </c>
      <c r="HE474" s="1" t="s">
        <v>113</v>
      </c>
      <c r="HF474" s="1" t="s">
        <v>261</v>
      </c>
      <c r="HI474" s="1" t="s">
        <v>163</v>
      </c>
      <c r="HJ474" s="37" t="s">
        <v>2</v>
      </c>
      <c r="JH474" s="58" t="s">
        <v>2</v>
      </c>
    </row>
    <row r="475" spans="1:268" ht="16.25" customHeight="1" x14ac:dyDescent="0.2">
      <c r="A475" s="15" t="s">
        <v>733</v>
      </c>
      <c r="B475" s="1" t="s">
        <v>69</v>
      </c>
      <c r="F475" s="1" t="s">
        <v>734</v>
      </c>
      <c r="I475" s="1">
        <v>0</v>
      </c>
      <c r="AD475" s="1">
        <v>0</v>
      </c>
      <c r="AY475" s="1">
        <v>1.01</v>
      </c>
      <c r="AZ475" s="1">
        <v>0.5</v>
      </c>
      <c r="BG475" s="1">
        <v>1.2</v>
      </c>
      <c r="BT475" s="1">
        <v>0</v>
      </c>
      <c r="CO475" s="1">
        <v>0</v>
      </c>
      <c r="DJ475" s="1" t="s">
        <v>163</v>
      </c>
      <c r="DL475" s="1">
        <f t="shared" si="802"/>
        <v>1.2</v>
      </c>
      <c r="DM475" s="1">
        <f t="shared" si="803"/>
        <v>0</v>
      </c>
      <c r="DN475" s="1" t="s">
        <v>735</v>
      </c>
      <c r="DO475" s="1" t="s">
        <v>2</v>
      </c>
      <c r="DP475" s="38">
        <f t="shared" si="725"/>
        <v>5.0499999999999998E-3</v>
      </c>
      <c r="DQ475" s="38">
        <f t="shared" si="726"/>
        <v>0</v>
      </c>
      <c r="DR475" s="38">
        <f t="shared" si="727"/>
        <v>0</v>
      </c>
      <c r="DS475" s="38">
        <f t="shared" si="728"/>
        <v>0</v>
      </c>
      <c r="DT475" s="38">
        <f t="shared" si="729"/>
        <v>0</v>
      </c>
      <c r="DU475" s="38">
        <f t="shared" si="730"/>
        <v>0</v>
      </c>
      <c r="DV475" s="38">
        <f t="shared" si="731"/>
        <v>0</v>
      </c>
      <c r="DW475" s="38">
        <f t="shared" si="732"/>
        <v>1.2119999999999999E-2</v>
      </c>
      <c r="DX475" s="38">
        <f t="shared" si="733"/>
        <v>0</v>
      </c>
      <c r="DY475" s="38">
        <f t="shared" si="734"/>
        <v>0</v>
      </c>
      <c r="DZ475" s="38">
        <f t="shared" si="735"/>
        <v>0</v>
      </c>
      <c r="EA475" s="38">
        <f t="shared" si="736"/>
        <v>0</v>
      </c>
      <c r="EB475" s="38">
        <f t="shared" si="737"/>
        <v>0</v>
      </c>
      <c r="EC475" s="38">
        <f t="shared" si="738"/>
        <v>0</v>
      </c>
      <c r="ED475" s="38">
        <f t="shared" si="739"/>
        <v>0</v>
      </c>
      <c r="EE475" s="38">
        <f t="shared" si="740"/>
        <v>0</v>
      </c>
      <c r="EG475" s="38">
        <f t="shared" si="741"/>
        <v>0</v>
      </c>
      <c r="EH475" s="38">
        <f t="shared" si="742"/>
        <v>0</v>
      </c>
      <c r="EI475" s="38">
        <f t="shared" si="743"/>
        <v>32.954360799999996</v>
      </c>
      <c r="EJ475" s="38">
        <f t="shared" si="744"/>
        <v>0</v>
      </c>
      <c r="EK475" s="38">
        <f t="shared" si="745"/>
        <v>0</v>
      </c>
      <c r="EL475" s="38">
        <f t="shared" si="746"/>
        <v>0</v>
      </c>
      <c r="EM475" s="38">
        <f t="shared" si="747"/>
        <v>0</v>
      </c>
      <c r="EN475" s="38">
        <f t="shared" si="748"/>
        <v>0</v>
      </c>
      <c r="EO475" s="38">
        <f t="shared" si="749"/>
        <v>0</v>
      </c>
      <c r="EP475" s="38">
        <f t="shared" si="750"/>
        <v>158.94167999999999</v>
      </c>
      <c r="EQ475" s="38">
        <f t="shared" si="751"/>
        <v>0</v>
      </c>
      <c r="ER475" s="38">
        <f t="shared" si="752"/>
        <v>0</v>
      </c>
      <c r="ES475" s="38">
        <f t="shared" si="753"/>
        <v>0</v>
      </c>
      <c r="ET475" s="38">
        <f t="shared" si="754"/>
        <v>0</v>
      </c>
      <c r="EU475" s="38">
        <f t="shared" si="755"/>
        <v>0</v>
      </c>
      <c r="EV475" s="38">
        <f t="shared" si="756"/>
        <v>0</v>
      </c>
      <c r="EW475" s="38">
        <f t="shared" si="757"/>
        <v>0</v>
      </c>
      <c r="EX475" s="38">
        <f t="shared" si="758"/>
        <v>0</v>
      </c>
      <c r="EZ475" s="38">
        <f t="shared" si="759"/>
        <v>0</v>
      </c>
      <c r="FA475" s="38">
        <f t="shared" si="760"/>
        <v>0</v>
      </c>
      <c r="FB475" s="1">
        <f t="shared" si="761"/>
        <v>0</v>
      </c>
      <c r="FC475" s="1">
        <f t="shared" si="762"/>
        <v>0</v>
      </c>
      <c r="FD475" s="1">
        <f t="shared" si="763"/>
        <v>0</v>
      </c>
      <c r="FE475" s="1">
        <f t="shared" si="764"/>
        <v>0</v>
      </c>
      <c r="FF475" s="1">
        <f t="shared" si="765"/>
        <v>0</v>
      </c>
      <c r="FG475" s="1">
        <f t="shared" si="766"/>
        <v>0</v>
      </c>
      <c r="FH475" s="1">
        <f t="shared" si="767"/>
        <v>0</v>
      </c>
      <c r="FI475" s="1">
        <f t="shared" si="768"/>
        <v>0</v>
      </c>
      <c r="FJ475" s="1">
        <f t="shared" si="769"/>
        <v>0</v>
      </c>
      <c r="FK475" s="1">
        <f t="shared" si="770"/>
        <v>0</v>
      </c>
      <c r="FL475" s="1">
        <f t="shared" si="771"/>
        <v>0</v>
      </c>
      <c r="FM475" s="1">
        <f t="shared" si="772"/>
        <v>0</v>
      </c>
      <c r="FN475" s="1">
        <f t="shared" si="773"/>
        <v>0</v>
      </c>
      <c r="FO475" s="1">
        <f t="shared" si="774"/>
        <v>0</v>
      </c>
      <c r="FP475" s="1">
        <f t="shared" si="775"/>
        <v>0</v>
      </c>
      <c r="FQ475" s="1">
        <f t="shared" si="776"/>
        <v>0</v>
      </c>
      <c r="FS475" s="1">
        <f t="shared" si="777"/>
        <v>0</v>
      </c>
      <c r="FT475" s="1">
        <f t="shared" si="778"/>
        <v>0</v>
      </c>
      <c r="FU475" s="38">
        <f t="shared" si="779"/>
        <v>0</v>
      </c>
      <c r="FV475" s="38">
        <f t="shared" si="780"/>
        <v>0</v>
      </c>
      <c r="FW475" s="38">
        <f t="shared" si="781"/>
        <v>0</v>
      </c>
      <c r="FX475" s="38">
        <f t="shared" si="782"/>
        <v>0</v>
      </c>
      <c r="FY475" s="38">
        <f t="shared" si="783"/>
        <v>0</v>
      </c>
      <c r="FZ475" s="38">
        <f t="shared" si="784"/>
        <v>0</v>
      </c>
      <c r="GA475" s="38">
        <f t="shared" si="785"/>
        <v>0</v>
      </c>
      <c r="GB475" s="38">
        <f t="shared" si="786"/>
        <v>0</v>
      </c>
      <c r="GC475" s="38">
        <f t="shared" si="787"/>
        <v>0</v>
      </c>
      <c r="GD475" s="38">
        <f t="shared" si="788"/>
        <v>0</v>
      </c>
      <c r="GE475" s="38">
        <f t="shared" si="789"/>
        <v>0</v>
      </c>
      <c r="GF475" s="38">
        <f t="shared" si="790"/>
        <v>0</v>
      </c>
      <c r="GG475" s="38">
        <f t="shared" si="791"/>
        <v>0</v>
      </c>
      <c r="GH475" s="38">
        <f t="shared" si="792"/>
        <v>0</v>
      </c>
      <c r="GI475" s="38">
        <f t="shared" si="793"/>
        <v>0</v>
      </c>
      <c r="GJ475" s="38">
        <f t="shared" si="794"/>
        <v>0</v>
      </c>
      <c r="GL475" s="38">
        <f t="shared" si="795"/>
        <v>0</v>
      </c>
      <c r="GM475" s="38">
        <f t="shared" si="796"/>
        <v>0</v>
      </c>
      <c r="GN475" s="1" t="s">
        <v>2</v>
      </c>
      <c r="GO475" s="1">
        <f t="shared" si="804"/>
        <v>1.01</v>
      </c>
      <c r="GP475" s="1">
        <f t="shared" si="805"/>
        <v>1.2</v>
      </c>
      <c r="GQ475" s="41">
        <f t="shared" si="806"/>
        <v>12.12</v>
      </c>
      <c r="GR475" s="41">
        <f t="shared" si="807"/>
        <v>191.89604079999998</v>
      </c>
      <c r="GS475" s="14">
        <f t="shared" si="808"/>
        <v>189.99607999999998</v>
      </c>
      <c r="GT475" s="1">
        <f t="shared" si="797"/>
        <v>0</v>
      </c>
      <c r="GU475" s="1">
        <f t="shared" si="798"/>
        <v>0</v>
      </c>
      <c r="GV475" s="1">
        <f t="shared" si="799"/>
        <v>12.12</v>
      </c>
      <c r="GW475" s="37">
        <f t="shared" si="809"/>
        <v>0</v>
      </c>
      <c r="GX475" s="37"/>
      <c r="GY475" s="37"/>
      <c r="GZ475" s="37"/>
      <c r="HB475" s="1">
        <f t="shared" si="800"/>
        <v>0</v>
      </c>
      <c r="HC475" s="1">
        <f t="shared" si="801"/>
        <v>0</v>
      </c>
      <c r="HD475" s="37" t="s">
        <v>2</v>
      </c>
      <c r="HE475" s="1" t="s">
        <v>113</v>
      </c>
      <c r="HF475" s="1" t="s">
        <v>261</v>
      </c>
      <c r="HI475" s="1" t="s">
        <v>163</v>
      </c>
      <c r="HJ475" s="37" t="s">
        <v>2</v>
      </c>
      <c r="JH475" s="58" t="s">
        <v>2</v>
      </c>
    </row>
    <row r="476" spans="1:268" ht="16.25" customHeight="1" x14ac:dyDescent="0.2">
      <c r="A476" s="15" t="s">
        <v>801</v>
      </c>
      <c r="B476" s="1" t="s">
        <v>69</v>
      </c>
      <c r="F476" s="1" t="s">
        <v>802</v>
      </c>
      <c r="I476" s="1">
        <v>0</v>
      </c>
      <c r="AD476" s="1">
        <v>0</v>
      </c>
      <c r="AY476" s="2">
        <v>0.17239599999999999</v>
      </c>
      <c r="AZ476" s="1">
        <v>0.26</v>
      </c>
      <c r="BG476" s="1">
        <v>0.62</v>
      </c>
      <c r="BH476" s="1">
        <v>0.02</v>
      </c>
      <c r="BI476" s="13">
        <f>0.009*31.1</f>
        <v>0.27989999999999998</v>
      </c>
      <c r="BJ476" s="13">
        <f>0.03*31.1</f>
        <v>0.93300000000000005</v>
      </c>
      <c r="BT476" s="1">
        <v>0</v>
      </c>
      <c r="CO476" s="1">
        <v>0</v>
      </c>
      <c r="DJ476" s="1" t="s">
        <v>163</v>
      </c>
      <c r="DK476" s="1" t="s">
        <v>163</v>
      </c>
      <c r="DL476" s="1">
        <f t="shared" si="802"/>
        <v>0.62</v>
      </c>
      <c r="DM476" s="1">
        <f t="shared" si="803"/>
        <v>0.02</v>
      </c>
      <c r="DN476" s="1" t="s">
        <v>803</v>
      </c>
      <c r="DO476" s="1" t="s">
        <v>2</v>
      </c>
      <c r="DP476" s="38">
        <f t="shared" si="725"/>
        <v>4.4822960000000001E-4</v>
      </c>
      <c r="DQ476" s="38">
        <f t="shared" si="726"/>
        <v>0</v>
      </c>
      <c r="DR476" s="38">
        <f t="shared" si="727"/>
        <v>0</v>
      </c>
      <c r="DS476" s="38">
        <f t="shared" si="728"/>
        <v>0</v>
      </c>
      <c r="DT476" s="38">
        <f t="shared" si="729"/>
        <v>0</v>
      </c>
      <c r="DU476" s="38">
        <f t="shared" si="730"/>
        <v>0</v>
      </c>
      <c r="DV476" s="38">
        <f t="shared" si="731"/>
        <v>0</v>
      </c>
      <c r="DW476" s="38">
        <f t="shared" si="732"/>
        <v>1.0688551999999999E-3</v>
      </c>
      <c r="DX476" s="38">
        <f t="shared" si="733"/>
        <v>3.44792E-5</v>
      </c>
      <c r="DY476" s="38">
        <f t="shared" si="734"/>
        <v>4.8253640399999992E-2</v>
      </c>
      <c r="DZ476" s="38">
        <f t="shared" si="735"/>
        <v>0.16084546799999999</v>
      </c>
      <c r="EA476" s="38">
        <f t="shared" si="736"/>
        <v>0</v>
      </c>
      <c r="EB476" s="38">
        <f t="shared" si="737"/>
        <v>0</v>
      </c>
      <c r="EC476" s="38">
        <f t="shared" si="738"/>
        <v>0</v>
      </c>
      <c r="ED476" s="38">
        <f t="shared" si="739"/>
        <v>0</v>
      </c>
      <c r="EE476" s="38">
        <f t="shared" si="740"/>
        <v>0</v>
      </c>
      <c r="EG476" s="38">
        <f t="shared" si="741"/>
        <v>0</v>
      </c>
      <c r="EH476" s="38">
        <f t="shared" si="742"/>
        <v>0</v>
      </c>
      <c r="EI476" s="38">
        <f t="shared" si="743"/>
        <v>2.9249742494336002</v>
      </c>
      <c r="EJ476" s="38">
        <f t="shared" si="744"/>
        <v>0</v>
      </c>
      <c r="EK476" s="38">
        <f t="shared" si="745"/>
        <v>0</v>
      </c>
      <c r="EL476" s="38">
        <f t="shared" si="746"/>
        <v>0</v>
      </c>
      <c r="EM476" s="38">
        <f t="shared" si="747"/>
        <v>0</v>
      </c>
      <c r="EN476" s="38">
        <f t="shared" si="748"/>
        <v>0</v>
      </c>
      <c r="EO476" s="38">
        <f t="shared" si="749"/>
        <v>0</v>
      </c>
      <c r="EP476" s="38">
        <f t="shared" si="750"/>
        <v>14.016967092799998</v>
      </c>
      <c r="EQ476" s="38">
        <f t="shared" si="751"/>
        <v>2.5038630919007998</v>
      </c>
      <c r="ER476" s="38">
        <f t="shared" si="752"/>
        <v>1.3695034802399995</v>
      </c>
      <c r="ES476" s="38">
        <f t="shared" si="753"/>
        <v>5.3602915884</v>
      </c>
      <c r="ET476" s="38">
        <f t="shared" si="754"/>
        <v>0</v>
      </c>
      <c r="EU476" s="38">
        <f t="shared" si="755"/>
        <v>0</v>
      </c>
      <c r="EV476" s="38">
        <f t="shared" si="756"/>
        <v>0</v>
      </c>
      <c r="EW476" s="38">
        <f t="shared" si="757"/>
        <v>0</v>
      </c>
      <c r="EX476" s="38">
        <f t="shared" si="758"/>
        <v>0</v>
      </c>
      <c r="EZ476" s="38">
        <f t="shared" si="759"/>
        <v>0</v>
      </c>
      <c r="FA476" s="38">
        <f t="shared" si="760"/>
        <v>0</v>
      </c>
      <c r="FB476" s="1">
        <f t="shared" si="761"/>
        <v>0</v>
      </c>
      <c r="FC476" s="1">
        <f t="shared" si="762"/>
        <v>0</v>
      </c>
      <c r="FD476" s="1">
        <f t="shared" si="763"/>
        <v>0</v>
      </c>
      <c r="FE476" s="1">
        <f t="shared" si="764"/>
        <v>0</v>
      </c>
      <c r="FF476" s="1">
        <f t="shared" si="765"/>
        <v>0</v>
      </c>
      <c r="FG476" s="1">
        <f t="shared" si="766"/>
        <v>0</v>
      </c>
      <c r="FH476" s="1">
        <f t="shared" si="767"/>
        <v>0</v>
      </c>
      <c r="FI476" s="1">
        <f t="shared" si="768"/>
        <v>0</v>
      </c>
      <c r="FJ476" s="1">
        <f t="shared" si="769"/>
        <v>0</v>
      </c>
      <c r="FK476" s="1">
        <f t="shared" si="770"/>
        <v>0</v>
      </c>
      <c r="FL476" s="1">
        <f t="shared" si="771"/>
        <v>0</v>
      </c>
      <c r="FM476" s="1">
        <f t="shared" si="772"/>
        <v>0</v>
      </c>
      <c r="FN476" s="1">
        <f t="shared" si="773"/>
        <v>0</v>
      </c>
      <c r="FO476" s="1">
        <f t="shared" si="774"/>
        <v>0</v>
      </c>
      <c r="FP476" s="1">
        <f t="shared" si="775"/>
        <v>0</v>
      </c>
      <c r="FQ476" s="1">
        <f t="shared" si="776"/>
        <v>0</v>
      </c>
      <c r="FS476" s="1">
        <f t="shared" si="777"/>
        <v>0</v>
      </c>
      <c r="FT476" s="1">
        <f t="shared" si="778"/>
        <v>0</v>
      </c>
      <c r="FU476" s="38">
        <f t="shared" si="779"/>
        <v>0</v>
      </c>
      <c r="FV476" s="38">
        <f t="shared" si="780"/>
        <v>0</v>
      </c>
      <c r="FW476" s="38">
        <f t="shared" si="781"/>
        <v>0</v>
      </c>
      <c r="FX476" s="38">
        <f t="shared" si="782"/>
        <v>0</v>
      </c>
      <c r="FY476" s="38">
        <f t="shared" si="783"/>
        <v>0</v>
      </c>
      <c r="FZ476" s="38">
        <f t="shared" si="784"/>
        <v>0</v>
      </c>
      <c r="GA476" s="38">
        <f t="shared" si="785"/>
        <v>0</v>
      </c>
      <c r="GB476" s="38">
        <f t="shared" si="786"/>
        <v>0</v>
      </c>
      <c r="GC476" s="38">
        <f t="shared" si="787"/>
        <v>0</v>
      </c>
      <c r="GD476" s="38">
        <f t="shared" si="788"/>
        <v>0</v>
      </c>
      <c r="GE476" s="38">
        <f t="shared" si="789"/>
        <v>0</v>
      </c>
      <c r="GF476" s="38">
        <f t="shared" si="790"/>
        <v>0</v>
      </c>
      <c r="GG476" s="38">
        <f t="shared" si="791"/>
        <v>0</v>
      </c>
      <c r="GH476" s="38">
        <f t="shared" si="792"/>
        <v>0</v>
      </c>
      <c r="GI476" s="38">
        <f t="shared" si="793"/>
        <v>0</v>
      </c>
      <c r="GJ476" s="38">
        <f t="shared" si="794"/>
        <v>0</v>
      </c>
      <c r="GL476" s="38">
        <f t="shared" si="795"/>
        <v>0</v>
      </c>
      <c r="GM476" s="38">
        <f t="shared" si="796"/>
        <v>0</v>
      </c>
      <c r="GN476" s="1" t="s">
        <v>2</v>
      </c>
      <c r="GO476" s="2">
        <f t="shared" si="804"/>
        <v>0.17239599999999999</v>
      </c>
      <c r="GP476" s="1">
        <f t="shared" si="805"/>
        <v>0.62</v>
      </c>
      <c r="GQ476" s="41">
        <f t="shared" si="806"/>
        <v>1.0688551999999998</v>
      </c>
      <c r="GR476" s="41">
        <f t="shared" si="807"/>
        <v>26.175599502774396</v>
      </c>
      <c r="GS476" s="14">
        <f t="shared" si="808"/>
        <v>151.83414639999998</v>
      </c>
      <c r="GT476" s="1">
        <f t="shared" si="797"/>
        <v>0</v>
      </c>
      <c r="GU476" s="1">
        <f t="shared" si="798"/>
        <v>0</v>
      </c>
      <c r="GV476" s="1">
        <f t="shared" si="799"/>
        <v>1.0688552</v>
      </c>
      <c r="GW476" s="37">
        <f t="shared" si="809"/>
        <v>0</v>
      </c>
      <c r="GX476" s="37"/>
      <c r="GY476" s="37"/>
      <c r="GZ476" s="37"/>
      <c r="HB476" s="1">
        <f t="shared" si="800"/>
        <v>0</v>
      </c>
      <c r="HC476" s="1">
        <f t="shared" si="801"/>
        <v>0</v>
      </c>
      <c r="HD476" s="37" t="s">
        <v>2</v>
      </c>
      <c r="HE476" s="1" t="s">
        <v>113</v>
      </c>
      <c r="HF476" s="1" t="s">
        <v>261</v>
      </c>
      <c r="HI476" s="1" t="s">
        <v>163</v>
      </c>
      <c r="HJ476" s="37" t="s">
        <v>2</v>
      </c>
      <c r="JH476" s="58" t="s">
        <v>2</v>
      </c>
    </row>
    <row r="477" spans="1:268" ht="16.25" customHeight="1" x14ac:dyDescent="0.2">
      <c r="A477" s="29" t="s">
        <v>843</v>
      </c>
      <c r="B477" s="1" t="s">
        <v>69</v>
      </c>
      <c r="F477" s="1" t="s">
        <v>131</v>
      </c>
      <c r="I477" s="1">
        <v>0</v>
      </c>
      <c r="AD477" s="1">
        <v>0</v>
      </c>
      <c r="AY477" s="1">
        <v>4</v>
      </c>
      <c r="BG477" s="1">
        <v>0.5</v>
      </c>
      <c r="BT477" s="1">
        <v>0</v>
      </c>
      <c r="CO477" s="1">
        <v>0</v>
      </c>
      <c r="DJ477" s="1" t="s">
        <v>163</v>
      </c>
      <c r="DL477" s="1">
        <f t="shared" si="802"/>
        <v>0.5</v>
      </c>
      <c r="DM477" s="1">
        <f t="shared" si="803"/>
        <v>0</v>
      </c>
      <c r="DN477" s="1" t="s">
        <v>815</v>
      </c>
      <c r="DO477" s="1" t="s">
        <v>2</v>
      </c>
      <c r="DP477" s="38">
        <f t="shared" si="725"/>
        <v>0</v>
      </c>
      <c r="DQ477" s="38">
        <f t="shared" si="726"/>
        <v>0</v>
      </c>
      <c r="DR477" s="38">
        <f t="shared" si="727"/>
        <v>0</v>
      </c>
      <c r="DS477" s="38">
        <f t="shared" si="728"/>
        <v>0</v>
      </c>
      <c r="DT477" s="38">
        <f t="shared" si="729"/>
        <v>0</v>
      </c>
      <c r="DU477" s="38">
        <f t="shared" si="730"/>
        <v>0</v>
      </c>
      <c r="DV477" s="38">
        <f t="shared" si="731"/>
        <v>0</v>
      </c>
      <c r="DW477" s="38">
        <f t="shared" si="732"/>
        <v>0.02</v>
      </c>
      <c r="DX477" s="38">
        <f t="shared" si="733"/>
        <v>0</v>
      </c>
      <c r="DY477" s="38">
        <f t="shared" si="734"/>
        <v>0</v>
      </c>
      <c r="DZ477" s="38">
        <f t="shared" si="735"/>
        <v>0</v>
      </c>
      <c r="EA477" s="38">
        <f t="shared" si="736"/>
        <v>0</v>
      </c>
      <c r="EB477" s="38">
        <f t="shared" si="737"/>
        <v>0</v>
      </c>
      <c r="EC477" s="38">
        <f t="shared" si="738"/>
        <v>0</v>
      </c>
      <c r="ED477" s="38">
        <f t="shared" si="739"/>
        <v>0</v>
      </c>
      <c r="EE477" s="38">
        <f t="shared" si="740"/>
        <v>0</v>
      </c>
      <c r="EG477" s="38">
        <f t="shared" si="741"/>
        <v>0</v>
      </c>
      <c r="EH477" s="38">
        <f t="shared" si="742"/>
        <v>0</v>
      </c>
      <c r="EI477" s="38">
        <f t="shared" si="743"/>
        <v>0</v>
      </c>
      <c r="EJ477" s="38">
        <f t="shared" si="744"/>
        <v>0</v>
      </c>
      <c r="EK477" s="38">
        <f t="shared" si="745"/>
        <v>0</v>
      </c>
      <c r="EL477" s="38">
        <f t="shared" si="746"/>
        <v>0</v>
      </c>
      <c r="EM477" s="38">
        <f t="shared" si="747"/>
        <v>0</v>
      </c>
      <c r="EN477" s="38">
        <f t="shared" si="748"/>
        <v>0</v>
      </c>
      <c r="EO477" s="38">
        <f t="shared" si="749"/>
        <v>0</v>
      </c>
      <c r="EP477" s="38">
        <f t="shared" si="750"/>
        <v>262.28000000000003</v>
      </c>
      <c r="EQ477" s="38">
        <f t="shared" si="751"/>
        <v>0</v>
      </c>
      <c r="ER477" s="38">
        <f t="shared" si="752"/>
        <v>0</v>
      </c>
      <c r="ES477" s="38">
        <f t="shared" si="753"/>
        <v>0</v>
      </c>
      <c r="ET477" s="38">
        <f t="shared" si="754"/>
        <v>0</v>
      </c>
      <c r="EU477" s="38">
        <f t="shared" si="755"/>
        <v>0</v>
      </c>
      <c r="EV477" s="38">
        <f t="shared" si="756"/>
        <v>0</v>
      </c>
      <c r="EW477" s="38">
        <f t="shared" si="757"/>
        <v>0</v>
      </c>
      <c r="EX477" s="38">
        <f t="shared" si="758"/>
        <v>0</v>
      </c>
      <c r="EZ477" s="38">
        <f t="shared" si="759"/>
        <v>0</v>
      </c>
      <c r="FA477" s="38">
        <f t="shared" si="760"/>
        <v>0</v>
      </c>
      <c r="FB477" s="1">
        <f t="shared" si="761"/>
        <v>0</v>
      </c>
      <c r="FC477" s="1">
        <f t="shared" si="762"/>
        <v>0</v>
      </c>
      <c r="FD477" s="1">
        <f t="shared" si="763"/>
        <v>0</v>
      </c>
      <c r="FE477" s="1">
        <f t="shared" si="764"/>
        <v>0</v>
      </c>
      <c r="FF477" s="1">
        <f t="shared" si="765"/>
        <v>0</v>
      </c>
      <c r="FG477" s="1">
        <f t="shared" si="766"/>
        <v>0</v>
      </c>
      <c r="FH477" s="1">
        <f t="shared" si="767"/>
        <v>0</v>
      </c>
      <c r="FI477" s="1">
        <f t="shared" si="768"/>
        <v>0</v>
      </c>
      <c r="FJ477" s="1">
        <f t="shared" si="769"/>
        <v>0</v>
      </c>
      <c r="FK477" s="1">
        <f t="shared" si="770"/>
        <v>0</v>
      </c>
      <c r="FL477" s="1">
        <f t="shared" si="771"/>
        <v>0</v>
      </c>
      <c r="FM477" s="1">
        <f t="shared" si="772"/>
        <v>0</v>
      </c>
      <c r="FN477" s="1">
        <f t="shared" si="773"/>
        <v>0</v>
      </c>
      <c r="FO477" s="1">
        <f t="shared" si="774"/>
        <v>0</v>
      </c>
      <c r="FP477" s="1">
        <f t="shared" si="775"/>
        <v>0</v>
      </c>
      <c r="FQ477" s="1">
        <f t="shared" si="776"/>
        <v>0</v>
      </c>
      <c r="FS477" s="1">
        <f t="shared" si="777"/>
        <v>0</v>
      </c>
      <c r="FT477" s="1">
        <f t="shared" si="778"/>
        <v>0</v>
      </c>
      <c r="FU477" s="38">
        <f t="shared" si="779"/>
        <v>0</v>
      </c>
      <c r="FV477" s="38">
        <f t="shared" si="780"/>
        <v>0</v>
      </c>
      <c r="FW477" s="38">
        <f t="shared" si="781"/>
        <v>0</v>
      </c>
      <c r="FX477" s="38">
        <f t="shared" si="782"/>
        <v>0</v>
      </c>
      <c r="FY477" s="38">
        <f t="shared" si="783"/>
        <v>0</v>
      </c>
      <c r="FZ477" s="38">
        <f t="shared" si="784"/>
        <v>0</v>
      </c>
      <c r="GA477" s="38">
        <f t="shared" si="785"/>
        <v>0</v>
      </c>
      <c r="GB477" s="38">
        <f t="shared" si="786"/>
        <v>0</v>
      </c>
      <c r="GC477" s="38">
        <f t="shared" si="787"/>
        <v>0</v>
      </c>
      <c r="GD477" s="38">
        <f t="shared" si="788"/>
        <v>0</v>
      </c>
      <c r="GE477" s="38">
        <f t="shared" si="789"/>
        <v>0</v>
      </c>
      <c r="GF477" s="38">
        <f t="shared" si="790"/>
        <v>0</v>
      </c>
      <c r="GG477" s="38">
        <f t="shared" si="791"/>
        <v>0</v>
      </c>
      <c r="GH477" s="38">
        <f t="shared" si="792"/>
        <v>0</v>
      </c>
      <c r="GI477" s="38">
        <f t="shared" si="793"/>
        <v>0</v>
      </c>
      <c r="GJ477" s="38">
        <f t="shared" si="794"/>
        <v>0</v>
      </c>
      <c r="GL477" s="38">
        <f t="shared" si="795"/>
        <v>0</v>
      </c>
      <c r="GM477" s="38">
        <f t="shared" si="796"/>
        <v>0</v>
      </c>
      <c r="GN477" s="1" t="s">
        <v>2</v>
      </c>
      <c r="GO477" s="1">
        <f t="shared" si="804"/>
        <v>4</v>
      </c>
      <c r="GP477" s="1">
        <f t="shared" si="805"/>
        <v>0.5</v>
      </c>
      <c r="GQ477" s="41">
        <f t="shared" si="806"/>
        <v>20</v>
      </c>
      <c r="GR477" s="41">
        <f t="shared" si="807"/>
        <v>262.28000000000003</v>
      </c>
      <c r="GS477" s="14">
        <f t="shared" si="808"/>
        <v>65.570000000000007</v>
      </c>
      <c r="GT477" s="1">
        <f t="shared" si="797"/>
        <v>0</v>
      </c>
      <c r="GU477" s="1">
        <f t="shared" si="798"/>
        <v>0</v>
      </c>
      <c r="GV477" s="1">
        <f t="shared" si="799"/>
        <v>20</v>
      </c>
      <c r="GW477" s="37">
        <f t="shared" si="809"/>
        <v>0</v>
      </c>
      <c r="GX477" s="37"/>
      <c r="GY477" s="37"/>
      <c r="GZ477" s="37"/>
      <c r="HB477" s="1">
        <f t="shared" si="800"/>
        <v>0</v>
      </c>
      <c r="HC477" s="1">
        <f t="shared" si="801"/>
        <v>0</v>
      </c>
      <c r="HD477" s="37" t="s">
        <v>2</v>
      </c>
      <c r="HE477" s="1" t="s">
        <v>113</v>
      </c>
      <c r="HF477" s="1" t="s">
        <v>261</v>
      </c>
      <c r="HI477" s="1" t="s">
        <v>163</v>
      </c>
      <c r="HJ477" s="37" t="s">
        <v>2</v>
      </c>
      <c r="JH477" s="58" t="s">
        <v>2</v>
      </c>
    </row>
    <row r="478" spans="1:268" ht="16.25" customHeight="1" x14ac:dyDescent="0.2">
      <c r="A478" s="15" t="s">
        <v>854</v>
      </c>
      <c r="B478" s="1" t="s">
        <v>69</v>
      </c>
      <c r="F478" s="1" t="s">
        <v>131</v>
      </c>
      <c r="I478" s="1">
        <v>0</v>
      </c>
      <c r="AD478" s="1">
        <v>0</v>
      </c>
      <c r="AY478" s="1">
        <v>13.1</v>
      </c>
      <c r="AZ478" s="1">
        <v>0.2</v>
      </c>
      <c r="BG478" s="1">
        <v>0.24</v>
      </c>
      <c r="BT478" s="1">
        <v>0</v>
      </c>
      <c r="CO478" s="1">
        <v>0</v>
      </c>
      <c r="DJ478" s="1" t="s">
        <v>163</v>
      </c>
      <c r="DL478" s="1">
        <f t="shared" si="802"/>
        <v>0.24</v>
      </c>
      <c r="DM478" s="1">
        <f t="shared" si="803"/>
        <v>0</v>
      </c>
      <c r="DN478" s="1" t="s">
        <v>815</v>
      </c>
      <c r="DO478" s="1" t="s">
        <v>2</v>
      </c>
      <c r="DP478" s="38">
        <f t="shared" ref="DP478:DP541" si="810">(J478*$I478+AE478*$AD478+AZ478*$AY478)/100</f>
        <v>2.6200000000000001E-2</v>
      </c>
      <c r="DQ478" s="38">
        <f t="shared" ref="DQ478:DQ541" si="811">K478*$I478+AF478*$AD478+BA478*$AY478</f>
        <v>0</v>
      </c>
      <c r="DR478" s="38">
        <f t="shared" ref="DR478:DR541" si="812">L478*$I478+AG478*$AD478+BB478*$AY478</f>
        <v>0</v>
      </c>
      <c r="DS478" s="38">
        <f t="shared" ref="DS478:DS541" si="813">(M478*$I478+AH478*$AD478+BC478*$AY478)/100</f>
        <v>0</v>
      </c>
      <c r="DT478" s="38">
        <f t="shared" ref="DT478:DT541" si="814">(N478*$I478+AI478*$AD478+BD478*$AY478)/100</f>
        <v>0</v>
      </c>
      <c r="DU478" s="38">
        <f t="shared" ref="DU478:DU541" si="815">(O478*$I478+AJ478*$AD478+BE478*$AY478)/100</f>
        <v>0</v>
      </c>
      <c r="DV478" s="38">
        <f t="shared" ref="DV478:DV541" si="816">(P478*$I478+AK478*$AD478+BF478*$AY478)/100</f>
        <v>0</v>
      </c>
      <c r="DW478" s="38">
        <f t="shared" ref="DW478:DW541" si="817">(Q478*$I478+AL478*$AD478+BG478*$AY478)/100</f>
        <v>3.1439999999999996E-2</v>
      </c>
      <c r="DX478" s="38">
        <f t="shared" ref="DX478:DX541" si="818">(R478*$I478+AM478*$AD478+BH478*$AY478)/100</f>
        <v>0</v>
      </c>
      <c r="DY478" s="38">
        <f t="shared" ref="DY478:DY541" si="819">S478*$I478+AN478*$AD478+BI478*$AY478</f>
        <v>0</v>
      </c>
      <c r="DZ478" s="38">
        <f t="shared" ref="DZ478:DZ541" si="820">T478*$I478+AO478*$AD478+BJ478*$AY478</f>
        <v>0</v>
      </c>
      <c r="EA478" s="38">
        <f t="shared" ref="EA478:EA541" si="821">U478*$I478+AP478*$AD478+BK478*$AY478</f>
        <v>0</v>
      </c>
      <c r="EB478" s="38">
        <f t="shared" ref="EB478:EB541" si="822">V478*$I478+AQ478*$AD478+BL478*$AY478</f>
        <v>0</v>
      </c>
      <c r="EC478" s="38">
        <f t="shared" ref="EC478:EC541" si="823">W478*$I478+AR478*$AD478+BM478*$AY478</f>
        <v>0</v>
      </c>
      <c r="ED478" s="38">
        <f t="shared" ref="ED478:ED541" si="824">(X478*$I478+AS478*$AD478+BN478*$AY478)/100</f>
        <v>0</v>
      </c>
      <c r="EE478" s="38">
        <f t="shared" ref="EE478:EE541" si="825">(Y478*$I478+AT478*$AD478+BO478*$AY478)/100</f>
        <v>0</v>
      </c>
      <c r="EG478" s="38">
        <f t="shared" ref="EG478:EG541" si="826">AA478*$I478+AV478*$AD478+BQ478*$AY478</f>
        <v>0</v>
      </c>
      <c r="EH478" s="38">
        <f t="shared" ref="EH478:EH541" si="827">(AB478*$I478+AW478*$AD478+BR478*$AY478)/100</f>
        <v>0</v>
      </c>
      <c r="EI478" s="38">
        <f t="shared" ref="EI478:EI541" si="828">EI$1*DP478</f>
        <v>170.97113920000001</v>
      </c>
      <c r="EJ478" s="38">
        <f t="shared" ref="EJ478:EJ541" si="829">EJ$1*DQ478/1000000</f>
        <v>0</v>
      </c>
      <c r="EK478" s="38">
        <f t="shared" ref="EK478:EK541" si="830">EK$1*DR478/1000000</f>
        <v>0</v>
      </c>
      <c r="EL478" s="38">
        <f t="shared" ref="EL478:EL541" si="831">EL$1*DS478</f>
        <v>0</v>
      </c>
      <c r="EM478" s="38">
        <f t="shared" ref="EM478:EM541" si="832">EM$1*DT478</f>
        <v>0</v>
      </c>
      <c r="EN478" s="38">
        <f t="shared" ref="EN478:EN541" si="833">EN$1*DU478</f>
        <v>0</v>
      </c>
      <c r="EO478" s="38">
        <f t="shared" ref="EO478:EO541" si="834">EO$1*DV478</f>
        <v>0</v>
      </c>
      <c r="EP478" s="38">
        <f t="shared" ref="EP478:EP541" si="835">EP$1*DW478</f>
        <v>412.30415999999997</v>
      </c>
      <c r="EQ478" s="38">
        <f t="shared" ref="EQ478:EQ541" si="836">EQ$1*DX478</f>
        <v>0</v>
      </c>
      <c r="ER478" s="38">
        <f t="shared" ref="ER478:ER541" si="837">ER$1*DY478/1000000</f>
        <v>0</v>
      </c>
      <c r="ES478" s="38">
        <f t="shared" ref="ES478:ES541" si="838">ES$1*DZ478/1000000</f>
        <v>0</v>
      </c>
      <c r="ET478" s="38">
        <f t="shared" ref="ET478:ET541" si="839">ET$1*EA478/1000000</f>
        <v>0</v>
      </c>
      <c r="EU478" s="38">
        <f t="shared" ref="EU478:EU541" si="840">EU$1*EB478/1000000</f>
        <v>0</v>
      </c>
      <c r="EV478" s="38">
        <f t="shared" ref="EV478:EV541" si="841">EV$1*EC478/1000000</f>
        <v>0</v>
      </c>
      <c r="EW478" s="38">
        <f t="shared" ref="EW478:EW541" si="842">EW$1*ED478</f>
        <v>0</v>
      </c>
      <c r="EX478" s="38">
        <f t="shared" ref="EX478:EX541" si="843">EX$1*EE478</f>
        <v>0</v>
      </c>
      <c r="EZ478" s="38">
        <f t="shared" ref="EZ478:EZ541" si="844">EZ$1*EG478/1000000</f>
        <v>0</v>
      </c>
      <c r="FA478" s="38">
        <f t="shared" ref="FA478:FA541" si="845">FA$1*EH478</f>
        <v>0</v>
      </c>
      <c r="FB478" s="1">
        <f t="shared" ref="FB478:FB541" si="846">(BU478*$BT478+CP478*$CO478)/100</f>
        <v>0</v>
      </c>
      <c r="FC478" s="1">
        <f t="shared" ref="FC478:FC541" si="847">BV478*$BT478+CQ478*$CO478</f>
        <v>0</v>
      </c>
      <c r="FD478" s="1">
        <f t="shared" ref="FD478:FD541" si="848">BW478*$BT478+CR478*$CO478</f>
        <v>0</v>
      </c>
      <c r="FE478" s="1">
        <f t="shared" ref="FE478:FE541" si="849">(BX478*$BT478+CS478*$CO478)/100</f>
        <v>0</v>
      </c>
      <c r="FF478" s="1">
        <f t="shared" ref="FF478:FF541" si="850">(BY478*$BT478+CT478*$CO478)/100</f>
        <v>0</v>
      </c>
      <c r="FG478" s="1">
        <f t="shared" ref="FG478:FG541" si="851">(BZ478*$BT478+CU478*$CO478)/100</f>
        <v>0</v>
      </c>
      <c r="FH478" s="1">
        <f t="shared" ref="FH478:FH541" si="852">(CA478*$BT478+CV478*$CO478)/100</f>
        <v>0</v>
      </c>
      <c r="FI478" s="1">
        <f t="shared" ref="FI478:FI541" si="853">(CB478*$BT478+CW478*$CO478)/100</f>
        <v>0</v>
      </c>
      <c r="FJ478" s="1">
        <f t="shared" ref="FJ478:FJ541" si="854">(CC478*$BT478+CX478*$CO478)/100</f>
        <v>0</v>
      </c>
      <c r="FK478" s="1">
        <f t="shared" ref="FK478:FK541" si="855">CD478*$BT478+CY478*$CO478</f>
        <v>0</v>
      </c>
      <c r="FL478" s="1">
        <f t="shared" ref="FL478:FL541" si="856">CE478*$BT478+CZ478*$CO478</f>
        <v>0</v>
      </c>
      <c r="FM478" s="1">
        <f t="shared" ref="FM478:FM541" si="857">CF478*$BT478+DA478*$CO478</f>
        <v>0</v>
      </c>
      <c r="FN478" s="1">
        <f t="shared" ref="FN478:FN541" si="858">CG478*$BT478+DB478*$CO478</f>
        <v>0</v>
      </c>
      <c r="FO478" s="1">
        <f t="shared" ref="FO478:FO541" si="859">CH478*$BT478+DC478*$CO478</f>
        <v>0</v>
      </c>
      <c r="FP478" s="1">
        <f t="shared" ref="FP478:FP541" si="860">(CI478*$BT478+DD478*$CO478)/100</f>
        <v>0</v>
      </c>
      <c r="FQ478" s="1">
        <f t="shared" ref="FQ478:FQ541" si="861">(CJ478*$BT478+DE478*$CO478)/100</f>
        <v>0</v>
      </c>
      <c r="FS478" s="1">
        <f t="shared" ref="FS478:FS541" si="862">CL478*$BT478+DG478*$CO478</f>
        <v>0</v>
      </c>
      <c r="FT478" s="1">
        <f t="shared" ref="FT478:FT541" si="863">(CM478*$BT478+DH478*$CO478)/100</f>
        <v>0</v>
      </c>
      <c r="FU478" s="38">
        <f t="shared" ref="FU478:FU541" si="864">FU$1*FB478</f>
        <v>0</v>
      </c>
      <c r="FV478" s="38">
        <f t="shared" ref="FV478:FV541" si="865">FV$1*FC478/1000000</f>
        <v>0</v>
      </c>
      <c r="FW478" s="38">
        <f t="shared" ref="FW478:FW541" si="866">FW$1*FD478/1000000</f>
        <v>0</v>
      </c>
      <c r="FX478" s="38">
        <f t="shared" ref="FX478:FX541" si="867">FX$1*FE478</f>
        <v>0</v>
      </c>
      <c r="FY478" s="38">
        <f t="shared" ref="FY478:FY541" si="868">FY$1*FF478</f>
        <v>0</v>
      </c>
      <c r="FZ478" s="38">
        <f t="shared" ref="FZ478:FZ541" si="869">FZ$1*FG478</f>
        <v>0</v>
      </c>
      <c r="GA478" s="38">
        <f t="shared" ref="GA478:GA541" si="870">GA$1*FH478</f>
        <v>0</v>
      </c>
      <c r="GB478" s="38">
        <f t="shared" ref="GB478:GB541" si="871">GB$1*FI478</f>
        <v>0</v>
      </c>
      <c r="GC478" s="38">
        <f t="shared" ref="GC478:GC541" si="872">GC$1*FJ478</f>
        <v>0</v>
      </c>
      <c r="GD478" s="38">
        <f t="shared" ref="GD478:GD541" si="873">GD$1*FK478/1000000</f>
        <v>0</v>
      </c>
      <c r="GE478" s="38">
        <f t="shared" ref="GE478:GE541" si="874">GE$1*FL478/1000000</f>
        <v>0</v>
      </c>
      <c r="GF478" s="38">
        <f t="shared" ref="GF478:GF541" si="875">GF$1*FM478/1000000</f>
        <v>0</v>
      </c>
      <c r="GG478" s="38">
        <f t="shared" ref="GG478:GG541" si="876">GG$1*FN478/1000000</f>
        <v>0</v>
      </c>
      <c r="GH478" s="38">
        <f t="shared" ref="GH478:GH541" si="877">GH$1*FO478/1000000</f>
        <v>0</v>
      </c>
      <c r="GI478" s="38">
        <f t="shared" ref="GI478:GI541" si="878">GI$1*FP478</f>
        <v>0</v>
      </c>
      <c r="GJ478" s="38">
        <f t="shared" ref="GJ478:GJ541" si="879">GJ$1*FQ478</f>
        <v>0</v>
      </c>
      <c r="GL478" s="38">
        <f t="shared" ref="GL478:GL541" si="880">GL$1*FS478/1000000</f>
        <v>0</v>
      </c>
      <c r="GM478" s="38">
        <f t="shared" ref="GM478:GM541" si="881">GM$1*FT478</f>
        <v>0</v>
      </c>
      <c r="GN478" s="1" t="s">
        <v>2</v>
      </c>
      <c r="GO478" s="1">
        <f t="shared" si="804"/>
        <v>13.1</v>
      </c>
      <c r="GP478" s="1">
        <f t="shared" si="805"/>
        <v>0.24</v>
      </c>
      <c r="GQ478" s="41">
        <f t="shared" si="806"/>
        <v>31.44</v>
      </c>
      <c r="GR478" s="41">
        <f t="shared" si="807"/>
        <v>583.27529919999995</v>
      </c>
      <c r="GS478" s="14">
        <f t="shared" si="808"/>
        <v>44.524831999999996</v>
      </c>
      <c r="GT478" s="1">
        <f t="shared" ref="GT478:GT541" si="882">1000*(Q478*$I478)/100</f>
        <v>0</v>
      </c>
      <c r="GU478" s="1">
        <f t="shared" ref="GU478:GU541" si="883">1000*(AL478*$AD478)/100</f>
        <v>0</v>
      </c>
      <c r="GV478" s="1">
        <f t="shared" ref="GV478:GV541" si="884">1000*(BG478*$AY478)/100</f>
        <v>31.439999999999994</v>
      </c>
      <c r="GW478" s="37">
        <f t="shared" si="809"/>
        <v>0</v>
      </c>
      <c r="GX478" s="37"/>
      <c r="GY478" s="37"/>
      <c r="GZ478" s="37"/>
      <c r="HB478" s="1">
        <f t="shared" ref="HB478:HB541" si="885">1000*(CB478*$BT478)/100</f>
        <v>0</v>
      </c>
      <c r="HC478" s="1">
        <f t="shared" ref="HC478:HC541" si="886">1000*(CW478*$CO478)/100</f>
        <v>0</v>
      </c>
      <c r="HD478" s="37" t="s">
        <v>2</v>
      </c>
      <c r="HE478" s="1" t="s">
        <v>113</v>
      </c>
      <c r="HF478" s="1" t="s">
        <v>261</v>
      </c>
      <c r="HI478" s="1" t="s">
        <v>163</v>
      </c>
      <c r="HJ478" s="37" t="s">
        <v>2</v>
      </c>
      <c r="JH478" s="58" t="s">
        <v>2</v>
      </c>
    </row>
    <row r="479" spans="1:268" ht="16.25" customHeight="1" x14ac:dyDescent="0.2">
      <c r="A479" s="15" t="s">
        <v>855</v>
      </c>
      <c r="B479" s="1" t="s">
        <v>69</v>
      </c>
      <c r="F479" s="1" t="s">
        <v>131</v>
      </c>
      <c r="I479" s="1">
        <v>0</v>
      </c>
      <c r="AD479" s="1">
        <v>0</v>
      </c>
      <c r="AY479" s="1">
        <v>8.16</v>
      </c>
      <c r="AZ479" s="1">
        <v>2.9</v>
      </c>
      <c r="BA479" s="1">
        <v>2.2000000000000002</v>
      </c>
      <c r="BB479" s="1">
        <v>5.2</v>
      </c>
      <c r="BG479" s="1">
        <v>5.0999999999999996</v>
      </c>
      <c r="BH479" s="1">
        <v>0.23</v>
      </c>
      <c r="BT479" s="1">
        <v>0</v>
      </c>
      <c r="CO479" s="1">
        <v>0</v>
      </c>
      <c r="DJ479" s="1" t="s">
        <v>163</v>
      </c>
      <c r="DK479" s="1" t="s">
        <v>163</v>
      </c>
      <c r="DL479" s="1">
        <f t="shared" si="802"/>
        <v>5.0999999999999996</v>
      </c>
      <c r="DM479" s="1">
        <f t="shared" si="803"/>
        <v>0.23</v>
      </c>
      <c r="DN479" s="1" t="s">
        <v>815</v>
      </c>
      <c r="DO479" s="1" t="s">
        <v>2</v>
      </c>
      <c r="DP479" s="38">
        <f t="shared" si="810"/>
        <v>0.23663999999999999</v>
      </c>
      <c r="DQ479" s="38">
        <f t="shared" si="811"/>
        <v>17.952000000000002</v>
      </c>
      <c r="DR479" s="38">
        <f t="shared" si="812"/>
        <v>42.432000000000002</v>
      </c>
      <c r="DS479" s="38">
        <f t="shared" si="813"/>
        <v>0</v>
      </c>
      <c r="DT479" s="38">
        <f t="shared" si="814"/>
        <v>0</v>
      </c>
      <c r="DU479" s="38">
        <f t="shared" si="815"/>
        <v>0</v>
      </c>
      <c r="DV479" s="38">
        <f t="shared" si="816"/>
        <v>0</v>
      </c>
      <c r="DW479" s="38">
        <f t="shared" si="817"/>
        <v>0.41615999999999997</v>
      </c>
      <c r="DX479" s="38">
        <f t="shared" si="818"/>
        <v>1.8768E-2</v>
      </c>
      <c r="DY479" s="38">
        <f t="shared" si="819"/>
        <v>0</v>
      </c>
      <c r="DZ479" s="38">
        <f t="shared" si="820"/>
        <v>0</v>
      </c>
      <c r="EA479" s="38">
        <f t="shared" si="821"/>
        <v>0</v>
      </c>
      <c r="EB479" s="38">
        <f t="shared" si="822"/>
        <v>0</v>
      </c>
      <c r="EC479" s="38">
        <f t="shared" si="823"/>
        <v>0</v>
      </c>
      <c r="ED479" s="38">
        <f t="shared" si="824"/>
        <v>0</v>
      </c>
      <c r="EE479" s="38">
        <f t="shared" si="825"/>
        <v>0</v>
      </c>
      <c r="EG479" s="38">
        <f t="shared" si="826"/>
        <v>0</v>
      </c>
      <c r="EH479" s="38">
        <f t="shared" si="827"/>
        <v>0</v>
      </c>
      <c r="EI479" s="38">
        <f t="shared" si="828"/>
        <v>1544.2217702399998</v>
      </c>
      <c r="EJ479" s="38">
        <f t="shared" si="829"/>
        <v>734.2425723472669</v>
      </c>
      <c r="EK479" s="38">
        <f t="shared" si="830"/>
        <v>21.488874598070737</v>
      </c>
      <c r="EL479" s="38">
        <f t="shared" si="831"/>
        <v>0</v>
      </c>
      <c r="EM479" s="38">
        <f t="shared" si="832"/>
        <v>0</v>
      </c>
      <c r="EN479" s="38">
        <f t="shared" si="833"/>
        <v>0</v>
      </c>
      <c r="EO479" s="38">
        <f t="shared" si="834"/>
        <v>0</v>
      </c>
      <c r="EP479" s="38">
        <f t="shared" si="835"/>
        <v>5457.5222399999993</v>
      </c>
      <c r="EQ479" s="38">
        <f t="shared" si="836"/>
        <v>1362.9232264319999</v>
      </c>
      <c r="ER479" s="38">
        <f t="shared" si="837"/>
        <v>0</v>
      </c>
      <c r="ES479" s="38">
        <f t="shared" si="838"/>
        <v>0</v>
      </c>
      <c r="ET479" s="38">
        <f t="shared" si="839"/>
        <v>0</v>
      </c>
      <c r="EU479" s="38">
        <f t="shared" si="840"/>
        <v>0</v>
      </c>
      <c r="EV479" s="38">
        <f t="shared" si="841"/>
        <v>0</v>
      </c>
      <c r="EW479" s="38">
        <f t="shared" si="842"/>
        <v>0</v>
      </c>
      <c r="EX479" s="38">
        <f t="shared" si="843"/>
        <v>0</v>
      </c>
      <c r="EZ479" s="38">
        <f t="shared" si="844"/>
        <v>0</v>
      </c>
      <c r="FA479" s="38">
        <f t="shared" si="845"/>
        <v>0</v>
      </c>
      <c r="FB479" s="1">
        <f t="shared" si="846"/>
        <v>0</v>
      </c>
      <c r="FC479" s="1">
        <f t="shared" si="847"/>
        <v>0</v>
      </c>
      <c r="FD479" s="1">
        <f t="shared" si="848"/>
        <v>0</v>
      </c>
      <c r="FE479" s="1">
        <f t="shared" si="849"/>
        <v>0</v>
      </c>
      <c r="FF479" s="1">
        <f t="shared" si="850"/>
        <v>0</v>
      </c>
      <c r="FG479" s="1">
        <f t="shared" si="851"/>
        <v>0</v>
      </c>
      <c r="FH479" s="1">
        <f t="shared" si="852"/>
        <v>0</v>
      </c>
      <c r="FI479" s="1">
        <f t="shared" si="853"/>
        <v>0</v>
      </c>
      <c r="FJ479" s="1">
        <f t="shared" si="854"/>
        <v>0</v>
      </c>
      <c r="FK479" s="1">
        <f t="shared" si="855"/>
        <v>0</v>
      </c>
      <c r="FL479" s="1">
        <f t="shared" si="856"/>
        <v>0</v>
      </c>
      <c r="FM479" s="1">
        <f t="shared" si="857"/>
        <v>0</v>
      </c>
      <c r="FN479" s="1">
        <f t="shared" si="858"/>
        <v>0</v>
      </c>
      <c r="FO479" s="1">
        <f t="shared" si="859"/>
        <v>0</v>
      </c>
      <c r="FP479" s="1">
        <f t="shared" si="860"/>
        <v>0</v>
      </c>
      <c r="FQ479" s="1">
        <f t="shared" si="861"/>
        <v>0</v>
      </c>
      <c r="FS479" s="1">
        <f t="shared" si="862"/>
        <v>0</v>
      </c>
      <c r="FT479" s="1">
        <f t="shared" si="863"/>
        <v>0</v>
      </c>
      <c r="FU479" s="38">
        <f t="shared" si="864"/>
        <v>0</v>
      </c>
      <c r="FV479" s="38">
        <f t="shared" si="865"/>
        <v>0</v>
      </c>
      <c r="FW479" s="38">
        <f t="shared" si="866"/>
        <v>0</v>
      </c>
      <c r="FX479" s="38">
        <f t="shared" si="867"/>
        <v>0</v>
      </c>
      <c r="FY479" s="38">
        <f t="shared" si="868"/>
        <v>0</v>
      </c>
      <c r="FZ479" s="38">
        <f t="shared" si="869"/>
        <v>0</v>
      </c>
      <c r="GA479" s="38">
        <f t="shared" si="870"/>
        <v>0</v>
      </c>
      <c r="GB479" s="38">
        <f t="shared" si="871"/>
        <v>0</v>
      </c>
      <c r="GC479" s="38">
        <f t="shared" si="872"/>
        <v>0</v>
      </c>
      <c r="GD479" s="38">
        <f t="shared" si="873"/>
        <v>0</v>
      </c>
      <c r="GE479" s="38">
        <f t="shared" si="874"/>
        <v>0</v>
      </c>
      <c r="GF479" s="38">
        <f t="shared" si="875"/>
        <v>0</v>
      </c>
      <c r="GG479" s="38">
        <f t="shared" si="876"/>
        <v>0</v>
      </c>
      <c r="GH479" s="38">
        <f t="shared" si="877"/>
        <v>0</v>
      </c>
      <c r="GI479" s="38">
        <f t="shared" si="878"/>
        <v>0</v>
      </c>
      <c r="GJ479" s="38">
        <f t="shared" si="879"/>
        <v>0</v>
      </c>
      <c r="GL479" s="38">
        <f t="shared" si="880"/>
        <v>0</v>
      </c>
      <c r="GM479" s="38">
        <f t="shared" si="881"/>
        <v>0</v>
      </c>
      <c r="GN479" s="1" t="s">
        <v>2</v>
      </c>
      <c r="GO479" s="1">
        <f t="shared" si="804"/>
        <v>8.16</v>
      </c>
      <c r="GP479" s="1">
        <f t="shared" si="805"/>
        <v>5.0999999999999996</v>
      </c>
      <c r="GQ479" s="41">
        <f t="shared" si="806"/>
        <v>416.16</v>
      </c>
      <c r="GR479" s="41">
        <f t="shared" si="807"/>
        <v>9120.3986836173372</v>
      </c>
      <c r="GS479" s="14">
        <f t="shared" si="808"/>
        <v>1117.6959171099677</v>
      </c>
      <c r="GT479" s="1">
        <f t="shared" si="882"/>
        <v>0</v>
      </c>
      <c r="GU479" s="1">
        <f t="shared" si="883"/>
        <v>0</v>
      </c>
      <c r="GV479" s="1">
        <f t="shared" si="884"/>
        <v>416.16</v>
      </c>
      <c r="GW479" s="37">
        <f t="shared" si="809"/>
        <v>0</v>
      </c>
      <c r="GX479" s="37"/>
      <c r="GY479" s="37"/>
      <c r="GZ479" s="37"/>
      <c r="HB479" s="1">
        <f t="shared" si="885"/>
        <v>0</v>
      </c>
      <c r="HC479" s="1">
        <f t="shared" si="886"/>
        <v>0</v>
      </c>
      <c r="HD479" s="37" t="s">
        <v>2</v>
      </c>
      <c r="HE479" s="1" t="s">
        <v>113</v>
      </c>
      <c r="HF479" s="1" t="s">
        <v>261</v>
      </c>
      <c r="HI479" s="1" t="s">
        <v>163</v>
      </c>
      <c r="HJ479" s="37" t="s">
        <v>2</v>
      </c>
      <c r="JH479" s="58" t="s">
        <v>2</v>
      </c>
    </row>
    <row r="480" spans="1:268" ht="16.25" customHeight="1" x14ac:dyDescent="0.2">
      <c r="A480" s="15" t="s">
        <v>856</v>
      </c>
      <c r="B480" s="1" t="s">
        <v>69</v>
      </c>
      <c r="F480" s="1" t="s">
        <v>131</v>
      </c>
      <c r="I480" s="1">
        <v>0</v>
      </c>
      <c r="AD480" s="1">
        <v>0</v>
      </c>
      <c r="AY480" s="1">
        <v>0.71</v>
      </c>
      <c r="AZ480" s="1">
        <v>2.06</v>
      </c>
      <c r="BA480" s="1">
        <v>2.2000000000000002</v>
      </c>
      <c r="BB480" s="1">
        <v>5.2</v>
      </c>
      <c r="BG480" s="1">
        <v>3.23</v>
      </c>
      <c r="BH480" s="1">
        <v>0.15</v>
      </c>
      <c r="BT480" s="1">
        <v>0</v>
      </c>
      <c r="CO480" s="1">
        <v>0</v>
      </c>
      <c r="DJ480" s="1" t="s">
        <v>163</v>
      </c>
      <c r="DK480" s="1" t="s">
        <v>163</v>
      </c>
      <c r="DL480" s="1">
        <f t="shared" si="802"/>
        <v>3.23</v>
      </c>
      <c r="DM480" s="1">
        <f t="shared" si="803"/>
        <v>0.15</v>
      </c>
      <c r="DN480" s="1" t="s">
        <v>815</v>
      </c>
      <c r="DO480" s="1" t="s">
        <v>2</v>
      </c>
      <c r="DP480" s="38">
        <f t="shared" si="810"/>
        <v>1.4625999999999998E-2</v>
      </c>
      <c r="DQ480" s="38">
        <f t="shared" si="811"/>
        <v>1.5620000000000001</v>
      </c>
      <c r="DR480" s="38">
        <f t="shared" si="812"/>
        <v>3.6919999999999997</v>
      </c>
      <c r="DS480" s="38">
        <f t="shared" si="813"/>
        <v>0</v>
      </c>
      <c r="DT480" s="38">
        <f t="shared" si="814"/>
        <v>0</v>
      </c>
      <c r="DU480" s="38">
        <f t="shared" si="815"/>
        <v>0</v>
      </c>
      <c r="DV480" s="38">
        <f t="shared" si="816"/>
        <v>0</v>
      </c>
      <c r="DW480" s="38">
        <f t="shared" si="817"/>
        <v>2.2932999999999999E-2</v>
      </c>
      <c r="DX480" s="38">
        <f t="shared" si="818"/>
        <v>1.065E-3</v>
      </c>
      <c r="DY480" s="38">
        <f t="shared" si="819"/>
        <v>0</v>
      </c>
      <c r="DZ480" s="38">
        <f t="shared" si="820"/>
        <v>0</v>
      </c>
      <c r="EA480" s="38">
        <f t="shared" si="821"/>
        <v>0</v>
      </c>
      <c r="EB480" s="38">
        <f t="shared" si="822"/>
        <v>0</v>
      </c>
      <c r="EC480" s="38">
        <f t="shared" si="823"/>
        <v>0</v>
      </c>
      <c r="ED480" s="38">
        <f t="shared" si="824"/>
        <v>0</v>
      </c>
      <c r="EE480" s="38">
        <f t="shared" si="825"/>
        <v>0</v>
      </c>
      <c r="EG480" s="38">
        <f t="shared" si="826"/>
        <v>0</v>
      </c>
      <c r="EH480" s="38">
        <f t="shared" si="827"/>
        <v>0</v>
      </c>
      <c r="EI480" s="38">
        <f t="shared" si="828"/>
        <v>95.443659615999991</v>
      </c>
      <c r="EJ480" s="38">
        <f t="shared" si="829"/>
        <v>63.886302250803858</v>
      </c>
      <c r="EK480" s="38">
        <f t="shared" si="830"/>
        <v>1.8697427652733116</v>
      </c>
      <c r="EL480" s="38">
        <f t="shared" si="831"/>
        <v>0</v>
      </c>
      <c r="EM480" s="38">
        <f t="shared" si="832"/>
        <v>0</v>
      </c>
      <c r="EN480" s="38">
        <f t="shared" si="833"/>
        <v>0</v>
      </c>
      <c r="EO480" s="38">
        <f t="shared" si="834"/>
        <v>0</v>
      </c>
      <c r="EP480" s="38">
        <f t="shared" si="835"/>
        <v>300.74336199999999</v>
      </c>
      <c r="EQ480" s="38">
        <f t="shared" si="836"/>
        <v>77.339793059999991</v>
      </c>
      <c r="ER480" s="38">
        <f t="shared" si="837"/>
        <v>0</v>
      </c>
      <c r="ES480" s="38">
        <f t="shared" si="838"/>
        <v>0</v>
      </c>
      <c r="ET480" s="38">
        <f t="shared" si="839"/>
        <v>0</v>
      </c>
      <c r="EU480" s="38">
        <f t="shared" si="840"/>
        <v>0</v>
      </c>
      <c r="EV480" s="38">
        <f t="shared" si="841"/>
        <v>0</v>
      </c>
      <c r="EW480" s="38">
        <f t="shared" si="842"/>
        <v>0</v>
      </c>
      <c r="EX480" s="38">
        <f t="shared" si="843"/>
        <v>0</v>
      </c>
      <c r="EZ480" s="38">
        <f t="shared" si="844"/>
        <v>0</v>
      </c>
      <c r="FA480" s="38">
        <f t="shared" si="845"/>
        <v>0</v>
      </c>
      <c r="FB480" s="1">
        <f t="shared" si="846"/>
        <v>0</v>
      </c>
      <c r="FC480" s="1">
        <f t="shared" si="847"/>
        <v>0</v>
      </c>
      <c r="FD480" s="1">
        <f t="shared" si="848"/>
        <v>0</v>
      </c>
      <c r="FE480" s="1">
        <f t="shared" si="849"/>
        <v>0</v>
      </c>
      <c r="FF480" s="1">
        <f t="shared" si="850"/>
        <v>0</v>
      </c>
      <c r="FG480" s="1">
        <f t="shared" si="851"/>
        <v>0</v>
      </c>
      <c r="FH480" s="1">
        <f t="shared" si="852"/>
        <v>0</v>
      </c>
      <c r="FI480" s="1">
        <f t="shared" si="853"/>
        <v>0</v>
      </c>
      <c r="FJ480" s="1">
        <f t="shared" si="854"/>
        <v>0</v>
      </c>
      <c r="FK480" s="1">
        <f t="shared" si="855"/>
        <v>0</v>
      </c>
      <c r="FL480" s="1">
        <f t="shared" si="856"/>
        <v>0</v>
      </c>
      <c r="FM480" s="1">
        <f t="shared" si="857"/>
        <v>0</v>
      </c>
      <c r="FN480" s="1">
        <f t="shared" si="858"/>
        <v>0</v>
      </c>
      <c r="FO480" s="1">
        <f t="shared" si="859"/>
        <v>0</v>
      </c>
      <c r="FP480" s="1">
        <f t="shared" si="860"/>
        <v>0</v>
      </c>
      <c r="FQ480" s="1">
        <f t="shared" si="861"/>
        <v>0</v>
      </c>
      <c r="FS480" s="1">
        <f t="shared" si="862"/>
        <v>0</v>
      </c>
      <c r="FT480" s="1">
        <f t="shared" si="863"/>
        <v>0</v>
      </c>
      <c r="FU480" s="38">
        <f t="shared" si="864"/>
        <v>0</v>
      </c>
      <c r="FV480" s="38">
        <f t="shared" si="865"/>
        <v>0</v>
      </c>
      <c r="FW480" s="38">
        <f t="shared" si="866"/>
        <v>0</v>
      </c>
      <c r="FX480" s="38">
        <f t="shared" si="867"/>
        <v>0</v>
      </c>
      <c r="FY480" s="38">
        <f t="shared" si="868"/>
        <v>0</v>
      </c>
      <c r="FZ480" s="38">
        <f t="shared" si="869"/>
        <v>0</v>
      </c>
      <c r="GA480" s="38">
        <f t="shared" si="870"/>
        <v>0</v>
      </c>
      <c r="GB480" s="38">
        <f t="shared" si="871"/>
        <v>0</v>
      </c>
      <c r="GC480" s="38">
        <f t="shared" si="872"/>
        <v>0</v>
      </c>
      <c r="GD480" s="38">
        <f t="shared" si="873"/>
        <v>0</v>
      </c>
      <c r="GE480" s="38">
        <f t="shared" si="874"/>
        <v>0</v>
      </c>
      <c r="GF480" s="38">
        <f t="shared" si="875"/>
        <v>0</v>
      </c>
      <c r="GG480" s="38">
        <f t="shared" si="876"/>
        <v>0</v>
      </c>
      <c r="GH480" s="38">
        <f t="shared" si="877"/>
        <v>0</v>
      </c>
      <c r="GI480" s="38">
        <f t="shared" si="878"/>
        <v>0</v>
      </c>
      <c r="GJ480" s="38">
        <f t="shared" si="879"/>
        <v>0</v>
      </c>
      <c r="GL480" s="38">
        <f t="shared" si="880"/>
        <v>0</v>
      </c>
      <c r="GM480" s="38">
        <f t="shared" si="881"/>
        <v>0</v>
      </c>
      <c r="GN480" s="1" t="s">
        <v>2</v>
      </c>
      <c r="GO480" s="1">
        <f t="shared" si="804"/>
        <v>0.71</v>
      </c>
      <c r="GP480" s="1">
        <f t="shared" si="805"/>
        <v>3.23</v>
      </c>
      <c r="GQ480" s="41">
        <f t="shared" si="806"/>
        <v>22.933000000000003</v>
      </c>
      <c r="GR480" s="41">
        <f t="shared" si="807"/>
        <v>539.28285969207718</v>
      </c>
      <c r="GS480" s="14">
        <f t="shared" si="808"/>
        <v>759.55332350996787</v>
      </c>
      <c r="GT480" s="1">
        <f t="shared" si="882"/>
        <v>0</v>
      </c>
      <c r="GU480" s="1">
        <f t="shared" si="883"/>
        <v>0</v>
      </c>
      <c r="GV480" s="1">
        <f t="shared" si="884"/>
        <v>22.932999999999996</v>
      </c>
      <c r="GW480" s="37">
        <f t="shared" si="809"/>
        <v>0</v>
      </c>
      <c r="GX480" s="37"/>
      <c r="GY480" s="37"/>
      <c r="GZ480" s="37"/>
      <c r="HB480" s="1">
        <f t="shared" si="885"/>
        <v>0</v>
      </c>
      <c r="HC480" s="1">
        <f t="shared" si="886"/>
        <v>0</v>
      </c>
      <c r="HD480" s="37" t="s">
        <v>2</v>
      </c>
      <c r="HE480" s="1" t="s">
        <v>113</v>
      </c>
      <c r="HF480" s="1" t="s">
        <v>261</v>
      </c>
      <c r="HI480" s="1" t="s">
        <v>163</v>
      </c>
      <c r="HJ480" s="37" t="s">
        <v>2</v>
      </c>
      <c r="JH480" s="58" t="s">
        <v>2</v>
      </c>
    </row>
    <row r="481" spans="1:268" ht="16.25" customHeight="1" x14ac:dyDescent="0.2">
      <c r="A481" s="15" t="s">
        <v>857</v>
      </c>
      <c r="B481" s="1" t="s">
        <v>69</v>
      </c>
      <c r="F481" s="1" t="s">
        <v>131</v>
      </c>
      <c r="I481" s="1">
        <v>0</v>
      </c>
      <c r="AD481" s="1">
        <v>0</v>
      </c>
      <c r="AY481" s="1">
        <v>131.19999999999999</v>
      </c>
      <c r="AZ481" s="1">
        <v>0.17</v>
      </c>
      <c r="BG481" s="1">
        <v>0.33</v>
      </c>
      <c r="BH481" s="1">
        <v>1.4E-2</v>
      </c>
      <c r="BT481" s="1">
        <v>0</v>
      </c>
      <c r="CO481" s="1">
        <v>0</v>
      </c>
      <c r="DJ481" s="1" t="s">
        <v>163</v>
      </c>
      <c r="DK481" s="1" t="s">
        <v>163</v>
      </c>
      <c r="DL481" s="1">
        <f t="shared" si="802"/>
        <v>0.33</v>
      </c>
      <c r="DM481" s="1">
        <f t="shared" si="803"/>
        <v>1.4E-2</v>
      </c>
      <c r="DN481" s="1" t="s">
        <v>815</v>
      </c>
      <c r="DO481" s="1" t="s">
        <v>2</v>
      </c>
      <c r="DP481" s="38">
        <f t="shared" si="810"/>
        <v>0.22303999999999999</v>
      </c>
      <c r="DQ481" s="38">
        <f t="shared" si="811"/>
        <v>0</v>
      </c>
      <c r="DR481" s="38">
        <f t="shared" si="812"/>
        <v>0</v>
      </c>
      <c r="DS481" s="38">
        <f t="shared" si="813"/>
        <v>0</v>
      </c>
      <c r="DT481" s="38">
        <f t="shared" si="814"/>
        <v>0</v>
      </c>
      <c r="DU481" s="38">
        <f t="shared" si="815"/>
        <v>0</v>
      </c>
      <c r="DV481" s="38">
        <f t="shared" si="816"/>
        <v>0</v>
      </c>
      <c r="DW481" s="38">
        <f t="shared" si="817"/>
        <v>0.43296000000000001</v>
      </c>
      <c r="DX481" s="38">
        <f t="shared" si="818"/>
        <v>1.8367999999999999E-2</v>
      </c>
      <c r="DY481" s="38">
        <f t="shared" si="819"/>
        <v>0</v>
      </c>
      <c r="DZ481" s="38">
        <f t="shared" si="820"/>
        <v>0</v>
      </c>
      <c r="EA481" s="38">
        <f t="shared" si="821"/>
        <v>0</v>
      </c>
      <c r="EB481" s="38">
        <f t="shared" si="822"/>
        <v>0</v>
      </c>
      <c r="EC481" s="38">
        <f t="shared" si="823"/>
        <v>0</v>
      </c>
      <c r="ED481" s="38">
        <f t="shared" si="824"/>
        <v>0</v>
      </c>
      <c r="EE481" s="38">
        <f t="shared" si="825"/>
        <v>0</v>
      </c>
      <c r="EG481" s="38">
        <f t="shared" si="826"/>
        <v>0</v>
      </c>
      <c r="EH481" s="38">
        <f t="shared" si="827"/>
        <v>0</v>
      </c>
      <c r="EI481" s="38">
        <f t="shared" si="828"/>
        <v>1455.4733926399999</v>
      </c>
      <c r="EJ481" s="38">
        <f t="shared" si="829"/>
        <v>0</v>
      </c>
      <c r="EK481" s="38">
        <f t="shared" si="830"/>
        <v>0</v>
      </c>
      <c r="EL481" s="38">
        <f t="shared" si="831"/>
        <v>0</v>
      </c>
      <c r="EM481" s="38">
        <f t="shared" si="832"/>
        <v>0</v>
      </c>
      <c r="EN481" s="38">
        <f t="shared" si="833"/>
        <v>0</v>
      </c>
      <c r="EO481" s="38">
        <f t="shared" si="834"/>
        <v>0</v>
      </c>
      <c r="EP481" s="38">
        <f t="shared" si="835"/>
        <v>5677.8374400000002</v>
      </c>
      <c r="EQ481" s="38">
        <f t="shared" si="836"/>
        <v>1333.8754168319997</v>
      </c>
      <c r="ER481" s="38">
        <f t="shared" si="837"/>
        <v>0</v>
      </c>
      <c r="ES481" s="38">
        <f t="shared" si="838"/>
        <v>0</v>
      </c>
      <c r="ET481" s="38">
        <f t="shared" si="839"/>
        <v>0</v>
      </c>
      <c r="EU481" s="38">
        <f t="shared" si="840"/>
        <v>0</v>
      </c>
      <c r="EV481" s="38">
        <f t="shared" si="841"/>
        <v>0</v>
      </c>
      <c r="EW481" s="38">
        <f t="shared" si="842"/>
        <v>0</v>
      </c>
      <c r="EX481" s="38">
        <f t="shared" si="843"/>
        <v>0</v>
      </c>
      <c r="EZ481" s="38">
        <f t="shared" si="844"/>
        <v>0</v>
      </c>
      <c r="FA481" s="38">
        <f t="shared" si="845"/>
        <v>0</v>
      </c>
      <c r="FB481" s="1">
        <f t="shared" si="846"/>
        <v>0</v>
      </c>
      <c r="FC481" s="1">
        <f t="shared" si="847"/>
        <v>0</v>
      </c>
      <c r="FD481" s="1">
        <f t="shared" si="848"/>
        <v>0</v>
      </c>
      <c r="FE481" s="1">
        <f t="shared" si="849"/>
        <v>0</v>
      </c>
      <c r="FF481" s="1">
        <f t="shared" si="850"/>
        <v>0</v>
      </c>
      <c r="FG481" s="1">
        <f t="shared" si="851"/>
        <v>0</v>
      </c>
      <c r="FH481" s="1">
        <f t="shared" si="852"/>
        <v>0</v>
      </c>
      <c r="FI481" s="1">
        <f t="shared" si="853"/>
        <v>0</v>
      </c>
      <c r="FJ481" s="1">
        <f t="shared" si="854"/>
        <v>0</v>
      </c>
      <c r="FK481" s="1">
        <f t="shared" si="855"/>
        <v>0</v>
      </c>
      <c r="FL481" s="1">
        <f t="shared" si="856"/>
        <v>0</v>
      </c>
      <c r="FM481" s="1">
        <f t="shared" si="857"/>
        <v>0</v>
      </c>
      <c r="FN481" s="1">
        <f t="shared" si="858"/>
        <v>0</v>
      </c>
      <c r="FO481" s="1">
        <f t="shared" si="859"/>
        <v>0</v>
      </c>
      <c r="FP481" s="1">
        <f t="shared" si="860"/>
        <v>0</v>
      </c>
      <c r="FQ481" s="1">
        <f t="shared" si="861"/>
        <v>0</v>
      </c>
      <c r="FS481" s="1">
        <f t="shared" si="862"/>
        <v>0</v>
      </c>
      <c r="FT481" s="1">
        <f t="shared" si="863"/>
        <v>0</v>
      </c>
      <c r="FU481" s="38">
        <f t="shared" si="864"/>
        <v>0</v>
      </c>
      <c r="FV481" s="38">
        <f t="shared" si="865"/>
        <v>0</v>
      </c>
      <c r="FW481" s="38">
        <f t="shared" si="866"/>
        <v>0</v>
      </c>
      <c r="FX481" s="38">
        <f t="shared" si="867"/>
        <v>0</v>
      </c>
      <c r="FY481" s="38">
        <f t="shared" si="868"/>
        <v>0</v>
      </c>
      <c r="FZ481" s="38">
        <f t="shared" si="869"/>
        <v>0</v>
      </c>
      <c r="GA481" s="38">
        <f t="shared" si="870"/>
        <v>0</v>
      </c>
      <c r="GB481" s="38">
        <f t="shared" si="871"/>
        <v>0</v>
      </c>
      <c r="GC481" s="38">
        <f t="shared" si="872"/>
        <v>0</v>
      </c>
      <c r="GD481" s="38">
        <f t="shared" si="873"/>
        <v>0</v>
      </c>
      <c r="GE481" s="38">
        <f t="shared" si="874"/>
        <v>0</v>
      </c>
      <c r="GF481" s="38">
        <f t="shared" si="875"/>
        <v>0</v>
      </c>
      <c r="GG481" s="38">
        <f t="shared" si="876"/>
        <v>0</v>
      </c>
      <c r="GH481" s="38">
        <f t="shared" si="877"/>
        <v>0</v>
      </c>
      <c r="GI481" s="38">
        <f t="shared" si="878"/>
        <v>0</v>
      </c>
      <c r="GJ481" s="38">
        <f t="shared" si="879"/>
        <v>0</v>
      </c>
      <c r="GL481" s="38">
        <f t="shared" si="880"/>
        <v>0</v>
      </c>
      <c r="GM481" s="38">
        <f t="shared" si="881"/>
        <v>0</v>
      </c>
      <c r="GN481" s="1" t="s">
        <v>2</v>
      </c>
      <c r="GO481" s="1">
        <f t="shared" si="804"/>
        <v>131.19999999999999</v>
      </c>
      <c r="GP481" s="1">
        <f t="shared" si="805"/>
        <v>0.33</v>
      </c>
      <c r="GQ481" s="41">
        <f t="shared" si="806"/>
        <v>432.96</v>
      </c>
      <c r="GR481" s="41">
        <f t="shared" si="807"/>
        <v>8467.186249471999</v>
      </c>
      <c r="GS481" s="14">
        <f t="shared" si="808"/>
        <v>64.536480560000001</v>
      </c>
      <c r="GT481" s="1">
        <f t="shared" si="882"/>
        <v>0</v>
      </c>
      <c r="GU481" s="1">
        <f t="shared" si="883"/>
        <v>0</v>
      </c>
      <c r="GV481" s="1">
        <f t="shared" si="884"/>
        <v>432.96</v>
      </c>
      <c r="GW481" s="37">
        <f t="shared" si="809"/>
        <v>0</v>
      </c>
      <c r="GX481" s="37"/>
      <c r="GY481" s="37"/>
      <c r="GZ481" s="37"/>
      <c r="HB481" s="1">
        <f t="shared" si="885"/>
        <v>0</v>
      </c>
      <c r="HC481" s="1">
        <f t="shared" si="886"/>
        <v>0</v>
      </c>
      <c r="HD481" s="37" t="s">
        <v>2</v>
      </c>
      <c r="HE481" s="1" t="s">
        <v>113</v>
      </c>
      <c r="HF481" s="1" t="s">
        <v>261</v>
      </c>
      <c r="HI481" s="1" t="s">
        <v>163</v>
      </c>
      <c r="HJ481" s="37" t="s">
        <v>2</v>
      </c>
      <c r="JH481" s="58" t="s">
        <v>2</v>
      </c>
    </row>
    <row r="482" spans="1:268" ht="16.25" customHeight="1" x14ac:dyDescent="0.2">
      <c r="A482" s="15" t="s">
        <v>873</v>
      </c>
      <c r="B482" s="1" t="s">
        <v>69</v>
      </c>
      <c r="F482" s="1" t="s">
        <v>131</v>
      </c>
      <c r="I482" s="1">
        <v>0</v>
      </c>
      <c r="AD482" s="1">
        <v>0</v>
      </c>
      <c r="AY482" s="1">
        <v>5.18</v>
      </c>
      <c r="AZ482" s="1">
        <v>0.2</v>
      </c>
      <c r="BG482" s="1">
        <v>0.79</v>
      </c>
      <c r="BT482" s="1">
        <v>0</v>
      </c>
      <c r="CO482" s="1">
        <v>0</v>
      </c>
      <c r="DJ482" s="1" t="s">
        <v>163</v>
      </c>
      <c r="DL482" s="1">
        <f t="shared" si="802"/>
        <v>0.79</v>
      </c>
      <c r="DM482" s="1">
        <f t="shared" si="803"/>
        <v>0</v>
      </c>
      <c r="DN482" s="1" t="s">
        <v>815</v>
      </c>
      <c r="DO482" s="1" t="s">
        <v>2</v>
      </c>
      <c r="DP482" s="38">
        <f t="shared" si="810"/>
        <v>1.0360000000000001E-2</v>
      </c>
      <c r="DQ482" s="38">
        <f t="shared" si="811"/>
        <v>0</v>
      </c>
      <c r="DR482" s="38">
        <f t="shared" si="812"/>
        <v>0</v>
      </c>
      <c r="DS482" s="38">
        <f t="shared" si="813"/>
        <v>0</v>
      </c>
      <c r="DT482" s="38">
        <f t="shared" si="814"/>
        <v>0</v>
      </c>
      <c r="DU482" s="38">
        <f t="shared" si="815"/>
        <v>0</v>
      </c>
      <c r="DV482" s="38">
        <f t="shared" si="816"/>
        <v>0</v>
      </c>
      <c r="DW482" s="38">
        <f t="shared" si="817"/>
        <v>4.0922E-2</v>
      </c>
      <c r="DX482" s="38">
        <f t="shared" si="818"/>
        <v>0</v>
      </c>
      <c r="DY482" s="38">
        <f t="shared" si="819"/>
        <v>0</v>
      </c>
      <c r="DZ482" s="38">
        <f t="shared" si="820"/>
        <v>0</v>
      </c>
      <c r="EA482" s="38">
        <f t="shared" si="821"/>
        <v>0</v>
      </c>
      <c r="EB482" s="38">
        <f t="shared" si="822"/>
        <v>0</v>
      </c>
      <c r="EC482" s="38">
        <f t="shared" si="823"/>
        <v>0</v>
      </c>
      <c r="ED482" s="38">
        <f t="shared" si="824"/>
        <v>0</v>
      </c>
      <c r="EE482" s="38">
        <f t="shared" si="825"/>
        <v>0</v>
      </c>
      <c r="EG482" s="38">
        <f t="shared" si="826"/>
        <v>0</v>
      </c>
      <c r="EH482" s="38">
        <f t="shared" si="827"/>
        <v>0</v>
      </c>
      <c r="EI482" s="38">
        <f t="shared" si="828"/>
        <v>67.605381760000014</v>
      </c>
      <c r="EJ482" s="38">
        <f t="shared" si="829"/>
        <v>0</v>
      </c>
      <c r="EK482" s="38">
        <f t="shared" si="830"/>
        <v>0</v>
      </c>
      <c r="EL482" s="38">
        <f t="shared" si="831"/>
        <v>0</v>
      </c>
      <c r="EM482" s="38">
        <f t="shared" si="832"/>
        <v>0</v>
      </c>
      <c r="EN482" s="38">
        <f t="shared" si="833"/>
        <v>0</v>
      </c>
      <c r="EO482" s="38">
        <f t="shared" si="834"/>
        <v>0</v>
      </c>
      <c r="EP482" s="38">
        <f t="shared" si="835"/>
        <v>536.65110800000002</v>
      </c>
      <c r="EQ482" s="38">
        <f t="shared" si="836"/>
        <v>0</v>
      </c>
      <c r="ER482" s="38">
        <f t="shared" si="837"/>
        <v>0</v>
      </c>
      <c r="ES482" s="38">
        <f t="shared" si="838"/>
        <v>0</v>
      </c>
      <c r="ET482" s="38">
        <f t="shared" si="839"/>
        <v>0</v>
      </c>
      <c r="EU482" s="38">
        <f t="shared" si="840"/>
        <v>0</v>
      </c>
      <c r="EV482" s="38">
        <f t="shared" si="841"/>
        <v>0</v>
      </c>
      <c r="EW482" s="38">
        <f t="shared" si="842"/>
        <v>0</v>
      </c>
      <c r="EX482" s="38">
        <f t="shared" si="843"/>
        <v>0</v>
      </c>
      <c r="EZ482" s="38">
        <f t="shared" si="844"/>
        <v>0</v>
      </c>
      <c r="FA482" s="38">
        <f t="shared" si="845"/>
        <v>0</v>
      </c>
      <c r="FB482" s="1">
        <f t="shared" si="846"/>
        <v>0</v>
      </c>
      <c r="FC482" s="1">
        <f t="shared" si="847"/>
        <v>0</v>
      </c>
      <c r="FD482" s="1">
        <f t="shared" si="848"/>
        <v>0</v>
      </c>
      <c r="FE482" s="1">
        <f t="shared" si="849"/>
        <v>0</v>
      </c>
      <c r="FF482" s="1">
        <f t="shared" si="850"/>
        <v>0</v>
      </c>
      <c r="FG482" s="1">
        <f t="shared" si="851"/>
        <v>0</v>
      </c>
      <c r="FH482" s="1">
        <f t="shared" si="852"/>
        <v>0</v>
      </c>
      <c r="FI482" s="1">
        <f t="shared" si="853"/>
        <v>0</v>
      </c>
      <c r="FJ482" s="1">
        <f t="shared" si="854"/>
        <v>0</v>
      </c>
      <c r="FK482" s="1">
        <f t="shared" si="855"/>
        <v>0</v>
      </c>
      <c r="FL482" s="1">
        <f t="shared" si="856"/>
        <v>0</v>
      </c>
      <c r="FM482" s="1">
        <f t="shared" si="857"/>
        <v>0</v>
      </c>
      <c r="FN482" s="1">
        <f t="shared" si="858"/>
        <v>0</v>
      </c>
      <c r="FO482" s="1">
        <f t="shared" si="859"/>
        <v>0</v>
      </c>
      <c r="FP482" s="1">
        <f t="shared" si="860"/>
        <v>0</v>
      </c>
      <c r="FQ482" s="1">
        <f t="shared" si="861"/>
        <v>0</v>
      </c>
      <c r="FS482" s="1">
        <f t="shared" si="862"/>
        <v>0</v>
      </c>
      <c r="FT482" s="1">
        <f t="shared" si="863"/>
        <v>0</v>
      </c>
      <c r="FU482" s="38">
        <f t="shared" si="864"/>
        <v>0</v>
      </c>
      <c r="FV482" s="38">
        <f t="shared" si="865"/>
        <v>0</v>
      </c>
      <c r="FW482" s="38">
        <f t="shared" si="866"/>
        <v>0</v>
      </c>
      <c r="FX482" s="38">
        <f t="shared" si="867"/>
        <v>0</v>
      </c>
      <c r="FY482" s="38">
        <f t="shared" si="868"/>
        <v>0</v>
      </c>
      <c r="FZ482" s="38">
        <f t="shared" si="869"/>
        <v>0</v>
      </c>
      <c r="GA482" s="38">
        <f t="shared" si="870"/>
        <v>0</v>
      </c>
      <c r="GB482" s="38">
        <f t="shared" si="871"/>
        <v>0</v>
      </c>
      <c r="GC482" s="38">
        <f t="shared" si="872"/>
        <v>0</v>
      </c>
      <c r="GD482" s="38">
        <f t="shared" si="873"/>
        <v>0</v>
      </c>
      <c r="GE482" s="38">
        <f t="shared" si="874"/>
        <v>0</v>
      </c>
      <c r="GF482" s="38">
        <f t="shared" si="875"/>
        <v>0</v>
      </c>
      <c r="GG482" s="38">
        <f t="shared" si="876"/>
        <v>0</v>
      </c>
      <c r="GH482" s="38">
        <f t="shared" si="877"/>
        <v>0</v>
      </c>
      <c r="GI482" s="38">
        <f t="shared" si="878"/>
        <v>0</v>
      </c>
      <c r="GJ482" s="38">
        <f t="shared" si="879"/>
        <v>0</v>
      </c>
      <c r="GL482" s="38">
        <f t="shared" si="880"/>
        <v>0</v>
      </c>
      <c r="GM482" s="38">
        <f t="shared" si="881"/>
        <v>0</v>
      </c>
      <c r="GN482" s="1" t="s">
        <v>2</v>
      </c>
      <c r="GO482" s="1">
        <f t="shared" si="804"/>
        <v>5.18</v>
      </c>
      <c r="GP482" s="1">
        <f t="shared" si="805"/>
        <v>0.79</v>
      </c>
      <c r="GQ482" s="41">
        <f t="shared" si="806"/>
        <v>40.922000000000004</v>
      </c>
      <c r="GR482" s="41">
        <f t="shared" si="807"/>
        <v>604.25648976000002</v>
      </c>
      <c r="GS482" s="14">
        <f t="shared" si="808"/>
        <v>116.65183200000001</v>
      </c>
      <c r="GT482" s="1">
        <f t="shared" si="882"/>
        <v>0</v>
      </c>
      <c r="GU482" s="1">
        <f t="shared" si="883"/>
        <v>0</v>
      </c>
      <c r="GV482" s="1">
        <f t="shared" si="884"/>
        <v>40.922000000000004</v>
      </c>
      <c r="GW482" s="37">
        <f t="shared" si="809"/>
        <v>0</v>
      </c>
      <c r="GX482" s="37"/>
      <c r="GY482" s="37"/>
      <c r="GZ482" s="37"/>
      <c r="HB482" s="1">
        <f t="shared" si="885"/>
        <v>0</v>
      </c>
      <c r="HC482" s="1">
        <f t="shared" si="886"/>
        <v>0</v>
      </c>
      <c r="HD482" s="37" t="s">
        <v>2</v>
      </c>
      <c r="HE482" s="1" t="s">
        <v>113</v>
      </c>
      <c r="HF482" s="1" t="s">
        <v>261</v>
      </c>
      <c r="HI482" s="1" t="s">
        <v>163</v>
      </c>
      <c r="HJ482" s="37" t="s">
        <v>2</v>
      </c>
      <c r="JH482" s="58" t="s">
        <v>2</v>
      </c>
    </row>
    <row r="483" spans="1:268" ht="16.25" customHeight="1" x14ac:dyDescent="0.2">
      <c r="A483" s="15" t="s">
        <v>838</v>
      </c>
      <c r="B483" s="1" t="s">
        <v>64</v>
      </c>
      <c r="F483" s="1" t="s">
        <v>249</v>
      </c>
      <c r="I483" s="1">
        <v>0</v>
      </c>
      <c r="AD483" s="1">
        <v>327.27699999999999</v>
      </c>
      <c r="AE483" s="1">
        <v>0.33</v>
      </c>
      <c r="AF483" s="1">
        <v>0.02</v>
      </c>
      <c r="AL483" s="1">
        <v>0.69</v>
      </c>
      <c r="AM483" s="2">
        <f>(0.022*19.283+0.018*3.302+0.027*3.637+0.031*16.565+0.022*66.724+0.019*63.079+0.046*5.972+0.023*443.34)/(19.283+3.302+3.637+16.565+66.724+63.079+5.972+443.34)</f>
        <v>2.2886784412978246E-2</v>
      </c>
      <c r="AN483" s="1">
        <v>0.03</v>
      </c>
      <c r="AO483" s="1">
        <v>0.05</v>
      </c>
      <c r="AY483" s="1">
        <v>144.21100000000001</v>
      </c>
      <c r="AZ483" s="1">
        <v>0.31</v>
      </c>
      <c r="BA483" s="1">
        <v>0.01</v>
      </c>
      <c r="BG483" s="1">
        <v>0.63</v>
      </c>
      <c r="BH483" s="2">
        <f>(0.022*19.283+0.018*3.302+0.027*3.637+0.031*16.565+0.022*66.724+0.019*63.079+0.046*5.972+0.023*443.34)/(19.283+3.302+3.637+16.565+66.724+63.079+5.972+443.34)</f>
        <v>2.2886784412978246E-2</v>
      </c>
      <c r="BI483" s="1">
        <v>0.04</v>
      </c>
      <c r="BJ483" s="1">
        <v>0.03</v>
      </c>
      <c r="BT483" s="1">
        <v>45.073999999999998</v>
      </c>
      <c r="BU483" s="1">
        <v>0.25</v>
      </c>
      <c r="BV483" s="1">
        <v>0.01</v>
      </c>
      <c r="CB483" s="1">
        <v>0.57999999999999996</v>
      </c>
      <c r="CC483" s="2">
        <f>(0.022*19.283+0.018*3.302+0.027*3.637+0.031*16.565+0.022*66.724+0.019*63.079+0.046*5.972+0.023*443.34)/(19.283+3.302+3.637+16.565+66.724+63.079+5.972+443.34)</f>
        <v>2.2886784412978246E-2</v>
      </c>
      <c r="CD483" s="1">
        <v>0.03</v>
      </c>
      <c r="CE483" s="1">
        <v>0.02</v>
      </c>
      <c r="CO483" s="1">
        <v>55.844000000000001</v>
      </c>
      <c r="CP483" s="1">
        <v>0.28000000000000003</v>
      </c>
      <c r="CQ483" s="1">
        <v>0.01</v>
      </c>
      <c r="CW483" s="1">
        <v>0.56999999999999995</v>
      </c>
      <c r="CX483" s="2">
        <f>(0.022*19.283+0.018*3.302+0.027*3.637+0.031*16.565+0.022*66.724+0.019*63.079+0.046*5.972+0.023*443.34)/(19.283+3.302+3.637+16.565+66.724+63.079+5.972+443.34)</f>
        <v>2.2886784412978246E-2</v>
      </c>
      <c r="CY483" s="1">
        <v>0.03</v>
      </c>
      <c r="CZ483" s="1">
        <v>0.02</v>
      </c>
      <c r="DJ483" s="1" t="s">
        <v>96</v>
      </c>
      <c r="DK483" s="1" t="s">
        <v>96</v>
      </c>
      <c r="DL483" s="1">
        <f t="shared" si="802"/>
        <v>0.67164818616804667</v>
      </c>
      <c r="DM483" s="1">
        <f t="shared" si="803"/>
        <v>2.2886784412978242E-2</v>
      </c>
      <c r="DN483" s="1" t="s">
        <v>67</v>
      </c>
      <c r="DO483" s="1" t="s">
        <v>2</v>
      </c>
      <c r="DP483" s="38">
        <f t="shared" si="810"/>
        <v>1.5270682</v>
      </c>
      <c r="DQ483" s="38">
        <f t="shared" si="811"/>
        <v>7.9876500000000004</v>
      </c>
      <c r="DR483" s="38">
        <f t="shared" si="812"/>
        <v>0</v>
      </c>
      <c r="DS483" s="38">
        <f t="shared" si="813"/>
        <v>0</v>
      </c>
      <c r="DT483" s="38">
        <f t="shared" si="814"/>
        <v>0</v>
      </c>
      <c r="DU483" s="38">
        <f t="shared" si="815"/>
        <v>0</v>
      </c>
      <c r="DV483" s="38">
        <f t="shared" si="816"/>
        <v>0</v>
      </c>
      <c r="DW483" s="38">
        <f t="shared" si="817"/>
        <v>3.1667405999999998</v>
      </c>
      <c r="DX483" s="38">
        <f t="shared" si="818"/>
        <v>0.10790844209306286</v>
      </c>
      <c r="DY483" s="38">
        <f t="shared" si="819"/>
        <v>15.586749999999999</v>
      </c>
      <c r="DZ483" s="38">
        <f t="shared" si="820"/>
        <v>20.690179999999998</v>
      </c>
      <c r="EA483" s="38">
        <f t="shared" si="821"/>
        <v>0</v>
      </c>
      <c r="EB483" s="38">
        <f t="shared" si="822"/>
        <v>0</v>
      </c>
      <c r="EC483" s="38">
        <f t="shared" si="823"/>
        <v>0</v>
      </c>
      <c r="ED483" s="38">
        <f t="shared" si="824"/>
        <v>0</v>
      </c>
      <c r="EE483" s="38">
        <f t="shared" si="825"/>
        <v>0</v>
      </c>
      <c r="EG483" s="38">
        <f t="shared" si="826"/>
        <v>0</v>
      </c>
      <c r="EH483" s="38">
        <f t="shared" si="827"/>
        <v>0</v>
      </c>
      <c r="EI483" s="38">
        <f t="shared" si="828"/>
        <v>9965.0606790111997</v>
      </c>
      <c r="EJ483" s="38">
        <f t="shared" si="829"/>
        <v>326.69745337620583</v>
      </c>
      <c r="EK483" s="38">
        <f t="shared" si="830"/>
        <v>0</v>
      </c>
      <c r="EL483" s="38">
        <f t="shared" si="831"/>
        <v>0</v>
      </c>
      <c r="EM483" s="38">
        <f t="shared" si="832"/>
        <v>0</v>
      </c>
      <c r="EN483" s="38">
        <f t="shared" si="833"/>
        <v>0</v>
      </c>
      <c r="EO483" s="38">
        <f t="shared" si="834"/>
        <v>0</v>
      </c>
      <c r="EP483" s="38">
        <f t="shared" si="835"/>
        <v>41528.636228399999</v>
      </c>
      <c r="EQ483" s="38">
        <f t="shared" si="836"/>
        <v>7836.2597003797873</v>
      </c>
      <c r="ER483" s="38">
        <f t="shared" si="837"/>
        <v>442.37301463022493</v>
      </c>
      <c r="ES483" s="38">
        <f t="shared" si="838"/>
        <v>689.51521727974273</v>
      </c>
      <c r="ET483" s="38">
        <f t="shared" si="839"/>
        <v>0</v>
      </c>
      <c r="EU483" s="38">
        <f t="shared" si="840"/>
        <v>0</v>
      </c>
      <c r="EV483" s="38">
        <f t="shared" si="841"/>
        <v>0</v>
      </c>
      <c r="EW483" s="38">
        <f t="shared" si="842"/>
        <v>0</v>
      </c>
      <c r="EX483" s="38">
        <f t="shared" si="843"/>
        <v>0</v>
      </c>
      <c r="EZ483" s="38">
        <f t="shared" si="844"/>
        <v>0</v>
      </c>
      <c r="FA483" s="38">
        <f t="shared" si="845"/>
        <v>0</v>
      </c>
      <c r="FB483" s="1">
        <f t="shared" si="846"/>
        <v>0.26904820000000002</v>
      </c>
      <c r="FC483" s="1">
        <f t="shared" si="847"/>
        <v>1.00918</v>
      </c>
      <c r="FD483" s="1">
        <f t="shared" si="848"/>
        <v>0</v>
      </c>
      <c r="FE483" s="1">
        <f t="shared" si="849"/>
        <v>0</v>
      </c>
      <c r="FF483" s="1">
        <f t="shared" si="850"/>
        <v>0</v>
      </c>
      <c r="FG483" s="1">
        <f t="shared" si="851"/>
        <v>0</v>
      </c>
      <c r="FH483" s="1">
        <f t="shared" si="852"/>
        <v>0</v>
      </c>
      <c r="FI483" s="1">
        <f t="shared" si="853"/>
        <v>0.57973999999999992</v>
      </c>
      <c r="FJ483" s="1">
        <f t="shared" si="854"/>
        <v>2.3096885093889387E-2</v>
      </c>
      <c r="FK483" s="1">
        <f t="shared" si="855"/>
        <v>3.0275400000000001</v>
      </c>
      <c r="FL483" s="1">
        <f t="shared" si="856"/>
        <v>2.0183599999999999</v>
      </c>
      <c r="FM483" s="1">
        <f t="shared" si="857"/>
        <v>0</v>
      </c>
      <c r="FN483" s="1">
        <f t="shared" si="858"/>
        <v>0</v>
      </c>
      <c r="FO483" s="1">
        <f t="shared" si="859"/>
        <v>0</v>
      </c>
      <c r="FP483" s="1">
        <f t="shared" si="860"/>
        <v>0</v>
      </c>
      <c r="FQ483" s="1">
        <f t="shared" si="861"/>
        <v>0</v>
      </c>
      <c r="FS483" s="1">
        <f t="shared" si="862"/>
        <v>0</v>
      </c>
      <c r="FT483" s="1">
        <f t="shared" si="863"/>
        <v>0</v>
      </c>
      <c r="FU483" s="38">
        <f t="shared" si="864"/>
        <v>1755.7052386912001</v>
      </c>
      <c r="FV483" s="38">
        <f t="shared" si="865"/>
        <v>41.275786495176845</v>
      </c>
      <c r="FW483" s="38">
        <f t="shared" si="866"/>
        <v>0</v>
      </c>
      <c r="FX483" s="38">
        <f t="shared" si="867"/>
        <v>0</v>
      </c>
      <c r="FY483" s="38">
        <f t="shared" si="868"/>
        <v>0</v>
      </c>
      <c r="FZ483" s="38">
        <f t="shared" si="869"/>
        <v>0</v>
      </c>
      <c r="GA483" s="38">
        <f t="shared" si="870"/>
        <v>0</v>
      </c>
      <c r="GB483" s="38">
        <f t="shared" si="871"/>
        <v>7602.7103599999991</v>
      </c>
      <c r="GC483" s="38">
        <f t="shared" si="872"/>
        <v>1677.2848014009423</v>
      </c>
      <c r="GD483" s="38">
        <f t="shared" si="873"/>
        <v>85.925673839228281</v>
      </c>
      <c r="GE483" s="38">
        <f t="shared" si="874"/>
        <v>67.263307228295815</v>
      </c>
      <c r="GF483" s="38">
        <f t="shared" si="875"/>
        <v>0</v>
      </c>
      <c r="GG483" s="38">
        <f t="shared" si="876"/>
        <v>0</v>
      </c>
      <c r="GH483" s="38">
        <f t="shared" si="877"/>
        <v>0</v>
      </c>
      <c r="GI483" s="38">
        <f t="shared" si="878"/>
        <v>0</v>
      </c>
      <c r="GJ483" s="38">
        <f t="shared" si="879"/>
        <v>0</v>
      </c>
      <c r="GL483" s="38">
        <f t="shared" si="880"/>
        <v>0</v>
      </c>
      <c r="GM483" s="38">
        <f t="shared" si="881"/>
        <v>0</v>
      </c>
      <c r="GN483" s="1" t="s">
        <v>2</v>
      </c>
      <c r="GO483" s="14">
        <f t="shared" si="804"/>
        <v>471.488</v>
      </c>
      <c r="GP483" s="13">
        <f t="shared" si="805"/>
        <v>0.67164818616804667</v>
      </c>
      <c r="GQ483" s="43">
        <f t="shared" si="806"/>
        <v>3166.7406000000001</v>
      </c>
      <c r="GR483" s="41">
        <f t="shared" si="807"/>
        <v>60788.54229307716</v>
      </c>
      <c r="GS483" s="14">
        <f t="shared" si="808"/>
        <v>128.92913985738164</v>
      </c>
      <c r="GT483" s="1">
        <f t="shared" si="882"/>
        <v>0</v>
      </c>
      <c r="GU483" s="1">
        <f t="shared" si="883"/>
        <v>2258.2112999999999</v>
      </c>
      <c r="GV483" s="1">
        <f t="shared" si="884"/>
        <v>908.52930000000026</v>
      </c>
      <c r="GW483" s="41">
        <f t="shared" si="809"/>
        <v>100.91800000000001</v>
      </c>
      <c r="GX483" s="44">
        <f>(BT483*CB483+CO483*CW483)/GW483</f>
        <v>0.57446639846211767</v>
      </c>
      <c r="GY483" s="41">
        <f>1000*GW483*GX483/100</f>
        <v>579.7399999999999</v>
      </c>
      <c r="GZ483" s="41">
        <f>SUM(FU483:GM483)</f>
        <v>11230.165167654843</v>
      </c>
      <c r="HA483" s="14">
        <f>GZ483/GW483</f>
        <v>111.28010035528689</v>
      </c>
      <c r="HB483" s="1">
        <f t="shared" si="885"/>
        <v>261.42919999999998</v>
      </c>
      <c r="HC483" s="1">
        <f t="shared" si="886"/>
        <v>318.31079999999997</v>
      </c>
      <c r="HD483" s="37" t="s">
        <v>2</v>
      </c>
      <c r="HE483" s="1" t="s">
        <v>113</v>
      </c>
      <c r="HF483" s="1" t="s">
        <v>831</v>
      </c>
      <c r="HG483" s="1" t="s">
        <v>839</v>
      </c>
      <c r="HI483" s="1" t="s">
        <v>96</v>
      </c>
      <c r="HJ483" s="37" t="s">
        <v>2</v>
      </c>
      <c r="JH483" s="58" t="s">
        <v>2</v>
      </c>
    </row>
    <row r="484" spans="1:268" ht="16.25" customHeight="1" x14ac:dyDescent="0.2">
      <c r="A484" s="15" t="s">
        <v>859</v>
      </c>
      <c r="B484" s="1" t="s">
        <v>69</v>
      </c>
      <c r="F484" s="1" t="s">
        <v>131</v>
      </c>
      <c r="I484" s="1">
        <v>0</v>
      </c>
      <c r="AD484" s="1">
        <v>3.1469999999999998</v>
      </c>
      <c r="AE484" s="1">
        <v>0.17</v>
      </c>
      <c r="AF484" s="1">
        <v>0.20200000000000001</v>
      </c>
      <c r="AL484" s="1">
        <v>0.13</v>
      </c>
      <c r="AN484" s="1">
        <f>(4.477-0.202)*0.4</f>
        <v>1.7100000000000002</v>
      </c>
      <c r="AO484" s="13">
        <f>(4.477-0.202)*0.6</f>
        <v>2.5649999999999999</v>
      </c>
      <c r="AY484" s="1">
        <v>0</v>
      </c>
      <c r="BT484" s="1">
        <v>0</v>
      </c>
      <c r="CO484" s="1">
        <v>0</v>
      </c>
      <c r="DJ484" s="1" t="s">
        <v>96</v>
      </c>
      <c r="DL484" s="1">
        <f t="shared" si="802"/>
        <v>0.13</v>
      </c>
      <c r="DM484" s="1">
        <f t="shared" si="803"/>
        <v>0</v>
      </c>
      <c r="DN484" s="1" t="s">
        <v>812</v>
      </c>
      <c r="DO484" s="1" t="s">
        <v>2</v>
      </c>
      <c r="DP484" s="38">
        <f t="shared" si="810"/>
        <v>5.3498999999999994E-3</v>
      </c>
      <c r="DQ484" s="38">
        <f t="shared" si="811"/>
        <v>0.63569399999999998</v>
      </c>
      <c r="DR484" s="38">
        <f t="shared" si="812"/>
        <v>0</v>
      </c>
      <c r="DS484" s="38">
        <f t="shared" si="813"/>
        <v>0</v>
      </c>
      <c r="DT484" s="38">
        <f t="shared" si="814"/>
        <v>0</v>
      </c>
      <c r="DU484" s="38">
        <f t="shared" si="815"/>
        <v>0</v>
      </c>
      <c r="DV484" s="38">
        <f t="shared" si="816"/>
        <v>0</v>
      </c>
      <c r="DW484" s="38">
        <f t="shared" si="817"/>
        <v>4.0910999999999994E-3</v>
      </c>
      <c r="DX484" s="38">
        <f t="shared" si="818"/>
        <v>0</v>
      </c>
      <c r="DY484" s="38">
        <f t="shared" si="819"/>
        <v>5.3813700000000004</v>
      </c>
      <c r="DZ484" s="38">
        <f t="shared" si="820"/>
        <v>8.0720549999999989</v>
      </c>
      <c r="EA484" s="38">
        <f t="shared" si="821"/>
        <v>0</v>
      </c>
      <c r="EB484" s="38">
        <f t="shared" si="822"/>
        <v>0</v>
      </c>
      <c r="EC484" s="38">
        <f t="shared" si="823"/>
        <v>0</v>
      </c>
      <c r="ED484" s="38">
        <f t="shared" si="824"/>
        <v>0</v>
      </c>
      <c r="EE484" s="38">
        <f t="shared" si="825"/>
        <v>0</v>
      </c>
      <c r="EG484" s="38">
        <f t="shared" si="826"/>
        <v>0</v>
      </c>
      <c r="EH484" s="38">
        <f t="shared" si="827"/>
        <v>0</v>
      </c>
      <c r="EI484" s="38">
        <f t="shared" si="828"/>
        <v>34.911393038399993</v>
      </c>
      <c r="EJ484" s="38">
        <f t="shared" si="829"/>
        <v>26.000089003215432</v>
      </c>
      <c r="EK484" s="38">
        <f t="shared" si="830"/>
        <v>0</v>
      </c>
      <c r="EL484" s="38">
        <f t="shared" si="831"/>
        <v>0</v>
      </c>
      <c r="EM484" s="38">
        <f t="shared" si="832"/>
        <v>0</v>
      </c>
      <c r="EN484" s="38">
        <f t="shared" si="833"/>
        <v>0</v>
      </c>
      <c r="EO484" s="38">
        <f t="shared" si="834"/>
        <v>0</v>
      </c>
      <c r="EP484" s="38">
        <f t="shared" si="835"/>
        <v>53.650685399999993</v>
      </c>
      <c r="EQ484" s="38">
        <f t="shared" si="836"/>
        <v>0</v>
      </c>
      <c r="ER484" s="38">
        <f t="shared" si="837"/>
        <v>152.73054804501609</v>
      </c>
      <c r="ES484" s="38">
        <f t="shared" si="838"/>
        <v>269.00707278617358</v>
      </c>
      <c r="ET484" s="38">
        <f t="shared" si="839"/>
        <v>0</v>
      </c>
      <c r="EU484" s="38">
        <f t="shared" si="840"/>
        <v>0</v>
      </c>
      <c r="EV484" s="38">
        <f t="shared" si="841"/>
        <v>0</v>
      </c>
      <c r="EW484" s="38">
        <f t="shared" si="842"/>
        <v>0</v>
      </c>
      <c r="EX484" s="38">
        <f t="shared" si="843"/>
        <v>0</v>
      </c>
      <c r="EZ484" s="38">
        <f t="shared" si="844"/>
        <v>0</v>
      </c>
      <c r="FA484" s="38">
        <f t="shared" si="845"/>
        <v>0</v>
      </c>
      <c r="FB484" s="1">
        <f t="shared" si="846"/>
        <v>0</v>
      </c>
      <c r="FC484" s="1">
        <f t="shared" si="847"/>
        <v>0</v>
      </c>
      <c r="FD484" s="1">
        <f t="shared" si="848"/>
        <v>0</v>
      </c>
      <c r="FE484" s="1">
        <f t="shared" si="849"/>
        <v>0</v>
      </c>
      <c r="FF484" s="1">
        <f t="shared" si="850"/>
        <v>0</v>
      </c>
      <c r="FG484" s="1">
        <f t="shared" si="851"/>
        <v>0</v>
      </c>
      <c r="FH484" s="1">
        <f t="shared" si="852"/>
        <v>0</v>
      </c>
      <c r="FI484" s="1">
        <f t="shared" si="853"/>
        <v>0</v>
      </c>
      <c r="FJ484" s="1">
        <f t="shared" si="854"/>
        <v>0</v>
      </c>
      <c r="FK484" s="1">
        <f t="shared" si="855"/>
        <v>0</v>
      </c>
      <c r="FL484" s="1">
        <f t="shared" si="856"/>
        <v>0</v>
      </c>
      <c r="FM484" s="1">
        <f t="shared" si="857"/>
        <v>0</v>
      </c>
      <c r="FN484" s="1">
        <f t="shared" si="858"/>
        <v>0</v>
      </c>
      <c r="FO484" s="1">
        <f t="shared" si="859"/>
        <v>0</v>
      </c>
      <c r="FP484" s="1">
        <f t="shared" si="860"/>
        <v>0</v>
      </c>
      <c r="FQ484" s="1">
        <f t="shared" si="861"/>
        <v>0</v>
      </c>
      <c r="FS484" s="1">
        <f t="shared" si="862"/>
        <v>0</v>
      </c>
      <c r="FT484" s="1">
        <f t="shared" si="863"/>
        <v>0</v>
      </c>
      <c r="FU484" s="38">
        <f t="shared" si="864"/>
        <v>0</v>
      </c>
      <c r="FV484" s="38">
        <f t="shared" si="865"/>
        <v>0</v>
      </c>
      <c r="FW484" s="38">
        <f t="shared" si="866"/>
        <v>0</v>
      </c>
      <c r="FX484" s="38">
        <f t="shared" si="867"/>
        <v>0</v>
      </c>
      <c r="FY484" s="38">
        <f t="shared" si="868"/>
        <v>0</v>
      </c>
      <c r="FZ484" s="38">
        <f t="shared" si="869"/>
        <v>0</v>
      </c>
      <c r="GA484" s="38">
        <f t="shared" si="870"/>
        <v>0</v>
      </c>
      <c r="GB484" s="38">
        <f t="shared" si="871"/>
        <v>0</v>
      </c>
      <c r="GC484" s="38">
        <f t="shared" si="872"/>
        <v>0</v>
      </c>
      <c r="GD484" s="38">
        <f t="shared" si="873"/>
        <v>0</v>
      </c>
      <c r="GE484" s="38">
        <f t="shared" si="874"/>
        <v>0</v>
      </c>
      <c r="GF484" s="38">
        <f t="shared" si="875"/>
        <v>0</v>
      </c>
      <c r="GG484" s="38">
        <f t="shared" si="876"/>
        <v>0</v>
      </c>
      <c r="GH484" s="38">
        <f t="shared" si="877"/>
        <v>0</v>
      </c>
      <c r="GI484" s="38">
        <f t="shared" si="878"/>
        <v>0</v>
      </c>
      <c r="GJ484" s="38">
        <f t="shared" si="879"/>
        <v>0</v>
      </c>
      <c r="GL484" s="38">
        <f t="shared" si="880"/>
        <v>0</v>
      </c>
      <c r="GM484" s="38">
        <f t="shared" si="881"/>
        <v>0</v>
      </c>
      <c r="GN484" s="1" t="s">
        <v>2</v>
      </c>
      <c r="GO484" s="1">
        <f t="shared" si="804"/>
        <v>3.1469999999999998</v>
      </c>
      <c r="GP484" s="1">
        <f t="shared" si="805"/>
        <v>0.13</v>
      </c>
      <c r="GQ484" s="41">
        <f t="shared" si="806"/>
        <v>4.0911</v>
      </c>
      <c r="GR484" s="41">
        <f t="shared" si="807"/>
        <v>536.29978827280513</v>
      </c>
      <c r="GS484" s="14">
        <f t="shared" si="808"/>
        <v>170.41620218392285</v>
      </c>
      <c r="GT484" s="1">
        <f t="shared" si="882"/>
        <v>0</v>
      </c>
      <c r="GU484" s="1">
        <f t="shared" si="883"/>
        <v>4.0911</v>
      </c>
      <c r="GV484" s="1">
        <f t="shared" si="884"/>
        <v>0</v>
      </c>
      <c r="GW484" s="37">
        <f t="shared" si="809"/>
        <v>0</v>
      </c>
      <c r="GX484" s="37"/>
      <c r="GY484" s="37"/>
      <c r="GZ484" s="37"/>
      <c r="HB484" s="1">
        <f t="shared" si="885"/>
        <v>0</v>
      </c>
      <c r="HC484" s="1">
        <f t="shared" si="886"/>
        <v>0</v>
      </c>
      <c r="HD484" s="37" t="s">
        <v>2</v>
      </c>
      <c r="HE484" s="1" t="s">
        <v>113</v>
      </c>
      <c r="HF484" s="1" t="s">
        <v>831</v>
      </c>
      <c r="HG484" s="1" t="s">
        <v>839</v>
      </c>
      <c r="HI484" s="1" t="s">
        <v>96</v>
      </c>
      <c r="HJ484" s="37" t="s">
        <v>2</v>
      </c>
      <c r="JH484" s="58" t="s">
        <v>2</v>
      </c>
    </row>
    <row r="485" spans="1:268" ht="16.25" customHeight="1" x14ac:dyDescent="0.2">
      <c r="A485" s="15" t="s">
        <v>788</v>
      </c>
      <c r="B485" s="1" t="s">
        <v>64</v>
      </c>
      <c r="F485" s="1" t="s">
        <v>466</v>
      </c>
      <c r="I485" s="1">
        <f>6.1-1.643-1.557-1.034</f>
        <v>1.8659999999999999</v>
      </c>
      <c r="J485" s="1">
        <v>0.1</v>
      </c>
      <c r="K485" s="1">
        <v>0.12</v>
      </c>
      <c r="L485" s="1">
        <v>4</v>
      </c>
      <c r="Q485" s="13">
        <f>(1.86*6.1-1.78*1.643-1.81*1.557-2.05*1.034)/I485</f>
        <v>1.8668756698821005</v>
      </c>
      <c r="R485" s="1">
        <v>3.6999999999999998E-2</v>
      </c>
      <c r="AD485" s="1">
        <v>14.1</v>
      </c>
      <c r="AE485" s="1">
        <v>0.1</v>
      </c>
      <c r="AF485" s="1">
        <v>0.12</v>
      </c>
      <c r="AG485" s="1">
        <v>4</v>
      </c>
      <c r="AL485" s="1">
        <v>1.64</v>
      </c>
      <c r="AM485" s="1">
        <v>3.6999999999999998E-2</v>
      </c>
      <c r="AY485" s="1">
        <v>0</v>
      </c>
      <c r="BT485" s="1">
        <f>6.1-1.643-1.557-1.034</f>
        <v>1.8659999999999999</v>
      </c>
      <c r="BU485" s="1">
        <v>0.1</v>
      </c>
      <c r="BV485" s="1">
        <v>0.12</v>
      </c>
      <c r="BW485" s="1">
        <v>4</v>
      </c>
      <c r="CB485" s="13">
        <f>(1.86*6.1-1.78*1.643-1.81*1.557-2.05*1.034)/BT485</f>
        <v>1.8668756698821005</v>
      </c>
      <c r="CC485" s="1">
        <v>3.6999999999999998E-2</v>
      </c>
      <c r="CO485" s="1">
        <v>14.1</v>
      </c>
      <c r="CP485" s="1">
        <v>0.1</v>
      </c>
      <c r="CQ485" s="1">
        <v>0.12</v>
      </c>
      <c r="CR485" s="1">
        <v>4</v>
      </c>
      <c r="CW485" s="1">
        <v>1.64</v>
      </c>
      <c r="CX485" s="1">
        <v>3.6999999999999998E-2</v>
      </c>
      <c r="DJ485" s="1" t="s">
        <v>96</v>
      </c>
      <c r="DK485" s="1" t="s">
        <v>96</v>
      </c>
      <c r="DL485" s="1">
        <f t="shared" si="802"/>
        <v>1.6665157209069272</v>
      </c>
      <c r="DM485" s="1">
        <f t="shared" si="803"/>
        <v>3.6999999999999991E-2</v>
      </c>
      <c r="DN485" s="1" t="s">
        <v>789</v>
      </c>
      <c r="DO485" s="1" t="s">
        <v>2</v>
      </c>
      <c r="DP485" s="38">
        <f t="shared" si="810"/>
        <v>1.5966000000000001E-2</v>
      </c>
      <c r="DQ485" s="38">
        <f t="shared" si="811"/>
        <v>1.9159199999999998</v>
      </c>
      <c r="DR485" s="38">
        <f t="shared" si="812"/>
        <v>63.863999999999997</v>
      </c>
      <c r="DS485" s="38">
        <f t="shared" si="813"/>
        <v>0</v>
      </c>
      <c r="DT485" s="38">
        <f t="shared" si="814"/>
        <v>0</v>
      </c>
      <c r="DU485" s="38">
        <f t="shared" si="815"/>
        <v>0</v>
      </c>
      <c r="DV485" s="38">
        <f t="shared" si="816"/>
        <v>0</v>
      </c>
      <c r="DW485" s="38">
        <f t="shared" si="817"/>
        <v>0.26607589999999998</v>
      </c>
      <c r="DX485" s="38">
        <f t="shared" si="818"/>
        <v>5.9074199999999992E-3</v>
      </c>
      <c r="DY485" s="38">
        <f t="shared" si="819"/>
        <v>0</v>
      </c>
      <c r="DZ485" s="38">
        <f t="shared" si="820"/>
        <v>0</v>
      </c>
      <c r="EA485" s="38">
        <f t="shared" si="821"/>
        <v>0</v>
      </c>
      <c r="EB485" s="38">
        <f t="shared" si="822"/>
        <v>0</v>
      </c>
      <c r="EC485" s="38">
        <f t="shared" si="823"/>
        <v>0</v>
      </c>
      <c r="ED485" s="38">
        <f t="shared" si="824"/>
        <v>0</v>
      </c>
      <c r="EE485" s="38">
        <f t="shared" si="825"/>
        <v>0</v>
      </c>
      <c r="EG485" s="38">
        <f t="shared" si="826"/>
        <v>0</v>
      </c>
      <c r="EH485" s="38">
        <f t="shared" si="827"/>
        <v>0</v>
      </c>
      <c r="EI485" s="38">
        <f t="shared" si="828"/>
        <v>104.187985056</v>
      </c>
      <c r="EJ485" s="38">
        <f t="shared" si="829"/>
        <v>78.361744051446934</v>
      </c>
      <c r="EK485" s="38">
        <f t="shared" si="830"/>
        <v>32.342700964630218</v>
      </c>
      <c r="EL485" s="38">
        <f t="shared" si="831"/>
        <v>0</v>
      </c>
      <c r="EM485" s="38">
        <f t="shared" si="832"/>
        <v>0</v>
      </c>
      <c r="EN485" s="38">
        <f t="shared" si="833"/>
        <v>0</v>
      </c>
      <c r="EO485" s="38">
        <f t="shared" si="834"/>
        <v>0</v>
      </c>
      <c r="EP485" s="38">
        <f t="shared" si="835"/>
        <v>3489.3193525999995</v>
      </c>
      <c r="EQ485" s="38">
        <f t="shared" si="836"/>
        <v>428.99402846807988</v>
      </c>
      <c r="ER485" s="38">
        <f t="shared" si="837"/>
        <v>0</v>
      </c>
      <c r="ES485" s="38">
        <f t="shared" si="838"/>
        <v>0</v>
      </c>
      <c r="ET485" s="38">
        <f t="shared" si="839"/>
        <v>0</v>
      </c>
      <c r="EU485" s="38">
        <f t="shared" si="840"/>
        <v>0</v>
      </c>
      <c r="EV485" s="38">
        <f t="shared" si="841"/>
        <v>0</v>
      </c>
      <c r="EW485" s="38">
        <f t="shared" si="842"/>
        <v>0</v>
      </c>
      <c r="EX485" s="38">
        <f t="shared" si="843"/>
        <v>0</v>
      </c>
      <c r="EZ485" s="38">
        <f t="shared" si="844"/>
        <v>0</v>
      </c>
      <c r="FA485" s="38">
        <f t="shared" si="845"/>
        <v>0</v>
      </c>
      <c r="FB485" s="1">
        <f t="shared" si="846"/>
        <v>1.5966000000000001E-2</v>
      </c>
      <c r="FC485" s="1">
        <f t="shared" si="847"/>
        <v>1.9159199999999998</v>
      </c>
      <c r="FD485" s="1">
        <f t="shared" si="848"/>
        <v>63.863999999999997</v>
      </c>
      <c r="FE485" s="1">
        <f t="shared" si="849"/>
        <v>0</v>
      </c>
      <c r="FF485" s="1">
        <f t="shared" si="850"/>
        <v>0</v>
      </c>
      <c r="FG485" s="1">
        <f t="shared" si="851"/>
        <v>0</v>
      </c>
      <c r="FH485" s="1">
        <f t="shared" si="852"/>
        <v>0</v>
      </c>
      <c r="FI485" s="1">
        <f t="shared" si="853"/>
        <v>0.26607589999999998</v>
      </c>
      <c r="FJ485" s="1">
        <f t="shared" si="854"/>
        <v>5.9074199999999992E-3</v>
      </c>
      <c r="FK485" s="1">
        <f t="shared" si="855"/>
        <v>0</v>
      </c>
      <c r="FL485" s="1">
        <f t="shared" si="856"/>
        <v>0</v>
      </c>
      <c r="FM485" s="1">
        <f t="shared" si="857"/>
        <v>0</v>
      </c>
      <c r="FN485" s="1">
        <f t="shared" si="858"/>
        <v>0</v>
      </c>
      <c r="FO485" s="1">
        <f t="shared" si="859"/>
        <v>0</v>
      </c>
      <c r="FP485" s="1">
        <f t="shared" si="860"/>
        <v>0</v>
      </c>
      <c r="FQ485" s="1">
        <f t="shared" si="861"/>
        <v>0</v>
      </c>
      <c r="FS485" s="1">
        <f t="shared" si="862"/>
        <v>0</v>
      </c>
      <c r="FT485" s="1">
        <f t="shared" si="863"/>
        <v>0</v>
      </c>
      <c r="FU485" s="38">
        <f t="shared" si="864"/>
        <v>104.187985056</v>
      </c>
      <c r="FV485" s="38">
        <f t="shared" si="865"/>
        <v>78.361744051446934</v>
      </c>
      <c r="FW485" s="38">
        <f t="shared" si="866"/>
        <v>32.342700964630218</v>
      </c>
      <c r="FX485" s="38">
        <f t="shared" si="867"/>
        <v>0</v>
      </c>
      <c r="FY485" s="38">
        <f t="shared" si="868"/>
        <v>0</v>
      </c>
      <c r="FZ485" s="38">
        <f t="shared" si="869"/>
        <v>0</v>
      </c>
      <c r="GA485" s="38">
        <f t="shared" si="870"/>
        <v>0</v>
      </c>
      <c r="GB485" s="38">
        <f t="shared" si="871"/>
        <v>3489.3193525999995</v>
      </c>
      <c r="GC485" s="38">
        <f t="shared" si="872"/>
        <v>428.99402846807988</v>
      </c>
      <c r="GD485" s="38">
        <f t="shared" si="873"/>
        <v>0</v>
      </c>
      <c r="GE485" s="38">
        <f t="shared" si="874"/>
        <v>0</v>
      </c>
      <c r="GF485" s="38">
        <f t="shared" si="875"/>
        <v>0</v>
      </c>
      <c r="GG485" s="38">
        <f t="shared" si="876"/>
        <v>0</v>
      </c>
      <c r="GH485" s="38">
        <f t="shared" si="877"/>
        <v>0</v>
      </c>
      <c r="GI485" s="38">
        <f t="shared" si="878"/>
        <v>0</v>
      </c>
      <c r="GJ485" s="38">
        <f t="shared" si="879"/>
        <v>0</v>
      </c>
      <c r="GL485" s="38">
        <f t="shared" si="880"/>
        <v>0</v>
      </c>
      <c r="GM485" s="38">
        <f t="shared" si="881"/>
        <v>0</v>
      </c>
      <c r="GN485" s="1" t="s">
        <v>2</v>
      </c>
      <c r="GO485" s="13">
        <f t="shared" si="804"/>
        <v>15.965999999999999</v>
      </c>
      <c r="GP485" s="13">
        <f t="shared" si="805"/>
        <v>1.6665157209069272</v>
      </c>
      <c r="GQ485" s="41">
        <f t="shared" si="806"/>
        <v>266.07589999999999</v>
      </c>
      <c r="GR485" s="41">
        <f t="shared" si="807"/>
        <v>4133.2058111401566</v>
      </c>
      <c r="GS485" s="14">
        <f t="shared" si="808"/>
        <v>258.87547357761224</v>
      </c>
      <c r="GT485" s="1">
        <f t="shared" si="882"/>
        <v>34.835899999999995</v>
      </c>
      <c r="GU485" s="1">
        <f t="shared" si="883"/>
        <v>231.24</v>
      </c>
      <c r="GV485" s="1">
        <f t="shared" si="884"/>
        <v>0</v>
      </c>
      <c r="GW485" s="44">
        <f t="shared" si="809"/>
        <v>15.965999999999999</v>
      </c>
      <c r="GX485" s="44">
        <f>(BT485*CB485+CO485*CW485)/GW485</f>
        <v>1.6665157209069272</v>
      </c>
      <c r="GY485" s="41">
        <f>1000*GW485*GX485/100</f>
        <v>266.07589999999999</v>
      </c>
      <c r="GZ485" s="41">
        <f>SUM(FU485:GM485)</f>
        <v>4133.2058111401566</v>
      </c>
      <c r="HA485" s="14">
        <f>GZ485/GW485</f>
        <v>258.87547357761224</v>
      </c>
      <c r="HB485" s="1">
        <f t="shared" si="885"/>
        <v>34.835899999999995</v>
      </c>
      <c r="HC485" s="1">
        <f t="shared" si="886"/>
        <v>231.24</v>
      </c>
      <c r="HD485" s="37" t="s">
        <v>2</v>
      </c>
      <c r="HE485" s="1" t="s">
        <v>113</v>
      </c>
      <c r="HF485" s="1" t="s">
        <v>375</v>
      </c>
      <c r="HG485" s="1" t="s">
        <v>375</v>
      </c>
      <c r="HI485" s="1" t="s">
        <v>96</v>
      </c>
      <c r="HJ485" s="37" t="s">
        <v>2</v>
      </c>
      <c r="JH485" s="58" t="s">
        <v>2</v>
      </c>
    </row>
    <row r="486" spans="1:268" ht="16.25" customHeight="1" x14ac:dyDescent="0.2">
      <c r="A486" s="15" t="s">
        <v>374</v>
      </c>
      <c r="B486" s="1" t="s">
        <v>64</v>
      </c>
      <c r="E486" s="1" t="s">
        <v>65</v>
      </c>
      <c r="F486" s="1" t="s">
        <v>373</v>
      </c>
      <c r="H486" s="1" t="s">
        <v>70</v>
      </c>
      <c r="I486" s="14">
        <f>11.9+0.1</f>
        <v>12</v>
      </c>
      <c r="J486" s="13">
        <f>(0.88*11.9+0.68*0.1)/I486</f>
        <v>0.8783333333333333</v>
      </c>
      <c r="Q486" s="13">
        <f>(2.15*11.9+1.66*0.1)/I486</f>
        <v>2.1459166666666669</v>
      </c>
      <c r="R486" s="13">
        <f>(0.07*11.9+0.07*0.1)/I486</f>
        <v>7.0000000000000007E-2</v>
      </c>
      <c r="AD486" s="1">
        <v>1.1000000000000001</v>
      </c>
      <c r="AE486" s="1">
        <v>0.39</v>
      </c>
      <c r="AL486" s="1">
        <v>0.88</v>
      </c>
      <c r="AM486" s="1">
        <v>0.04</v>
      </c>
      <c r="AY486" s="1">
        <v>0.1</v>
      </c>
      <c r="AZ486" s="1">
        <v>0.4</v>
      </c>
      <c r="BG486" s="1">
        <v>0.6</v>
      </c>
      <c r="BH486" s="1">
        <v>0.02</v>
      </c>
      <c r="BT486" s="1">
        <v>10.199999999999999</v>
      </c>
      <c r="BU486" s="1">
        <v>0.79</v>
      </c>
      <c r="CB486" s="1">
        <v>1.93</v>
      </c>
      <c r="CC486" s="1">
        <v>7.0000000000000007E-2</v>
      </c>
      <c r="CO486" s="1">
        <v>1.3</v>
      </c>
      <c r="CP486" s="1">
        <v>0.56999999999999995</v>
      </c>
      <c r="CW486" s="1">
        <v>1.34</v>
      </c>
      <c r="CX486" s="1">
        <v>0.04</v>
      </c>
      <c r="DJ486" s="1" t="s">
        <v>96</v>
      </c>
      <c r="DK486" s="1" t="s">
        <v>96</v>
      </c>
      <c r="DL486" s="1">
        <f t="shared" si="802"/>
        <v>2.0287121212121217</v>
      </c>
      <c r="DM486" s="1">
        <f t="shared" si="803"/>
        <v>6.7121212121212137E-2</v>
      </c>
      <c r="DN486" s="1" t="s">
        <v>67</v>
      </c>
      <c r="DO486" s="1" t="s">
        <v>2</v>
      </c>
      <c r="DP486" s="38">
        <f t="shared" si="810"/>
        <v>0.11008999999999998</v>
      </c>
      <c r="DQ486" s="38">
        <f t="shared" si="811"/>
        <v>0</v>
      </c>
      <c r="DR486" s="38">
        <f t="shared" si="812"/>
        <v>0</v>
      </c>
      <c r="DS486" s="38">
        <f t="shared" si="813"/>
        <v>0</v>
      </c>
      <c r="DT486" s="38">
        <f t="shared" si="814"/>
        <v>0</v>
      </c>
      <c r="DU486" s="38">
        <f t="shared" si="815"/>
        <v>0</v>
      </c>
      <c r="DV486" s="38">
        <f t="shared" si="816"/>
        <v>0</v>
      </c>
      <c r="DW486" s="38">
        <f t="shared" si="817"/>
        <v>0.26779000000000003</v>
      </c>
      <c r="DX486" s="38">
        <f t="shared" si="818"/>
        <v>8.8600000000000016E-3</v>
      </c>
      <c r="DY486" s="38">
        <f t="shared" si="819"/>
        <v>0</v>
      </c>
      <c r="DZ486" s="38">
        <f t="shared" si="820"/>
        <v>0</v>
      </c>
      <c r="EA486" s="38">
        <f t="shared" si="821"/>
        <v>0</v>
      </c>
      <c r="EB486" s="38">
        <f t="shared" si="822"/>
        <v>0</v>
      </c>
      <c r="EC486" s="38">
        <f t="shared" si="823"/>
        <v>0</v>
      </c>
      <c r="ED486" s="38">
        <f t="shared" si="824"/>
        <v>0</v>
      </c>
      <c r="EE486" s="38">
        <f t="shared" si="825"/>
        <v>0</v>
      </c>
      <c r="EG486" s="38">
        <f t="shared" si="826"/>
        <v>0</v>
      </c>
      <c r="EH486" s="38">
        <f t="shared" si="827"/>
        <v>0</v>
      </c>
      <c r="EI486" s="38">
        <f t="shared" si="828"/>
        <v>718.40506543999982</v>
      </c>
      <c r="EJ486" s="38">
        <f t="shared" si="829"/>
        <v>0</v>
      </c>
      <c r="EK486" s="38">
        <f t="shared" si="830"/>
        <v>0</v>
      </c>
      <c r="EL486" s="38">
        <f t="shared" si="831"/>
        <v>0</v>
      </c>
      <c r="EM486" s="38">
        <f t="shared" si="832"/>
        <v>0</v>
      </c>
      <c r="EN486" s="38">
        <f t="shared" si="833"/>
        <v>0</v>
      </c>
      <c r="EO486" s="38">
        <f t="shared" si="834"/>
        <v>0</v>
      </c>
      <c r="EP486" s="38">
        <f t="shared" si="835"/>
        <v>3511.7980600000005</v>
      </c>
      <c r="EQ486" s="38">
        <f t="shared" si="836"/>
        <v>643.40898263999998</v>
      </c>
      <c r="ER486" s="38">
        <f t="shared" si="837"/>
        <v>0</v>
      </c>
      <c r="ES486" s="38">
        <f t="shared" si="838"/>
        <v>0</v>
      </c>
      <c r="ET486" s="38">
        <f t="shared" si="839"/>
        <v>0</v>
      </c>
      <c r="EU486" s="38">
        <f t="shared" si="840"/>
        <v>0</v>
      </c>
      <c r="EV486" s="38">
        <f t="shared" si="841"/>
        <v>0</v>
      </c>
      <c r="EW486" s="38">
        <f t="shared" si="842"/>
        <v>0</v>
      </c>
      <c r="EX486" s="38">
        <f t="shared" si="843"/>
        <v>0</v>
      </c>
      <c r="EZ486" s="38">
        <f t="shared" si="844"/>
        <v>0</v>
      </c>
      <c r="FA486" s="38">
        <f t="shared" si="845"/>
        <v>0</v>
      </c>
      <c r="FB486" s="1">
        <f t="shared" si="846"/>
        <v>8.7989999999999999E-2</v>
      </c>
      <c r="FC486" s="1">
        <f t="shared" si="847"/>
        <v>0</v>
      </c>
      <c r="FD486" s="1">
        <f t="shared" si="848"/>
        <v>0</v>
      </c>
      <c r="FE486" s="1">
        <f t="shared" si="849"/>
        <v>0</v>
      </c>
      <c r="FF486" s="1">
        <f t="shared" si="850"/>
        <v>0</v>
      </c>
      <c r="FG486" s="1">
        <f t="shared" si="851"/>
        <v>0</v>
      </c>
      <c r="FH486" s="1">
        <f t="shared" si="852"/>
        <v>0</v>
      </c>
      <c r="FI486" s="1">
        <f t="shared" si="853"/>
        <v>0.21427999999999997</v>
      </c>
      <c r="FJ486" s="1">
        <f t="shared" si="854"/>
        <v>7.6600000000000001E-3</v>
      </c>
      <c r="FK486" s="1">
        <f t="shared" si="855"/>
        <v>0</v>
      </c>
      <c r="FL486" s="1">
        <f t="shared" si="856"/>
        <v>0</v>
      </c>
      <c r="FM486" s="1">
        <f t="shared" si="857"/>
        <v>0</v>
      </c>
      <c r="FN486" s="1">
        <f t="shared" si="858"/>
        <v>0</v>
      </c>
      <c r="FO486" s="1">
        <f t="shared" si="859"/>
        <v>0</v>
      </c>
      <c r="FP486" s="1">
        <f t="shared" si="860"/>
        <v>0</v>
      </c>
      <c r="FQ486" s="1">
        <f t="shared" si="861"/>
        <v>0</v>
      </c>
      <c r="FS486" s="1">
        <f t="shared" si="862"/>
        <v>0</v>
      </c>
      <c r="FT486" s="1">
        <f t="shared" si="863"/>
        <v>0</v>
      </c>
      <c r="FU486" s="38">
        <f t="shared" si="864"/>
        <v>574.18895183999996</v>
      </c>
      <c r="FV486" s="38">
        <f t="shared" si="865"/>
        <v>0</v>
      </c>
      <c r="FW486" s="38">
        <f t="shared" si="866"/>
        <v>0</v>
      </c>
      <c r="FX486" s="38">
        <f t="shared" si="867"/>
        <v>0</v>
      </c>
      <c r="FY486" s="38">
        <f t="shared" si="868"/>
        <v>0</v>
      </c>
      <c r="FZ486" s="38">
        <f t="shared" si="869"/>
        <v>0</v>
      </c>
      <c r="GA486" s="38">
        <f t="shared" si="870"/>
        <v>0</v>
      </c>
      <c r="GB486" s="38">
        <f t="shared" si="871"/>
        <v>2810.0679199999995</v>
      </c>
      <c r="GC486" s="38">
        <f t="shared" si="872"/>
        <v>556.26555383999994</v>
      </c>
      <c r="GD486" s="38">
        <f t="shared" si="873"/>
        <v>0</v>
      </c>
      <c r="GE486" s="38">
        <f t="shared" si="874"/>
        <v>0</v>
      </c>
      <c r="GF486" s="38">
        <f t="shared" si="875"/>
        <v>0</v>
      </c>
      <c r="GG486" s="38">
        <f t="shared" si="876"/>
        <v>0</v>
      </c>
      <c r="GH486" s="38">
        <f t="shared" si="877"/>
        <v>0</v>
      </c>
      <c r="GI486" s="38">
        <f t="shared" si="878"/>
        <v>0</v>
      </c>
      <c r="GJ486" s="38">
        <f t="shared" si="879"/>
        <v>0</v>
      </c>
      <c r="GL486" s="38">
        <f t="shared" si="880"/>
        <v>0</v>
      </c>
      <c r="GM486" s="38">
        <f t="shared" si="881"/>
        <v>0</v>
      </c>
      <c r="GN486" s="1" t="s">
        <v>2</v>
      </c>
      <c r="GO486" s="1">
        <f t="shared" si="804"/>
        <v>13.2</v>
      </c>
      <c r="GP486" s="13">
        <f t="shared" si="805"/>
        <v>2.0287121212121217</v>
      </c>
      <c r="GQ486" s="41">
        <f t="shared" si="806"/>
        <v>267.79000000000008</v>
      </c>
      <c r="GR486" s="41">
        <f t="shared" si="807"/>
        <v>4873.6121080800003</v>
      </c>
      <c r="GS486" s="14">
        <f t="shared" si="808"/>
        <v>369.21303849090913</v>
      </c>
      <c r="GT486" s="1">
        <f t="shared" si="882"/>
        <v>257.51000000000005</v>
      </c>
      <c r="GU486" s="1">
        <f t="shared" si="883"/>
        <v>9.6800000000000015</v>
      </c>
      <c r="GV486" s="1">
        <f t="shared" si="884"/>
        <v>0.6</v>
      </c>
      <c r="GW486" s="37">
        <f t="shared" si="809"/>
        <v>11.5</v>
      </c>
      <c r="GX486" s="44">
        <f>(BT486*CB486+CO486*CW486)/GW486</f>
        <v>1.8633043478260867</v>
      </c>
      <c r="GY486" s="41">
        <f>1000*GW486*GX486/100</f>
        <v>214.27999999999997</v>
      </c>
      <c r="GZ486" s="41">
        <f>SUM(FU486:GM486)</f>
        <v>3940.5224256799993</v>
      </c>
      <c r="HA486" s="14">
        <f>GZ486/GW486</f>
        <v>342.65412397217386</v>
      </c>
      <c r="HB486" s="1">
        <f t="shared" si="885"/>
        <v>196.85999999999996</v>
      </c>
      <c r="HC486" s="1">
        <f t="shared" si="886"/>
        <v>17.420000000000002</v>
      </c>
      <c r="HD486" s="37" t="s">
        <v>2</v>
      </c>
      <c r="HE486" s="1" t="s">
        <v>113</v>
      </c>
      <c r="HF486" s="1" t="s">
        <v>375</v>
      </c>
      <c r="HI486" s="1" t="s">
        <v>96</v>
      </c>
      <c r="HJ486" s="37" t="s">
        <v>2</v>
      </c>
      <c r="JH486" s="58" t="s">
        <v>2</v>
      </c>
    </row>
    <row r="487" spans="1:268" ht="16.25" customHeight="1" x14ac:dyDescent="0.2">
      <c r="A487" s="15" t="s">
        <v>403</v>
      </c>
      <c r="B487" s="1" t="s">
        <v>69</v>
      </c>
      <c r="E487" s="1" t="s">
        <v>65</v>
      </c>
      <c r="F487" s="1" t="s">
        <v>404</v>
      </c>
      <c r="H487" s="1" t="s">
        <v>70</v>
      </c>
      <c r="I487" s="1">
        <v>0</v>
      </c>
      <c r="AD487" s="1">
        <v>0</v>
      </c>
      <c r="AY487" s="1">
        <v>0.47799999999999998</v>
      </c>
      <c r="BG487" s="1">
        <v>0.9</v>
      </c>
      <c r="BT487" s="1">
        <v>0</v>
      </c>
      <c r="CO487" s="1">
        <v>0</v>
      </c>
      <c r="DJ487" s="1" t="s">
        <v>96</v>
      </c>
      <c r="DL487" s="1">
        <f t="shared" si="802"/>
        <v>0.9</v>
      </c>
      <c r="DM487" s="1">
        <f t="shared" si="803"/>
        <v>0</v>
      </c>
      <c r="DN487" s="1" t="s">
        <v>148</v>
      </c>
      <c r="DO487" s="1" t="s">
        <v>2</v>
      </c>
      <c r="DP487" s="38">
        <f t="shared" si="810"/>
        <v>0</v>
      </c>
      <c r="DQ487" s="38">
        <f t="shared" si="811"/>
        <v>0</v>
      </c>
      <c r="DR487" s="38">
        <f t="shared" si="812"/>
        <v>0</v>
      </c>
      <c r="DS487" s="38">
        <f t="shared" si="813"/>
        <v>0</v>
      </c>
      <c r="DT487" s="38">
        <f t="shared" si="814"/>
        <v>0</v>
      </c>
      <c r="DU487" s="38">
        <f t="shared" si="815"/>
        <v>0</v>
      </c>
      <c r="DV487" s="38">
        <f t="shared" si="816"/>
        <v>0</v>
      </c>
      <c r="DW487" s="38">
        <f t="shared" si="817"/>
        <v>4.3019999999999994E-3</v>
      </c>
      <c r="DX487" s="38">
        <f t="shared" si="818"/>
        <v>0</v>
      </c>
      <c r="DY487" s="38">
        <f t="shared" si="819"/>
        <v>0</v>
      </c>
      <c r="DZ487" s="38">
        <f t="shared" si="820"/>
        <v>0</v>
      </c>
      <c r="EA487" s="38">
        <f t="shared" si="821"/>
        <v>0</v>
      </c>
      <c r="EB487" s="38">
        <f t="shared" si="822"/>
        <v>0</v>
      </c>
      <c r="EC487" s="38">
        <f t="shared" si="823"/>
        <v>0</v>
      </c>
      <c r="ED487" s="38">
        <f t="shared" si="824"/>
        <v>0</v>
      </c>
      <c r="EE487" s="38">
        <f t="shared" si="825"/>
        <v>0</v>
      </c>
      <c r="EG487" s="38">
        <f t="shared" si="826"/>
        <v>0</v>
      </c>
      <c r="EH487" s="38">
        <f t="shared" si="827"/>
        <v>0</v>
      </c>
      <c r="EI487" s="38">
        <f t="shared" si="828"/>
        <v>0</v>
      </c>
      <c r="EJ487" s="38">
        <f t="shared" si="829"/>
        <v>0</v>
      </c>
      <c r="EK487" s="38">
        <f t="shared" si="830"/>
        <v>0</v>
      </c>
      <c r="EL487" s="38">
        <f t="shared" si="831"/>
        <v>0</v>
      </c>
      <c r="EM487" s="38">
        <f t="shared" si="832"/>
        <v>0</v>
      </c>
      <c r="EN487" s="38">
        <f t="shared" si="833"/>
        <v>0</v>
      </c>
      <c r="EO487" s="38">
        <f t="shared" si="834"/>
        <v>0</v>
      </c>
      <c r="EP487" s="38">
        <f t="shared" si="835"/>
        <v>56.416427999999989</v>
      </c>
      <c r="EQ487" s="38">
        <f t="shared" si="836"/>
        <v>0</v>
      </c>
      <c r="ER487" s="38">
        <f t="shared" si="837"/>
        <v>0</v>
      </c>
      <c r="ES487" s="38">
        <f t="shared" si="838"/>
        <v>0</v>
      </c>
      <c r="ET487" s="38">
        <f t="shared" si="839"/>
        <v>0</v>
      </c>
      <c r="EU487" s="38">
        <f t="shared" si="840"/>
        <v>0</v>
      </c>
      <c r="EV487" s="38">
        <f t="shared" si="841"/>
        <v>0</v>
      </c>
      <c r="EW487" s="38">
        <f t="shared" si="842"/>
        <v>0</v>
      </c>
      <c r="EX487" s="38">
        <f t="shared" si="843"/>
        <v>0</v>
      </c>
      <c r="EZ487" s="38">
        <f t="shared" si="844"/>
        <v>0</v>
      </c>
      <c r="FA487" s="38">
        <f t="shared" si="845"/>
        <v>0</v>
      </c>
      <c r="FB487" s="1">
        <f t="shared" si="846"/>
        <v>0</v>
      </c>
      <c r="FC487" s="1">
        <f t="shared" si="847"/>
        <v>0</v>
      </c>
      <c r="FD487" s="1">
        <f t="shared" si="848"/>
        <v>0</v>
      </c>
      <c r="FE487" s="1">
        <f t="shared" si="849"/>
        <v>0</v>
      </c>
      <c r="FF487" s="1">
        <f t="shared" si="850"/>
        <v>0</v>
      </c>
      <c r="FG487" s="1">
        <f t="shared" si="851"/>
        <v>0</v>
      </c>
      <c r="FH487" s="1">
        <f t="shared" si="852"/>
        <v>0</v>
      </c>
      <c r="FI487" s="1">
        <f t="shared" si="853"/>
        <v>0</v>
      </c>
      <c r="FJ487" s="1">
        <f t="shared" si="854"/>
        <v>0</v>
      </c>
      <c r="FK487" s="1">
        <f t="shared" si="855"/>
        <v>0</v>
      </c>
      <c r="FL487" s="1">
        <f t="shared" si="856"/>
        <v>0</v>
      </c>
      <c r="FM487" s="1">
        <f t="shared" si="857"/>
        <v>0</v>
      </c>
      <c r="FN487" s="1">
        <f t="shared" si="858"/>
        <v>0</v>
      </c>
      <c r="FO487" s="1">
        <f t="shared" si="859"/>
        <v>0</v>
      </c>
      <c r="FP487" s="1">
        <f t="shared" si="860"/>
        <v>0</v>
      </c>
      <c r="FQ487" s="1">
        <f t="shared" si="861"/>
        <v>0</v>
      </c>
      <c r="FS487" s="1">
        <f t="shared" si="862"/>
        <v>0</v>
      </c>
      <c r="FT487" s="1">
        <f t="shared" si="863"/>
        <v>0</v>
      </c>
      <c r="FU487" s="38">
        <f t="shared" si="864"/>
        <v>0</v>
      </c>
      <c r="FV487" s="38">
        <f t="shared" si="865"/>
        <v>0</v>
      </c>
      <c r="FW487" s="38">
        <f t="shared" si="866"/>
        <v>0</v>
      </c>
      <c r="FX487" s="38">
        <f t="shared" si="867"/>
        <v>0</v>
      </c>
      <c r="FY487" s="38">
        <f t="shared" si="868"/>
        <v>0</v>
      </c>
      <c r="FZ487" s="38">
        <f t="shared" si="869"/>
        <v>0</v>
      </c>
      <c r="GA487" s="38">
        <f t="shared" si="870"/>
        <v>0</v>
      </c>
      <c r="GB487" s="38">
        <f t="shared" si="871"/>
        <v>0</v>
      </c>
      <c r="GC487" s="38">
        <f t="shared" si="872"/>
        <v>0</v>
      </c>
      <c r="GD487" s="38">
        <f t="shared" si="873"/>
        <v>0</v>
      </c>
      <c r="GE487" s="38">
        <f t="shared" si="874"/>
        <v>0</v>
      </c>
      <c r="GF487" s="38">
        <f t="shared" si="875"/>
        <v>0</v>
      </c>
      <c r="GG487" s="38">
        <f t="shared" si="876"/>
        <v>0</v>
      </c>
      <c r="GH487" s="38">
        <f t="shared" si="877"/>
        <v>0</v>
      </c>
      <c r="GI487" s="38">
        <f t="shared" si="878"/>
        <v>0</v>
      </c>
      <c r="GJ487" s="38">
        <f t="shared" si="879"/>
        <v>0</v>
      </c>
      <c r="GL487" s="38">
        <f t="shared" si="880"/>
        <v>0</v>
      </c>
      <c r="GM487" s="38">
        <f t="shared" si="881"/>
        <v>0</v>
      </c>
      <c r="GN487" s="1" t="s">
        <v>2</v>
      </c>
      <c r="GO487" s="1">
        <f t="shared" si="804"/>
        <v>0.47799999999999998</v>
      </c>
      <c r="GP487" s="1">
        <f t="shared" si="805"/>
        <v>0.9</v>
      </c>
      <c r="GQ487" s="41">
        <f t="shared" si="806"/>
        <v>4.3019999999999996</v>
      </c>
      <c r="GR487" s="41">
        <f t="shared" si="807"/>
        <v>56.416427999999989</v>
      </c>
      <c r="GS487" s="14">
        <f t="shared" si="808"/>
        <v>118.02599999999998</v>
      </c>
      <c r="GT487" s="1">
        <f t="shared" si="882"/>
        <v>0</v>
      </c>
      <c r="GU487" s="1">
        <f t="shared" si="883"/>
        <v>0</v>
      </c>
      <c r="GV487" s="1">
        <f t="shared" si="884"/>
        <v>4.3019999999999996</v>
      </c>
      <c r="GW487" s="37">
        <f t="shared" si="809"/>
        <v>0</v>
      </c>
      <c r="GX487" s="37"/>
      <c r="GY487" s="37"/>
      <c r="GZ487" s="37"/>
      <c r="HB487" s="1">
        <f t="shared" si="885"/>
        <v>0</v>
      </c>
      <c r="HC487" s="1">
        <f t="shared" si="886"/>
        <v>0</v>
      </c>
      <c r="HD487" s="37" t="s">
        <v>2</v>
      </c>
      <c r="HE487" s="1" t="s">
        <v>113</v>
      </c>
      <c r="HF487" s="1" t="s">
        <v>375</v>
      </c>
      <c r="HI487" s="1" t="s">
        <v>96</v>
      </c>
      <c r="HJ487" s="37" t="s">
        <v>2</v>
      </c>
      <c r="JH487" s="58" t="s">
        <v>2</v>
      </c>
    </row>
    <row r="488" spans="1:268" ht="16.25" customHeight="1" x14ac:dyDescent="0.2">
      <c r="A488" s="15" t="s">
        <v>405</v>
      </c>
      <c r="B488" s="1" t="s">
        <v>69</v>
      </c>
      <c r="E488" s="1" t="s">
        <v>65</v>
      </c>
      <c r="F488" s="1" t="s">
        <v>365</v>
      </c>
      <c r="H488" s="1" t="s">
        <v>70</v>
      </c>
      <c r="I488" s="1">
        <v>0</v>
      </c>
      <c r="AD488" s="1">
        <v>0</v>
      </c>
      <c r="AY488" s="1">
        <v>0.156</v>
      </c>
      <c r="BG488" s="1">
        <v>2.3199999999999998</v>
      </c>
      <c r="BT488" s="1">
        <v>0</v>
      </c>
      <c r="CO488" s="1">
        <v>0</v>
      </c>
      <c r="DJ488" s="1" t="s">
        <v>96</v>
      </c>
      <c r="DL488" s="1">
        <f t="shared" si="802"/>
        <v>2.3199999999999998</v>
      </c>
      <c r="DM488" s="1">
        <f t="shared" si="803"/>
        <v>0</v>
      </c>
      <c r="DN488" s="1" t="s">
        <v>148</v>
      </c>
      <c r="DO488" s="1" t="s">
        <v>2</v>
      </c>
      <c r="DP488" s="38">
        <f t="shared" si="810"/>
        <v>0</v>
      </c>
      <c r="DQ488" s="38">
        <f t="shared" si="811"/>
        <v>0</v>
      </c>
      <c r="DR488" s="38">
        <f t="shared" si="812"/>
        <v>0</v>
      </c>
      <c r="DS488" s="38">
        <f t="shared" si="813"/>
        <v>0</v>
      </c>
      <c r="DT488" s="38">
        <f t="shared" si="814"/>
        <v>0</v>
      </c>
      <c r="DU488" s="38">
        <f t="shared" si="815"/>
        <v>0</v>
      </c>
      <c r="DV488" s="38">
        <f t="shared" si="816"/>
        <v>0</v>
      </c>
      <c r="DW488" s="38">
        <f t="shared" si="817"/>
        <v>3.6191999999999995E-3</v>
      </c>
      <c r="DX488" s="38">
        <f t="shared" si="818"/>
        <v>0</v>
      </c>
      <c r="DY488" s="38">
        <f t="shared" si="819"/>
        <v>0</v>
      </c>
      <c r="DZ488" s="38">
        <f t="shared" si="820"/>
        <v>0</v>
      </c>
      <c r="EA488" s="38">
        <f t="shared" si="821"/>
        <v>0</v>
      </c>
      <c r="EB488" s="38">
        <f t="shared" si="822"/>
        <v>0</v>
      </c>
      <c r="EC488" s="38">
        <f t="shared" si="823"/>
        <v>0</v>
      </c>
      <c r="ED488" s="38">
        <f t="shared" si="824"/>
        <v>0</v>
      </c>
      <c r="EE488" s="38">
        <f t="shared" si="825"/>
        <v>0</v>
      </c>
      <c r="EG488" s="38">
        <f t="shared" si="826"/>
        <v>0</v>
      </c>
      <c r="EH488" s="38">
        <f t="shared" si="827"/>
        <v>0</v>
      </c>
      <c r="EI488" s="38">
        <f t="shared" si="828"/>
        <v>0</v>
      </c>
      <c r="EJ488" s="38">
        <f t="shared" si="829"/>
        <v>0</v>
      </c>
      <c r="EK488" s="38">
        <f t="shared" si="830"/>
        <v>0</v>
      </c>
      <c r="EL488" s="38">
        <f t="shared" si="831"/>
        <v>0</v>
      </c>
      <c r="EM488" s="38">
        <f t="shared" si="832"/>
        <v>0</v>
      </c>
      <c r="EN488" s="38">
        <f t="shared" si="833"/>
        <v>0</v>
      </c>
      <c r="EO488" s="38">
        <f t="shared" si="834"/>
        <v>0</v>
      </c>
      <c r="EP488" s="38">
        <f t="shared" si="835"/>
        <v>47.462188799999993</v>
      </c>
      <c r="EQ488" s="38">
        <f t="shared" si="836"/>
        <v>0</v>
      </c>
      <c r="ER488" s="38">
        <f t="shared" si="837"/>
        <v>0</v>
      </c>
      <c r="ES488" s="38">
        <f t="shared" si="838"/>
        <v>0</v>
      </c>
      <c r="ET488" s="38">
        <f t="shared" si="839"/>
        <v>0</v>
      </c>
      <c r="EU488" s="38">
        <f t="shared" si="840"/>
        <v>0</v>
      </c>
      <c r="EV488" s="38">
        <f t="shared" si="841"/>
        <v>0</v>
      </c>
      <c r="EW488" s="38">
        <f t="shared" si="842"/>
        <v>0</v>
      </c>
      <c r="EX488" s="38">
        <f t="shared" si="843"/>
        <v>0</v>
      </c>
      <c r="EZ488" s="38">
        <f t="shared" si="844"/>
        <v>0</v>
      </c>
      <c r="FA488" s="38">
        <f t="shared" si="845"/>
        <v>0</v>
      </c>
      <c r="FB488" s="1">
        <f t="shared" si="846"/>
        <v>0</v>
      </c>
      <c r="FC488" s="1">
        <f t="shared" si="847"/>
        <v>0</v>
      </c>
      <c r="FD488" s="1">
        <f t="shared" si="848"/>
        <v>0</v>
      </c>
      <c r="FE488" s="1">
        <f t="shared" si="849"/>
        <v>0</v>
      </c>
      <c r="FF488" s="1">
        <f t="shared" si="850"/>
        <v>0</v>
      </c>
      <c r="FG488" s="1">
        <f t="shared" si="851"/>
        <v>0</v>
      </c>
      <c r="FH488" s="1">
        <f t="shared" si="852"/>
        <v>0</v>
      </c>
      <c r="FI488" s="1">
        <f t="shared" si="853"/>
        <v>0</v>
      </c>
      <c r="FJ488" s="1">
        <f t="shared" si="854"/>
        <v>0</v>
      </c>
      <c r="FK488" s="1">
        <f t="shared" si="855"/>
        <v>0</v>
      </c>
      <c r="FL488" s="1">
        <f t="shared" si="856"/>
        <v>0</v>
      </c>
      <c r="FM488" s="1">
        <f t="shared" si="857"/>
        <v>0</v>
      </c>
      <c r="FN488" s="1">
        <f t="shared" si="858"/>
        <v>0</v>
      </c>
      <c r="FO488" s="1">
        <f t="shared" si="859"/>
        <v>0</v>
      </c>
      <c r="FP488" s="1">
        <f t="shared" si="860"/>
        <v>0</v>
      </c>
      <c r="FQ488" s="1">
        <f t="shared" si="861"/>
        <v>0</v>
      </c>
      <c r="FS488" s="1">
        <f t="shared" si="862"/>
        <v>0</v>
      </c>
      <c r="FT488" s="1">
        <f t="shared" si="863"/>
        <v>0</v>
      </c>
      <c r="FU488" s="38">
        <f t="shared" si="864"/>
        <v>0</v>
      </c>
      <c r="FV488" s="38">
        <f t="shared" si="865"/>
        <v>0</v>
      </c>
      <c r="FW488" s="38">
        <f t="shared" si="866"/>
        <v>0</v>
      </c>
      <c r="FX488" s="38">
        <f t="shared" si="867"/>
        <v>0</v>
      </c>
      <c r="FY488" s="38">
        <f t="shared" si="868"/>
        <v>0</v>
      </c>
      <c r="FZ488" s="38">
        <f t="shared" si="869"/>
        <v>0</v>
      </c>
      <c r="GA488" s="38">
        <f t="shared" si="870"/>
        <v>0</v>
      </c>
      <c r="GB488" s="38">
        <f t="shared" si="871"/>
        <v>0</v>
      </c>
      <c r="GC488" s="38">
        <f t="shared" si="872"/>
        <v>0</v>
      </c>
      <c r="GD488" s="38">
        <f t="shared" si="873"/>
        <v>0</v>
      </c>
      <c r="GE488" s="38">
        <f t="shared" si="874"/>
        <v>0</v>
      </c>
      <c r="GF488" s="38">
        <f t="shared" si="875"/>
        <v>0</v>
      </c>
      <c r="GG488" s="38">
        <f t="shared" si="876"/>
        <v>0</v>
      </c>
      <c r="GH488" s="38">
        <f t="shared" si="877"/>
        <v>0</v>
      </c>
      <c r="GI488" s="38">
        <f t="shared" si="878"/>
        <v>0</v>
      </c>
      <c r="GJ488" s="38">
        <f t="shared" si="879"/>
        <v>0</v>
      </c>
      <c r="GL488" s="38">
        <f t="shared" si="880"/>
        <v>0</v>
      </c>
      <c r="GM488" s="38">
        <f t="shared" si="881"/>
        <v>0</v>
      </c>
      <c r="GN488" s="1" t="s">
        <v>2</v>
      </c>
      <c r="GO488" s="1">
        <f t="shared" si="804"/>
        <v>0.156</v>
      </c>
      <c r="GP488" s="1">
        <f t="shared" si="805"/>
        <v>2.3199999999999998</v>
      </c>
      <c r="GQ488" s="41">
        <f t="shared" si="806"/>
        <v>3.6191999999999998</v>
      </c>
      <c r="GR488" s="41">
        <f t="shared" si="807"/>
        <v>47.462188799999993</v>
      </c>
      <c r="GS488" s="14">
        <f t="shared" si="808"/>
        <v>304.24479999999994</v>
      </c>
      <c r="GT488" s="1">
        <f t="shared" si="882"/>
        <v>0</v>
      </c>
      <c r="GU488" s="1">
        <f t="shared" si="883"/>
        <v>0</v>
      </c>
      <c r="GV488" s="1">
        <f t="shared" si="884"/>
        <v>3.6191999999999998</v>
      </c>
      <c r="GW488" s="37">
        <f t="shared" si="809"/>
        <v>0</v>
      </c>
      <c r="GX488" s="37"/>
      <c r="GY488" s="37"/>
      <c r="GZ488" s="37"/>
      <c r="HB488" s="1">
        <f t="shared" si="885"/>
        <v>0</v>
      </c>
      <c r="HC488" s="1">
        <f t="shared" si="886"/>
        <v>0</v>
      </c>
      <c r="HD488" s="37" t="s">
        <v>2</v>
      </c>
      <c r="HE488" s="1" t="s">
        <v>113</v>
      </c>
      <c r="HF488" s="1" t="s">
        <v>375</v>
      </c>
      <c r="HI488" s="1" t="s">
        <v>96</v>
      </c>
      <c r="HJ488" s="37" t="s">
        <v>2</v>
      </c>
      <c r="JH488" s="58" t="s">
        <v>2</v>
      </c>
    </row>
    <row r="489" spans="1:268" ht="16.25" customHeight="1" x14ac:dyDescent="0.2">
      <c r="A489" s="15" t="s">
        <v>411</v>
      </c>
      <c r="B489" s="1" t="s">
        <v>69</v>
      </c>
      <c r="E489" s="1" t="s">
        <v>65</v>
      </c>
      <c r="F489" s="1" t="s">
        <v>412</v>
      </c>
      <c r="H489" s="1" t="s">
        <v>70</v>
      </c>
      <c r="I489" s="1">
        <v>0</v>
      </c>
      <c r="AD489" s="1">
        <v>0</v>
      </c>
      <c r="AY489" s="1">
        <v>0.22500000000000001</v>
      </c>
      <c r="AZ489" s="1">
        <v>0.24</v>
      </c>
      <c r="BG489" s="1">
        <v>0.65</v>
      </c>
      <c r="BH489" s="1">
        <v>0.03</v>
      </c>
      <c r="BT489" s="1">
        <v>0</v>
      </c>
      <c r="CO489" s="1">
        <v>0</v>
      </c>
      <c r="DJ489" s="1" t="s">
        <v>96</v>
      </c>
      <c r="DK489" s="1" t="s">
        <v>96</v>
      </c>
      <c r="DL489" s="1">
        <f t="shared" si="802"/>
        <v>0.65</v>
      </c>
      <c r="DM489" s="1">
        <f t="shared" si="803"/>
        <v>0.03</v>
      </c>
      <c r="DN489" s="1" t="s">
        <v>148</v>
      </c>
      <c r="DO489" s="1" t="s">
        <v>2</v>
      </c>
      <c r="DP489" s="38">
        <f t="shared" si="810"/>
        <v>5.4000000000000001E-4</v>
      </c>
      <c r="DQ489" s="38">
        <f t="shared" si="811"/>
        <v>0</v>
      </c>
      <c r="DR489" s="38">
        <f t="shared" si="812"/>
        <v>0</v>
      </c>
      <c r="DS489" s="38">
        <f t="shared" si="813"/>
        <v>0</v>
      </c>
      <c r="DT489" s="38">
        <f t="shared" si="814"/>
        <v>0</v>
      </c>
      <c r="DU489" s="38">
        <f t="shared" si="815"/>
        <v>0</v>
      </c>
      <c r="DV489" s="38">
        <f t="shared" si="816"/>
        <v>0</v>
      </c>
      <c r="DW489" s="38">
        <f t="shared" si="817"/>
        <v>1.4625000000000003E-3</v>
      </c>
      <c r="DX489" s="38">
        <f t="shared" si="818"/>
        <v>6.7500000000000001E-5</v>
      </c>
      <c r="DY489" s="38">
        <f t="shared" si="819"/>
        <v>0</v>
      </c>
      <c r="DZ489" s="38">
        <f t="shared" si="820"/>
        <v>0</v>
      </c>
      <c r="EA489" s="38">
        <f t="shared" si="821"/>
        <v>0</v>
      </c>
      <c r="EB489" s="38">
        <f t="shared" si="822"/>
        <v>0</v>
      </c>
      <c r="EC489" s="38">
        <f t="shared" si="823"/>
        <v>0</v>
      </c>
      <c r="ED489" s="38">
        <f t="shared" si="824"/>
        <v>0</v>
      </c>
      <c r="EE489" s="38">
        <f t="shared" si="825"/>
        <v>0</v>
      </c>
      <c r="EG489" s="38">
        <f t="shared" si="826"/>
        <v>0</v>
      </c>
      <c r="EH489" s="38">
        <f t="shared" si="827"/>
        <v>0</v>
      </c>
      <c r="EI489" s="38">
        <f t="shared" si="828"/>
        <v>3.5238326400000002</v>
      </c>
      <c r="EJ489" s="38">
        <f t="shared" si="829"/>
        <v>0</v>
      </c>
      <c r="EK489" s="38">
        <f t="shared" si="830"/>
        <v>0</v>
      </c>
      <c r="EL489" s="38">
        <f t="shared" si="831"/>
        <v>0</v>
      </c>
      <c r="EM489" s="38">
        <f t="shared" si="832"/>
        <v>0</v>
      </c>
      <c r="EN489" s="38">
        <f t="shared" si="833"/>
        <v>0</v>
      </c>
      <c r="EO489" s="38">
        <f t="shared" si="834"/>
        <v>0</v>
      </c>
      <c r="EP489" s="38">
        <f t="shared" si="835"/>
        <v>19.179225000000002</v>
      </c>
      <c r="EQ489" s="38">
        <f t="shared" si="836"/>
        <v>4.9018178699999995</v>
      </c>
      <c r="ER489" s="38">
        <f t="shared" si="837"/>
        <v>0</v>
      </c>
      <c r="ES489" s="38">
        <f t="shared" si="838"/>
        <v>0</v>
      </c>
      <c r="ET489" s="38">
        <f t="shared" si="839"/>
        <v>0</v>
      </c>
      <c r="EU489" s="38">
        <f t="shared" si="840"/>
        <v>0</v>
      </c>
      <c r="EV489" s="38">
        <f t="shared" si="841"/>
        <v>0</v>
      </c>
      <c r="EW489" s="38">
        <f t="shared" si="842"/>
        <v>0</v>
      </c>
      <c r="EX489" s="38">
        <f t="shared" si="843"/>
        <v>0</v>
      </c>
      <c r="EZ489" s="38">
        <f t="shared" si="844"/>
        <v>0</v>
      </c>
      <c r="FA489" s="38">
        <f t="shared" si="845"/>
        <v>0</v>
      </c>
      <c r="FB489" s="1">
        <f t="shared" si="846"/>
        <v>0</v>
      </c>
      <c r="FC489" s="1">
        <f t="shared" si="847"/>
        <v>0</v>
      </c>
      <c r="FD489" s="1">
        <f t="shared" si="848"/>
        <v>0</v>
      </c>
      <c r="FE489" s="1">
        <f t="shared" si="849"/>
        <v>0</v>
      </c>
      <c r="FF489" s="1">
        <f t="shared" si="850"/>
        <v>0</v>
      </c>
      <c r="FG489" s="1">
        <f t="shared" si="851"/>
        <v>0</v>
      </c>
      <c r="FH489" s="1">
        <f t="shared" si="852"/>
        <v>0</v>
      </c>
      <c r="FI489" s="1">
        <f t="shared" si="853"/>
        <v>0</v>
      </c>
      <c r="FJ489" s="1">
        <f t="shared" si="854"/>
        <v>0</v>
      </c>
      <c r="FK489" s="1">
        <f t="shared" si="855"/>
        <v>0</v>
      </c>
      <c r="FL489" s="1">
        <f t="shared" si="856"/>
        <v>0</v>
      </c>
      <c r="FM489" s="1">
        <f t="shared" si="857"/>
        <v>0</v>
      </c>
      <c r="FN489" s="1">
        <f t="shared" si="858"/>
        <v>0</v>
      </c>
      <c r="FO489" s="1">
        <f t="shared" si="859"/>
        <v>0</v>
      </c>
      <c r="FP489" s="1">
        <f t="shared" si="860"/>
        <v>0</v>
      </c>
      <c r="FQ489" s="1">
        <f t="shared" si="861"/>
        <v>0</v>
      </c>
      <c r="FS489" s="1">
        <f t="shared" si="862"/>
        <v>0</v>
      </c>
      <c r="FT489" s="1">
        <f t="shared" si="863"/>
        <v>0</v>
      </c>
      <c r="FU489" s="38">
        <f t="shared" si="864"/>
        <v>0</v>
      </c>
      <c r="FV489" s="38">
        <f t="shared" si="865"/>
        <v>0</v>
      </c>
      <c r="FW489" s="38">
        <f t="shared" si="866"/>
        <v>0</v>
      </c>
      <c r="FX489" s="38">
        <f t="shared" si="867"/>
        <v>0</v>
      </c>
      <c r="FY489" s="38">
        <f t="shared" si="868"/>
        <v>0</v>
      </c>
      <c r="FZ489" s="38">
        <f t="shared" si="869"/>
        <v>0</v>
      </c>
      <c r="GA489" s="38">
        <f t="shared" si="870"/>
        <v>0</v>
      </c>
      <c r="GB489" s="38">
        <f t="shared" si="871"/>
        <v>0</v>
      </c>
      <c r="GC489" s="38">
        <f t="shared" si="872"/>
        <v>0</v>
      </c>
      <c r="GD489" s="38">
        <f t="shared" si="873"/>
        <v>0</v>
      </c>
      <c r="GE489" s="38">
        <f t="shared" si="874"/>
        <v>0</v>
      </c>
      <c r="GF489" s="38">
        <f t="shared" si="875"/>
        <v>0</v>
      </c>
      <c r="GG489" s="38">
        <f t="shared" si="876"/>
        <v>0</v>
      </c>
      <c r="GH489" s="38">
        <f t="shared" si="877"/>
        <v>0</v>
      </c>
      <c r="GI489" s="38">
        <f t="shared" si="878"/>
        <v>0</v>
      </c>
      <c r="GJ489" s="38">
        <f t="shared" si="879"/>
        <v>0</v>
      </c>
      <c r="GL489" s="38">
        <f t="shared" si="880"/>
        <v>0</v>
      </c>
      <c r="GM489" s="38">
        <f t="shared" si="881"/>
        <v>0</v>
      </c>
      <c r="GN489" s="1" t="s">
        <v>2</v>
      </c>
      <c r="GO489" s="1">
        <f t="shared" si="804"/>
        <v>0.22500000000000001</v>
      </c>
      <c r="GP489" s="1">
        <f t="shared" si="805"/>
        <v>0.65</v>
      </c>
      <c r="GQ489" s="41">
        <f t="shared" si="806"/>
        <v>1.4624999999999999</v>
      </c>
      <c r="GR489" s="41">
        <f t="shared" si="807"/>
        <v>27.604875510000003</v>
      </c>
      <c r="GS489" s="14">
        <f t="shared" si="808"/>
        <v>122.68833560000002</v>
      </c>
      <c r="GT489" s="1">
        <f t="shared" si="882"/>
        <v>0</v>
      </c>
      <c r="GU489" s="1">
        <f t="shared" si="883"/>
        <v>0</v>
      </c>
      <c r="GV489" s="1">
        <f t="shared" si="884"/>
        <v>1.4625000000000004</v>
      </c>
      <c r="GW489" s="37">
        <f t="shared" si="809"/>
        <v>0</v>
      </c>
      <c r="GX489" s="37"/>
      <c r="GY489" s="37"/>
      <c r="GZ489" s="37"/>
      <c r="HB489" s="1">
        <f t="shared" si="885"/>
        <v>0</v>
      </c>
      <c r="HC489" s="1">
        <f t="shared" si="886"/>
        <v>0</v>
      </c>
      <c r="HD489" s="37" t="s">
        <v>2</v>
      </c>
      <c r="HE489" s="1" t="s">
        <v>113</v>
      </c>
      <c r="HF489" s="1" t="s">
        <v>375</v>
      </c>
      <c r="HI489" s="1" t="s">
        <v>96</v>
      </c>
      <c r="HJ489" s="37" t="s">
        <v>2</v>
      </c>
      <c r="JH489" s="58" t="s">
        <v>2</v>
      </c>
    </row>
    <row r="490" spans="1:268" ht="16.25" customHeight="1" x14ac:dyDescent="0.2">
      <c r="A490" s="15" t="s">
        <v>416</v>
      </c>
      <c r="B490" s="1" t="s">
        <v>69</v>
      </c>
      <c r="E490" s="1" t="s">
        <v>65</v>
      </c>
      <c r="F490" s="1" t="s">
        <v>417</v>
      </c>
      <c r="H490" s="1" t="s">
        <v>70</v>
      </c>
      <c r="I490" s="1">
        <v>0</v>
      </c>
      <c r="AD490" s="1">
        <v>0</v>
      </c>
      <c r="AY490" s="1">
        <v>0.02</v>
      </c>
      <c r="AZ490" s="1">
        <v>0.15</v>
      </c>
      <c r="BG490" s="1">
        <v>2.7</v>
      </c>
      <c r="BT490" s="1">
        <v>0</v>
      </c>
      <c r="CO490" s="1">
        <v>0</v>
      </c>
      <c r="DJ490" s="1" t="s">
        <v>96</v>
      </c>
      <c r="DL490" s="1">
        <f t="shared" si="802"/>
        <v>2.7</v>
      </c>
      <c r="DM490" s="1">
        <f t="shared" si="803"/>
        <v>0</v>
      </c>
      <c r="DN490" s="1" t="s">
        <v>148</v>
      </c>
      <c r="DO490" s="1" t="s">
        <v>2</v>
      </c>
      <c r="DP490" s="38">
        <f t="shared" si="810"/>
        <v>3.0000000000000001E-5</v>
      </c>
      <c r="DQ490" s="38">
        <f t="shared" si="811"/>
        <v>0</v>
      </c>
      <c r="DR490" s="38">
        <f t="shared" si="812"/>
        <v>0</v>
      </c>
      <c r="DS490" s="38">
        <f t="shared" si="813"/>
        <v>0</v>
      </c>
      <c r="DT490" s="38">
        <f t="shared" si="814"/>
        <v>0</v>
      </c>
      <c r="DU490" s="38">
        <f t="shared" si="815"/>
        <v>0</v>
      </c>
      <c r="DV490" s="38">
        <f t="shared" si="816"/>
        <v>0</v>
      </c>
      <c r="DW490" s="38">
        <f t="shared" si="817"/>
        <v>5.4000000000000012E-4</v>
      </c>
      <c r="DX490" s="38">
        <f t="shared" si="818"/>
        <v>0</v>
      </c>
      <c r="DY490" s="38">
        <f t="shared" si="819"/>
        <v>0</v>
      </c>
      <c r="DZ490" s="38">
        <f t="shared" si="820"/>
        <v>0</v>
      </c>
      <c r="EA490" s="38">
        <f t="shared" si="821"/>
        <v>0</v>
      </c>
      <c r="EB490" s="38">
        <f t="shared" si="822"/>
        <v>0</v>
      </c>
      <c r="EC490" s="38">
        <f t="shared" si="823"/>
        <v>0</v>
      </c>
      <c r="ED490" s="38">
        <f t="shared" si="824"/>
        <v>0</v>
      </c>
      <c r="EE490" s="38">
        <f t="shared" si="825"/>
        <v>0</v>
      </c>
      <c r="EG490" s="38">
        <f t="shared" si="826"/>
        <v>0</v>
      </c>
      <c r="EH490" s="38">
        <f t="shared" si="827"/>
        <v>0</v>
      </c>
      <c r="EI490" s="38">
        <f t="shared" si="828"/>
        <v>0.19576847999999999</v>
      </c>
      <c r="EJ490" s="38">
        <f t="shared" si="829"/>
        <v>0</v>
      </c>
      <c r="EK490" s="38">
        <f t="shared" si="830"/>
        <v>0</v>
      </c>
      <c r="EL490" s="38">
        <f t="shared" si="831"/>
        <v>0</v>
      </c>
      <c r="EM490" s="38">
        <f t="shared" si="832"/>
        <v>0</v>
      </c>
      <c r="EN490" s="38">
        <f t="shared" si="833"/>
        <v>0</v>
      </c>
      <c r="EO490" s="38">
        <f t="shared" si="834"/>
        <v>0</v>
      </c>
      <c r="EP490" s="38">
        <f t="shared" si="835"/>
        <v>7.0815600000000014</v>
      </c>
      <c r="EQ490" s="38">
        <f t="shared" si="836"/>
        <v>0</v>
      </c>
      <c r="ER490" s="38">
        <f t="shared" si="837"/>
        <v>0</v>
      </c>
      <c r="ES490" s="38">
        <f t="shared" si="838"/>
        <v>0</v>
      </c>
      <c r="ET490" s="38">
        <f t="shared" si="839"/>
        <v>0</v>
      </c>
      <c r="EU490" s="38">
        <f t="shared" si="840"/>
        <v>0</v>
      </c>
      <c r="EV490" s="38">
        <f t="shared" si="841"/>
        <v>0</v>
      </c>
      <c r="EW490" s="38">
        <f t="shared" si="842"/>
        <v>0</v>
      </c>
      <c r="EX490" s="38">
        <f t="shared" si="843"/>
        <v>0</v>
      </c>
      <c r="EZ490" s="38">
        <f t="shared" si="844"/>
        <v>0</v>
      </c>
      <c r="FA490" s="38">
        <f t="shared" si="845"/>
        <v>0</v>
      </c>
      <c r="FB490" s="1">
        <f t="shared" si="846"/>
        <v>0</v>
      </c>
      <c r="FC490" s="1">
        <f t="shared" si="847"/>
        <v>0</v>
      </c>
      <c r="FD490" s="1">
        <f t="shared" si="848"/>
        <v>0</v>
      </c>
      <c r="FE490" s="1">
        <f t="shared" si="849"/>
        <v>0</v>
      </c>
      <c r="FF490" s="1">
        <f t="shared" si="850"/>
        <v>0</v>
      </c>
      <c r="FG490" s="1">
        <f t="shared" si="851"/>
        <v>0</v>
      </c>
      <c r="FH490" s="1">
        <f t="shared" si="852"/>
        <v>0</v>
      </c>
      <c r="FI490" s="1">
        <f t="shared" si="853"/>
        <v>0</v>
      </c>
      <c r="FJ490" s="1">
        <f t="shared" si="854"/>
        <v>0</v>
      </c>
      <c r="FK490" s="1">
        <f t="shared" si="855"/>
        <v>0</v>
      </c>
      <c r="FL490" s="1">
        <f t="shared" si="856"/>
        <v>0</v>
      </c>
      <c r="FM490" s="1">
        <f t="shared" si="857"/>
        <v>0</v>
      </c>
      <c r="FN490" s="1">
        <f t="shared" si="858"/>
        <v>0</v>
      </c>
      <c r="FO490" s="1">
        <f t="shared" si="859"/>
        <v>0</v>
      </c>
      <c r="FP490" s="1">
        <f t="shared" si="860"/>
        <v>0</v>
      </c>
      <c r="FQ490" s="1">
        <f t="shared" si="861"/>
        <v>0</v>
      </c>
      <c r="FS490" s="1">
        <f t="shared" si="862"/>
        <v>0</v>
      </c>
      <c r="FT490" s="1">
        <f t="shared" si="863"/>
        <v>0</v>
      </c>
      <c r="FU490" s="38">
        <f t="shared" si="864"/>
        <v>0</v>
      </c>
      <c r="FV490" s="38">
        <f t="shared" si="865"/>
        <v>0</v>
      </c>
      <c r="FW490" s="38">
        <f t="shared" si="866"/>
        <v>0</v>
      </c>
      <c r="FX490" s="38">
        <f t="shared" si="867"/>
        <v>0</v>
      </c>
      <c r="FY490" s="38">
        <f t="shared" si="868"/>
        <v>0</v>
      </c>
      <c r="FZ490" s="38">
        <f t="shared" si="869"/>
        <v>0</v>
      </c>
      <c r="GA490" s="38">
        <f t="shared" si="870"/>
        <v>0</v>
      </c>
      <c r="GB490" s="38">
        <f t="shared" si="871"/>
        <v>0</v>
      </c>
      <c r="GC490" s="38">
        <f t="shared" si="872"/>
        <v>0</v>
      </c>
      <c r="GD490" s="38">
        <f t="shared" si="873"/>
        <v>0</v>
      </c>
      <c r="GE490" s="38">
        <f t="shared" si="874"/>
        <v>0</v>
      </c>
      <c r="GF490" s="38">
        <f t="shared" si="875"/>
        <v>0</v>
      </c>
      <c r="GG490" s="38">
        <f t="shared" si="876"/>
        <v>0</v>
      </c>
      <c r="GH490" s="38">
        <f t="shared" si="877"/>
        <v>0</v>
      </c>
      <c r="GI490" s="38">
        <f t="shared" si="878"/>
        <v>0</v>
      </c>
      <c r="GJ490" s="38">
        <f t="shared" si="879"/>
        <v>0</v>
      </c>
      <c r="GL490" s="38">
        <f t="shared" si="880"/>
        <v>0</v>
      </c>
      <c r="GM490" s="38">
        <f t="shared" si="881"/>
        <v>0</v>
      </c>
      <c r="GN490" s="1" t="s">
        <v>2</v>
      </c>
      <c r="GO490" s="1">
        <f t="shared" si="804"/>
        <v>0.02</v>
      </c>
      <c r="GP490" s="1">
        <f t="shared" si="805"/>
        <v>2.7</v>
      </c>
      <c r="GQ490" s="41">
        <f t="shared" si="806"/>
        <v>0.54</v>
      </c>
      <c r="GR490" s="41">
        <f t="shared" si="807"/>
        <v>7.2773284800000013</v>
      </c>
      <c r="GS490" s="14">
        <f t="shared" si="808"/>
        <v>363.86642400000005</v>
      </c>
      <c r="GT490" s="1">
        <f t="shared" si="882"/>
        <v>0</v>
      </c>
      <c r="GU490" s="1">
        <f t="shared" si="883"/>
        <v>0</v>
      </c>
      <c r="GV490" s="1">
        <f t="shared" si="884"/>
        <v>0.54</v>
      </c>
      <c r="GW490" s="37">
        <f t="shared" si="809"/>
        <v>0</v>
      </c>
      <c r="GX490" s="37"/>
      <c r="GY490" s="37"/>
      <c r="GZ490" s="37"/>
      <c r="HB490" s="1">
        <f t="shared" si="885"/>
        <v>0</v>
      </c>
      <c r="HC490" s="1">
        <f t="shared" si="886"/>
        <v>0</v>
      </c>
      <c r="HD490" s="37" t="s">
        <v>2</v>
      </c>
      <c r="HE490" s="1" t="s">
        <v>113</v>
      </c>
      <c r="HF490" s="1" t="s">
        <v>375</v>
      </c>
      <c r="HI490" s="1" t="s">
        <v>96</v>
      </c>
      <c r="HJ490" s="37" t="s">
        <v>2</v>
      </c>
      <c r="JH490" s="58" t="s">
        <v>2</v>
      </c>
    </row>
    <row r="491" spans="1:268" ht="16.25" customHeight="1" x14ac:dyDescent="0.2">
      <c r="A491" s="15" t="s">
        <v>441</v>
      </c>
      <c r="B491" s="1" t="s">
        <v>69</v>
      </c>
      <c r="E491" s="1" t="s">
        <v>72</v>
      </c>
      <c r="F491" s="1" t="s">
        <v>442</v>
      </c>
      <c r="H491" s="1" t="s">
        <v>211</v>
      </c>
      <c r="I491" s="1">
        <v>0</v>
      </c>
      <c r="AD491" s="1">
        <f>10.5+5.2</f>
        <v>15.7</v>
      </c>
      <c r="AL491" s="13">
        <f>(0.58*10.5+0.64*5.2)/AD491</f>
        <v>0.59987261146496818</v>
      </c>
      <c r="AM491" s="13">
        <f>(0.12*10.5+0.15*5.2)/AD491</f>
        <v>0.12993630573248408</v>
      </c>
      <c r="AY491" s="1">
        <f>2+0.8+7.7+2.8</f>
        <v>13.3</v>
      </c>
      <c r="BG491" s="13">
        <f>(0.51*2+0.52*0.8+0.45*7.7+0.47*2.8)/AY491</f>
        <v>0.46744360902255633</v>
      </c>
      <c r="BH491" s="13">
        <f>(0.11*2+0.15*0.8+0.11*7.7+0.15*2.8)/AY491</f>
        <v>0.12082706766917291</v>
      </c>
      <c r="BT491" s="1">
        <v>0</v>
      </c>
      <c r="CO491" s="1">
        <v>0</v>
      </c>
      <c r="DJ491" s="1" t="s">
        <v>96</v>
      </c>
      <c r="DK491" s="1" t="s">
        <v>96</v>
      </c>
      <c r="DL491" s="1">
        <f t="shared" si="802"/>
        <v>0.53913793103448271</v>
      </c>
      <c r="DM491" s="1">
        <f t="shared" si="803"/>
        <v>0.12575862068965515</v>
      </c>
      <c r="DN491" s="1" t="s">
        <v>67</v>
      </c>
      <c r="DO491" s="1" t="s">
        <v>2</v>
      </c>
      <c r="DP491" s="38">
        <f t="shared" si="810"/>
        <v>0</v>
      </c>
      <c r="DQ491" s="38">
        <f t="shared" si="811"/>
        <v>0</v>
      </c>
      <c r="DR491" s="38">
        <f t="shared" si="812"/>
        <v>0</v>
      </c>
      <c r="DS491" s="38">
        <f t="shared" si="813"/>
        <v>0</v>
      </c>
      <c r="DT491" s="38">
        <f t="shared" si="814"/>
        <v>0</v>
      </c>
      <c r="DU491" s="38">
        <f t="shared" si="815"/>
        <v>0</v>
      </c>
      <c r="DV491" s="38">
        <f t="shared" si="816"/>
        <v>0</v>
      </c>
      <c r="DW491" s="38">
        <f t="shared" si="817"/>
        <v>0.15634999999999999</v>
      </c>
      <c r="DX491" s="38">
        <f t="shared" si="818"/>
        <v>3.6469999999999995E-2</v>
      </c>
      <c r="DY491" s="38">
        <f t="shared" si="819"/>
        <v>0</v>
      </c>
      <c r="DZ491" s="38">
        <f t="shared" si="820"/>
        <v>0</v>
      </c>
      <c r="EA491" s="38">
        <f t="shared" si="821"/>
        <v>0</v>
      </c>
      <c r="EB491" s="38">
        <f t="shared" si="822"/>
        <v>0</v>
      </c>
      <c r="EC491" s="38">
        <f t="shared" si="823"/>
        <v>0</v>
      </c>
      <c r="ED491" s="38">
        <f t="shared" si="824"/>
        <v>0</v>
      </c>
      <c r="EE491" s="38">
        <f t="shared" si="825"/>
        <v>0</v>
      </c>
      <c r="EG491" s="38">
        <f t="shared" si="826"/>
        <v>0</v>
      </c>
      <c r="EH491" s="38">
        <f t="shared" si="827"/>
        <v>0</v>
      </c>
      <c r="EI491" s="38">
        <f t="shared" si="828"/>
        <v>0</v>
      </c>
      <c r="EJ491" s="38">
        <f t="shared" si="829"/>
        <v>0</v>
      </c>
      <c r="EK491" s="38">
        <f t="shared" si="830"/>
        <v>0</v>
      </c>
      <c r="EL491" s="38">
        <f t="shared" si="831"/>
        <v>0</v>
      </c>
      <c r="EM491" s="38">
        <f t="shared" si="832"/>
        <v>0</v>
      </c>
      <c r="EN491" s="38">
        <f t="shared" si="833"/>
        <v>0</v>
      </c>
      <c r="EO491" s="38">
        <f t="shared" si="834"/>
        <v>0</v>
      </c>
      <c r="EP491" s="38">
        <f t="shared" si="835"/>
        <v>2050.3739</v>
      </c>
      <c r="EQ491" s="38">
        <f t="shared" si="836"/>
        <v>2648.4340402799994</v>
      </c>
      <c r="ER491" s="38">
        <f t="shared" si="837"/>
        <v>0</v>
      </c>
      <c r="ES491" s="38">
        <f t="shared" si="838"/>
        <v>0</v>
      </c>
      <c r="ET491" s="38">
        <f t="shared" si="839"/>
        <v>0</v>
      </c>
      <c r="EU491" s="38">
        <f t="shared" si="840"/>
        <v>0</v>
      </c>
      <c r="EV491" s="38">
        <f t="shared" si="841"/>
        <v>0</v>
      </c>
      <c r="EW491" s="38">
        <f t="shared" si="842"/>
        <v>0</v>
      </c>
      <c r="EX491" s="38">
        <f t="shared" si="843"/>
        <v>0</v>
      </c>
      <c r="EZ491" s="38">
        <f t="shared" si="844"/>
        <v>0</v>
      </c>
      <c r="FA491" s="38">
        <f t="shared" si="845"/>
        <v>0</v>
      </c>
      <c r="FB491" s="1">
        <f t="shared" si="846"/>
        <v>0</v>
      </c>
      <c r="FC491" s="1">
        <f t="shared" si="847"/>
        <v>0</v>
      </c>
      <c r="FD491" s="1">
        <f t="shared" si="848"/>
        <v>0</v>
      </c>
      <c r="FE491" s="1">
        <f t="shared" si="849"/>
        <v>0</v>
      </c>
      <c r="FF491" s="1">
        <f t="shared" si="850"/>
        <v>0</v>
      </c>
      <c r="FG491" s="1">
        <f t="shared" si="851"/>
        <v>0</v>
      </c>
      <c r="FH491" s="1">
        <f t="shared" si="852"/>
        <v>0</v>
      </c>
      <c r="FI491" s="1">
        <f t="shared" si="853"/>
        <v>0</v>
      </c>
      <c r="FJ491" s="1">
        <f t="shared" si="854"/>
        <v>0</v>
      </c>
      <c r="FK491" s="1">
        <f t="shared" si="855"/>
        <v>0</v>
      </c>
      <c r="FL491" s="1">
        <f t="shared" si="856"/>
        <v>0</v>
      </c>
      <c r="FM491" s="1">
        <f t="shared" si="857"/>
        <v>0</v>
      </c>
      <c r="FN491" s="1">
        <f t="shared" si="858"/>
        <v>0</v>
      </c>
      <c r="FO491" s="1">
        <f t="shared" si="859"/>
        <v>0</v>
      </c>
      <c r="FP491" s="1">
        <f t="shared" si="860"/>
        <v>0</v>
      </c>
      <c r="FQ491" s="1">
        <f t="shared" si="861"/>
        <v>0</v>
      </c>
      <c r="FS491" s="1">
        <f t="shared" si="862"/>
        <v>0</v>
      </c>
      <c r="FT491" s="1">
        <f t="shared" si="863"/>
        <v>0</v>
      </c>
      <c r="FU491" s="38">
        <f t="shared" si="864"/>
        <v>0</v>
      </c>
      <c r="FV491" s="38">
        <f t="shared" si="865"/>
        <v>0</v>
      </c>
      <c r="FW491" s="38">
        <f t="shared" si="866"/>
        <v>0</v>
      </c>
      <c r="FX491" s="38">
        <f t="shared" si="867"/>
        <v>0</v>
      </c>
      <c r="FY491" s="38">
        <f t="shared" si="868"/>
        <v>0</v>
      </c>
      <c r="FZ491" s="38">
        <f t="shared" si="869"/>
        <v>0</v>
      </c>
      <c r="GA491" s="38">
        <f t="shared" si="870"/>
        <v>0</v>
      </c>
      <c r="GB491" s="38">
        <f t="shared" si="871"/>
        <v>0</v>
      </c>
      <c r="GC491" s="38">
        <f t="shared" si="872"/>
        <v>0</v>
      </c>
      <c r="GD491" s="38">
        <f t="shared" si="873"/>
        <v>0</v>
      </c>
      <c r="GE491" s="38">
        <f t="shared" si="874"/>
        <v>0</v>
      </c>
      <c r="GF491" s="38">
        <f t="shared" si="875"/>
        <v>0</v>
      </c>
      <c r="GG491" s="38">
        <f t="shared" si="876"/>
        <v>0</v>
      </c>
      <c r="GH491" s="38">
        <f t="shared" si="877"/>
        <v>0</v>
      </c>
      <c r="GI491" s="38">
        <f t="shared" si="878"/>
        <v>0</v>
      </c>
      <c r="GJ491" s="38">
        <f t="shared" si="879"/>
        <v>0</v>
      </c>
      <c r="GL491" s="38">
        <f t="shared" si="880"/>
        <v>0</v>
      </c>
      <c r="GM491" s="38">
        <f t="shared" si="881"/>
        <v>0</v>
      </c>
      <c r="GN491" s="1" t="s">
        <v>2</v>
      </c>
      <c r="GO491" s="1">
        <f t="shared" si="804"/>
        <v>29</v>
      </c>
      <c r="GP491" s="13">
        <f t="shared" si="805"/>
        <v>0.53913793103448271</v>
      </c>
      <c r="GQ491" s="41">
        <f t="shared" si="806"/>
        <v>156.35</v>
      </c>
      <c r="GR491" s="41">
        <f t="shared" si="807"/>
        <v>4698.8079402799995</v>
      </c>
      <c r="GS491" s="14">
        <f t="shared" si="808"/>
        <v>162.02786000965514</v>
      </c>
      <c r="GT491" s="1">
        <f t="shared" si="882"/>
        <v>0</v>
      </c>
      <c r="GU491" s="1">
        <f t="shared" si="883"/>
        <v>94.18</v>
      </c>
      <c r="GV491" s="1">
        <f t="shared" si="884"/>
        <v>62.17</v>
      </c>
      <c r="GW491" s="37">
        <f t="shared" si="809"/>
        <v>0</v>
      </c>
      <c r="GX491" s="37"/>
      <c r="GY491" s="37"/>
      <c r="GZ491" s="37"/>
      <c r="HB491" s="1">
        <f t="shared" si="885"/>
        <v>0</v>
      </c>
      <c r="HC491" s="1">
        <f t="shared" si="886"/>
        <v>0</v>
      </c>
      <c r="HD491" s="37" t="s">
        <v>2</v>
      </c>
      <c r="HE491" s="1" t="s">
        <v>113</v>
      </c>
      <c r="HF491" s="1" t="s">
        <v>375</v>
      </c>
      <c r="HI491" s="1" t="s">
        <v>96</v>
      </c>
      <c r="HJ491" s="37" t="s">
        <v>2</v>
      </c>
      <c r="JH491" s="58" t="s">
        <v>2</v>
      </c>
    </row>
    <row r="492" spans="1:268" ht="16.25" customHeight="1" x14ac:dyDescent="0.2">
      <c r="A492" s="15" t="s">
        <v>452</v>
      </c>
      <c r="B492" s="1" t="s">
        <v>69</v>
      </c>
      <c r="E492" s="1" t="s">
        <v>65</v>
      </c>
      <c r="F492" s="1" t="s">
        <v>453</v>
      </c>
      <c r="H492" s="1" t="s">
        <v>70</v>
      </c>
      <c r="I492" s="1">
        <v>0</v>
      </c>
      <c r="AD492" s="1">
        <v>3.9</v>
      </c>
      <c r="AE492" s="1">
        <v>0.6</v>
      </c>
      <c r="AL492" s="1">
        <v>0.8</v>
      </c>
      <c r="AM492" s="1">
        <v>0.04</v>
      </c>
      <c r="AY492" s="1">
        <v>0.4</v>
      </c>
      <c r="AZ492" s="1">
        <v>0.3</v>
      </c>
      <c r="BG492" s="1">
        <v>0.6</v>
      </c>
      <c r="BH492" s="1">
        <v>0.03</v>
      </c>
      <c r="BT492" s="1">
        <v>0</v>
      </c>
      <c r="CO492" s="1">
        <v>0</v>
      </c>
      <c r="DJ492" s="1" t="s">
        <v>96</v>
      </c>
      <c r="DK492" s="1" t="s">
        <v>96</v>
      </c>
      <c r="DL492" s="1">
        <f t="shared" si="802"/>
        <v>0.7813953488372094</v>
      </c>
      <c r="DM492" s="1">
        <f t="shared" si="803"/>
        <v>3.906976744186047E-2</v>
      </c>
      <c r="DN492" s="1" t="s">
        <v>148</v>
      </c>
      <c r="DO492" s="1" t="s">
        <v>2</v>
      </c>
      <c r="DP492" s="38">
        <f t="shared" si="810"/>
        <v>2.46E-2</v>
      </c>
      <c r="DQ492" s="38">
        <f t="shared" si="811"/>
        <v>0</v>
      </c>
      <c r="DR492" s="38">
        <f t="shared" si="812"/>
        <v>0</v>
      </c>
      <c r="DS492" s="38">
        <f t="shared" si="813"/>
        <v>0</v>
      </c>
      <c r="DT492" s="38">
        <f t="shared" si="814"/>
        <v>0</v>
      </c>
      <c r="DU492" s="38">
        <f t="shared" si="815"/>
        <v>0</v>
      </c>
      <c r="DV492" s="38">
        <f t="shared" si="816"/>
        <v>0</v>
      </c>
      <c r="DW492" s="38">
        <f t="shared" si="817"/>
        <v>3.3600000000000005E-2</v>
      </c>
      <c r="DX492" s="38">
        <f t="shared" si="818"/>
        <v>1.6800000000000001E-3</v>
      </c>
      <c r="DY492" s="38">
        <f t="shared" si="819"/>
        <v>0</v>
      </c>
      <c r="DZ492" s="38">
        <f t="shared" si="820"/>
        <v>0</v>
      </c>
      <c r="EA492" s="38">
        <f t="shared" si="821"/>
        <v>0</v>
      </c>
      <c r="EB492" s="38">
        <f t="shared" si="822"/>
        <v>0</v>
      </c>
      <c r="EC492" s="38">
        <f t="shared" si="823"/>
        <v>0</v>
      </c>
      <c r="ED492" s="38">
        <f t="shared" si="824"/>
        <v>0</v>
      </c>
      <c r="EE492" s="38">
        <f t="shared" si="825"/>
        <v>0</v>
      </c>
      <c r="EG492" s="38">
        <f t="shared" si="826"/>
        <v>0</v>
      </c>
      <c r="EH492" s="38">
        <f t="shared" si="827"/>
        <v>0</v>
      </c>
      <c r="EI492" s="38">
        <f t="shared" si="828"/>
        <v>160.53015360000001</v>
      </c>
      <c r="EJ492" s="38">
        <f t="shared" si="829"/>
        <v>0</v>
      </c>
      <c r="EK492" s="38">
        <f t="shared" si="830"/>
        <v>0</v>
      </c>
      <c r="EL492" s="38">
        <f t="shared" si="831"/>
        <v>0</v>
      </c>
      <c r="EM492" s="38">
        <f t="shared" si="832"/>
        <v>0</v>
      </c>
      <c r="EN492" s="38">
        <f t="shared" si="833"/>
        <v>0</v>
      </c>
      <c r="EO492" s="38">
        <f t="shared" si="834"/>
        <v>0</v>
      </c>
      <c r="EP492" s="38">
        <f t="shared" si="835"/>
        <v>440.63040000000007</v>
      </c>
      <c r="EQ492" s="38">
        <f t="shared" si="836"/>
        <v>122.00080031999998</v>
      </c>
      <c r="ER492" s="38">
        <f t="shared" si="837"/>
        <v>0</v>
      </c>
      <c r="ES492" s="38">
        <f t="shared" si="838"/>
        <v>0</v>
      </c>
      <c r="ET492" s="38">
        <f t="shared" si="839"/>
        <v>0</v>
      </c>
      <c r="EU492" s="38">
        <f t="shared" si="840"/>
        <v>0</v>
      </c>
      <c r="EV492" s="38">
        <f t="shared" si="841"/>
        <v>0</v>
      </c>
      <c r="EW492" s="38">
        <f t="shared" si="842"/>
        <v>0</v>
      </c>
      <c r="EX492" s="38">
        <f t="shared" si="843"/>
        <v>0</v>
      </c>
      <c r="EZ492" s="38">
        <f t="shared" si="844"/>
        <v>0</v>
      </c>
      <c r="FA492" s="38">
        <f t="shared" si="845"/>
        <v>0</v>
      </c>
      <c r="FB492" s="1">
        <f t="shared" si="846"/>
        <v>0</v>
      </c>
      <c r="FC492" s="1">
        <f t="shared" si="847"/>
        <v>0</v>
      </c>
      <c r="FD492" s="1">
        <f t="shared" si="848"/>
        <v>0</v>
      </c>
      <c r="FE492" s="1">
        <f t="shared" si="849"/>
        <v>0</v>
      </c>
      <c r="FF492" s="1">
        <f t="shared" si="850"/>
        <v>0</v>
      </c>
      <c r="FG492" s="1">
        <f t="shared" si="851"/>
        <v>0</v>
      </c>
      <c r="FH492" s="1">
        <f t="shared" si="852"/>
        <v>0</v>
      </c>
      <c r="FI492" s="1">
        <f t="shared" si="853"/>
        <v>0</v>
      </c>
      <c r="FJ492" s="1">
        <f t="shared" si="854"/>
        <v>0</v>
      </c>
      <c r="FK492" s="1">
        <f t="shared" si="855"/>
        <v>0</v>
      </c>
      <c r="FL492" s="1">
        <f t="shared" si="856"/>
        <v>0</v>
      </c>
      <c r="FM492" s="1">
        <f t="shared" si="857"/>
        <v>0</v>
      </c>
      <c r="FN492" s="1">
        <f t="shared" si="858"/>
        <v>0</v>
      </c>
      <c r="FO492" s="1">
        <f t="shared" si="859"/>
        <v>0</v>
      </c>
      <c r="FP492" s="1">
        <f t="shared" si="860"/>
        <v>0</v>
      </c>
      <c r="FQ492" s="1">
        <f t="shared" si="861"/>
        <v>0</v>
      </c>
      <c r="FS492" s="1">
        <f t="shared" si="862"/>
        <v>0</v>
      </c>
      <c r="FT492" s="1">
        <f t="shared" si="863"/>
        <v>0</v>
      </c>
      <c r="FU492" s="38">
        <f t="shared" si="864"/>
        <v>0</v>
      </c>
      <c r="FV492" s="38">
        <f t="shared" si="865"/>
        <v>0</v>
      </c>
      <c r="FW492" s="38">
        <f t="shared" si="866"/>
        <v>0</v>
      </c>
      <c r="FX492" s="38">
        <f t="shared" si="867"/>
        <v>0</v>
      </c>
      <c r="FY492" s="38">
        <f t="shared" si="868"/>
        <v>0</v>
      </c>
      <c r="FZ492" s="38">
        <f t="shared" si="869"/>
        <v>0</v>
      </c>
      <c r="GA492" s="38">
        <f t="shared" si="870"/>
        <v>0</v>
      </c>
      <c r="GB492" s="38">
        <f t="shared" si="871"/>
        <v>0</v>
      </c>
      <c r="GC492" s="38">
        <f t="shared" si="872"/>
        <v>0</v>
      </c>
      <c r="GD492" s="38">
        <f t="shared" si="873"/>
        <v>0</v>
      </c>
      <c r="GE492" s="38">
        <f t="shared" si="874"/>
        <v>0</v>
      </c>
      <c r="GF492" s="38">
        <f t="shared" si="875"/>
        <v>0</v>
      </c>
      <c r="GG492" s="38">
        <f t="shared" si="876"/>
        <v>0</v>
      </c>
      <c r="GH492" s="38">
        <f t="shared" si="877"/>
        <v>0</v>
      </c>
      <c r="GI492" s="38">
        <f t="shared" si="878"/>
        <v>0</v>
      </c>
      <c r="GJ492" s="38">
        <f t="shared" si="879"/>
        <v>0</v>
      </c>
      <c r="GL492" s="38">
        <f t="shared" si="880"/>
        <v>0</v>
      </c>
      <c r="GM492" s="38">
        <f t="shared" si="881"/>
        <v>0</v>
      </c>
      <c r="GN492" s="1" t="s">
        <v>2</v>
      </c>
      <c r="GO492" s="1">
        <f t="shared" si="804"/>
        <v>4.3</v>
      </c>
      <c r="GP492" s="13">
        <f t="shared" si="805"/>
        <v>0.7813953488372094</v>
      </c>
      <c r="GQ492" s="41">
        <f t="shared" si="806"/>
        <v>33.6</v>
      </c>
      <c r="GR492" s="41">
        <f t="shared" si="807"/>
        <v>723.16135392000001</v>
      </c>
      <c r="GS492" s="14">
        <f t="shared" si="808"/>
        <v>168.17705905116281</v>
      </c>
      <c r="GT492" s="1">
        <f t="shared" si="882"/>
        <v>0</v>
      </c>
      <c r="GU492" s="1">
        <f t="shared" si="883"/>
        <v>31.2</v>
      </c>
      <c r="GV492" s="1">
        <f t="shared" si="884"/>
        <v>2.4</v>
      </c>
      <c r="GW492" s="37">
        <f t="shared" si="809"/>
        <v>0</v>
      </c>
      <c r="GX492" s="37"/>
      <c r="GY492" s="37"/>
      <c r="GZ492" s="37"/>
      <c r="HB492" s="1">
        <f t="shared" si="885"/>
        <v>0</v>
      </c>
      <c r="HC492" s="1">
        <f t="shared" si="886"/>
        <v>0</v>
      </c>
      <c r="HD492" s="37" t="s">
        <v>2</v>
      </c>
      <c r="HE492" s="1" t="s">
        <v>113</v>
      </c>
      <c r="HF492" s="1" t="s">
        <v>375</v>
      </c>
      <c r="HI492" s="1" t="s">
        <v>96</v>
      </c>
      <c r="HJ492" s="37" t="s">
        <v>2</v>
      </c>
      <c r="JH492" s="58" t="s">
        <v>2</v>
      </c>
    </row>
    <row r="493" spans="1:268" ht="16.25" customHeight="1" x14ac:dyDescent="0.2">
      <c r="A493" s="15" t="s">
        <v>723</v>
      </c>
      <c r="B493" s="1" t="s">
        <v>69</v>
      </c>
      <c r="F493" s="1" t="s">
        <v>706</v>
      </c>
      <c r="I493" s="1">
        <v>0</v>
      </c>
      <c r="AD493" s="1">
        <v>4.2789999999999999</v>
      </c>
      <c r="AL493" s="1">
        <v>0.875</v>
      </c>
      <c r="AY493" s="1">
        <v>1.01</v>
      </c>
      <c r="BG493" s="1">
        <v>0.83899999999999997</v>
      </c>
      <c r="BT493" s="1">
        <v>0</v>
      </c>
      <c r="CO493" s="1">
        <v>0</v>
      </c>
      <c r="DJ493" s="1" t="s">
        <v>96</v>
      </c>
      <c r="DL493" s="1">
        <f t="shared" si="802"/>
        <v>0.86812535450935913</v>
      </c>
      <c r="DM493" s="1">
        <f t="shared" si="803"/>
        <v>0</v>
      </c>
      <c r="DN493" s="1" t="s">
        <v>724</v>
      </c>
      <c r="DO493" s="1" t="s">
        <v>2</v>
      </c>
      <c r="DP493" s="38">
        <f t="shared" si="810"/>
        <v>0</v>
      </c>
      <c r="DQ493" s="38">
        <f t="shared" si="811"/>
        <v>0</v>
      </c>
      <c r="DR493" s="38">
        <f t="shared" si="812"/>
        <v>0</v>
      </c>
      <c r="DS493" s="38">
        <f t="shared" si="813"/>
        <v>0</v>
      </c>
      <c r="DT493" s="38">
        <f t="shared" si="814"/>
        <v>0</v>
      </c>
      <c r="DU493" s="38">
        <f t="shared" si="815"/>
        <v>0</v>
      </c>
      <c r="DV493" s="38">
        <f t="shared" si="816"/>
        <v>0</v>
      </c>
      <c r="DW493" s="38">
        <f t="shared" si="817"/>
        <v>4.5915150000000002E-2</v>
      </c>
      <c r="DX493" s="38">
        <f t="shared" si="818"/>
        <v>0</v>
      </c>
      <c r="DY493" s="38">
        <f t="shared" si="819"/>
        <v>0</v>
      </c>
      <c r="DZ493" s="38">
        <f t="shared" si="820"/>
        <v>0</v>
      </c>
      <c r="EA493" s="38">
        <f t="shared" si="821"/>
        <v>0</v>
      </c>
      <c r="EB493" s="38">
        <f t="shared" si="822"/>
        <v>0</v>
      </c>
      <c r="EC493" s="38">
        <f t="shared" si="823"/>
        <v>0</v>
      </c>
      <c r="ED493" s="38">
        <f t="shared" si="824"/>
        <v>0</v>
      </c>
      <c r="EE493" s="38">
        <f t="shared" si="825"/>
        <v>0</v>
      </c>
      <c r="EG493" s="38">
        <f t="shared" si="826"/>
        <v>0</v>
      </c>
      <c r="EH493" s="38">
        <f t="shared" si="827"/>
        <v>0</v>
      </c>
      <c r="EI493" s="38">
        <f t="shared" si="828"/>
        <v>0</v>
      </c>
      <c r="EJ493" s="38">
        <f t="shared" si="829"/>
        <v>0</v>
      </c>
      <c r="EK493" s="38">
        <f t="shared" si="830"/>
        <v>0</v>
      </c>
      <c r="EL493" s="38">
        <f t="shared" si="831"/>
        <v>0</v>
      </c>
      <c r="EM493" s="38">
        <f t="shared" si="832"/>
        <v>0</v>
      </c>
      <c r="EN493" s="38">
        <f t="shared" si="833"/>
        <v>0</v>
      </c>
      <c r="EO493" s="38">
        <f t="shared" si="834"/>
        <v>0</v>
      </c>
      <c r="EP493" s="38">
        <f t="shared" si="835"/>
        <v>602.13127710000003</v>
      </c>
      <c r="EQ493" s="38">
        <f t="shared" si="836"/>
        <v>0</v>
      </c>
      <c r="ER493" s="38">
        <f t="shared" si="837"/>
        <v>0</v>
      </c>
      <c r="ES493" s="38">
        <f t="shared" si="838"/>
        <v>0</v>
      </c>
      <c r="ET493" s="38">
        <f t="shared" si="839"/>
        <v>0</v>
      </c>
      <c r="EU493" s="38">
        <f t="shared" si="840"/>
        <v>0</v>
      </c>
      <c r="EV493" s="38">
        <f t="shared" si="841"/>
        <v>0</v>
      </c>
      <c r="EW493" s="38">
        <f t="shared" si="842"/>
        <v>0</v>
      </c>
      <c r="EX493" s="38">
        <f t="shared" si="843"/>
        <v>0</v>
      </c>
      <c r="EZ493" s="38">
        <f t="shared" si="844"/>
        <v>0</v>
      </c>
      <c r="FA493" s="38">
        <f t="shared" si="845"/>
        <v>0</v>
      </c>
      <c r="FB493" s="1">
        <f t="shared" si="846"/>
        <v>0</v>
      </c>
      <c r="FC493" s="1">
        <f t="shared" si="847"/>
        <v>0</v>
      </c>
      <c r="FD493" s="1">
        <f t="shared" si="848"/>
        <v>0</v>
      </c>
      <c r="FE493" s="1">
        <f t="shared" si="849"/>
        <v>0</v>
      </c>
      <c r="FF493" s="1">
        <f t="shared" si="850"/>
        <v>0</v>
      </c>
      <c r="FG493" s="1">
        <f t="shared" si="851"/>
        <v>0</v>
      </c>
      <c r="FH493" s="1">
        <f t="shared" si="852"/>
        <v>0</v>
      </c>
      <c r="FI493" s="1">
        <f t="shared" si="853"/>
        <v>0</v>
      </c>
      <c r="FJ493" s="1">
        <f t="shared" si="854"/>
        <v>0</v>
      </c>
      <c r="FK493" s="1">
        <f t="shared" si="855"/>
        <v>0</v>
      </c>
      <c r="FL493" s="1">
        <f t="shared" si="856"/>
        <v>0</v>
      </c>
      <c r="FM493" s="1">
        <f t="shared" si="857"/>
        <v>0</v>
      </c>
      <c r="FN493" s="1">
        <f t="shared" si="858"/>
        <v>0</v>
      </c>
      <c r="FO493" s="1">
        <f t="shared" si="859"/>
        <v>0</v>
      </c>
      <c r="FP493" s="1">
        <f t="shared" si="860"/>
        <v>0</v>
      </c>
      <c r="FQ493" s="1">
        <f t="shared" si="861"/>
        <v>0</v>
      </c>
      <c r="FS493" s="1">
        <f t="shared" si="862"/>
        <v>0</v>
      </c>
      <c r="FT493" s="1">
        <f t="shared" si="863"/>
        <v>0</v>
      </c>
      <c r="FU493" s="38">
        <f t="shared" si="864"/>
        <v>0</v>
      </c>
      <c r="FV493" s="38">
        <f t="shared" si="865"/>
        <v>0</v>
      </c>
      <c r="FW493" s="38">
        <f t="shared" si="866"/>
        <v>0</v>
      </c>
      <c r="FX493" s="38">
        <f t="shared" si="867"/>
        <v>0</v>
      </c>
      <c r="FY493" s="38">
        <f t="shared" si="868"/>
        <v>0</v>
      </c>
      <c r="FZ493" s="38">
        <f t="shared" si="869"/>
        <v>0</v>
      </c>
      <c r="GA493" s="38">
        <f t="shared" si="870"/>
        <v>0</v>
      </c>
      <c r="GB493" s="38">
        <f t="shared" si="871"/>
        <v>0</v>
      </c>
      <c r="GC493" s="38">
        <f t="shared" si="872"/>
        <v>0</v>
      </c>
      <c r="GD493" s="38">
        <f t="shared" si="873"/>
        <v>0</v>
      </c>
      <c r="GE493" s="38">
        <f t="shared" si="874"/>
        <v>0</v>
      </c>
      <c r="GF493" s="38">
        <f t="shared" si="875"/>
        <v>0</v>
      </c>
      <c r="GG493" s="38">
        <f t="shared" si="876"/>
        <v>0</v>
      </c>
      <c r="GH493" s="38">
        <f t="shared" si="877"/>
        <v>0</v>
      </c>
      <c r="GI493" s="38">
        <f t="shared" si="878"/>
        <v>0</v>
      </c>
      <c r="GJ493" s="38">
        <f t="shared" si="879"/>
        <v>0</v>
      </c>
      <c r="GL493" s="38">
        <f t="shared" si="880"/>
        <v>0</v>
      </c>
      <c r="GM493" s="38">
        <f t="shared" si="881"/>
        <v>0</v>
      </c>
      <c r="GN493" s="1" t="s">
        <v>2</v>
      </c>
      <c r="GO493" s="1">
        <f t="shared" si="804"/>
        <v>5.2889999999999997</v>
      </c>
      <c r="GP493" s="13">
        <f t="shared" si="805"/>
        <v>0.86812535450935913</v>
      </c>
      <c r="GQ493" s="41">
        <f t="shared" si="806"/>
        <v>45.915150000000004</v>
      </c>
      <c r="GR493" s="41">
        <f t="shared" si="807"/>
        <v>602.13127710000003</v>
      </c>
      <c r="GS493" s="14">
        <f t="shared" si="808"/>
        <v>113.84595899035736</v>
      </c>
      <c r="GT493" s="1">
        <f t="shared" si="882"/>
        <v>0</v>
      </c>
      <c r="GU493" s="1">
        <f t="shared" si="883"/>
        <v>37.441249999999997</v>
      </c>
      <c r="GV493" s="1">
        <f t="shared" si="884"/>
        <v>8.4739000000000004</v>
      </c>
      <c r="GW493" s="37">
        <f t="shared" si="809"/>
        <v>0</v>
      </c>
      <c r="GX493" s="37"/>
      <c r="GY493" s="37"/>
      <c r="GZ493" s="37"/>
      <c r="HB493" s="1">
        <f t="shared" si="885"/>
        <v>0</v>
      </c>
      <c r="HC493" s="1">
        <f t="shared" si="886"/>
        <v>0</v>
      </c>
      <c r="HD493" s="37" t="s">
        <v>2</v>
      </c>
      <c r="HE493" s="1" t="s">
        <v>113</v>
      </c>
      <c r="HF493" s="1" t="s">
        <v>375</v>
      </c>
      <c r="HI493" s="1" t="s">
        <v>96</v>
      </c>
      <c r="HJ493" s="37" t="s">
        <v>2</v>
      </c>
      <c r="JH493" s="58" t="s">
        <v>2</v>
      </c>
    </row>
    <row r="494" spans="1:268" ht="16.25" customHeight="1" x14ac:dyDescent="0.2">
      <c r="A494" s="15" t="s">
        <v>725</v>
      </c>
      <c r="B494" s="1" t="s">
        <v>69</v>
      </c>
      <c r="F494" s="1" t="s">
        <v>706</v>
      </c>
      <c r="I494" s="1">
        <v>9.0530000000000008</v>
      </c>
      <c r="Q494" s="13">
        <f>0.47*(58.69/(58.69+32.07))</f>
        <v>0.30392573821066549</v>
      </c>
      <c r="AD494" s="1">
        <v>35.332999999999998</v>
      </c>
      <c r="AL494" s="13">
        <f>0.47*(58.69/(58.69+32.07))</f>
        <v>0.30392573821066549</v>
      </c>
      <c r="AY494" s="1">
        <v>11.811999999999999</v>
      </c>
      <c r="BG494" s="13">
        <f>0.47*(58.69/(58.69+32.07))</f>
        <v>0.30392573821066549</v>
      </c>
      <c r="BT494" s="1">
        <v>0</v>
      </c>
      <c r="CO494" s="1">
        <v>0</v>
      </c>
      <c r="DJ494" s="1" t="s">
        <v>96</v>
      </c>
      <c r="DL494" s="1">
        <f t="shared" si="802"/>
        <v>0.30392573821066554</v>
      </c>
      <c r="DM494" s="1">
        <f t="shared" si="803"/>
        <v>0</v>
      </c>
      <c r="DN494" s="1" t="s">
        <v>726</v>
      </c>
      <c r="DO494" s="1" t="s">
        <v>2</v>
      </c>
      <c r="DP494" s="38">
        <f t="shared" si="810"/>
        <v>0</v>
      </c>
      <c r="DQ494" s="38">
        <f t="shared" si="811"/>
        <v>0</v>
      </c>
      <c r="DR494" s="38">
        <f t="shared" si="812"/>
        <v>0</v>
      </c>
      <c r="DS494" s="38">
        <f t="shared" si="813"/>
        <v>0</v>
      </c>
      <c r="DT494" s="38">
        <f t="shared" si="814"/>
        <v>0</v>
      </c>
      <c r="DU494" s="38">
        <f t="shared" si="815"/>
        <v>0</v>
      </c>
      <c r="DV494" s="38">
        <f t="shared" si="816"/>
        <v>0</v>
      </c>
      <c r="DW494" s="38">
        <f t="shared" si="817"/>
        <v>0.17080018635962979</v>
      </c>
      <c r="DX494" s="38">
        <f t="shared" si="818"/>
        <v>0</v>
      </c>
      <c r="DY494" s="38">
        <f t="shared" si="819"/>
        <v>0</v>
      </c>
      <c r="DZ494" s="38">
        <f t="shared" si="820"/>
        <v>0</v>
      </c>
      <c r="EA494" s="38">
        <f t="shared" si="821"/>
        <v>0</v>
      </c>
      <c r="EB494" s="38">
        <f t="shared" si="822"/>
        <v>0</v>
      </c>
      <c r="EC494" s="38">
        <f t="shared" si="823"/>
        <v>0</v>
      </c>
      <c r="ED494" s="38">
        <f t="shared" si="824"/>
        <v>0</v>
      </c>
      <c r="EE494" s="38">
        <f t="shared" si="825"/>
        <v>0</v>
      </c>
      <c r="EG494" s="38">
        <f t="shared" si="826"/>
        <v>0</v>
      </c>
      <c r="EH494" s="38">
        <f t="shared" si="827"/>
        <v>0</v>
      </c>
      <c r="EI494" s="38">
        <f t="shared" si="828"/>
        <v>0</v>
      </c>
      <c r="EJ494" s="38">
        <f t="shared" si="829"/>
        <v>0</v>
      </c>
      <c r="EK494" s="38">
        <f t="shared" si="830"/>
        <v>0</v>
      </c>
      <c r="EL494" s="38">
        <f t="shared" si="831"/>
        <v>0</v>
      </c>
      <c r="EM494" s="38">
        <f t="shared" si="832"/>
        <v>0</v>
      </c>
      <c r="EN494" s="38">
        <f t="shared" si="833"/>
        <v>0</v>
      </c>
      <c r="EO494" s="38">
        <f t="shared" si="834"/>
        <v>0</v>
      </c>
      <c r="EP494" s="38">
        <f t="shared" si="835"/>
        <v>2239.8736439201853</v>
      </c>
      <c r="EQ494" s="38">
        <f t="shared" si="836"/>
        <v>0</v>
      </c>
      <c r="ER494" s="38">
        <f t="shared" si="837"/>
        <v>0</v>
      </c>
      <c r="ES494" s="38">
        <f t="shared" si="838"/>
        <v>0</v>
      </c>
      <c r="ET494" s="38">
        <f t="shared" si="839"/>
        <v>0</v>
      </c>
      <c r="EU494" s="38">
        <f t="shared" si="840"/>
        <v>0</v>
      </c>
      <c r="EV494" s="38">
        <f t="shared" si="841"/>
        <v>0</v>
      </c>
      <c r="EW494" s="38">
        <f t="shared" si="842"/>
        <v>0</v>
      </c>
      <c r="EX494" s="38">
        <f t="shared" si="843"/>
        <v>0</v>
      </c>
      <c r="EZ494" s="38">
        <f t="shared" si="844"/>
        <v>0</v>
      </c>
      <c r="FA494" s="38">
        <f t="shared" si="845"/>
        <v>0</v>
      </c>
      <c r="FB494" s="1">
        <f t="shared" si="846"/>
        <v>0</v>
      </c>
      <c r="FC494" s="1">
        <f t="shared" si="847"/>
        <v>0</v>
      </c>
      <c r="FD494" s="1">
        <f t="shared" si="848"/>
        <v>0</v>
      </c>
      <c r="FE494" s="1">
        <f t="shared" si="849"/>
        <v>0</v>
      </c>
      <c r="FF494" s="1">
        <f t="shared" si="850"/>
        <v>0</v>
      </c>
      <c r="FG494" s="1">
        <f t="shared" si="851"/>
        <v>0</v>
      </c>
      <c r="FH494" s="1">
        <f t="shared" si="852"/>
        <v>0</v>
      </c>
      <c r="FI494" s="1">
        <f t="shared" si="853"/>
        <v>0</v>
      </c>
      <c r="FJ494" s="1">
        <f t="shared" si="854"/>
        <v>0</v>
      </c>
      <c r="FK494" s="1">
        <f t="shared" si="855"/>
        <v>0</v>
      </c>
      <c r="FL494" s="1">
        <f t="shared" si="856"/>
        <v>0</v>
      </c>
      <c r="FM494" s="1">
        <f t="shared" si="857"/>
        <v>0</v>
      </c>
      <c r="FN494" s="1">
        <f t="shared" si="858"/>
        <v>0</v>
      </c>
      <c r="FO494" s="1">
        <f t="shared" si="859"/>
        <v>0</v>
      </c>
      <c r="FP494" s="1">
        <f t="shared" si="860"/>
        <v>0</v>
      </c>
      <c r="FQ494" s="1">
        <f t="shared" si="861"/>
        <v>0</v>
      </c>
      <c r="FS494" s="1">
        <f t="shared" si="862"/>
        <v>0</v>
      </c>
      <c r="FT494" s="1">
        <f t="shared" si="863"/>
        <v>0</v>
      </c>
      <c r="FU494" s="38">
        <f t="shared" si="864"/>
        <v>0</v>
      </c>
      <c r="FV494" s="38">
        <f t="shared" si="865"/>
        <v>0</v>
      </c>
      <c r="FW494" s="38">
        <f t="shared" si="866"/>
        <v>0</v>
      </c>
      <c r="FX494" s="38">
        <f t="shared" si="867"/>
        <v>0</v>
      </c>
      <c r="FY494" s="38">
        <f t="shared" si="868"/>
        <v>0</v>
      </c>
      <c r="FZ494" s="38">
        <f t="shared" si="869"/>
        <v>0</v>
      </c>
      <c r="GA494" s="38">
        <f t="shared" si="870"/>
        <v>0</v>
      </c>
      <c r="GB494" s="38">
        <f t="shared" si="871"/>
        <v>0</v>
      </c>
      <c r="GC494" s="38">
        <f t="shared" si="872"/>
        <v>0</v>
      </c>
      <c r="GD494" s="38">
        <f t="shared" si="873"/>
        <v>0</v>
      </c>
      <c r="GE494" s="38">
        <f t="shared" si="874"/>
        <v>0</v>
      </c>
      <c r="GF494" s="38">
        <f t="shared" si="875"/>
        <v>0</v>
      </c>
      <c r="GG494" s="38">
        <f t="shared" si="876"/>
        <v>0</v>
      </c>
      <c r="GH494" s="38">
        <f t="shared" si="877"/>
        <v>0</v>
      </c>
      <c r="GI494" s="38">
        <f t="shared" si="878"/>
        <v>0</v>
      </c>
      <c r="GJ494" s="38">
        <f t="shared" si="879"/>
        <v>0</v>
      </c>
      <c r="GL494" s="38">
        <f t="shared" si="880"/>
        <v>0</v>
      </c>
      <c r="GM494" s="38">
        <f t="shared" si="881"/>
        <v>0</v>
      </c>
      <c r="GN494" s="1" t="s">
        <v>2</v>
      </c>
      <c r="GO494" s="13">
        <f t="shared" si="804"/>
        <v>56.197999999999993</v>
      </c>
      <c r="GP494" s="13">
        <f t="shared" si="805"/>
        <v>0.30392573821066554</v>
      </c>
      <c r="GQ494" s="41">
        <f t="shared" si="806"/>
        <v>170.80018635962981</v>
      </c>
      <c r="GR494" s="41">
        <f t="shared" si="807"/>
        <v>2239.8736439201853</v>
      </c>
      <c r="GS494" s="14">
        <f t="shared" si="808"/>
        <v>39.856821308946678</v>
      </c>
      <c r="GT494" s="1">
        <f t="shared" si="882"/>
        <v>27.514397080211552</v>
      </c>
      <c r="GU494" s="1">
        <f t="shared" si="883"/>
        <v>107.38608108197442</v>
      </c>
      <c r="GV494" s="1">
        <f t="shared" si="884"/>
        <v>35.899708197443807</v>
      </c>
      <c r="GW494" s="37">
        <f t="shared" si="809"/>
        <v>0</v>
      </c>
      <c r="GX494" s="37"/>
      <c r="GY494" s="37"/>
      <c r="GZ494" s="37"/>
      <c r="HB494" s="1">
        <f t="shared" si="885"/>
        <v>0</v>
      </c>
      <c r="HC494" s="1">
        <f t="shared" si="886"/>
        <v>0</v>
      </c>
      <c r="HD494" s="37" t="s">
        <v>2</v>
      </c>
      <c r="HE494" s="1" t="s">
        <v>113</v>
      </c>
      <c r="HF494" s="1" t="s">
        <v>375</v>
      </c>
      <c r="HI494" s="1" t="s">
        <v>96</v>
      </c>
      <c r="HJ494" s="37" t="s">
        <v>2</v>
      </c>
      <c r="JH494" s="58" t="s">
        <v>2</v>
      </c>
    </row>
    <row r="495" spans="1:268" ht="16.25" customHeight="1" x14ac:dyDescent="0.2">
      <c r="A495" s="15" t="s">
        <v>1163</v>
      </c>
      <c r="B495" s="1" t="s">
        <v>69</v>
      </c>
      <c r="F495" s="1" t="s">
        <v>131</v>
      </c>
      <c r="I495" s="1">
        <v>0</v>
      </c>
      <c r="AD495" s="1">
        <v>0</v>
      </c>
      <c r="AY495" s="1">
        <v>0.64500000000000002</v>
      </c>
      <c r="AZ495" s="1">
        <v>0.66</v>
      </c>
      <c r="BA495" s="1">
        <v>0.65</v>
      </c>
      <c r="BG495" s="1">
        <v>1.33</v>
      </c>
      <c r="BH495" s="1">
        <v>0.09</v>
      </c>
      <c r="BI495" s="1">
        <v>0.2</v>
      </c>
      <c r="BJ495" s="1">
        <v>0.68</v>
      </c>
      <c r="BT495" s="1">
        <v>0</v>
      </c>
      <c r="CO495" s="1">
        <v>0</v>
      </c>
      <c r="DJ495" s="1" t="s">
        <v>96</v>
      </c>
      <c r="DK495" s="1" t="s">
        <v>96</v>
      </c>
      <c r="DL495" s="1">
        <f t="shared" si="802"/>
        <v>1.33</v>
      </c>
      <c r="DM495" s="1">
        <f t="shared" si="803"/>
        <v>0.09</v>
      </c>
      <c r="DN495" s="1" t="s">
        <v>1079</v>
      </c>
      <c r="DO495" s="1" t="s">
        <v>2</v>
      </c>
      <c r="DP495" s="38">
        <f t="shared" si="810"/>
        <v>4.2570000000000004E-3</v>
      </c>
      <c r="DQ495" s="38">
        <f t="shared" si="811"/>
        <v>0.41925000000000001</v>
      </c>
      <c r="DR495" s="38">
        <f t="shared" si="812"/>
        <v>0</v>
      </c>
      <c r="DS495" s="38">
        <f t="shared" si="813"/>
        <v>0</v>
      </c>
      <c r="DT495" s="38">
        <f t="shared" si="814"/>
        <v>0</v>
      </c>
      <c r="DU495" s="38">
        <f t="shared" si="815"/>
        <v>0</v>
      </c>
      <c r="DV495" s="38">
        <f t="shared" si="816"/>
        <v>0</v>
      </c>
      <c r="DW495" s="38">
        <f t="shared" si="817"/>
        <v>8.5785000000000011E-3</v>
      </c>
      <c r="DX495" s="38">
        <f t="shared" si="818"/>
        <v>5.8049999999999996E-4</v>
      </c>
      <c r="DY495" s="38">
        <f t="shared" si="819"/>
        <v>0.129</v>
      </c>
      <c r="DZ495" s="38">
        <f t="shared" si="820"/>
        <v>0.43860000000000005</v>
      </c>
      <c r="EA495" s="38">
        <f t="shared" si="821"/>
        <v>0</v>
      </c>
      <c r="EB495" s="38">
        <f t="shared" si="822"/>
        <v>0</v>
      </c>
      <c r="EC495" s="38">
        <f t="shared" si="823"/>
        <v>0</v>
      </c>
      <c r="ED495" s="38">
        <f t="shared" si="824"/>
        <v>0</v>
      </c>
      <c r="EE495" s="38">
        <f t="shared" si="825"/>
        <v>0</v>
      </c>
      <c r="EG495" s="38">
        <f t="shared" si="826"/>
        <v>0</v>
      </c>
      <c r="EH495" s="38">
        <f t="shared" si="827"/>
        <v>0</v>
      </c>
      <c r="EI495" s="38">
        <f t="shared" si="828"/>
        <v>27.779547312000002</v>
      </c>
      <c r="EJ495" s="38">
        <f t="shared" si="829"/>
        <v>17.147459807073954</v>
      </c>
      <c r="EK495" s="38">
        <f t="shared" si="830"/>
        <v>0</v>
      </c>
      <c r="EL495" s="38">
        <f t="shared" si="831"/>
        <v>0</v>
      </c>
      <c r="EM495" s="38">
        <f t="shared" si="832"/>
        <v>0</v>
      </c>
      <c r="EN495" s="38">
        <f t="shared" si="833"/>
        <v>0</v>
      </c>
      <c r="EO495" s="38">
        <f t="shared" si="834"/>
        <v>0</v>
      </c>
      <c r="EP495" s="38">
        <f t="shared" si="835"/>
        <v>112.49844900000001</v>
      </c>
      <c r="EQ495" s="38">
        <f t="shared" si="836"/>
        <v>42.155633681999994</v>
      </c>
      <c r="ER495" s="38">
        <f t="shared" si="837"/>
        <v>3.6611942122186494</v>
      </c>
      <c r="ES495" s="38">
        <f t="shared" si="838"/>
        <v>14.616662315112542</v>
      </c>
      <c r="ET495" s="38">
        <f t="shared" si="839"/>
        <v>0</v>
      </c>
      <c r="EU495" s="38">
        <f t="shared" si="840"/>
        <v>0</v>
      </c>
      <c r="EV495" s="38">
        <f t="shared" si="841"/>
        <v>0</v>
      </c>
      <c r="EW495" s="38">
        <f t="shared" si="842"/>
        <v>0</v>
      </c>
      <c r="EX495" s="38">
        <f t="shared" si="843"/>
        <v>0</v>
      </c>
      <c r="EZ495" s="38">
        <f t="shared" si="844"/>
        <v>0</v>
      </c>
      <c r="FA495" s="38">
        <f t="shared" si="845"/>
        <v>0</v>
      </c>
      <c r="FB495" s="1">
        <f t="shared" si="846"/>
        <v>0</v>
      </c>
      <c r="FC495" s="1">
        <f t="shared" si="847"/>
        <v>0</v>
      </c>
      <c r="FD495" s="1">
        <f t="shared" si="848"/>
        <v>0</v>
      </c>
      <c r="FE495" s="1">
        <f t="shared" si="849"/>
        <v>0</v>
      </c>
      <c r="FF495" s="1">
        <f t="shared" si="850"/>
        <v>0</v>
      </c>
      <c r="FG495" s="1">
        <f t="shared" si="851"/>
        <v>0</v>
      </c>
      <c r="FH495" s="1">
        <f t="shared" si="852"/>
        <v>0</v>
      </c>
      <c r="FI495" s="1">
        <f t="shared" si="853"/>
        <v>0</v>
      </c>
      <c r="FJ495" s="1">
        <f t="shared" si="854"/>
        <v>0</v>
      </c>
      <c r="FK495" s="1">
        <f t="shared" si="855"/>
        <v>0</v>
      </c>
      <c r="FL495" s="1">
        <f t="shared" si="856"/>
        <v>0</v>
      </c>
      <c r="FM495" s="1">
        <f t="shared" si="857"/>
        <v>0</v>
      </c>
      <c r="FN495" s="1">
        <f t="shared" si="858"/>
        <v>0</v>
      </c>
      <c r="FO495" s="1">
        <f t="shared" si="859"/>
        <v>0</v>
      </c>
      <c r="FP495" s="1">
        <f t="shared" si="860"/>
        <v>0</v>
      </c>
      <c r="FQ495" s="1">
        <f t="shared" si="861"/>
        <v>0</v>
      </c>
      <c r="FS495" s="1">
        <f t="shared" si="862"/>
        <v>0</v>
      </c>
      <c r="FT495" s="1">
        <f t="shared" si="863"/>
        <v>0</v>
      </c>
      <c r="FU495" s="38">
        <f t="shared" si="864"/>
        <v>0</v>
      </c>
      <c r="FV495" s="38">
        <f t="shared" si="865"/>
        <v>0</v>
      </c>
      <c r="FW495" s="38">
        <f t="shared" si="866"/>
        <v>0</v>
      </c>
      <c r="FX495" s="38">
        <f t="shared" si="867"/>
        <v>0</v>
      </c>
      <c r="FY495" s="38">
        <f t="shared" si="868"/>
        <v>0</v>
      </c>
      <c r="FZ495" s="38">
        <f t="shared" si="869"/>
        <v>0</v>
      </c>
      <c r="GA495" s="38">
        <f t="shared" si="870"/>
        <v>0</v>
      </c>
      <c r="GB495" s="38">
        <f t="shared" si="871"/>
        <v>0</v>
      </c>
      <c r="GC495" s="38">
        <f t="shared" si="872"/>
        <v>0</v>
      </c>
      <c r="GD495" s="38">
        <f t="shared" si="873"/>
        <v>0</v>
      </c>
      <c r="GE495" s="38">
        <f t="shared" si="874"/>
        <v>0</v>
      </c>
      <c r="GF495" s="38">
        <f t="shared" si="875"/>
        <v>0</v>
      </c>
      <c r="GG495" s="38">
        <f t="shared" si="876"/>
        <v>0</v>
      </c>
      <c r="GH495" s="38">
        <f t="shared" si="877"/>
        <v>0</v>
      </c>
      <c r="GI495" s="38">
        <f t="shared" si="878"/>
        <v>0</v>
      </c>
      <c r="GJ495" s="38">
        <f t="shared" si="879"/>
        <v>0</v>
      </c>
      <c r="GL495" s="38">
        <f t="shared" si="880"/>
        <v>0</v>
      </c>
      <c r="GM495" s="38">
        <f t="shared" si="881"/>
        <v>0</v>
      </c>
      <c r="GN495" s="1" t="s">
        <v>2</v>
      </c>
      <c r="GO495" s="1">
        <f t="shared" si="804"/>
        <v>0.64500000000000002</v>
      </c>
      <c r="GP495" s="1">
        <f t="shared" si="805"/>
        <v>1.33</v>
      </c>
      <c r="GQ495" s="41">
        <f t="shared" si="806"/>
        <v>8.5785</v>
      </c>
      <c r="GR495" s="41">
        <f t="shared" si="807"/>
        <v>217.85894632840515</v>
      </c>
      <c r="GS495" s="14">
        <f t="shared" si="808"/>
        <v>337.76580826109324</v>
      </c>
      <c r="GT495" s="1">
        <f t="shared" si="882"/>
        <v>0</v>
      </c>
      <c r="GU495" s="1">
        <f t="shared" si="883"/>
        <v>0</v>
      </c>
      <c r="GV495" s="1">
        <f t="shared" si="884"/>
        <v>8.5785000000000018</v>
      </c>
      <c r="GW495" s="37">
        <f t="shared" si="809"/>
        <v>0</v>
      </c>
      <c r="GX495" s="37"/>
      <c r="GY495" s="37"/>
      <c r="GZ495" s="37"/>
      <c r="HB495" s="1">
        <f t="shared" si="885"/>
        <v>0</v>
      </c>
      <c r="HC495" s="1">
        <f t="shared" si="886"/>
        <v>0</v>
      </c>
      <c r="HD495" s="37" t="s">
        <v>2</v>
      </c>
      <c r="HE495" s="1" t="s">
        <v>113</v>
      </c>
      <c r="HF495" s="1" t="s">
        <v>375</v>
      </c>
      <c r="HI495" s="1" t="s">
        <v>96</v>
      </c>
      <c r="HJ495" s="37" t="s">
        <v>2</v>
      </c>
      <c r="JH495" s="58" t="s">
        <v>2</v>
      </c>
    </row>
    <row r="496" spans="1:268" ht="16.25" customHeight="1" x14ac:dyDescent="0.2">
      <c r="A496" s="15" t="s">
        <v>1164</v>
      </c>
      <c r="B496" s="1" t="s">
        <v>69</v>
      </c>
      <c r="F496" s="1" t="s">
        <v>131</v>
      </c>
      <c r="I496" s="1">
        <v>0</v>
      </c>
      <c r="AD496" s="1">
        <v>0</v>
      </c>
      <c r="AY496" s="1">
        <v>1.139</v>
      </c>
      <c r="AZ496" s="1">
        <v>0.19</v>
      </c>
      <c r="BG496" s="1">
        <v>0.91</v>
      </c>
      <c r="BH496" s="1">
        <v>0.02</v>
      </c>
      <c r="BT496" s="1">
        <v>0</v>
      </c>
      <c r="CO496" s="1">
        <v>0</v>
      </c>
      <c r="DJ496" s="1" t="s">
        <v>96</v>
      </c>
      <c r="DK496" s="1" t="s">
        <v>96</v>
      </c>
      <c r="DL496" s="1">
        <f t="shared" si="802"/>
        <v>0.91000000000000014</v>
      </c>
      <c r="DM496" s="1">
        <f t="shared" si="803"/>
        <v>0.02</v>
      </c>
      <c r="DN496" s="1" t="s">
        <v>1079</v>
      </c>
      <c r="DO496" s="1" t="s">
        <v>2</v>
      </c>
      <c r="DP496" s="38">
        <f t="shared" si="810"/>
        <v>2.1641E-3</v>
      </c>
      <c r="DQ496" s="38">
        <f t="shared" si="811"/>
        <v>0</v>
      </c>
      <c r="DR496" s="38">
        <f t="shared" si="812"/>
        <v>0</v>
      </c>
      <c r="DS496" s="38">
        <f t="shared" si="813"/>
        <v>0</v>
      </c>
      <c r="DT496" s="38">
        <f t="shared" si="814"/>
        <v>0</v>
      </c>
      <c r="DU496" s="38">
        <f t="shared" si="815"/>
        <v>0</v>
      </c>
      <c r="DV496" s="38">
        <f t="shared" si="816"/>
        <v>0</v>
      </c>
      <c r="DW496" s="38">
        <f t="shared" si="817"/>
        <v>1.0364900000000002E-2</v>
      </c>
      <c r="DX496" s="38">
        <f t="shared" si="818"/>
        <v>2.2780000000000001E-4</v>
      </c>
      <c r="DY496" s="38">
        <f t="shared" si="819"/>
        <v>0</v>
      </c>
      <c r="DZ496" s="38">
        <f t="shared" si="820"/>
        <v>0</v>
      </c>
      <c r="EA496" s="38">
        <f t="shared" si="821"/>
        <v>0</v>
      </c>
      <c r="EB496" s="38">
        <f t="shared" si="822"/>
        <v>0</v>
      </c>
      <c r="EC496" s="38">
        <f t="shared" si="823"/>
        <v>0</v>
      </c>
      <c r="ED496" s="38">
        <f t="shared" si="824"/>
        <v>0</v>
      </c>
      <c r="EE496" s="38">
        <f t="shared" si="825"/>
        <v>0</v>
      </c>
      <c r="EG496" s="38">
        <f t="shared" si="826"/>
        <v>0</v>
      </c>
      <c r="EH496" s="38">
        <f t="shared" si="827"/>
        <v>0</v>
      </c>
      <c r="EI496" s="38">
        <f t="shared" si="828"/>
        <v>14.122085585599999</v>
      </c>
      <c r="EJ496" s="38">
        <f t="shared" si="829"/>
        <v>0</v>
      </c>
      <c r="EK496" s="38">
        <f t="shared" si="830"/>
        <v>0</v>
      </c>
      <c r="EL496" s="38">
        <f t="shared" si="831"/>
        <v>0</v>
      </c>
      <c r="EM496" s="38">
        <f t="shared" si="832"/>
        <v>0</v>
      </c>
      <c r="EN496" s="38">
        <f t="shared" si="833"/>
        <v>0</v>
      </c>
      <c r="EO496" s="38">
        <f t="shared" si="834"/>
        <v>0</v>
      </c>
      <c r="EP496" s="38">
        <f t="shared" si="835"/>
        <v>135.92529860000002</v>
      </c>
      <c r="EQ496" s="38">
        <f t="shared" si="836"/>
        <v>16.5427275672</v>
      </c>
      <c r="ER496" s="38">
        <f t="shared" si="837"/>
        <v>0</v>
      </c>
      <c r="ES496" s="38">
        <f t="shared" si="838"/>
        <v>0</v>
      </c>
      <c r="ET496" s="38">
        <f t="shared" si="839"/>
        <v>0</v>
      </c>
      <c r="EU496" s="38">
        <f t="shared" si="840"/>
        <v>0</v>
      </c>
      <c r="EV496" s="38">
        <f t="shared" si="841"/>
        <v>0</v>
      </c>
      <c r="EW496" s="38">
        <f t="shared" si="842"/>
        <v>0</v>
      </c>
      <c r="EX496" s="38">
        <f t="shared" si="843"/>
        <v>0</v>
      </c>
      <c r="EZ496" s="38">
        <f t="shared" si="844"/>
        <v>0</v>
      </c>
      <c r="FA496" s="38">
        <f t="shared" si="845"/>
        <v>0</v>
      </c>
      <c r="FB496" s="1">
        <f t="shared" si="846"/>
        <v>0</v>
      </c>
      <c r="FC496" s="1">
        <f t="shared" si="847"/>
        <v>0</v>
      </c>
      <c r="FD496" s="1">
        <f t="shared" si="848"/>
        <v>0</v>
      </c>
      <c r="FE496" s="1">
        <f t="shared" si="849"/>
        <v>0</v>
      </c>
      <c r="FF496" s="1">
        <f t="shared" si="850"/>
        <v>0</v>
      </c>
      <c r="FG496" s="1">
        <f t="shared" si="851"/>
        <v>0</v>
      </c>
      <c r="FH496" s="1">
        <f t="shared" si="852"/>
        <v>0</v>
      </c>
      <c r="FI496" s="1">
        <f t="shared" si="853"/>
        <v>0</v>
      </c>
      <c r="FJ496" s="1">
        <f t="shared" si="854"/>
        <v>0</v>
      </c>
      <c r="FK496" s="1">
        <f t="shared" si="855"/>
        <v>0</v>
      </c>
      <c r="FL496" s="1">
        <f t="shared" si="856"/>
        <v>0</v>
      </c>
      <c r="FM496" s="1">
        <f t="shared" si="857"/>
        <v>0</v>
      </c>
      <c r="FN496" s="1">
        <f t="shared" si="858"/>
        <v>0</v>
      </c>
      <c r="FO496" s="1">
        <f t="shared" si="859"/>
        <v>0</v>
      </c>
      <c r="FP496" s="1">
        <f t="shared" si="860"/>
        <v>0</v>
      </c>
      <c r="FQ496" s="1">
        <f t="shared" si="861"/>
        <v>0</v>
      </c>
      <c r="FS496" s="1">
        <f t="shared" si="862"/>
        <v>0</v>
      </c>
      <c r="FT496" s="1">
        <f t="shared" si="863"/>
        <v>0</v>
      </c>
      <c r="FU496" s="38">
        <f t="shared" si="864"/>
        <v>0</v>
      </c>
      <c r="FV496" s="38">
        <f t="shared" si="865"/>
        <v>0</v>
      </c>
      <c r="FW496" s="38">
        <f t="shared" si="866"/>
        <v>0</v>
      </c>
      <c r="FX496" s="38">
        <f t="shared" si="867"/>
        <v>0</v>
      </c>
      <c r="FY496" s="38">
        <f t="shared" si="868"/>
        <v>0</v>
      </c>
      <c r="FZ496" s="38">
        <f t="shared" si="869"/>
        <v>0</v>
      </c>
      <c r="GA496" s="38">
        <f t="shared" si="870"/>
        <v>0</v>
      </c>
      <c r="GB496" s="38">
        <f t="shared" si="871"/>
        <v>0</v>
      </c>
      <c r="GC496" s="38">
        <f t="shared" si="872"/>
        <v>0</v>
      </c>
      <c r="GD496" s="38">
        <f t="shared" si="873"/>
        <v>0</v>
      </c>
      <c r="GE496" s="38">
        <f t="shared" si="874"/>
        <v>0</v>
      </c>
      <c r="GF496" s="38">
        <f t="shared" si="875"/>
        <v>0</v>
      </c>
      <c r="GG496" s="38">
        <f t="shared" si="876"/>
        <v>0</v>
      </c>
      <c r="GH496" s="38">
        <f t="shared" si="877"/>
        <v>0</v>
      </c>
      <c r="GI496" s="38">
        <f t="shared" si="878"/>
        <v>0</v>
      </c>
      <c r="GJ496" s="38">
        <f t="shared" si="879"/>
        <v>0</v>
      </c>
      <c r="GL496" s="38">
        <f t="shared" si="880"/>
        <v>0</v>
      </c>
      <c r="GM496" s="38">
        <f t="shared" si="881"/>
        <v>0</v>
      </c>
      <c r="GN496" s="1" t="s">
        <v>2</v>
      </c>
      <c r="GO496" s="1">
        <f t="shared" si="804"/>
        <v>1.139</v>
      </c>
      <c r="GP496" s="1">
        <f t="shared" si="805"/>
        <v>0.91000000000000014</v>
      </c>
      <c r="GQ496" s="41">
        <f t="shared" si="806"/>
        <v>10.364900000000002</v>
      </c>
      <c r="GR496" s="41">
        <f t="shared" si="807"/>
        <v>166.5901117528</v>
      </c>
      <c r="GS496" s="14">
        <f t="shared" si="808"/>
        <v>146.25997519999999</v>
      </c>
      <c r="GT496" s="1">
        <f t="shared" si="882"/>
        <v>0</v>
      </c>
      <c r="GU496" s="1">
        <f t="shared" si="883"/>
        <v>0</v>
      </c>
      <c r="GV496" s="1">
        <f t="shared" si="884"/>
        <v>10.364900000000002</v>
      </c>
      <c r="GW496" s="37">
        <f t="shared" si="809"/>
        <v>0</v>
      </c>
      <c r="GX496" s="37"/>
      <c r="GY496" s="37"/>
      <c r="GZ496" s="37"/>
      <c r="HB496" s="1">
        <f t="shared" si="885"/>
        <v>0</v>
      </c>
      <c r="HC496" s="1">
        <f t="shared" si="886"/>
        <v>0</v>
      </c>
      <c r="HD496" s="37" t="s">
        <v>2</v>
      </c>
      <c r="HE496" s="1" t="s">
        <v>113</v>
      </c>
      <c r="HF496" s="1" t="s">
        <v>375</v>
      </c>
      <c r="HI496" s="1" t="s">
        <v>96</v>
      </c>
      <c r="HJ496" s="37" t="s">
        <v>2</v>
      </c>
      <c r="JH496" s="58" t="s">
        <v>2</v>
      </c>
    </row>
    <row r="497" spans="1:268" ht="16.25" customHeight="1" x14ac:dyDescent="0.2">
      <c r="A497" s="15" t="s">
        <v>644</v>
      </c>
      <c r="B497" s="1" t="s">
        <v>69</v>
      </c>
      <c r="F497" s="1" t="s">
        <v>131</v>
      </c>
      <c r="I497" s="1">
        <f>0.751+0.616</f>
        <v>1.367</v>
      </c>
      <c r="J497" s="1">
        <v>0.11</v>
      </c>
      <c r="K497" s="1">
        <v>2.5000000000000001E-2</v>
      </c>
      <c r="Q497" s="13">
        <f>(1.37*0.751+1.43*0.616)/I497</f>
        <v>1.3970373079736651</v>
      </c>
      <c r="R497" s="1">
        <v>2.3E-2</v>
      </c>
      <c r="S497" s="1">
        <v>0.153</v>
      </c>
      <c r="T497" s="1">
        <v>0.36299999999999999</v>
      </c>
      <c r="AD497" s="1">
        <f>2.845+1.994</f>
        <v>4.8390000000000004</v>
      </c>
      <c r="AE497" s="1">
        <v>0.11</v>
      </c>
      <c r="AF497" s="1">
        <v>2.5000000000000001E-2</v>
      </c>
      <c r="AL497" s="13">
        <f>(1.37*2.845+1.44*1.994)/AD497</f>
        <v>1.3988448026451745</v>
      </c>
      <c r="AM497" s="1">
        <v>2.3E-2</v>
      </c>
      <c r="AN497" s="1">
        <v>0.153</v>
      </c>
      <c r="AO497" s="1">
        <v>0.36299999999999999</v>
      </c>
      <c r="AY497" s="1">
        <v>5.0430000000000001</v>
      </c>
      <c r="AZ497" s="1">
        <v>0.11</v>
      </c>
      <c r="BA497" s="1">
        <v>2.5000000000000001E-2</v>
      </c>
      <c r="BG497" s="1">
        <v>1.41</v>
      </c>
      <c r="BH497" s="1">
        <v>2.3E-2</v>
      </c>
      <c r="BI497" s="1">
        <v>0.153</v>
      </c>
      <c r="BJ497" s="1">
        <v>0.36299999999999999</v>
      </c>
      <c r="BT497" s="1">
        <v>0.61599999999999999</v>
      </c>
      <c r="BU497" s="1">
        <v>0.11</v>
      </c>
      <c r="BV497" s="1">
        <v>2.5000000000000001E-2</v>
      </c>
      <c r="CB497" s="1">
        <v>1.43</v>
      </c>
      <c r="CC497" s="1">
        <v>2.3E-2</v>
      </c>
      <c r="CD497" s="1">
        <v>0.153</v>
      </c>
      <c r="CE497" s="1">
        <v>0.36299999999999999</v>
      </c>
      <c r="CO497" s="1">
        <v>1.994</v>
      </c>
      <c r="CP497" s="1">
        <v>0.11</v>
      </c>
      <c r="CQ497" s="1">
        <v>2.5000000000000001E-2</v>
      </c>
      <c r="CW497" s="1">
        <v>1.44</v>
      </c>
      <c r="CX497" s="1">
        <v>2.3E-2</v>
      </c>
      <c r="CY497" s="1">
        <v>0.153</v>
      </c>
      <c r="CZ497" s="1">
        <v>0.36299999999999999</v>
      </c>
      <c r="DJ497" s="1" t="s">
        <v>96</v>
      </c>
      <c r="DK497" s="1" t="s">
        <v>96</v>
      </c>
      <c r="DL497" s="1">
        <f t="shared" si="802"/>
        <v>1.4036261000977865</v>
      </c>
      <c r="DM497" s="1">
        <f t="shared" si="803"/>
        <v>2.2999999999999996E-2</v>
      </c>
      <c r="DN497" s="1" t="s">
        <v>645</v>
      </c>
      <c r="DO497" s="1" t="s">
        <v>2</v>
      </c>
      <c r="DP497" s="38">
        <f t="shared" si="810"/>
        <v>1.23739E-2</v>
      </c>
      <c r="DQ497" s="38">
        <f t="shared" si="811"/>
        <v>0.28122500000000006</v>
      </c>
      <c r="DR497" s="38">
        <f t="shared" si="812"/>
        <v>0</v>
      </c>
      <c r="DS497" s="38">
        <f t="shared" si="813"/>
        <v>0</v>
      </c>
      <c r="DT497" s="38">
        <f t="shared" si="814"/>
        <v>0</v>
      </c>
      <c r="DU497" s="38">
        <f t="shared" si="815"/>
        <v>0</v>
      </c>
      <c r="DV497" s="38">
        <f t="shared" si="816"/>
        <v>0</v>
      </c>
      <c r="DW497" s="38">
        <f t="shared" si="817"/>
        <v>0.1578939</v>
      </c>
      <c r="DX497" s="38">
        <f t="shared" si="818"/>
        <v>2.58727E-3</v>
      </c>
      <c r="DY497" s="38">
        <f t="shared" si="819"/>
        <v>1.7210969999999999</v>
      </c>
      <c r="DZ497" s="38">
        <f t="shared" si="820"/>
        <v>4.0833870000000001</v>
      </c>
      <c r="EA497" s="38">
        <f t="shared" si="821"/>
        <v>0</v>
      </c>
      <c r="EB497" s="38">
        <f t="shared" si="822"/>
        <v>0</v>
      </c>
      <c r="EC497" s="38">
        <f t="shared" si="823"/>
        <v>0</v>
      </c>
      <c r="ED497" s="38">
        <f t="shared" si="824"/>
        <v>0</v>
      </c>
      <c r="EE497" s="38">
        <f t="shared" si="825"/>
        <v>0</v>
      </c>
      <c r="EG497" s="38">
        <f t="shared" si="826"/>
        <v>0</v>
      </c>
      <c r="EH497" s="38">
        <f t="shared" si="827"/>
        <v>0</v>
      </c>
      <c r="EI497" s="38">
        <f t="shared" si="828"/>
        <v>80.747319822400001</v>
      </c>
      <c r="EJ497" s="38">
        <f t="shared" si="829"/>
        <v>11.502192926045018</v>
      </c>
      <c r="EK497" s="38">
        <f t="shared" si="830"/>
        <v>0</v>
      </c>
      <c r="EL497" s="38">
        <f t="shared" si="831"/>
        <v>0</v>
      </c>
      <c r="EM497" s="38">
        <f t="shared" si="832"/>
        <v>0</v>
      </c>
      <c r="EN497" s="38">
        <f t="shared" si="833"/>
        <v>0</v>
      </c>
      <c r="EO497" s="38">
        <f t="shared" si="834"/>
        <v>0</v>
      </c>
      <c r="EP497" s="38">
        <f t="shared" si="835"/>
        <v>2070.6206046000002</v>
      </c>
      <c r="EQ497" s="38">
        <f t="shared" si="836"/>
        <v>187.88631585947996</v>
      </c>
      <c r="ER497" s="38">
        <f t="shared" si="837"/>
        <v>48.847057171061081</v>
      </c>
      <c r="ES497" s="38">
        <f t="shared" si="838"/>
        <v>136.08182599389067</v>
      </c>
      <c r="ET497" s="38">
        <f t="shared" si="839"/>
        <v>0</v>
      </c>
      <c r="EU497" s="38">
        <f t="shared" si="840"/>
        <v>0</v>
      </c>
      <c r="EV497" s="38">
        <f t="shared" si="841"/>
        <v>0</v>
      </c>
      <c r="EW497" s="38">
        <f t="shared" si="842"/>
        <v>0</v>
      </c>
      <c r="EX497" s="38">
        <f t="shared" si="843"/>
        <v>0</v>
      </c>
      <c r="EZ497" s="38">
        <f t="shared" si="844"/>
        <v>0</v>
      </c>
      <c r="FA497" s="38">
        <f t="shared" si="845"/>
        <v>0</v>
      </c>
      <c r="FB497" s="1">
        <f t="shared" si="846"/>
        <v>2.8710000000000003E-3</v>
      </c>
      <c r="FC497" s="1">
        <f t="shared" si="847"/>
        <v>6.5250000000000002E-2</v>
      </c>
      <c r="FD497" s="1">
        <f t="shared" si="848"/>
        <v>0</v>
      </c>
      <c r="FE497" s="1">
        <f t="shared" si="849"/>
        <v>0</v>
      </c>
      <c r="FF497" s="1">
        <f t="shared" si="850"/>
        <v>0</v>
      </c>
      <c r="FG497" s="1">
        <f t="shared" si="851"/>
        <v>0</v>
      </c>
      <c r="FH497" s="1">
        <f t="shared" si="852"/>
        <v>0</v>
      </c>
      <c r="FI497" s="1">
        <f t="shared" si="853"/>
        <v>3.7522399999999997E-2</v>
      </c>
      <c r="FJ497" s="1">
        <f t="shared" si="854"/>
        <v>6.0030000000000001E-4</v>
      </c>
      <c r="FK497" s="1">
        <f t="shared" si="855"/>
        <v>0.39933000000000002</v>
      </c>
      <c r="FL497" s="1">
        <f t="shared" si="856"/>
        <v>0.94742999999999999</v>
      </c>
      <c r="FM497" s="1">
        <f t="shared" si="857"/>
        <v>0</v>
      </c>
      <c r="FN497" s="1">
        <f t="shared" si="858"/>
        <v>0</v>
      </c>
      <c r="FO497" s="1">
        <f t="shared" si="859"/>
        <v>0</v>
      </c>
      <c r="FP497" s="1">
        <f t="shared" si="860"/>
        <v>0</v>
      </c>
      <c r="FQ497" s="1">
        <f t="shared" si="861"/>
        <v>0</v>
      </c>
      <c r="FS497" s="1">
        <f t="shared" si="862"/>
        <v>0</v>
      </c>
      <c r="FT497" s="1">
        <f t="shared" si="863"/>
        <v>0</v>
      </c>
      <c r="FU497" s="38">
        <f t="shared" si="864"/>
        <v>18.735043536000003</v>
      </c>
      <c r="FV497" s="38">
        <f t="shared" si="865"/>
        <v>2.6687459807073952</v>
      </c>
      <c r="FW497" s="38">
        <f t="shared" si="866"/>
        <v>0</v>
      </c>
      <c r="FX497" s="38">
        <f t="shared" si="867"/>
        <v>0</v>
      </c>
      <c r="FY497" s="38">
        <f t="shared" si="868"/>
        <v>0</v>
      </c>
      <c r="FZ497" s="38">
        <f t="shared" si="869"/>
        <v>0</v>
      </c>
      <c r="GA497" s="38">
        <f t="shared" si="870"/>
        <v>0</v>
      </c>
      <c r="GB497" s="38">
        <f t="shared" si="871"/>
        <v>492.06875359999998</v>
      </c>
      <c r="GC497" s="38">
        <f t="shared" si="872"/>
        <v>43.593500257199992</v>
      </c>
      <c r="GD497" s="38">
        <f t="shared" si="873"/>
        <v>11.333524688102894</v>
      </c>
      <c r="GE497" s="38">
        <f t="shared" si="874"/>
        <v>31.573790189710614</v>
      </c>
      <c r="GF497" s="38">
        <f t="shared" si="875"/>
        <v>0</v>
      </c>
      <c r="GG497" s="38">
        <f t="shared" si="876"/>
        <v>0</v>
      </c>
      <c r="GH497" s="38">
        <f t="shared" si="877"/>
        <v>0</v>
      </c>
      <c r="GI497" s="38">
        <f t="shared" si="878"/>
        <v>0</v>
      </c>
      <c r="GJ497" s="38">
        <f t="shared" si="879"/>
        <v>0</v>
      </c>
      <c r="GL497" s="38">
        <f t="shared" si="880"/>
        <v>0</v>
      </c>
      <c r="GM497" s="38">
        <f t="shared" si="881"/>
        <v>0</v>
      </c>
      <c r="GN497" s="1" t="s">
        <v>2</v>
      </c>
      <c r="GO497" s="13">
        <f t="shared" si="804"/>
        <v>11.249000000000001</v>
      </c>
      <c r="GP497" s="13">
        <f t="shared" si="805"/>
        <v>1.4036261000977865</v>
      </c>
      <c r="GQ497" s="41">
        <f t="shared" si="806"/>
        <v>157.8939</v>
      </c>
      <c r="GR497" s="41">
        <f t="shared" si="807"/>
        <v>2535.6853163728765</v>
      </c>
      <c r="GS497" s="14">
        <f t="shared" si="808"/>
        <v>225.41428716978189</v>
      </c>
      <c r="GT497" s="1">
        <f t="shared" si="882"/>
        <v>19.097500000000004</v>
      </c>
      <c r="GU497" s="1">
        <f t="shared" si="883"/>
        <v>67.690099999999987</v>
      </c>
      <c r="GV497" s="1">
        <f t="shared" si="884"/>
        <v>71.10629999999999</v>
      </c>
      <c r="GW497" s="37">
        <f t="shared" si="809"/>
        <v>2.61</v>
      </c>
      <c r="GX497" s="44">
        <f>(BT497*CB497+CO497*CW497)/GW497</f>
        <v>1.4376398467432949</v>
      </c>
      <c r="GY497" s="41">
        <f>1000*GW497*GX497/100</f>
        <v>37.522399999999998</v>
      </c>
      <c r="GZ497" s="41">
        <f>SUM(FU497:GM497)</f>
        <v>599.97335825172092</v>
      </c>
      <c r="HA497" s="14">
        <f>GZ497/GW497</f>
        <v>229.87484990487394</v>
      </c>
      <c r="HB497" s="1">
        <f t="shared" si="885"/>
        <v>8.8087999999999997</v>
      </c>
      <c r="HC497" s="1">
        <f t="shared" si="886"/>
        <v>28.713599999999996</v>
      </c>
      <c r="HD497" s="37" t="s">
        <v>2</v>
      </c>
      <c r="HE497" s="1" t="s">
        <v>113</v>
      </c>
      <c r="HF497" s="1" t="s">
        <v>646</v>
      </c>
      <c r="HG497" s="1" t="s">
        <v>647</v>
      </c>
      <c r="HI497" s="1" t="s">
        <v>96</v>
      </c>
      <c r="HJ497" s="37" t="s">
        <v>2</v>
      </c>
      <c r="JH497" s="58" t="s">
        <v>2</v>
      </c>
    </row>
    <row r="498" spans="1:268" ht="16.25" customHeight="1" x14ac:dyDescent="0.2">
      <c r="A498" s="15" t="s">
        <v>744</v>
      </c>
      <c r="B498" s="1" t="s">
        <v>64</v>
      </c>
      <c r="F498" s="1" t="s">
        <v>81</v>
      </c>
      <c r="I498" s="1">
        <v>6.5</v>
      </c>
      <c r="J498" s="1">
        <v>0.92</v>
      </c>
      <c r="Q498" s="1">
        <v>3.75</v>
      </c>
      <c r="R498" s="1">
        <v>0.08</v>
      </c>
      <c r="S498" s="13">
        <v>1</v>
      </c>
      <c r="T498" s="1">
        <v>2.41</v>
      </c>
      <c r="AD498" s="1">
        <v>14.2</v>
      </c>
      <c r="AE498" s="1">
        <v>0.96</v>
      </c>
      <c r="AL498" s="1">
        <v>3.15</v>
      </c>
      <c r="AM498" s="1">
        <v>7.0000000000000007E-2</v>
      </c>
      <c r="AN498" s="1">
        <v>0.94</v>
      </c>
      <c r="AO498" s="1">
        <v>2.35</v>
      </c>
      <c r="AY498" s="1">
        <v>14</v>
      </c>
      <c r="AZ498" s="1">
        <v>0.9</v>
      </c>
      <c r="BG498" s="14">
        <v>3</v>
      </c>
      <c r="BH498" s="1">
        <v>7.0000000000000007E-2</v>
      </c>
      <c r="BI498" s="1">
        <v>0.9</v>
      </c>
      <c r="BJ498" s="1">
        <v>2.2000000000000002</v>
      </c>
      <c r="BT498" s="1">
        <v>4.57</v>
      </c>
      <c r="BU498" s="13">
        <v>0.7</v>
      </c>
      <c r="CB498" s="1">
        <v>2.83</v>
      </c>
      <c r="CC498" s="1">
        <v>0.06</v>
      </c>
      <c r="CD498" s="1">
        <v>0.75</v>
      </c>
      <c r="CE498" s="1">
        <v>1.83</v>
      </c>
      <c r="CO498" s="13">
        <v>6.7</v>
      </c>
      <c r="CP498" s="13">
        <v>0.8</v>
      </c>
      <c r="CW498" s="1">
        <v>2.76</v>
      </c>
      <c r="CX498" s="1">
        <v>0.06</v>
      </c>
      <c r="CY498" s="1">
        <v>0.87</v>
      </c>
      <c r="CZ498" s="1">
        <v>2.14</v>
      </c>
      <c r="DJ498" s="1" t="s">
        <v>96</v>
      </c>
      <c r="DK498" s="1" t="s">
        <v>96</v>
      </c>
      <c r="DL498" s="1">
        <f t="shared" si="802"/>
        <v>3.2018731988472617</v>
      </c>
      <c r="DM498" s="1">
        <f t="shared" si="803"/>
        <v>7.1873198847262246E-2</v>
      </c>
      <c r="DN498" s="1" t="s">
        <v>73</v>
      </c>
      <c r="DO498" s="1" t="s">
        <v>2</v>
      </c>
      <c r="DP498" s="38">
        <f t="shared" si="810"/>
        <v>0.32212000000000002</v>
      </c>
      <c r="DQ498" s="38">
        <f t="shared" si="811"/>
        <v>0</v>
      </c>
      <c r="DR498" s="38">
        <f t="shared" si="812"/>
        <v>0</v>
      </c>
      <c r="DS498" s="38">
        <f t="shared" si="813"/>
        <v>0</v>
      </c>
      <c r="DT498" s="38">
        <f t="shared" si="814"/>
        <v>0</v>
      </c>
      <c r="DU498" s="38">
        <f t="shared" si="815"/>
        <v>0</v>
      </c>
      <c r="DV498" s="38">
        <f t="shared" si="816"/>
        <v>0</v>
      </c>
      <c r="DW498" s="38">
        <f t="shared" si="817"/>
        <v>1.1110499999999999</v>
      </c>
      <c r="DX498" s="38">
        <f t="shared" si="818"/>
        <v>2.4940000000000004E-2</v>
      </c>
      <c r="DY498" s="38">
        <f t="shared" si="819"/>
        <v>32.448</v>
      </c>
      <c r="DZ498" s="38">
        <f t="shared" si="820"/>
        <v>79.835000000000008</v>
      </c>
      <c r="EA498" s="38">
        <f t="shared" si="821"/>
        <v>0</v>
      </c>
      <c r="EB498" s="38">
        <f t="shared" si="822"/>
        <v>0</v>
      </c>
      <c r="EC498" s="38">
        <f t="shared" si="823"/>
        <v>0</v>
      </c>
      <c r="ED498" s="38">
        <f t="shared" si="824"/>
        <v>0</v>
      </c>
      <c r="EE498" s="38">
        <f t="shared" si="825"/>
        <v>0</v>
      </c>
      <c r="EG498" s="38">
        <f t="shared" si="826"/>
        <v>0</v>
      </c>
      <c r="EH498" s="38">
        <f t="shared" si="827"/>
        <v>0</v>
      </c>
      <c r="EI498" s="38">
        <f t="shared" si="828"/>
        <v>2102.0314259199999</v>
      </c>
      <c r="EJ498" s="38">
        <f t="shared" si="829"/>
        <v>0</v>
      </c>
      <c r="EK498" s="38">
        <f t="shared" si="830"/>
        <v>0</v>
      </c>
      <c r="EL498" s="38">
        <f t="shared" si="831"/>
        <v>0</v>
      </c>
      <c r="EM498" s="38">
        <f t="shared" si="832"/>
        <v>0</v>
      </c>
      <c r="EN498" s="38">
        <f t="shared" si="833"/>
        <v>0</v>
      </c>
      <c r="EO498" s="38">
        <f t="shared" si="834"/>
        <v>0</v>
      </c>
      <c r="EP498" s="38">
        <f t="shared" si="835"/>
        <v>14570.309699999998</v>
      </c>
      <c r="EQ498" s="38">
        <f t="shared" si="836"/>
        <v>1811.13092856</v>
      </c>
      <c r="ER498" s="38">
        <f t="shared" si="837"/>
        <v>920.91806045016062</v>
      </c>
      <c r="ES498" s="38">
        <f t="shared" si="838"/>
        <v>2660.5591334405149</v>
      </c>
      <c r="ET498" s="38">
        <f t="shared" si="839"/>
        <v>0</v>
      </c>
      <c r="EU498" s="38">
        <f t="shared" si="840"/>
        <v>0</v>
      </c>
      <c r="EV498" s="38">
        <f t="shared" si="841"/>
        <v>0</v>
      </c>
      <c r="EW498" s="38">
        <f t="shared" si="842"/>
        <v>0</v>
      </c>
      <c r="EX498" s="38">
        <f t="shared" si="843"/>
        <v>0</v>
      </c>
      <c r="EZ498" s="38">
        <f t="shared" si="844"/>
        <v>0</v>
      </c>
      <c r="FA498" s="38">
        <f t="shared" si="845"/>
        <v>0</v>
      </c>
      <c r="FB498" s="1">
        <f t="shared" si="846"/>
        <v>8.5590000000000013E-2</v>
      </c>
      <c r="FC498" s="1">
        <f t="shared" si="847"/>
        <v>0</v>
      </c>
      <c r="FD498" s="1">
        <f t="shared" si="848"/>
        <v>0</v>
      </c>
      <c r="FE498" s="1">
        <f t="shared" si="849"/>
        <v>0</v>
      </c>
      <c r="FF498" s="1">
        <f t="shared" si="850"/>
        <v>0</v>
      </c>
      <c r="FG498" s="1">
        <f t="shared" si="851"/>
        <v>0</v>
      </c>
      <c r="FH498" s="1">
        <f t="shared" si="852"/>
        <v>0</v>
      </c>
      <c r="FI498" s="1">
        <f t="shared" si="853"/>
        <v>0.314251</v>
      </c>
      <c r="FJ498" s="1">
        <f t="shared" si="854"/>
        <v>6.7619999999999989E-3</v>
      </c>
      <c r="FK498" s="1">
        <f t="shared" si="855"/>
        <v>9.2564999999999991</v>
      </c>
      <c r="FL498" s="1">
        <f t="shared" si="856"/>
        <v>22.701100000000004</v>
      </c>
      <c r="FM498" s="1">
        <f t="shared" si="857"/>
        <v>0</v>
      </c>
      <c r="FN498" s="1">
        <f t="shared" si="858"/>
        <v>0</v>
      </c>
      <c r="FO498" s="1">
        <f t="shared" si="859"/>
        <v>0</v>
      </c>
      <c r="FP498" s="1">
        <f t="shared" si="860"/>
        <v>0</v>
      </c>
      <c r="FQ498" s="1">
        <f t="shared" si="861"/>
        <v>0</v>
      </c>
      <c r="FS498" s="1">
        <f t="shared" si="862"/>
        <v>0</v>
      </c>
      <c r="FT498" s="1">
        <f t="shared" si="863"/>
        <v>0</v>
      </c>
      <c r="FU498" s="38">
        <f t="shared" si="864"/>
        <v>558.52747344000011</v>
      </c>
      <c r="FV498" s="38">
        <f t="shared" si="865"/>
        <v>0</v>
      </c>
      <c r="FW498" s="38">
        <f t="shared" si="866"/>
        <v>0</v>
      </c>
      <c r="FX498" s="38">
        <f t="shared" si="867"/>
        <v>0</v>
      </c>
      <c r="FY498" s="38">
        <f t="shared" si="868"/>
        <v>0</v>
      </c>
      <c r="FZ498" s="38">
        <f t="shared" si="869"/>
        <v>0</v>
      </c>
      <c r="GA498" s="38">
        <f t="shared" si="870"/>
        <v>0</v>
      </c>
      <c r="GB498" s="38">
        <f t="shared" si="871"/>
        <v>4121.087614</v>
      </c>
      <c r="GC498" s="38">
        <f t="shared" si="872"/>
        <v>491.05322128799986</v>
      </c>
      <c r="GD498" s="38">
        <f t="shared" si="873"/>
        <v>262.71197073954977</v>
      </c>
      <c r="GE498" s="38">
        <f t="shared" si="874"/>
        <v>756.53058112540214</v>
      </c>
      <c r="GF498" s="38">
        <f t="shared" si="875"/>
        <v>0</v>
      </c>
      <c r="GG498" s="38">
        <f t="shared" si="876"/>
        <v>0</v>
      </c>
      <c r="GH498" s="38">
        <f t="shared" si="877"/>
        <v>0</v>
      </c>
      <c r="GI498" s="38">
        <f t="shared" si="878"/>
        <v>0</v>
      </c>
      <c r="GJ498" s="38">
        <f t="shared" si="879"/>
        <v>0</v>
      </c>
      <c r="GL498" s="38">
        <f t="shared" si="880"/>
        <v>0</v>
      </c>
      <c r="GM498" s="38">
        <f t="shared" si="881"/>
        <v>0</v>
      </c>
      <c r="GN498" s="1" t="s">
        <v>2</v>
      </c>
      <c r="GO498" s="1">
        <f t="shared" si="804"/>
        <v>34.700000000000003</v>
      </c>
      <c r="GP498" s="13">
        <f t="shared" si="805"/>
        <v>3.2018731988472617</v>
      </c>
      <c r="GQ498" s="43">
        <f t="shared" si="806"/>
        <v>1111.05</v>
      </c>
      <c r="GR498" s="41">
        <f t="shared" si="807"/>
        <v>22064.949248370671</v>
      </c>
      <c r="GS498" s="14">
        <f t="shared" si="808"/>
        <v>635.87749995304523</v>
      </c>
      <c r="GT498" s="1">
        <f t="shared" si="882"/>
        <v>243.75</v>
      </c>
      <c r="GU498" s="1">
        <f t="shared" si="883"/>
        <v>447.3</v>
      </c>
      <c r="GV498" s="1">
        <f t="shared" si="884"/>
        <v>420</v>
      </c>
      <c r="GW498" s="37">
        <f t="shared" si="809"/>
        <v>11.27</v>
      </c>
      <c r="GX498" s="44">
        <f>(BT498*CB498+CO498*CW498)/GW498</f>
        <v>2.7883850931677019</v>
      </c>
      <c r="GY498" s="41">
        <f>1000*GW498*GX498/100</f>
        <v>314.25099999999998</v>
      </c>
      <c r="GZ498" s="41">
        <f>SUM(FU498:GM498)</f>
        <v>6189.9108605929514</v>
      </c>
      <c r="HA498" s="14">
        <f>GZ498/GW498</f>
        <v>549.23787582901082</v>
      </c>
      <c r="HB498" s="1">
        <f t="shared" si="885"/>
        <v>129.33100000000002</v>
      </c>
      <c r="HC498" s="1">
        <f t="shared" si="886"/>
        <v>184.91999999999996</v>
      </c>
      <c r="HD498" s="37" t="s">
        <v>2</v>
      </c>
      <c r="HE498" s="1" t="s">
        <v>113</v>
      </c>
      <c r="HF498" s="1" t="s">
        <v>646</v>
      </c>
      <c r="HI498" s="1" t="s">
        <v>96</v>
      </c>
      <c r="HJ498" s="37" t="s">
        <v>2</v>
      </c>
      <c r="JH498" s="58" t="s">
        <v>2</v>
      </c>
    </row>
    <row r="499" spans="1:268" ht="16.25" customHeight="1" x14ac:dyDescent="0.2">
      <c r="A499" s="15" t="s">
        <v>745</v>
      </c>
      <c r="B499" s="1" t="s">
        <v>620</v>
      </c>
      <c r="F499" s="1" t="s">
        <v>746</v>
      </c>
      <c r="I499" s="2">
        <v>0.55985499999999999</v>
      </c>
      <c r="J499" s="13">
        <v>1.1000000000000001</v>
      </c>
      <c r="K499" s="13">
        <v>0.1</v>
      </c>
      <c r="Q499" s="1">
        <v>0.93</v>
      </c>
      <c r="R499" s="1">
        <v>0.04</v>
      </c>
      <c r="S499" s="13">
        <v>0.6</v>
      </c>
      <c r="T499" s="1">
        <v>2.66</v>
      </c>
      <c r="AD499" s="13">
        <f>8.562+2.217804+5.374+1.128+3.760518</f>
        <v>21.042321999999999</v>
      </c>
      <c r="AE499" s="13">
        <f>(0.76*8.562+2.57*2.217804+1.07*5.374+1.55*1.128+1.11*3.760518)/AD499</f>
        <v>1.1348382208009173</v>
      </c>
      <c r="AF499" s="13">
        <f>(0.08*8.562+0.2*2.217804+0.23*5.374+0.15*1.128+0.1*3.760518)/AD499</f>
        <v>0.13828286631104686</v>
      </c>
      <c r="AL499" s="13">
        <f>(0.76*8.562+1.891*2.217804+0.74*5.374+1.22*1.128+0.9*3.760518)/AD499</f>
        <v>0.92377512158591613</v>
      </c>
      <c r="AM499" s="2">
        <f>(0.04*8.562+0.077*2.217804+0.04*5.374+0.05*1.128+0.04*3.760518)/AD499</f>
        <v>4.4435762745195145E-2</v>
      </c>
      <c r="AN499" s="13">
        <f>(0.32*8.562+0.967*2.217804+0.7*5.374+0.64*1.128+0.5*3.760518)/AD499</f>
        <v>0.53456246264076746</v>
      </c>
      <c r="AO499" s="13">
        <f>(1.36*8.562+3.632*2.217804+2.65*5.374+3.14*1.128+2.18*3.760518)/AD499</f>
        <v>2.1708789252440868</v>
      </c>
      <c r="AY499" s="2">
        <f>0.478+0.031137+3.085+0.041+1.591493</f>
        <v>5.2266300000000001</v>
      </c>
      <c r="AZ499" s="13">
        <f>(0.83*0.478+1.782*0.031137+1.12*3.085+1.3*0.041+0.53*1.591493)/AY499</f>
        <v>0.91918070037481148</v>
      </c>
      <c r="BA499" s="13">
        <f>(0.07*0.478+0.152*0.031137+0.18*3.085+0.1*0.041+0.06*1.591493)/AY499</f>
        <v>0.13260598205727209</v>
      </c>
      <c r="BG499" s="13">
        <f>(0.81*0.478+1.605*0.031137+0.82*3.085+1.24*0.041+0.47*1.591493)/AY499</f>
        <v>0.72048271926652541</v>
      </c>
      <c r="BH499" s="2">
        <f>(0.04*0.478+0.074*0.031137+0.04*3.085+0.05*0.041+0.02*1.591493)/AY499</f>
        <v>3.4191055804600662E-2</v>
      </c>
      <c r="BI499" s="13">
        <f>(0.32*0.478+0.603*0.031137+0.65*3.085+0.69*0.041+0.28*1.591493)/AY499</f>
        <v>0.50718984335987061</v>
      </c>
      <c r="BJ499" s="13">
        <f>(1.33*0.478+3.57*0.031137+2.57*3.085+2.9*0.041+1.15*1.591493)/AY499</f>
        <v>2.032756487449848</v>
      </c>
      <c r="BT499" s="1">
        <v>0</v>
      </c>
      <c r="CO499" s="1">
        <v>0</v>
      </c>
      <c r="DJ499" s="1" t="s">
        <v>96</v>
      </c>
      <c r="DK499" s="1" t="s">
        <v>96</v>
      </c>
      <c r="DL499" s="1">
        <f t="shared" si="802"/>
        <v>0.88430079313627319</v>
      </c>
      <c r="DM499" s="1">
        <f t="shared" si="803"/>
        <v>4.2347385256452152E-2</v>
      </c>
      <c r="DN499" s="1" t="s">
        <v>747</v>
      </c>
      <c r="DO499" s="1" t="s">
        <v>2</v>
      </c>
      <c r="DP499" s="38">
        <f t="shared" si="810"/>
        <v>0.29299689184</v>
      </c>
      <c r="DQ499" s="38">
        <f t="shared" si="811"/>
        <v>3.6588605039999997</v>
      </c>
      <c r="DR499" s="38">
        <f t="shared" si="812"/>
        <v>0</v>
      </c>
      <c r="DS499" s="38">
        <f t="shared" si="813"/>
        <v>0</v>
      </c>
      <c r="DT499" s="38">
        <f t="shared" si="814"/>
        <v>0</v>
      </c>
      <c r="DU499" s="38">
        <f t="shared" si="815"/>
        <v>0</v>
      </c>
      <c r="DV499" s="38">
        <f t="shared" si="816"/>
        <v>0</v>
      </c>
      <c r="DW499" s="38">
        <f t="shared" si="817"/>
        <v>0.23724735308999997</v>
      </c>
      <c r="DX499" s="38">
        <f t="shared" si="818"/>
        <v>1.1361298260000001E-2</v>
      </c>
      <c r="DY499" s="38">
        <f t="shared" si="819"/>
        <v>14.235242118999999</v>
      </c>
      <c r="DZ499" s="38">
        <f t="shared" si="820"/>
        <v>57.794013708000001</v>
      </c>
      <c r="EA499" s="38">
        <f t="shared" si="821"/>
        <v>0</v>
      </c>
      <c r="EB499" s="38">
        <f t="shared" si="822"/>
        <v>0</v>
      </c>
      <c r="EC499" s="38">
        <f t="shared" si="823"/>
        <v>0</v>
      </c>
      <c r="ED499" s="38">
        <f t="shared" si="824"/>
        <v>0</v>
      </c>
      <c r="EE499" s="38">
        <f t="shared" si="825"/>
        <v>0</v>
      </c>
      <c r="EG499" s="38">
        <f t="shared" si="826"/>
        <v>0</v>
      </c>
      <c r="EH499" s="38">
        <f t="shared" si="827"/>
        <v>0</v>
      </c>
      <c r="EI499" s="38">
        <f t="shared" si="828"/>
        <v>1911.9852053413733</v>
      </c>
      <c r="EJ499" s="38">
        <f t="shared" si="829"/>
        <v>149.64857109607715</v>
      </c>
      <c r="EK499" s="38">
        <f t="shared" si="830"/>
        <v>0</v>
      </c>
      <c r="EL499" s="38">
        <f t="shared" si="831"/>
        <v>0</v>
      </c>
      <c r="EM499" s="38">
        <f t="shared" si="832"/>
        <v>0</v>
      </c>
      <c r="EN499" s="38">
        <f t="shared" si="833"/>
        <v>0</v>
      </c>
      <c r="EO499" s="38">
        <f t="shared" si="834"/>
        <v>0</v>
      </c>
      <c r="EP499" s="38">
        <f t="shared" si="835"/>
        <v>3111.2617884222595</v>
      </c>
      <c r="EQ499" s="38">
        <f t="shared" si="836"/>
        <v>825.05207166322828</v>
      </c>
      <c r="ER499" s="38">
        <f t="shared" si="837"/>
        <v>404.01539577995294</v>
      </c>
      <c r="ES499" s="38">
        <f t="shared" si="838"/>
        <v>1926.0273192084387</v>
      </c>
      <c r="ET499" s="38">
        <f t="shared" si="839"/>
        <v>0</v>
      </c>
      <c r="EU499" s="38">
        <f t="shared" si="840"/>
        <v>0</v>
      </c>
      <c r="EV499" s="38">
        <f t="shared" si="841"/>
        <v>0</v>
      </c>
      <c r="EW499" s="38">
        <f t="shared" si="842"/>
        <v>0</v>
      </c>
      <c r="EX499" s="38">
        <f t="shared" si="843"/>
        <v>0</v>
      </c>
      <c r="EZ499" s="38">
        <f t="shared" si="844"/>
        <v>0</v>
      </c>
      <c r="FA499" s="38">
        <f t="shared" si="845"/>
        <v>0</v>
      </c>
      <c r="FB499" s="1">
        <f t="shared" si="846"/>
        <v>0</v>
      </c>
      <c r="FC499" s="1">
        <f t="shared" si="847"/>
        <v>0</v>
      </c>
      <c r="FD499" s="1">
        <f t="shared" si="848"/>
        <v>0</v>
      </c>
      <c r="FE499" s="1">
        <f t="shared" si="849"/>
        <v>0</v>
      </c>
      <c r="FF499" s="1">
        <f t="shared" si="850"/>
        <v>0</v>
      </c>
      <c r="FG499" s="1">
        <f t="shared" si="851"/>
        <v>0</v>
      </c>
      <c r="FH499" s="1">
        <f t="shared" si="852"/>
        <v>0</v>
      </c>
      <c r="FI499" s="1">
        <f t="shared" si="853"/>
        <v>0</v>
      </c>
      <c r="FJ499" s="1">
        <f t="shared" si="854"/>
        <v>0</v>
      </c>
      <c r="FK499" s="1">
        <f t="shared" si="855"/>
        <v>0</v>
      </c>
      <c r="FL499" s="1">
        <f t="shared" si="856"/>
        <v>0</v>
      </c>
      <c r="FM499" s="1">
        <f t="shared" si="857"/>
        <v>0</v>
      </c>
      <c r="FN499" s="1">
        <f t="shared" si="858"/>
        <v>0</v>
      </c>
      <c r="FO499" s="1">
        <f t="shared" si="859"/>
        <v>0</v>
      </c>
      <c r="FP499" s="1">
        <f t="shared" si="860"/>
        <v>0</v>
      </c>
      <c r="FQ499" s="1">
        <f t="shared" si="861"/>
        <v>0</v>
      </c>
      <c r="FS499" s="1">
        <f t="shared" si="862"/>
        <v>0</v>
      </c>
      <c r="FT499" s="1">
        <f t="shared" si="863"/>
        <v>0</v>
      </c>
      <c r="FU499" s="38">
        <f t="shared" si="864"/>
        <v>0</v>
      </c>
      <c r="FV499" s="38">
        <f t="shared" si="865"/>
        <v>0</v>
      </c>
      <c r="FW499" s="38">
        <f t="shared" si="866"/>
        <v>0</v>
      </c>
      <c r="FX499" s="38">
        <f t="shared" si="867"/>
        <v>0</v>
      </c>
      <c r="FY499" s="38">
        <f t="shared" si="868"/>
        <v>0</v>
      </c>
      <c r="FZ499" s="38">
        <f t="shared" si="869"/>
        <v>0</v>
      </c>
      <c r="GA499" s="38">
        <f t="shared" si="870"/>
        <v>0</v>
      </c>
      <c r="GB499" s="38">
        <f t="shared" si="871"/>
        <v>0</v>
      </c>
      <c r="GC499" s="38">
        <f t="shared" si="872"/>
        <v>0</v>
      </c>
      <c r="GD499" s="38">
        <f t="shared" si="873"/>
        <v>0</v>
      </c>
      <c r="GE499" s="38">
        <f t="shared" si="874"/>
        <v>0</v>
      </c>
      <c r="GF499" s="38">
        <f t="shared" si="875"/>
        <v>0</v>
      </c>
      <c r="GG499" s="38">
        <f t="shared" si="876"/>
        <v>0</v>
      </c>
      <c r="GH499" s="38">
        <f t="shared" si="877"/>
        <v>0</v>
      </c>
      <c r="GI499" s="38">
        <f t="shared" si="878"/>
        <v>0</v>
      </c>
      <c r="GJ499" s="38">
        <f t="shared" si="879"/>
        <v>0</v>
      </c>
      <c r="GL499" s="38">
        <f t="shared" si="880"/>
        <v>0</v>
      </c>
      <c r="GM499" s="38">
        <f t="shared" si="881"/>
        <v>0</v>
      </c>
      <c r="GN499" s="1" t="s">
        <v>2</v>
      </c>
      <c r="GO499" s="13">
        <f t="shared" si="804"/>
        <v>26.828806999999998</v>
      </c>
      <c r="GP499" s="13">
        <f t="shared" si="805"/>
        <v>0.88430079313627319</v>
      </c>
      <c r="GQ499" s="41">
        <f t="shared" si="806"/>
        <v>237.24735308999996</v>
      </c>
      <c r="GR499" s="41">
        <f t="shared" si="807"/>
        <v>8327.9903515113292</v>
      </c>
      <c r="GS499" s="14">
        <f t="shared" si="808"/>
        <v>310.41225021713899</v>
      </c>
      <c r="GT499" s="1">
        <f t="shared" si="882"/>
        <v>5.2066515000000004</v>
      </c>
      <c r="GU499" s="1">
        <f t="shared" si="883"/>
        <v>194.38373563999994</v>
      </c>
      <c r="GV499" s="1">
        <f t="shared" si="884"/>
        <v>37.656965949999993</v>
      </c>
      <c r="GW499" s="37">
        <f t="shared" si="809"/>
        <v>0</v>
      </c>
      <c r="GX499" s="37"/>
      <c r="GY499" s="37"/>
      <c r="GZ499" s="37"/>
      <c r="HB499" s="1">
        <f t="shared" si="885"/>
        <v>0</v>
      </c>
      <c r="HC499" s="1">
        <f t="shared" si="886"/>
        <v>0</v>
      </c>
      <c r="HD499" s="37" t="s">
        <v>2</v>
      </c>
      <c r="HE499" s="1" t="s">
        <v>113</v>
      </c>
      <c r="HF499" s="1" t="s">
        <v>646</v>
      </c>
      <c r="HI499" s="1" t="s">
        <v>96</v>
      </c>
      <c r="HJ499" s="37" t="s">
        <v>2</v>
      </c>
      <c r="JH499" s="58" t="s">
        <v>2</v>
      </c>
    </row>
    <row r="500" spans="1:268" ht="16.25" customHeight="1" x14ac:dyDescent="0.2">
      <c r="A500" s="15" t="s">
        <v>748</v>
      </c>
      <c r="B500" s="1" t="s">
        <v>69</v>
      </c>
      <c r="F500" s="1" t="s">
        <v>746</v>
      </c>
      <c r="I500" s="1">
        <v>0</v>
      </c>
      <c r="AD500" s="1">
        <v>5.641</v>
      </c>
      <c r="AE500" s="1">
        <v>0.66</v>
      </c>
      <c r="AF500" s="1">
        <v>7.0000000000000007E-2</v>
      </c>
      <c r="AL500" s="13">
        <v>0.6</v>
      </c>
      <c r="AM500" s="1">
        <v>0.03</v>
      </c>
      <c r="AN500" s="1">
        <v>0.32</v>
      </c>
      <c r="AO500" s="1">
        <v>1.31</v>
      </c>
      <c r="AY500" s="1">
        <v>1.7769999999999999</v>
      </c>
      <c r="AZ500" s="1">
        <v>0.55000000000000004</v>
      </c>
      <c r="BA500" s="1">
        <v>0.06</v>
      </c>
      <c r="BG500" s="1">
        <v>0.56000000000000005</v>
      </c>
      <c r="BH500" s="1">
        <v>0.03</v>
      </c>
      <c r="BI500" s="1">
        <v>0.28999999999999998</v>
      </c>
      <c r="BJ500" s="1">
        <v>1.27</v>
      </c>
      <c r="BT500" s="1">
        <v>0</v>
      </c>
      <c r="CO500" s="1">
        <v>0</v>
      </c>
      <c r="DJ500" s="1" t="s">
        <v>96</v>
      </c>
      <c r="DK500" s="1" t="s">
        <v>96</v>
      </c>
      <c r="DL500" s="1">
        <f t="shared" si="802"/>
        <v>0.59041790239956859</v>
      </c>
      <c r="DM500" s="1">
        <f t="shared" si="803"/>
        <v>0.03</v>
      </c>
      <c r="DN500" s="1" t="s">
        <v>749</v>
      </c>
      <c r="DO500" s="1" t="s">
        <v>2</v>
      </c>
      <c r="DP500" s="38">
        <f t="shared" si="810"/>
        <v>4.7004100000000007E-2</v>
      </c>
      <c r="DQ500" s="38">
        <f t="shared" si="811"/>
        <v>0.50148999999999999</v>
      </c>
      <c r="DR500" s="38">
        <f t="shared" si="812"/>
        <v>0</v>
      </c>
      <c r="DS500" s="38">
        <f t="shared" si="813"/>
        <v>0</v>
      </c>
      <c r="DT500" s="38">
        <f t="shared" si="814"/>
        <v>0</v>
      </c>
      <c r="DU500" s="38">
        <f t="shared" si="815"/>
        <v>0</v>
      </c>
      <c r="DV500" s="38">
        <f t="shared" si="816"/>
        <v>0</v>
      </c>
      <c r="DW500" s="38">
        <f t="shared" si="817"/>
        <v>4.3797200000000001E-2</v>
      </c>
      <c r="DX500" s="38">
        <f t="shared" si="818"/>
        <v>2.2253999999999998E-3</v>
      </c>
      <c r="DY500" s="38">
        <f t="shared" si="819"/>
        <v>2.3204500000000001</v>
      </c>
      <c r="DZ500" s="38">
        <f t="shared" si="820"/>
        <v>9.6464999999999996</v>
      </c>
      <c r="EA500" s="38">
        <f t="shared" si="821"/>
        <v>0</v>
      </c>
      <c r="EB500" s="38">
        <f t="shared" si="822"/>
        <v>0</v>
      </c>
      <c r="EC500" s="38">
        <f t="shared" si="823"/>
        <v>0</v>
      </c>
      <c r="ED500" s="38">
        <f t="shared" si="824"/>
        <v>0</v>
      </c>
      <c r="EE500" s="38">
        <f t="shared" si="825"/>
        <v>0</v>
      </c>
      <c r="EG500" s="38">
        <f t="shared" si="826"/>
        <v>0</v>
      </c>
      <c r="EH500" s="38">
        <f t="shared" si="827"/>
        <v>0</v>
      </c>
      <c r="EI500" s="38">
        <f t="shared" si="828"/>
        <v>306.73070702560005</v>
      </c>
      <c r="EJ500" s="38">
        <f t="shared" si="829"/>
        <v>20.511102250803859</v>
      </c>
      <c r="EK500" s="38">
        <f t="shared" si="830"/>
        <v>0</v>
      </c>
      <c r="EL500" s="38">
        <f t="shared" si="831"/>
        <v>0</v>
      </c>
      <c r="EM500" s="38">
        <f t="shared" si="832"/>
        <v>0</v>
      </c>
      <c r="EN500" s="38">
        <f t="shared" si="833"/>
        <v>0</v>
      </c>
      <c r="EO500" s="38">
        <f t="shared" si="834"/>
        <v>0</v>
      </c>
      <c r="EP500" s="38">
        <f t="shared" si="835"/>
        <v>574.35648079999999</v>
      </c>
      <c r="EQ500" s="38">
        <f t="shared" si="836"/>
        <v>161.60748870959995</v>
      </c>
      <c r="ER500" s="38">
        <f t="shared" si="837"/>
        <v>65.857504726688092</v>
      </c>
      <c r="ES500" s="38">
        <f t="shared" si="838"/>
        <v>321.47659147909968</v>
      </c>
      <c r="ET500" s="38">
        <f t="shared" si="839"/>
        <v>0</v>
      </c>
      <c r="EU500" s="38">
        <f t="shared" si="840"/>
        <v>0</v>
      </c>
      <c r="EV500" s="38">
        <f t="shared" si="841"/>
        <v>0</v>
      </c>
      <c r="EW500" s="38">
        <f t="shared" si="842"/>
        <v>0</v>
      </c>
      <c r="EX500" s="38">
        <f t="shared" si="843"/>
        <v>0</v>
      </c>
      <c r="EZ500" s="38">
        <f t="shared" si="844"/>
        <v>0</v>
      </c>
      <c r="FA500" s="38">
        <f t="shared" si="845"/>
        <v>0</v>
      </c>
      <c r="FB500" s="1">
        <f t="shared" si="846"/>
        <v>0</v>
      </c>
      <c r="FC500" s="1">
        <f t="shared" si="847"/>
        <v>0</v>
      </c>
      <c r="FD500" s="1">
        <f t="shared" si="848"/>
        <v>0</v>
      </c>
      <c r="FE500" s="1">
        <f t="shared" si="849"/>
        <v>0</v>
      </c>
      <c r="FF500" s="1">
        <f t="shared" si="850"/>
        <v>0</v>
      </c>
      <c r="FG500" s="1">
        <f t="shared" si="851"/>
        <v>0</v>
      </c>
      <c r="FH500" s="1">
        <f t="shared" si="852"/>
        <v>0</v>
      </c>
      <c r="FI500" s="1">
        <f t="shared" si="853"/>
        <v>0</v>
      </c>
      <c r="FJ500" s="1">
        <f t="shared" si="854"/>
        <v>0</v>
      </c>
      <c r="FK500" s="1">
        <f t="shared" si="855"/>
        <v>0</v>
      </c>
      <c r="FL500" s="1">
        <f t="shared" si="856"/>
        <v>0</v>
      </c>
      <c r="FM500" s="1">
        <f t="shared" si="857"/>
        <v>0</v>
      </c>
      <c r="FN500" s="1">
        <f t="shared" si="858"/>
        <v>0</v>
      </c>
      <c r="FO500" s="1">
        <f t="shared" si="859"/>
        <v>0</v>
      </c>
      <c r="FP500" s="1">
        <f t="shared" si="860"/>
        <v>0</v>
      </c>
      <c r="FQ500" s="1">
        <f t="shared" si="861"/>
        <v>0</v>
      </c>
      <c r="FS500" s="1">
        <f t="shared" si="862"/>
        <v>0</v>
      </c>
      <c r="FT500" s="1">
        <f t="shared" si="863"/>
        <v>0</v>
      </c>
      <c r="FU500" s="38">
        <f t="shared" si="864"/>
        <v>0</v>
      </c>
      <c r="FV500" s="38">
        <f t="shared" si="865"/>
        <v>0</v>
      </c>
      <c r="FW500" s="38">
        <f t="shared" si="866"/>
        <v>0</v>
      </c>
      <c r="FX500" s="38">
        <f t="shared" si="867"/>
        <v>0</v>
      </c>
      <c r="FY500" s="38">
        <f t="shared" si="868"/>
        <v>0</v>
      </c>
      <c r="FZ500" s="38">
        <f t="shared" si="869"/>
        <v>0</v>
      </c>
      <c r="GA500" s="38">
        <f t="shared" si="870"/>
        <v>0</v>
      </c>
      <c r="GB500" s="38">
        <f t="shared" si="871"/>
        <v>0</v>
      </c>
      <c r="GC500" s="38">
        <f t="shared" si="872"/>
        <v>0</v>
      </c>
      <c r="GD500" s="38">
        <f t="shared" si="873"/>
        <v>0</v>
      </c>
      <c r="GE500" s="38">
        <f t="shared" si="874"/>
        <v>0</v>
      </c>
      <c r="GF500" s="38">
        <f t="shared" si="875"/>
        <v>0</v>
      </c>
      <c r="GG500" s="38">
        <f t="shared" si="876"/>
        <v>0</v>
      </c>
      <c r="GH500" s="38">
        <f t="shared" si="877"/>
        <v>0</v>
      </c>
      <c r="GI500" s="38">
        <f t="shared" si="878"/>
        <v>0</v>
      </c>
      <c r="GJ500" s="38">
        <f t="shared" si="879"/>
        <v>0</v>
      </c>
      <c r="GL500" s="38">
        <f t="shared" si="880"/>
        <v>0</v>
      </c>
      <c r="GM500" s="38">
        <f t="shared" si="881"/>
        <v>0</v>
      </c>
      <c r="GN500" s="1" t="s">
        <v>2</v>
      </c>
      <c r="GO500" s="1">
        <f t="shared" si="804"/>
        <v>7.4180000000000001</v>
      </c>
      <c r="GP500" s="13">
        <f t="shared" si="805"/>
        <v>0.59041790239956859</v>
      </c>
      <c r="GQ500" s="41">
        <f t="shared" si="806"/>
        <v>43.797200000000004</v>
      </c>
      <c r="GR500" s="41">
        <f t="shared" si="807"/>
        <v>1450.5398749917915</v>
      </c>
      <c r="GS500" s="14">
        <f t="shared" si="808"/>
        <v>195.54325626742943</v>
      </c>
      <c r="GT500" s="1">
        <f t="shared" si="882"/>
        <v>0</v>
      </c>
      <c r="GU500" s="1">
        <f t="shared" si="883"/>
        <v>33.845999999999997</v>
      </c>
      <c r="GV500" s="1">
        <f t="shared" si="884"/>
        <v>9.9512</v>
      </c>
      <c r="GW500" s="37">
        <f t="shared" si="809"/>
        <v>0</v>
      </c>
      <c r="GX500" s="37"/>
      <c r="GY500" s="37"/>
      <c r="GZ500" s="37"/>
      <c r="HB500" s="1">
        <f t="shared" si="885"/>
        <v>0</v>
      </c>
      <c r="HC500" s="1">
        <f t="shared" si="886"/>
        <v>0</v>
      </c>
      <c r="HD500" s="37" t="s">
        <v>2</v>
      </c>
      <c r="HE500" s="1" t="s">
        <v>113</v>
      </c>
      <c r="HF500" s="1" t="s">
        <v>646</v>
      </c>
      <c r="HI500" s="1" t="s">
        <v>96</v>
      </c>
      <c r="HJ500" s="37" t="s">
        <v>2</v>
      </c>
      <c r="JH500" s="58" t="s">
        <v>2</v>
      </c>
    </row>
    <row r="501" spans="1:268" ht="16.25" customHeight="1" x14ac:dyDescent="0.2">
      <c r="A501" s="15" t="s">
        <v>830</v>
      </c>
      <c r="B501" s="1" t="s">
        <v>69</v>
      </c>
      <c r="F501" s="1" t="s">
        <v>131</v>
      </c>
      <c r="I501" s="1">
        <v>0</v>
      </c>
      <c r="AD501" s="1">
        <v>0</v>
      </c>
      <c r="AY501" s="1">
        <v>2.6</v>
      </c>
      <c r="AZ501" s="1">
        <v>0.17</v>
      </c>
      <c r="BG501" s="1">
        <v>0.47</v>
      </c>
      <c r="BT501" s="1">
        <v>0</v>
      </c>
      <c r="CO501" s="1">
        <v>0</v>
      </c>
      <c r="DJ501" s="1" t="s">
        <v>163</v>
      </c>
      <c r="DL501" s="1">
        <f t="shared" si="802"/>
        <v>0.47</v>
      </c>
      <c r="DM501" s="1">
        <f t="shared" si="803"/>
        <v>0</v>
      </c>
      <c r="DN501" s="1" t="s">
        <v>815</v>
      </c>
      <c r="DO501" s="1" t="s">
        <v>2</v>
      </c>
      <c r="DP501" s="38">
        <f t="shared" si="810"/>
        <v>4.4200000000000003E-3</v>
      </c>
      <c r="DQ501" s="38">
        <f t="shared" si="811"/>
        <v>0</v>
      </c>
      <c r="DR501" s="38">
        <f t="shared" si="812"/>
        <v>0</v>
      </c>
      <c r="DS501" s="38">
        <f t="shared" si="813"/>
        <v>0</v>
      </c>
      <c r="DT501" s="38">
        <f t="shared" si="814"/>
        <v>0</v>
      </c>
      <c r="DU501" s="38">
        <f t="shared" si="815"/>
        <v>0</v>
      </c>
      <c r="DV501" s="38">
        <f t="shared" si="816"/>
        <v>0</v>
      </c>
      <c r="DW501" s="38">
        <f t="shared" si="817"/>
        <v>1.222E-2</v>
      </c>
      <c r="DX501" s="38">
        <f t="shared" si="818"/>
        <v>0</v>
      </c>
      <c r="DY501" s="38">
        <f t="shared" si="819"/>
        <v>0</v>
      </c>
      <c r="DZ501" s="38">
        <f t="shared" si="820"/>
        <v>0</v>
      </c>
      <c r="EA501" s="38">
        <f t="shared" si="821"/>
        <v>0</v>
      </c>
      <c r="EB501" s="38">
        <f t="shared" si="822"/>
        <v>0</v>
      </c>
      <c r="EC501" s="38">
        <f t="shared" si="823"/>
        <v>0</v>
      </c>
      <c r="ED501" s="38">
        <f t="shared" si="824"/>
        <v>0</v>
      </c>
      <c r="EE501" s="38">
        <f t="shared" si="825"/>
        <v>0</v>
      </c>
      <c r="EG501" s="38">
        <f t="shared" si="826"/>
        <v>0</v>
      </c>
      <c r="EH501" s="38">
        <f t="shared" si="827"/>
        <v>0</v>
      </c>
      <c r="EI501" s="38">
        <f t="shared" si="828"/>
        <v>28.843222720000004</v>
      </c>
      <c r="EJ501" s="38">
        <f t="shared" si="829"/>
        <v>0</v>
      </c>
      <c r="EK501" s="38">
        <f t="shared" si="830"/>
        <v>0</v>
      </c>
      <c r="EL501" s="38">
        <f t="shared" si="831"/>
        <v>0</v>
      </c>
      <c r="EM501" s="38">
        <f t="shared" si="832"/>
        <v>0</v>
      </c>
      <c r="EN501" s="38">
        <f t="shared" si="833"/>
        <v>0</v>
      </c>
      <c r="EO501" s="38">
        <f t="shared" si="834"/>
        <v>0</v>
      </c>
      <c r="EP501" s="38">
        <f t="shared" si="835"/>
        <v>160.25308000000001</v>
      </c>
      <c r="EQ501" s="38">
        <f t="shared" si="836"/>
        <v>0</v>
      </c>
      <c r="ER501" s="38">
        <f t="shared" si="837"/>
        <v>0</v>
      </c>
      <c r="ES501" s="38">
        <f t="shared" si="838"/>
        <v>0</v>
      </c>
      <c r="ET501" s="38">
        <f t="shared" si="839"/>
        <v>0</v>
      </c>
      <c r="EU501" s="38">
        <f t="shared" si="840"/>
        <v>0</v>
      </c>
      <c r="EV501" s="38">
        <f t="shared" si="841"/>
        <v>0</v>
      </c>
      <c r="EW501" s="38">
        <f t="shared" si="842"/>
        <v>0</v>
      </c>
      <c r="EX501" s="38">
        <f t="shared" si="843"/>
        <v>0</v>
      </c>
      <c r="EZ501" s="38">
        <f t="shared" si="844"/>
        <v>0</v>
      </c>
      <c r="FA501" s="38">
        <f t="shared" si="845"/>
        <v>0</v>
      </c>
      <c r="FB501" s="1">
        <f t="shared" si="846"/>
        <v>0</v>
      </c>
      <c r="FC501" s="1">
        <f t="shared" si="847"/>
        <v>0</v>
      </c>
      <c r="FD501" s="1">
        <f t="shared" si="848"/>
        <v>0</v>
      </c>
      <c r="FE501" s="1">
        <f t="shared" si="849"/>
        <v>0</v>
      </c>
      <c r="FF501" s="1">
        <f t="shared" si="850"/>
        <v>0</v>
      </c>
      <c r="FG501" s="1">
        <f t="shared" si="851"/>
        <v>0</v>
      </c>
      <c r="FH501" s="1">
        <f t="shared" si="852"/>
        <v>0</v>
      </c>
      <c r="FI501" s="1">
        <f t="shared" si="853"/>
        <v>0</v>
      </c>
      <c r="FJ501" s="1">
        <f t="shared" si="854"/>
        <v>0</v>
      </c>
      <c r="FK501" s="1">
        <f t="shared" si="855"/>
        <v>0</v>
      </c>
      <c r="FL501" s="1">
        <f t="shared" si="856"/>
        <v>0</v>
      </c>
      <c r="FM501" s="1">
        <f t="shared" si="857"/>
        <v>0</v>
      </c>
      <c r="FN501" s="1">
        <f t="shared" si="858"/>
        <v>0</v>
      </c>
      <c r="FO501" s="1">
        <f t="shared" si="859"/>
        <v>0</v>
      </c>
      <c r="FP501" s="1">
        <f t="shared" si="860"/>
        <v>0</v>
      </c>
      <c r="FQ501" s="1">
        <f t="shared" si="861"/>
        <v>0</v>
      </c>
      <c r="FS501" s="1">
        <f t="shared" si="862"/>
        <v>0</v>
      </c>
      <c r="FT501" s="1">
        <f t="shared" si="863"/>
        <v>0</v>
      </c>
      <c r="FU501" s="38">
        <f t="shared" si="864"/>
        <v>0</v>
      </c>
      <c r="FV501" s="38">
        <f t="shared" si="865"/>
        <v>0</v>
      </c>
      <c r="FW501" s="38">
        <f t="shared" si="866"/>
        <v>0</v>
      </c>
      <c r="FX501" s="38">
        <f t="shared" si="867"/>
        <v>0</v>
      </c>
      <c r="FY501" s="38">
        <f t="shared" si="868"/>
        <v>0</v>
      </c>
      <c r="FZ501" s="38">
        <f t="shared" si="869"/>
        <v>0</v>
      </c>
      <c r="GA501" s="38">
        <f t="shared" si="870"/>
        <v>0</v>
      </c>
      <c r="GB501" s="38">
        <f t="shared" si="871"/>
        <v>0</v>
      </c>
      <c r="GC501" s="38">
        <f t="shared" si="872"/>
        <v>0</v>
      </c>
      <c r="GD501" s="38">
        <f t="shared" si="873"/>
        <v>0</v>
      </c>
      <c r="GE501" s="38">
        <f t="shared" si="874"/>
        <v>0</v>
      </c>
      <c r="GF501" s="38">
        <f t="shared" si="875"/>
        <v>0</v>
      </c>
      <c r="GG501" s="38">
        <f t="shared" si="876"/>
        <v>0</v>
      </c>
      <c r="GH501" s="38">
        <f t="shared" si="877"/>
        <v>0</v>
      </c>
      <c r="GI501" s="38">
        <f t="shared" si="878"/>
        <v>0</v>
      </c>
      <c r="GJ501" s="38">
        <f t="shared" si="879"/>
        <v>0</v>
      </c>
      <c r="GL501" s="38">
        <f t="shared" si="880"/>
        <v>0</v>
      </c>
      <c r="GM501" s="38">
        <f t="shared" si="881"/>
        <v>0</v>
      </c>
      <c r="GN501" s="1" t="s">
        <v>2</v>
      </c>
      <c r="GO501" s="1">
        <f t="shared" si="804"/>
        <v>2.6</v>
      </c>
      <c r="GP501" s="1">
        <f t="shared" si="805"/>
        <v>0.47</v>
      </c>
      <c r="GQ501" s="41">
        <f t="shared" si="806"/>
        <v>12.22</v>
      </c>
      <c r="GR501" s="41">
        <f t="shared" si="807"/>
        <v>189.09630272000001</v>
      </c>
      <c r="GS501" s="14">
        <f t="shared" si="808"/>
        <v>72.729347200000007</v>
      </c>
      <c r="GT501" s="1">
        <f t="shared" si="882"/>
        <v>0</v>
      </c>
      <c r="GU501" s="1">
        <f t="shared" si="883"/>
        <v>0</v>
      </c>
      <c r="GV501" s="1">
        <f t="shared" si="884"/>
        <v>12.22</v>
      </c>
      <c r="GW501" s="37">
        <f t="shared" si="809"/>
        <v>0</v>
      </c>
      <c r="GX501" s="37"/>
      <c r="GY501" s="37"/>
      <c r="GZ501" s="37"/>
      <c r="HB501" s="1">
        <f t="shared" si="885"/>
        <v>0</v>
      </c>
      <c r="HC501" s="1">
        <f t="shared" si="886"/>
        <v>0</v>
      </c>
      <c r="HD501" s="37" t="s">
        <v>2</v>
      </c>
      <c r="HE501" s="1" t="s">
        <v>113</v>
      </c>
      <c r="HF501" s="1" t="s">
        <v>831</v>
      </c>
      <c r="HI501" s="1" t="s">
        <v>163</v>
      </c>
      <c r="HJ501" s="37" t="s">
        <v>2</v>
      </c>
      <c r="JH501" s="58" t="s">
        <v>2</v>
      </c>
    </row>
    <row r="502" spans="1:268" ht="16.25" customHeight="1" x14ac:dyDescent="0.2">
      <c r="A502" s="15" t="s">
        <v>1162</v>
      </c>
      <c r="B502" s="1" t="s">
        <v>69</v>
      </c>
      <c r="F502" s="1" t="s">
        <v>131</v>
      </c>
      <c r="I502" s="1">
        <v>0</v>
      </c>
      <c r="AD502" s="1">
        <v>0</v>
      </c>
      <c r="AY502" s="1">
        <v>6.37</v>
      </c>
      <c r="AZ502" s="1">
        <v>0.04</v>
      </c>
      <c r="BG502" s="1">
        <v>0.35</v>
      </c>
      <c r="BH502" s="1">
        <v>0.01</v>
      </c>
      <c r="BT502" s="1">
        <v>0</v>
      </c>
      <c r="CO502" s="1">
        <v>0</v>
      </c>
      <c r="DJ502" s="1" t="s">
        <v>163</v>
      </c>
      <c r="DK502" s="1" t="s">
        <v>163</v>
      </c>
      <c r="DL502" s="1">
        <f t="shared" si="802"/>
        <v>0.35</v>
      </c>
      <c r="DM502" s="1">
        <f t="shared" si="803"/>
        <v>0.01</v>
      </c>
      <c r="DN502" s="1" t="s">
        <v>1079</v>
      </c>
      <c r="DO502" s="1" t="s">
        <v>2</v>
      </c>
      <c r="DP502" s="38">
        <f t="shared" si="810"/>
        <v>2.5480000000000004E-3</v>
      </c>
      <c r="DQ502" s="38">
        <f t="shared" si="811"/>
        <v>0</v>
      </c>
      <c r="DR502" s="38">
        <f t="shared" si="812"/>
        <v>0</v>
      </c>
      <c r="DS502" s="38">
        <f t="shared" si="813"/>
        <v>0</v>
      </c>
      <c r="DT502" s="38">
        <f t="shared" si="814"/>
        <v>0</v>
      </c>
      <c r="DU502" s="38">
        <f t="shared" si="815"/>
        <v>0</v>
      </c>
      <c r="DV502" s="38">
        <f t="shared" si="816"/>
        <v>0</v>
      </c>
      <c r="DW502" s="38">
        <f t="shared" si="817"/>
        <v>2.2294999999999999E-2</v>
      </c>
      <c r="DX502" s="38">
        <f t="shared" si="818"/>
        <v>6.3700000000000009E-4</v>
      </c>
      <c r="DY502" s="38">
        <f t="shared" si="819"/>
        <v>0</v>
      </c>
      <c r="DZ502" s="38">
        <f t="shared" si="820"/>
        <v>0</v>
      </c>
      <c r="EA502" s="38">
        <f t="shared" si="821"/>
        <v>0</v>
      </c>
      <c r="EB502" s="38">
        <f t="shared" si="822"/>
        <v>0</v>
      </c>
      <c r="EC502" s="38">
        <f t="shared" si="823"/>
        <v>0</v>
      </c>
      <c r="ED502" s="38">
        <f t="shared" si="824"/>
        <v>0</v>
      </c>
      <c r="EE502" s="38">
        <f t="shared" si="825"/>
        <v>0</v>
      </c>
      <c r="EG502" s="38">
        <f t="shared" si="826"/>
        <v>0</v>
      </c>
      <c r="EH502" s="38">
        <f t="shared" si="827"/>
        <v>0</v>
      </c>
      <c r="EI502" s="38">
        <f t="shared" si="828"/>
        <v>16.627269568000003</v>
      </c>
      <c r="EJ502" s="38">
        <f t="shared" si="829"/>
        <v>0</v>
      </c>
      <c r="EK502" s="38">
        <f t="shared" si="830"/>
        <v>0</v>
      </c>
      <c r="EL502" s="38">
        <f t="shared" si="831"/>
        <v>0</v>
      </c>
      <c r="EM502" s="38">
        <f t="shared" si="832"/>
        <v>0</v>
      </c>
      <c r="EN502" s="38">
        <f t="shared" si="833"/>
        <v>0</v>
      </c>
      <c r="EO502" s="38">
        <f t="shared" si="834"/>
        <v>0</v>
      </c>
      <c r="EP502" s="38">
        <f t="shared" si="835"/>
        <v>292.37662999999998</v>
      </c>
      <c r="EQ502" s="38">
        <f t="shared" si="836"/>
        <v>46.258636787999997</v>
      </c>
      <c r="ER502" s="38">
        <f t="shared" si="837"/>
        <v>0</v>
      </c>
      <c r="ES502" s="38">
        <f t="shared" si="838"/>
        <v>0</v>
      </c>
      <c r="ET502" s="38">
        <f t="shared" si="839"/>
        <v>0</v>
      </c>
      <c r="EU502" s="38">
        <f t="shared" si="840"/>
        <v>0</v>
      </c>
      <c r="EV502" s="38">
        <f t="shared" si="841"/>
        <v>0</v>
      </c>
      <c r="EW502" s="38">
        <f t="shared" si="842"/>
        <v>0</v>
      </c>
      <c r="EX502" s="38">
        <f t="shared" si="843"/>
        <v>0</v>
      </c>
      <c r="EZ502" s="38">
        <f t="shared" si="844"/>
        <v>0</v>
      </c>
      <c r="FA502" s="38">
        <f t="shared" si="845"/>
        <v>0</v>
      </c>
      <c r="FB502" s="1">
        <f t="shared" si="846"/>
        <v>0</v>
      </c>
      <c r="FC502" s="1">
        <f t="shared" si="847"/>
        <v>0</v>
      </c>
      <c r="FD502" s="1">
        <f t="shared" si="848"/>
        <v>0</v>
      </c>
      <c r="FE502" s="1">
        <f t="shared" si="849"/>
        <v>0</v>
      </c>
      <c r="FF502" s="1">
        <f t="shared" si="850"/>
        <v>0</v>
      </c>
      <c r="FG502" s="1">
        <f t="shared" si="851"/>
        <v>0</v>
      </c>
      <c r="FH502" s="1">
        <f t="shared" si="852"/>
        <v>0</v>
      </c>
      <c r="FI502" s="1">
        <f t="shared" si="853"/>
        <v>0</v>
      </c>
      <c r="FJ502" s="1">
        <f t="shared" si="854"/>
        <v>0</v>
      </c>
      <c r="FK502" s="1">
        <f t="shared" si="855"/>
        <v>0</v>
      </c>
      <c r="FL502" s="1">
        <f t="shared" si="856"/>
        <v>0</v>
      </c>
      <c r="FM502" s="1">
        <f t="shared" si="857"/>
        <v>0</v>
      </c>
      <c r="FN502" s="1">
        <f t="shared" si="858"/>
        <v>0</v>
      </c>
      <c r="FO502" s="1">
        <f t="shared" si="859"/>
        <v>0</v>
      </c>
      <c r="FP502" s="1">
        <f t="shared" si="860"/>
        <v>0</v>
      </c>
      <c r="FQ502" s="1">
        <f t="shared" si="861"/>
        <v>0</v>
      </c>
      <c r="FS502" s="1">
        <f t="shared" si="862"/>
        <v>0</v>
      </c>
      <c r="FT502" s="1">
        <f t="shared" si="863"/>
        <v>0</v>
      </c>
      <c r="FU502" s="38">
        <f t="shared" si="864"/>
        <v>0</v>
      </c>
      <c r="FV502" s="38">
        <f t="shared" si="865"/>
        <v>0</v>
      </c>
      <c r="FW502" s="38">
        <f t="shared" si="866"/>
        <v>0</v>
      </c>
      <c r="FX502" s="38">
        <f t="shared" si="867"/>
        <v>0</v>
      </c>
      <c r="FY502" s="38">
        <f t="shared" si="868"/>
        <v>0</v>
      </c>
      <c r="FZ502" s="38">
        <f t="shared" si="869"/>
        <v>0</v>
      </c>
      <c r="GA502" s="38">
        <f t="shared" si="870"/>
        <v>0</v>
      </c>
      <c r="GB502" s="38">
        <f t="shared" si="871"/>
        <v>0</v>
      </c>
      <c r="GC502" s="38">
        <f t="shared" si="872"/>
        <v>0</v>
      </c>
      <c r="GD502" s="38">
        <f t="shared" si="873"/>
        <v>0</v>
      </c>
      <c r="GE502" s="38">
        <f t="shared" si="874"/>
        <v>0</v>
      </c>
      <c r="GF502" s="38">
        <f t="shared" si="875"/>
        <v>0</v>
      </c>
      <c r="GG502" s="38">
        <f t="shared" si="876"/>
        <v>0</v>
      </c>
      <c r="GH502" s="38">
        <f t="shared" si="877"/>
        <v>0</v>
      </c>
      <c r="GI502" s="38">
        <f t="shared" si="878"/>
        <v>0</v>
      </c>
      <c r="GJ502" s="38">
        <f t="shared" si="879"/>
        <v>0</v>
      </c>
      <c r="GL502" s="38">
        <f t="shared" si="880"/>
        <v>0</v>
      </c>
      <c r="GM502" s="38">
        <f t="shared" si="881"/>
        <v>0</v>
      </c>
      <c r="GN502" s="1" t="s">
        <v>2</v>
      </c>
      <c r="GO502" s="1">
        <f t="shared" si="804"/>
        <v>6.37</v>
      </c>
      <c r="GP502" s="1">
        <f t="shared" si="805"/>
        <v>0.35</v>
      </c>
      <c r="GQ502" s="41">
        <f t="shared" si="806"/>
        <v>22.295000000000002</v>
      </c>
      <c r="GR502" s="41">
        <f t="shared" si="807"/>
        <v>355.26253635599994</v>
      </c>
      <c r="GS502" s="14">
        <f t="shared" si="808"/>
        <v>55.771198799999993</v>
      </c>
      <c r="GT502" s="1">
        <f t="shared" si="882"/>
        <v>0</v>
      </c>
      <c r="GU502" s="1">
        <f t="shared" si="883"/>
        <v>0</v>
      </c>
      <c r="GV502" s="1">
        <f t="shared" si="884"/>
        <v>22.295000000000002</v>
      </c>
      <c r="GW502" s="37">
        <f t="shared" si="809"/>
        <v>0</v>
      </c>
      <c r="GX502" s="37"/>
      <c r="GY502" s="37"/>
      <c r="GZ502" s="37"/>
      <c r="HB502" s="1">
        <f t="shared" si="885"/>
        <v>0</v>
      </c>
      <c r="HC502" s="1">
        <f t="shared" si="886"/>
        <v>0</v>
      </c>
      <c r="HD502" s="37" t="s">
        <v>2</v>
      </c>
      <c r="HE502" s="1" t="s">
        <v>113</v>
      </c>
      <c r="HF502" s="1" t="s">
        <v>375</v>
      </c>
      <c r="HI502" s="1" t="s">
        <v>163</v>
      </c>
      <c r="HJ502" s="37" t="s">
        <v>2</v>
      </c>
      <c r="JH502" s="58" t="s">
        <v>2</v>
      </c>
    </row>
    <row r="503" spans="1:268" ht="16.25" customHeight="1" x14ac:dyDescent="0.2">
      <c r="A503" s="15" t="s">
        <v>1041</v>
      </c>
      <c r="B503" s="1" t="s">
        <v>69</v>
      </c>
      <c r="F503" s="1" t="s">
        <v>1042</v>
      </c>
      <c r="I503" s="1">
        <v>0</v>
      </c>
      <c r="AD503" s="1">
        <v>90.4</v>
      </c>
      <c r="AE503" s="1">
        <v>0.52</v>
      </c>
      <c r="AL503" s="1">
        <v>0.16</v>
      </c>
      <c r="AY503" s="14">
        <v>217</v>
      </c>
      <c r="AZ503" s="1">
        <v>0.46</v>
      </c>
      <c r="BG503" s="1">
        <v>0.15</v>
      </c>
      <c r="BT503" s="1">
        <v>0</v>
      </c>
      <c r="CO503" s="1">
        <v>0</v>
      </c>
      <c r="DJ503" s="1" t="s">
        <v>96</v>
      </c>
      <c r="DL503" s="1">
        <f t="shared" si="802"/>
        <v>0.15294079375406636</v>
      </c>
      <c r="DM503" s="1">
        <f t="shared" si="803"/>
        <v>0</v>
      </c>
      <c r="DN503" s="1" t="s">
        <v>67</v>
      </c>
      <c r="DO503" s="1" t="s">
        <v>2</v>
      </c>
      <c r="DP503" s="38">
        <f t="shared" si="810"/>
        <v>1.46828</v>
      </c>
      <c r="DQ503" s="38">
        <f t="shared" si="811"/>
        <v>0</v>
      </c>
      <c r="DR503" s="38">
        <f t="shared" si="812"/>
        <v>0</v>
      </c>
      <c r="DS503" s="38">
        <f t="shared" si="813"/>
        <v>0</v>
      </c>
      <c r="DT503" s="38">
        <f t="shared" si="814"/>
        <v>0</v>
      </c>
      <c r="DU503" s="38">
        <f t="shared" si="815"/>
        <v>0</v>
      </c>
      <c r="DV503" s="38">
        <f t="shared" si="816"/>
        <v>0</v>
      </c>
      <c r="DW503" s="38">
        <f t="shared" si="817"/>
        <v>0.47013999999999995</v>
      </c>
      <c r="DX503" s="38">
        <f t="shared" si="818"/>
        <v>0</v>
      </c>
      <c r="DY503" s="38">
        <f t="shared" si="819"/>
        <v>0</v>
      </c>
      <c r="DZ503" s="38">
        <f t="shared" si="820"/>
        <v>0</v>
      </c>
      <c r="EA503" s="38">
        <f t="shared" si="821"/>
        <v>0</v>
      </c>
      <c r="EB503" s="38">
        <f t="shared" si="822"/>
        <v>0</v>
      </c>
      <c r="EC503" s="38">
        <f t="shared" si="823"/>
        <v>0</v>
      </c>
      <c r="ED503" s="38">
        <f t="shared" si="824"/>
        <v>0</v>
      </c>
      <c r="EE503" s="38">
        <f t="shared" si="825"/>
        <v>0</v>
      </c>
      <c r="EG503" s="38">
        <f t="shared" si="826"/>
        <v>0</v>
      </c>
      <c r="EH503" s="38">
        <f t="shared" si="827"/>
        <v>0</v>
      </c>
      <c r="EI503" s="38">
        <f t="shared" si="828"/>
        <v>9581.4314604800002</v>
      </c>
      <c r="EJ503" s="38">
        <f t="shared" si="829"/>
        <v>0</v>
      </c>
      <c r="EK503" s="38">
        <f t="shared" si="830"/>
        <v>0</v>
      </c>
      <c r="EL503" s="38">
        <f t="shared" si="831"/>
        <v>0</v>
      </c>
      <c r="EM503" s="38">
        <f t="shared" si="832"/>
        <v>0</v>
      </c>
      <c r="EN503" s="38">
        <f t="shared" si="833"/>
        <v>0</v>
      </c>
      <c r="EO503" s="38">
        <f t="shared" si="834"/>
        <v>0</v>
      </c>
      <c r="EP503" s="38">
        <f t="shared" si="835"/>
        <v>6165.4159599999994</v>
      </c>
      <c r="EQ503" s="38">
        <f t="shared" si="836"/>
        <v>0</v>
      </c>
      <c r="ER503" s="38">
        <f t="shared" si="837"/>
        <v>0</v>
      </c>
      <c r="ES503" s="38">
        <f t="shared" si="838"/>
        <v>0</v>
      </c>
      <c r="ET503" s="38">
        <f t="shared" si="839"/>
        <v>0</v>
      </c>
      <c r="EU503" s="38">
        <f t="shared" si="840"/>
        <v>0</v>
      </c>
      <c r="EV503" s="38">
        <f t="shared" si="841"/>
        <v>0</v>
      </c>
      <c r="EW503" s="38">
        <f t="shared" si="842"/>
        <v>0</v>
      </c>
      <c r="EX503" s="38">
        <f t="shared" si="843"/>
        <v>0</v>
      </c>
      <c r="EZ503" s="38">
        <f t="shared" si="844"/>
        <v>0</v>
      </c>
      <c r="FA503" s="38">
        <f t="shared" si="845"/>
        <v>0</v>
      </c>
      <c r="FB503" s="1">
        <f t="shared" si="846"/>
        <v>0</v>
      </c>
      <c r="FC503" s="1">
        <f t="shared" si="847"/>
        <v>0</v>
      </c>
      <c r="FD503" s="1">
        <f t="shared" si="848"/>
        <v>0</v>
      </c>
      <c r="FE503" s="1">
        <f t="shared" si="849"/>
        <v>0</v>
      </c>
      <c r="FF503" s="1">
        <f t="shared" si="850"/>
        <v>0</v>
      </c>
      <c r="FG503" s="1">
        <f t="shared" si="851"/>
        <v>0</v>
      </c>
      <c r="FH503" s="1">
        <f t="shared" si="852"/>
        <v>0</v>
      </c>
      <c r="FI503" s="1">
        <f t="shared" si="853"/>
        <v>0</v>
      </c>
      <c r="FJ503" s="1">
        <f t="shared" si="854"/>
        <v>0</v>
      </c>
      <c r="FK503" s="1">
        <f t="shared" si="855"/>
        <v>0</v>
      </c>
      <c r="FL503" s="1">
        <f t="shared" si="856"/>
        <v>0</v>
      </c>
      <c r="FM503" s="1">
        <f t="shared" si="857"/>
        <v>0</v>
      </c>
      <c r="FN503" s="1">
        <f t="shared" si="858"/>
        <v>0</v>
      </c>
      <c r="FO503" s="1">
        <f t="shared" si="859"/>
        <v>0</v>
      </c>
      <c r="FP503" s="1">
        <f t="shared" si="860"/>
        <v>0</v>
      </c>
      <c r="FQ503" s="1">
        <f t="shared" si="861"/>
        <v>0</v>
      </c>
      <c r="FS503" s="1">
        <f t="shared" si="862"/>
        <v>0</v>
      </c>
      <c r="FT503" s="1">
        <f t="shared" si="863"/>
        <v>0</v>
      </c>
      <c r="FU503" s="38">
        <f t="shared" si="864"/>
        <v>0</v>
      </c>
      <c r="FV503" s="38">
        <f t="shared" si="865"/>
        <v>0</v>
      </c>
      <c r="FW503" s="38">
        <f t="shared" si="866"/>
        <v>0</v>
      </c>
      <c r="FX503" s="38">
        <f t="shared" si="867"/>
        <v>0</v>
      </c>
      <c r="FY503" s="38">
        <f t="shared" si="868"/>
        <v>0</v>
      </c>
      <c r="FZ503" s="38">
        <f t="shared" si="869"/>
        <v>0</v>
      </c>
      <c r="GA503" s="38">
        <f t="shared" si="870"/>
        <v>0</v>
      </c>
      <c r="GB503" s="38">
        <f t="shared" si="871"/>
        <v>0</v>
      </c>
      <c r="GC503" s="38">
        <f t="shared" si="872"/>
        <v>0</v>
      </c>
      <c r="GD503" s="38">
        <f t="shared" si="873"/>
        <v>0</v>
      </c>
      <c r="GE503" s="38">
        <f t="shared" si="874"/>
        <v>0</v>
      </c>
      <c r="GF503" s="38">
        <f t="shared" si="875"/>
        <v>0</v>
      </c>
      <c r="GG503" s="38">
        <f t="shared" si="876"/>
        <v>0</v>
      </c>
      <c r="GH503" s="38">
        <f t="shared" si="877"/>
        <v>0</v>
      </c>
      <c r="GI503" s="38">
        <f t="shared" si="878"/>
        <v>0</v>
      </c>
      <c r="GJ503" s="38">
        <f t="shared" si="879"/>
        <v>0</v>
      </c>
      <c r="GL503" s="38">
        <f t="shared" si="880"/>
        <v>0</v>
      </c>
      <c r="GM503" s="38">
        <f t="shared" si="881"/>
        <v>0</v>
      </c>
      <c r="GN503" s="1" t="s">
        <v>2</v>
      </c>
      <c r="GO503" s="1">
        <f t="shared" si="804"/>
        <v>307.39999999999998</v>
      </c>
      <c r="GP503" s="13">
        <f t="shared" si="805"/>
        <v>0.15294079375406636</v>
      </c>
      <c r="GQ503" s="41">
        <f t="shared" si="806"/>
        <v>470.14</v>
      </c>
      <c r="GR503" s="41">
        <f t="shared" si="807"/>
        <v>15746.84742048</v>
      </c>
      <c r="GS503" s="14">
        <f t="shared" si="808"/>
        <v>51.225918739362399</v>
      </c>
      <c r="GT503" s="1">
        <f t="shared" si="882"/>
        <v>0</v>
      </c>
      <c r="GU503" s="1">
        <f t="shared" si="883"/>
        <v>144.63999999999999</v>
      </c>
      <c r="GV503" s="1">
        <f t="shared" si="884"/>
        <v>325.49999999999994</v>
      </c>
      <c r="GW503" s="37">
        <f t="shared" si="809"/>
        <v>0</v>
      </c>
      <c r="GX503" s="37"/>
      <c r="GY503" s="37"/>
      <c r="GZ503" s="37"/>
      <c r="HB503" s="1">
        <f t="shared" si="885"/>
        <v>0</v>
      </c>
      <c r="HC503" s="1">
        <f t="shared" si="886"/>
        <v>0</v>
      </c>
      <c r="HD503" s="37" t="s">
        <v>2</v>
      </c>
      <c r="HE503" s="1" t="s">
        <v>113</v>
      </c>
      <c r="HF503" s="1" t="s">
        <v>129</v>
      </c>
      <c r="HG503" s="1" t="s">
        <v>1043</v>
      </c>
      <c r="HI503" s="1" t="s">
        <v>96</v>
      </c>
      <c r="HJ503" s="37" t="s">
        <v>2</v>
      </c>
      <c r="JH503" s="58" t="s">
        <v>2</v>
      </c>
    </row>
    <row r="504" spans="1:268" ht="16.25" customHeight="1" x14ac:dyDescent="0.2">
      <c r="A504" s="15" t="s">
        <v>1046</v>
      </c>
      <c r="B504" s="1" t="s">
        <v>69</v>
      </c>
      <c r="F504" s="1" t="s">
        <v>1042</v>
      </c>
      <c r="I504" s="1">
        <v>291.39999999999998</v>
      </c>
      <c r="J504" s="1">
        <v>0.63</v>
      </c>
      <c r="K504" s="13">
        <f>(0.08*327.4+0.08*881.4+0.059*767.6+0.042*131.1+0.033*57.5)/(327.4+881.4+767.6+131.1+57.5)</f>
        <v>6.9005127020785234E-2</v>
      </c>
      <c r="L504" s="13">
        <f>(2.19*327.4+2.02*881.4+1.58*767.6+1.42*131.1+1.19*57.5)/(327.4+881.4+767.6+131.1+57.5)</f>
        <v>1.8313297921478058</v>
      </c>
      <c r="Q504" s="13">
        <v>0.2</v>
      </c>
      <c r="R504" s="2">
        <f>(0.01048*327.4+0.01019*881.4+0.00805*767.6+0.01031*131.1+0.00929*57.5)/(327.4+881.4+767.6+131.1+57.5)</f>
        <v>9.4584822170900688E-3</v>
      </c>
      <c r="S504" s="13">
        <f>(0.141*327.4+0.148*881.4+0.116*767.6+0.071*131.1+0.052*57.5)/(327.4+881.4+767.6+131.1+57.5)</f>
        <v>0.1283835103926097</v>
      </c>
      <c r="T504" s="13">
        <f>(0.328*327.4+0.336*881.4+0.262*767.6+0.164*131.1+0.126*57.5)/(327.4+881.4+767.6+131.1+57.5)</f>
        <v>0.29256083140877603</v>
      </c>
      <c r="AD504" s="1">
        <v>818.3</v>
      </c>
      <c r="AE504" s="13">
        <v>0.56999999999999995</v>
      </c>
      <c r="AF504" s="13">
        <f>(0.08*327.4+0.08*881.4+0.059*767.6+0.042*131.1+0.033*57.5)/(327.4+881.4+767.6+131.1+57.5)</f>
        <v>6.9005127020785234E-2</v>
      </c>
      <c r="AG504" s="13">
        <f>(2.19*327.4+2.02*881.4+1.58*767.6+1.42*131.1+1.19*57.5)/(327.4+881.4+767.6+131.1+57.5)</f>
        <v>1.8313297921478058</v>
      </c>
      <c r="AL504" s="13">
        <v>0.18</v>
      </c>
      <c r="AM504" s="2">
        <f>(0.01048*327.4+0.01019*881.4+0.00805*767.6+0.01031*131.1+0.00929*57.5)/(327.4+881.4+767.6+131.1+57.5)</f>
        <v>9.4584822170900688E-3</v>
      </c>
      <c r="AN504" s="13">
        <f>(0.141*327.4+0.148*881.4+0.116*767.6+0.071*131.1+0.052*57.5)/(327.4+881.4+767.6+131.1+57.5)</f>
        <v>0.1283835103926097</v>
      </c>
      <c r="AO504" s="13">
        <f>(0.328*327.4+0.336*881.4+0.262*767.6+0.164*131.1+0.126*57.5)/(327.4+881.4+767.6+131.1+57.5)</f>
        <v>0.29256083140877603</v>
      </c>
      <c r="AY504" s="1">
        <v>534.1</v>
      </c>
      <c r="AZ504" s="13">
        <v>0.5</v>
      </c>
      <c r="BA504" s="13">
        <f>(0.08*327.4+0.08*881.4+0.059*767.6+0.042*131.1+0.033*57.5)/(327.4+881.4+767.6+131.1+57.5)</f>
        <v>6.9005127020785234E-2</v>
      </c>
      <c r="BB504" s="13">
        <f>(2.19*327.4+2.02*881.4+1.58*767.6+1.42*131.1+1.19*57.5)/(327.4+881.4+767.6+131.1+57.5)</f>
        <v>1.8313297921478058</v>
      </c>
      <c r="BG504" s="13">
        <v>0.16</v>
      </c>
      <c r="BH504" s="2">
        <f>(0.01048*327.4+0.01019*881.4+0.00805*767.6+0.01031*131.1+0.00929*57.5)/(327.4+881.4+767.6+131.1+57.5)</f>
        <v>9.4584822170900688E-3</v>
      </c>
      <c r="BI504" s="13">
        <f>(0.141*327.4+0.148*881.4+0.116*767.6+0.071*131.1+0.052*57.5)/(327.4+881.4+767.6+131.1+57.5)</f>
        <v>0.1283835103926097</v>
      </c>
      <c r="BJ504" s="13">
        <f>(0.328*327.4+0.336*881.4+0.262*767.6+0.164*131.1+0.126*57.5)/(327.4+881.4+767.6+131.1+57.5)</f>
        <v>0.29256083140877603</v>
      </c>
      <c r="BT504" s="1">
        <v>0</v>
      </c>
      <c r="CO504" s="1">
        <v>0</v>
      </c>
      <c r="DJ504" s="1" t="s">
        <v>96</v>
      </c>
      <c r="DK504" s="1" t="s">
        <v>96</v>
      </c>
      <c r="DL504" s="1">
        <f t="shared" si="802"/>
        <v>0.17704708602019711</v>
      </c>
      <c r="DM504" s="1">
        <f t="shared" si="803"/>
        <v>9.4584822170900706E-3</v>
      </c>
      <c r="DN504" s="1" t="s">
        <v>67</v>
      </c>
      <c r="DO504" s="1" t="s">
        <v>2</v>
      </c>
      <c r="DP504" s="38">
        <f t="shared" si="810"/>
        <v>9.1706299999999992</v>
      </c>
      <c r="DQ504" s="38">
        <f t="shared" si="811"/>
        <v>113.43062779676677</v>
      </c>
      <c r="DR504" s="38">
        <f t="shared" si="812"/>
        <v>3010.3399123325635</v>
      </c>
      <c r="DS504" s="38">
        <f t="shared" si="813"/>
        <v>0</v>
      </c>
      <c r="DT504" s="38">
        <f t="shared" si="814"/>
        <v>0</v>
      </c>
      <c r="DU504" s="38">
        <f t="shared" si="815"/>
        <v>0</v>
      </c>
      <c r="DV504" s="38">
        <f t="shared" si="816"/>
        <v>0</v>
      </c>
      <c r="DW504" s="38">
        <f t="shared" si="817"/>
        <v>2.9102999999999999</v>
      </c>
      <c r="DX504" s="38">
        <f t="shared" si="818"/>
        <v>0.15547853068452658</v>
      </c>
      <c r="DY504" s="38">
        <f t="shared" si="819"/>
        <v>211.03681438337179</v>
      </c>
      <c r="DZ504" s="38">
        <f t="shared" si="820"/>
        <v>480.91149466974605</v>
      </c>
      <c r="EA504" s="38">
        <f t="shared" si="821"/>
        <v>0</v>
      </c>
      <c r="EB504" s="38">
        <f t="shared" si="822"/>
        <v>0</v>
      </c>
      <c r="EC504" s="38">
        <f t="shared" si="823"/>
        <v>0</v>
      </c>
      <c r="ED504" s="38">
        <f t="shared" si="824"/>
        <v>0</v>
      </c>
      <c r="EE504" s="38">
        <f t="shared" si="825"/>
        <v>0</v>
      </c>
      <c r="EG504" s="38">
        <f t="shared" si="826"/>
        <v>0</v>
      </c>
      <c r="EH504" s="38">
        <f t="shared" si="827"/>
        <v>0</v>
      </c>
      <c r="EI504" s="38">
        <f t="shared" si="828"/>
        <v>59844.009858079997</v>
      </c>
      <c r="EJ504" s="38">
        <f t="shared" si="829"/>
        <v>4639.3491497584346</v>
      </c>
      <c r="EK504" s="38">
        <f t="shared" si="830"/>
        <v>1524.5290552809604</v>
      </c>
      <c r="EL504" s="38">
        <f t="shared" si="831"/>
        <v>0</v>
      </c>
      <c r="EM504" s="38">
        <f t="shared" si="832"/>
        <v>0</v>
      </c>
      <c r="EN504" s="38">
        <f t="shared" si="833"/>
        <v>0</v>
      </c>
      <c r="EO504" s="38">
        <f t="shared" si="834"/>
        <v>0</v>
      </c>
      <c r="EP504" s="38">
        <f t="shared" si="835"/>
        <v>38165.674200000001</v>
      </c>
      <c r="EQ504" s="38">
        <f t="shared" si="836"/>
        <v>11290.776890529713</v>
      </c>
      <c r="ER504" s="38">
        <f t="shared" si="837"/>
        <v>5989.5097936857528</v>
      </c>
      <c r="ES504" s="38">
        <f t="shared" si="838"/>
        <v>16026.723486191797</v>
      </c>
      <c r="ET504" s="38">
        <f t="shared" si="839"/>
        <v>0</v>
      </c>
      <c r="EU504" s="38">
        <f t="shared" si="840"/>
        <v>0</v>
      </c>
      <c r="EV504" s="38">
        <f t="shared" si="841"/>
        <v>0</v>
      </c>
      <c r="EW504" s="38">
        <f t="shared" si="842"/>
        <v>0</v>
      </c>
      <c r="EX504" s="38">
        <f t="shared" si="843"/>
        <v>0</v>
      </c>
      <c r="EZ504" s="38">
        <f t="shared" si="844"/>
        <v>0</v>
      </c>
      <c r="FA504" s="38">
        <f t="shared" si="845"/>
        <v>0</v>
      </c>
      <c r="FB504" s="1">
        <f t="shared" si="846"/>
        <v>0</v>
      </c>
      <c r="FC504" s="1">
        <f t="shared" si="847"/>
        <v>0</v>
      </c>
      <c r="FD504" s="1">
        <f t="shared" si="848"/>
        <v>0</v>
      </c>
      <c r="FE504" s="1">
        <f t="shared" si="849"/>
        <v>0</v>
      </c>
      <c r="FF504" s="1">
        <f t="shared" si="850"/>
        <v>0</v>
      </c>
      <c r="FG504" s="1">
        <f t="shared" si="851"/>
        <v>0</v>
      </c>
      <c r="FH504" s="1">
        <f t="shared" si="852"/>
        <v>0</v>
      </c>
      <c r="FI504" s="1">
        <f t="shared" si="853"/>
        <v>0</v>
      </c>
      <c r="FJ504" s="1">
        <f t="shared" si="854"/>
        <v>0</v>
      </c>
      <c r="FK504" s="1">
        <f t="shared" si="855"/>
        <v>0</v>
      </c>
      <c r="FL504" s="1">
        <f t="shared" si="856"/>
        <v>0</v>
      </c>
      <c r="FM504" s="1">
        <f t="shared" si="857"/>
        <v>0</v>
      </c>
      <c r="FN504" s="1">
        <f t="shared" si="858"/>
        <v>0</v>
      </c>
      <c r="FO504" s="1">
        <f t="shared" si="859"/>
        <v>0</v>
      </c>
      <c r="FP504" s="1">
        <f t="shared" si="860"/>
        <v>0</v>
      </c>
      <c r="FQ504" s="1">
        <f t="shared" si="861"/>
        <v>0</v>
      </c>
      <c r="FS504" s="1">
        <f t="shared" si="862"/>
        <v>0</v>
      </c>
      <c r="FT504" s="1">
        <f t="shared" si="863"/>
        <v>0</v>
      </c>
      <c r="FU504" s="38">
        <f t="shared" si="864"/>
        <v>0</v>
      </c>
      <c r="FV504" s="38">
        <f t="shared" si="865"/>
        <v>0</v>
      </c>
      <c r="FW504" s="38">
        <f t="shared" si="866"/>
        <v>0</v>
      </c>
      <c r="FX504" s="38">
        <f t="shared" si="867"/>
        <v>0</v>
      </c>
      <c r="FY504" s="38">
        <f t="shared" si="868"/>
        <v>0</v>
      </c>
      <c r="FZ504" s="38">
        <f t="shared" si="869"/>
        <v>0</v>
      </c>
      <c r="GA504" s="38">
        <f t="shared" si="870"/>
        <v>0</v>
      </c>
      <c r="GB504" s="38">
        <f t="shared" si="871"/>
        <v>0</v>
      </c>
      <c r="GC504" s="38">
        <f t="shared" si="872"/>
        <v>0</v>
      </c>
      <c r="GD504" s="38">
        <f t="shared" si="873"/>
        <v>0</v>
      </c>
      <c r="GE504" s="38">
        <f t="shared" si="874"/>
        <v>0</v>
      </c>
      <c r="GF504" s="38">
        <f t="shared" si="875"/>
        <v>0</v>
      </c>
      <c r="GG504" s="38">
        <f t="shared" si="876"/>
        <v>0</v>
      </c>
      <c r="GH504" s="38">
        <f t="shared" si="877"/>
        <v>0</v>
      </c>
      <c r="GI504" s="38">
        <f t="shared" si="878"/>
        <v>0</v>
      </c>
      <c r="GJ504" s="38">
        <f t="shared" si="879"/>
        <v>0</v>
      </c>
      <c r="GL504" s="38">
        <f t="shared" si="880"/>
        <v>0</v>
      </c>
      <c r="GM504" s="38">
        <f t="shared" si="881"/>
        <v>0</v>
      </c>
      <c r="GN504" s="1" t="s">
        <v>2</v>
      </c>
      <c r="GO504" s="4">
        <f t="shared" si="804"/>
        <v>1643.7999999999997</v>
      </c>
      <c r="GP504" s="13">
        <f t="shared" si="805"/>
        <v>0.17704708602019711</v>
      </c>
      <c r="GQ504" s="43">
        <f t="shared" si="806"/>
        <v>2910.3</v>
      </c>
      <c r="GR504" s="41">
        <f t="shared" si="807"/>
        <v>137480.57243352663</v>
      </c>
      <c r="GS504" s="14">
        <f t="shared" si="808"/>
        <v>83.63582700664719</v>
      </c>
      <c r="GT504" s="1">
        <f t="shared" si="882"/>
        <v>582.79999999999995</v>
      </c>
      <c r="GU504" s="1">
        <f t="shared" si="883"/>
        <v>1472.9399999999996</v>
      </c>
      <c r="GV504" s="1">
        <f t="shared" si="884"/>
        <v>854.56</v>
      </c>
      <c r="GW504" s="37">
        <f t="shared" si="809"/>
        <v>0</v>
      </c>
      <c r="GX504" s="37"/>
      <c r="GY504" s="37"/>
      <c r="GZ504" s="37"/>
      <c r="HB504" s="1">
        <f t="shared" si="885"/>
        <v>0</v>
      </c>
      <c r="HC504" s="1">
        <f t="shared" si="886"/>
        <v>0</v>
      </c>
      <c r="HD504" s="37" t="s">
        <v>2</v>
      </c>
      <c r="HE504" s="1" t="s">
        <v>113</v>
      </c>
      <c r="HF504" s="1" t="s">
        <v>129</v>
      </c>
      <c r="HG504" s="1" t="s">
        <v>1043</v>
      </c>
      <c r="HI504" s="1" t="s">
        <v>96</v>
      </c>
      <c r="HJ504" s="37" t="s">
        <v>2</v>
      </c>
      <c r="JH504" s="58" t="s">
        <v>2</v>
      </c>
    </row>
    <row r="505" spans="1:268" ht="16.25" customHeight="1" x14ac:dyDescent="0.2">
      <c r="A505" s="15" t="s">
        <v>1047</v>
      </c>
      <c r="B505" s="1" t="s">
        <v>69</v>
      </c>
      <c r="F505" s="1" t="s">
        <v>1042</v>
      </c>
      <c r="I505" s="1">
        <v>0</v>
      </c>
      <c r="AD505" s="1">
        <v>93.1</v>
      </c>
      <c r="AE505" s="1">
        <v>0.48</v>
      </c>
      <c r="AF505" s="13">
        <f>(0.08*327.4+0.08*881.4+0.059*767.6+0.042*131.1+0.033*57.5)/(327.4+881.4+767.6+131.1+57.5)</f>
        <v>6.9005127020785234E-2</v>
      </c>
      <c r="AG505" s="13">
        <f>(2.19*327.4+2.02*881.4+1.58*767.6+1.42*131.1+1.19*57.5)/(327.4+881.4+767.6+131.1+57.5)</f>
        <v>1.8313297921478058</v>
      </c>
      <c r="AL505" s="1">
        <v>0.17</v>
      </c>
      <c r="AM505" s="2">
        <f>(0.01048*327.4+0.01019*881.4+0.00805*767.6+0.01031*131.1+0.00929*57.5)/(327.4+881.4+767.6+131.1+57.5)</f>
        <v>9.4584822170900688E-3</v>
      </c>
      <c r="AN505" s="13">
        <f>(0.141*327.4+0.148*881.4+0.116*767.6+0.071*131.1+0.052*57.5)/(327.4+881.4+767.6+131.1+57.5)</f>
        <v>0.1283835103926097</v>
      </c>
      <c r="AO505" s="13">
        <f>(0.328*327.4+0.336*881.4+0.262*767.6+0.164*131.1+0.126*57.5)/(327.4+881.4+767.6+131.1+57.5)</f>
        <v>0.29256083140877603</v>
      </c>
      <c r="AY505" s="1">
        <v>29.3</v>
      </c>
      <c r="AZ505" s="1">
        <v>0.43</v>
      </c>
      <c r="BA505" s="13">
        <f>(0.08*327.4+0.08*881.4+0.059*767.6+0.042*131.1+0.033*57.5)/(327.4+881.4+767.6+131.1+57.5)</f>
        <v>6.9005127020785234E-2</v>
      </c>
      <c r="BB505" s="13">
        <f>(2.19*327.4+2.02*881.4+1.58*767.6+1.42*131.1+1.19*57.5)/(327.4+881.4+767.6+131.1+57.5)</f>
        <v>1.8313297921478058</v>
      </c>
      <c r="BG505" s="1">
        <v>0.15</v>
      </c>
      <c r="BH505" s="2">
        <f>(0.01048*327.4+0.01019*881.4+0.00805*767.6+0.01031*131.1+0.00929*57.5)/(327.4+881.4+767.6+131.1+57.5)</f>
        <v>9.4584822170900688E-3</v>
      </c>
      <c r="BI505" s="13">
        <f>(0.141*327.4+0.148*881.4+0.116*767.6+0.071*131.1+0.052*57.5)/(327.4+881.4+767.6+131.1+57.5)</f>
        <v>0.1283835103926097</v>
      </c>
      <c r="BJ505" s="13">
        <f>(0.328*327.4+0.336*881.4+0.262*767.6+0.164*131.1+0.126*57.5)/(327.4+881.4+767.6+131.1+57.5)</f>
        <v>0.29256083140877603</v>
      </c>
      <c r="BT505" s="1">
        <v>0</v>
      </c>
      <c r="CO505" s="1">
        <v>0</v>
      </c>
      <c r="DJ505" s="1" t="s">
        <v>96</v>
      </c>
      <c r="DK505" s="1" t="s">
        <v>96</v>
      </c>
      <c r="DL505" s="1">
        <f t="shared" si="802"/>
        <v>0.16521241830065361</v>
      </c>
      <c r="DM505" s="1">
        <f t="shared" si="803"/>
        <v>9.4584822170900688E-3</v>
      </c>
      <c r="DN505" s="1" t="s">
        <v>67</v>
      </c>
      <c r="DO505" s="1" t="s">
        <v>2</v>
      </c>
      <c r="DP505" s="38">
        <f t="shared" si="810"/>
        <v>0.57286999999999988</v>
      </c>
      <c r="DQ505" s="38">
        <f t="shared" si="811"/>
        <v>8.4462275473441117</v>
      </c>
      <c r="DR505" s="38">
        <f t="shared" si="812"/>
        <v>224.15476655889142</v>
      </c>
      <c r="DS505" s="38">
        <f t="shared" si="813"/>
        <v>0</v>
      </c>
      <c r="DT505" s="38">
        <f t="shared" si="814"/>
        <v>0</v>
      </c>
      <c r="DU505" s="38">
        <f t="shared" si="815"/>
        <v>0</v>
      </c>
      <c r="DV505" s="38">
        <f t="shared" si="816"/>
        <v>0</v>
      </c>
      <c r="DW505" s="38">
        <f t="shared" si="817"/>
        <v>0.20222000000000001</v>
      </c>
      <c r="DX505" s="38">
        <f t="shared" si="818"/>
        <v>1.1577182233718245E-2</v>
      </c>
      <c r="DY505" s="38">
        <f t="shared" si="819"/>
        <v>15.714141672055428</v>
      </c>
      <c r="DZ505" s="38">
        <f t="shared" si="820"/>
        <v>35.809445764434187</v>
      </c>
      <c r="EA505" s="38">
        <f t="shared" si="821"/>
        <v>0</v>
      </c>
      <c r="EB505" s="38">
        <f t="shared" si="822"/>
        <v>0</v>
      </c>
      <c r="EC505" s="38">
        <f t="shared" si="823"/>
        <v>0</v>
      </c>
      <c r="ED505" s="38">
        <f t="shared" si="824"/>
        <v>0</v>
      </c>
      <c r="EE505" s="38">
        <f t="shared" si="825"/>
        <v>0</v>
      </c>
      <c r="EG505" s="38">
        <f t="shared" si="826"/>
        <v>0</v>
      </c>
      <c r="EH505" s="38">
        <f t="shared" si="827"/>
        <v>0</v>
      </c>
      <c r="EI505" s="38">
        <f t="shared" si="828"/>
        <v>3738.3296379199992</v>
      </c>
      <c r="EJ505" s="38">
        <f t="shared" si="829"/>
        <v>345.45342251516746</v>
      </c>
      <c r="EK505" s="38">
        <f t="shared" si="830"/>
        <v>113.51889303223599</v>
      </c>
      <c r="EL505" s="38">
        <f t="shared" si="831"/>
        <v>0</v>
      </c>
      <c r="EM505" s="38">
        <f t="shared" si="832"/>
        <v>0</v>
      </c>
      <c r="EN505" s="38">
        <f t="shared" si="833"/>
        <v>0</v>
      </c>
      <c r="EO505" s="38">
        <f t="shared" si="834"/>
        <v>0</v>
      </c>
      <c r="EP505" s="38">
        <f t="shared" si="835"/>
        <v>2651.9130800000003</v>
      </c>
      <c r="EQ505" s="38">
        <f t="shared" si="836"/>
        <v>840.72946307387554</v>
      </c>
      <c r="ER505" s="38">
        <f t="shared" si="837"/>
        <v>445.98856232335822</v>
      </c>
      <c r="ES505" s="38">
        <f t="shared" si="838"/>
        <v>1193.3756872550653</v>
      </c>
      <c r="ET505" s="38">
        <f t="shared" si="839"/>
        <v>0</v>
      </c>
      <c r="EU505" s="38">
        <f t="shared" si="840"/>
        <v>0</v>
      </c>
      <c r="EV505" s="38">
        <f t="shared" si="841"/>
        <v>0</v>
      </c>
      <c r="EW505" s="38">
        <f t="shared" si="842"/>
        <v>0</v>
      </c>
      <c r="EX505" s="38">
        <f t="shared" si="843"/>
        <v>0</v>
      </c>
      <c r="EZ505" s="38">
        <f t="shared" si="844"/>
        <v>0</v>
      </c>
      <c r="FA505" s="38">
        <f t="shared" si="845"/>
        <v>0</v>
      </c>
      <c r="FB505" s="1">
        <f t="shared" si="846"/>
        <v>0</v>
      </c>
      <c r="FC505" s="1">
        <f t="shared" si="847"/>
        <v>0</v>
      </c>
      <c r="FD505" s="1">
        <f t="shared" si="848"/>
        <v>0</v>
      </c>
      <c r="FE505" s="1">
        <f t="shared" si="849"/>
        <v>0</v>
      </c>
      <c r="FF505" s="1">
        <f t="shared" si="850"/>
        <v>0</v>
      </c>
      <c r="FG505" s="1">
        <f t="shared" si="851"/>
        <v>0</v>
      </c>
      <c r="FH505" s="1">
        <f t="shared" si="852"/>
        <v>0</v>
      </c>
      <c r="FI505" s="1">
        <f t="shared" si="853"/>
        <v>0</v>
      </c>
      <c r="FJ505" s="1">
        <f t="shared" si="854"/>
        <v>0</v>
      </c>
      <c r="FK505" s="1">
        <f t="shared" si="855"/>
        <v>0</v>
      </c>
      <c r="FL505" s="1">
        <f t="shared" si="856"/>
        <v>0</v>
      </c>
      <c r="FM505" s="1">
        <f t="shared" si="857"/>
        <v>0</v>
      </c>
      <c r="FN505" s="1">
        <f t="shared" si="858"/>
        <v>0</v>
      </c>
      <c r="FO505" s="1">
        <f t="shared" si="859"/>
        <v>0</v>
      </c>
      <c r="FP505" s="1">
        <f t="shared" si="860"/>
        <v>0</v>
      </c>
      <c r="FQ505" s="1">
        <f t="shared" si="861"/>
        <v>0</v>
      </c>
      <c r="FS505" s="1">
        <f t="shared" si="862"/>
        <v>0</v>
      </c>
      <c r="FT505" s="1">
        <f t="shared" si="863"/>
        <v>0</v>
      </c>
      <c r="FU505" s="38">
        <f t="shared" si="864"/>
        <v>0</v>
      </c>
      <c r="FV505" s="38">
        <f t="shared" si="865"/>
        <v>0</v>
      </c>
      <c r="FW505" s="38">
        <f t="shared" si="866"/>
        <v>0</v>
      </c>
      <c r="FX505" s="38">
        <f t="shared" si="867"/>
        <v>0</v>
      </c>
      <c r="FY505" s="38">
        <f t="shared" si="868"/>
        <v>0</v>
      </c>
      <c r="FZ505" s="38">
        <f t="shared" si="869"/>
        <v>0</v>
      </c>
      <c r="GA505" s="38">
        <f t="shared" si="870"/>
        <v>0</v>
      </c>
      <c r="GB505" s="38">
        <f t="shared" si="871"/>
        <v>0</v>
      </c>
      <c r="GC505" s="38">
        <f t="shared" si="872"/>
        <v>0</v>
      </c>
      <c r="GD505" s="38">
        <f t="shared" si="873"/>
        <v>0</v>
      </c>
      <c r="GE505" s="38">
        <f t="shared" si="874"/>
        <v>0</v>
      </c>
      <c r="GF505" s="38">
        <f t="shared" si="875"/>
        <v>0</v>
      </c>
      <c r="GG505" s="38">
        <f t="shared" si="876"/>
        <v>0</v>
      </c>
      <c r="GH505" s="38">
        <f t="shared" si="877"/>
        <v>0</v>
      </c>
      <c r="GI505" s="38">
        <f t="shared" si="878"/>
        <v>0</v>
      </c>
      <c r="GJ505" s="38">
        <f t="shared" si="879"/>
        <v>0</v>
      </c>
      <c r="GL505" s="38">
        <f t="shared" si="880"/>
        <v>0</v>
      </c>
      <c r="GM505" s="38">
        <f t="shared" si="881"/>
        <v>0</v>
      </c>
      <c r="GN505" s="1" t="s">
        <v>2</v>
      </c>
      <c r="GO505" s="1">
        <f t="shared" si="804"/>
        <v>122.39999999999999</v>
      </c>
      <c r="GP505" s="13">
        <f t="shared" si="805"/>
        <v>0.16521241830065361</v>
      </c>
      <c r="GQ505" s="41">
        <f t="shared" si="806"/>
        <v>202.22</v>
      </c>
      <c r="GR505" s="41">
        <f t="shared" si="807"/>
        <v>9329.308746119701</v>
      </c>
      <c r="GS505" s="14">
        <f t="shared" si="808"/>
        <v>76.219842697056393</v>
      </c>
      <c r="GT505" s="1">
        <f t="shared" si="882"/>
        <v>0</v>
      </c>
      <c r="GU505" s="1">
        <f t="shared" si="883"/>
        <v>158.27000000000001</v>
      </c>
      <c r="GV505" s="1">
        <f t="shared" si="884"/>
        <v>43.95</v>
      </c>
      <c r="GW505" s="37">
        <f t="shared" si="809"/>
        <v>0</v>
      </c>
      <c r="GX505" s="37"/>
      <c r="GY505" s="37"/>
      <c r="GZ505" s="37"/>
      <c r="HB505" s="1">
        <f t="shared" si="885"/>
        <v>0</v>
      </c>
      <c r="HC505" s="1">
        <f t="shared" si="886"/>
        <v>0</v>
      </c>
      <c r="HD505" s="37" t="s">
        <v>2</v>
      </c>
      <c r="HE505" s="1" t="s">
        <v>113</v>
      </c>
      <c r="HF505" s="1" t="s">
        <v>129</v>
      </c>
      <c r="HG505" s="1" t="s">
        <v>1043</v>
      </c>
      <c r="HI505" s="1" t="s">
        <v>96</v>
      </c>
      <c r="HJ505" s="37" t="s">
        <v>2</v>
      </c>
      <c r="JH505" s="58" t="s">
        <v>2</v>
      </c>
    </row>
    <row r="506" spans="1:268" ht="16.25" customHeight="1" x14ac:dyDescent="0.2">
      <c r="A506" s="15" t="s">
        <v>1050</v>
      </c>
      <c r="B506" s="1" t="s">
        <v>69</v>
      </c>
      <c r="F506" s="1" t="s">
        <v>1051</v>
      </c>
      <c r="I506" s="1">
        <v>237.2</v>
      </c>
      <c r="J506" s="1">
        <v>0.27</v>
      </c>
      <c r="K506" s="1">
        <v>3.5000000000000003E-2</v>
      </c>
      <c r="L506" s="1">
        <v>0.97</v>
      </c>
      <c r="Q506" s="1">
        <v>0.08</v>
      </c>
      <c r="R506" s="1">
        <v>7.1999999999999998E-3</v>
      </c>
      <c r="S506" s="1">
        <v>6.9000000000000006E-2</v>
      </c>
      <c r="T506" s="1">
        <v>0.24099999999999999</v>
      </c>
      <c r="AD506" s="1">
        <v>412.2</v>
      </c>
      <c r="AE506" s="1">
        <v>0.23</v>
      </c>
      <c r="AF506" s="1">
        <v>3.2000000000000001E-2</v>
      </c>
      <c r="AG506" s="1">
        <v>0.87</v>
      </c>
      <c r="AL506" s="1">
        <v>7.0000000000000007E-2</v>
      </c>
      <c r="AM506" s="1">
        <v>7.0000000000000001E-3</v>
      </c>
      <c r="AN506" s="1">
        <v>6.3E-2</v>
      </c>
      <c r="AO506" s="1">
        <v>0.21</v>
      </c>
      <c r="AY506" s="1">
        <v>508.9</v>
      </c>
      <c r="AZ506" s="1">
        <v>0.24</v>
      </c>
      <c r="BA506" s="1">
        <v>3.6999999999999998E-2</v>
      </c>
      <c r="BB506" s="1">
        <v>0.93</v>
      </c>
      <c r="BG506" s="1">
        <v>7.0000000000000007E-2</v>
      </c>
      <c r="BH506" s="1">
        <v>6.6E-3</v>
      </c>
      <c r="BI506" s="1">
        <v>7.1999999999999995E-2</v>
      </c>
      <c r="BJ506" s="1">
        <v>0.23400000000000001</v>
      </c>
      <c r="BT506" s="1">
        <v>121.849</v>
      </c>
      <c r="BU506" s="1">
        <v>0.308</v>
      </c>
      <c r="BV506" s="1">
        <v>4.1000000000000002E-2</v>
      </c>
      <c r="BW506" s="1">
        <v>1.1100000000000001</v>
      </c>
      <c r="CB506" s="1">
        <v>8.6999999999999994E-2</v>
      </c>
      <c r="CC506" s="1">
        <v>7.4809999999999998E-3</v>
      </c>
      <c r="CD506" s="1">
        <v>8.2000000000000003E-2</v>
      </c>
      <c r="CE506" s="1">
        <v>0.28199999999999997</v>
      </c>
      <c r="CO506" s="1">
        <v>132.82</v>
      </c>
      <c r="CP506" s="1">
        <v>0.28100000000000003</v>
      </c>
      <c r="CQ506" s="1">
        <v>3.6999999999999998E-2</v>
      </c>
      <c r="CR506" s="1">
        <v>1.02</v>
      </c>
      <c r="CW506" s="1">
        <v>8.1000000000000003E-2</v>
      </c>
      <c r="CX506" s="1">
        <v>7.4060000000000003E-3</v>
      </c>
      <c r="CY506" s="1">
        <v>7.8E-2</v>
      </c>
      <c r="CZ506" s="1">
        <v>0.25600000000000001</v>
      </c>
      <c r="DJ506" s="1" t="s">
        <v>96</v>
      </c>
      <c r="DK506" s="1" t="s">
        <v>96</v>
      </c>
      <c r="DL506" s="1">
        <f t="shared" si="802"/>
        <v>7.2047828714495388E-2</v>
      </c>
      <c r="DM506" s="1">
        <f t="shared" si="803"/>
        <v>6.8652162652162643E-3</v>
      </c>
      <c r="DN506" s="1" t="s">
        <v>185</v>
      </c>
      <c r="DO506" s="1" t="s">
        <v>2</v>
      </c>
      <c r="DP506" s="38">
        <f t="shared" si="810"/>
        <v>2.80986</v>
      </c>
      <c r="DQ506" s="38">
        <f t="shared" si="811"/>
        <v>40.3217</v>
      </c>
      <c r="DR506" s="38">
        <f t="shared" si="812"/>
        <v>1061.9749999999999</v>
      </c>
      <c r="DS506" s="38">
        <f t="shared" si="813"/>
        <v>0</v>
      </c>
      <c r="DT506" s="38">
        <f t="shared" si="814"/>
        <v>0</v>
      </c>
      <c r="DU506" s="38">
        <f t="shared" si="815"/>
        <v>0</v>
      </c>
      <c r="DV506" s="38">
        <f t="shared" si="816"/>
        <v>0</v>
      </c>
      <c r="DW506" s="38">
        <f t="shared" si="817"/>
        <v>0.83452999999999999</v>
      </c>
      <c r="DX506" s="38">
        <f t="shared" si="818"/>
        <v>7.9519799999999988E-2</v>
      </c>
      <c r="DY506" s="38">
        <f t="shared" si="819"/>
        <v>78.976200000000006</v>
      </c>
      <c r="DZ506" s="38">
        <f t="shared" si="820"/>
        <v>262.8098</v>
      </c>
      <c r="EA506" s="38">
        <f t="shared" si="821"/>
        <v>0</v>
      </c>
      <c r="EB506" s="38">
        <f t="shared" si="822"/>
        <v>0</v>
      </c>
      <c r="EC506" s="38">
        <f t="shared" si="823"/>
        <v>0</v>
      </c>
      <c r="ED506" s="38">
        <f t="shared" si="824"/>
        <v>0</v>
      </c>
      <c r="EE506" s="38">
        <f t="shared" si="825"/>
        <v>0</v>
      </c>
      <c r="EG506" s="38">
        <f t="shared" si="826"/>
        <v>0</v>
      </c>
      <c r="EH506" s="38">
        <f t="shared" si="827"/>
        <v>0</v>
      </c>
      <c r="EI506" s="38">
        <f t="shared" si="828"/>
        <v>18336.067373760001</v>
      </c>
      <c r="EJ506" s="38">
        <f t="shared" si="829"/>
        <v>1649.1704951768486</v>
      </c>
      <c r="EK506" s="38">
        <f t="shared" si="830"/>
        <v>537.81692122186485</v>
      </c>
      <c r="EL506" s="38">
        <f t="shared" si="831"/>
        <v>0</v>
      </c>
      <c r="EM506" s="38">
        <f t="shared" si="832"/>
        <v>0</v>
      </c>
      <c r="EN506" s="38">
        <f t="shared" si="833"/>
        <v>0</v>
      </c>
      <c r="EO506" s="38">
        <f t="shared" si="834"/>
        <v>0</v>
      </c>
      <c r="EP506" s="38">
        <f t="shared" si="835"/>
        <v>10944.02642</v>
      </c>
      <c r="EQ506" s="38">
        <f t="shared" si="836"/>
        <v>5774.6900245751985</v>
      </c>
      <c r="ER506" s="38">
        <f t="shared" si="837"/>
        <v>2241.4512119614146</v>
      </c>
      <c r="ES506" s="38">
        <f t="shared" si="838"/>
        <v>8758.326720707395</v>
      </c>
      <c r="ET506" s="38">
        <f t="shared" si="839"/>
        <v>0</v>
      </c>
      <c r="EU506" s="38">
        <f t="shared" si="840"/>
        <v>0</v>
      </c>
      <c r="EV506" s="38">
        <f t="shared" si="841"/>
        <v>0</v>
      </c>
      <c r="EW506" s="38">
        <f t="shared" si="842"/>
        <v>0</v>
      </c>
      <c r="EX506" s="38">
        <f t="shared" si="843"/>
        <v>0</v>
      </c>
      <c r="EZ506" s="38">
        <f t="shared" si="844"/>
        <v>0</v>
      </c>
      <c r="FA506" s="38">
        <f t="shared" si="845"/>
        <v>0</v>
      </c>
      <c r="FB506" s="1">
        <f t="shared" si="846"/>
        <v>0.74851911999999998</v>
      </c>
      <c r="FC506" s="1">
        <f t="shared" si="847"/>
        <v>9.9101490000000005</v>
      </c>
      <c r="FD506" s="1">
        <f t="shared" si="848"/>
        <v>270.72879</v>
      </c>
      <c r="FE506" s="1">
        <f t="shared" si="849"/>
        <v>0</v>
      </c>
      <c r="FF506" s="1">
        <f t="shared" si="850"/>
        <v>0</v>
      </c>
      <c r="FG506" s="1">
        <f t="shared" si="851"/>
        <v>0</v>
      </c>
      <c r="FH506" s="1">
        <f t="shared" si="852"/>
        <v>0</v>
      </c>
      <c r="FI506" s="1">
        <f t="shared" si="853"/>
        <v>0.21359282999999998</v>
      </c>
      <c r="FJ506" s="1">
        <f t="shared" si="854"/>
        <v>1.8952172890000001E-2</v>
      </c>
      <c r="FK506" s="1">
        <f t="shared" si="855"/>
        <v>20.351578</v>
      </c>
      <c r="FL506" s="1">
        <f t="shared" si="856"/>
        <v>68.363337999999999</v>
      </c>
      <c r="FM506" s="1">
        <f t="shared" si="857"/>
        <v>0</v>
      </c>
      <c r="FN506" s="1">
        <f t="shared" si="858"/>
        <v>0</v>
      </c>
      <c r="FO506" s="1">
        <f t="shared" si="859"/>
        <v>0</v>
      </c>
      <c r="FP506" s="1">
        <f t="shared" si="860"/>
        <v>0</v>
      </c>
      <c r="FQ506" s="1">
        <f t="shared" si="861"/>
        <v>0</v>
      </c>
      <c r="FS506" s="1">
        <f t="shared" si="862"/>
        <v>0</v>
      </c>
      <c r="FT506" s="1">
        <f t="shared" si="863"/>
        <v>0</v>
      </c>
      <c r="FU506" s="38">
        <f t="shared" si="864"/>
        <v>4884.5483457779201</v>
      </c>
      <c r="FV506" s="38">
        <f t="shared" si="865"/>
        <v>405.32828064308677</v>
      </c>
      <c r="FW506" s="38">
        <f t="shared" si="866"/>
        <v>137.10541615755628</v>
      </c>
      <c r="FX506" s="38">
        <f t="shared" si="867"/>
        <v>0</v>
      </c>
      <c r="FY506" s="38">
        <f t="shared" si="868"/>
        <v>0</v>
      </c>
      <c r="FZ506" s="38">
        <f t="shared" si="869"/>
        <v>0</v>
      </c>
      <c r="GA506" s="38">
        <f t="shared" si="870"/>
        <v>0</v>
      </c>
      <c r="GB506" s="38">
        <f t="shared" si="871"/>
        <v>2801.0563726199998</v>
      </c>
      <c r="GC506" s="38">
        <f t="shared" si="872"/>
        <v>1376.2977740375043</v>
      </c>
      <c r="GD506" s="38">
        <f t="shared" si="873"/>
        <v>577.60526808617351</v>
      </c>
      <c r="GE506" s="38">
        <f t="shared" si="874"/>
        <v>2278.2576978565917</v>
      </c>
      <c r="GF506" s="38">
        <f t="shared" si="875"/>
        <v>0</v>
      </c>
      <c r="GG506" s="38">
        <f t="shared" si="876"/>
        <v>0</v>
      </c>
      <c r="GH506" s="38">
        <f t="shared" si="877"/>
        <v>0</v>
      </c>
      <c r="GI506" s="38">
        <f t="shared" si="878"/>
        <v>0</v>
      </c>
      <c r="GJ506" s="38">
        <f t="shared" si="879"/>
        <v>0</v>
      </c>
      <c r="GL506" s="38">
        <f t="shared" si="880"/>
        <v>0</v>
      </c>
      <c r="GM506" s="38">
        <f t="shared" si="881"/>
        <v>0</v>
      </c>
      <c r="GN506" s="1" t="s">
        <v>2</v>
      </c>
      <c r="GO506" s="4">
        <f t="shared" si="804"/>
        <v>1158.3</v>
      </c>
      <c r="GP506" s="2">
        <f t="shared" si="805"/>
        <v>7.2047828714495388E-2</v>
      </c>
      <c r="GQ506" s="41">
        <f t="shared" si="806"/>
        <v>834.5300000000002</v>
      </c>
      <c r="GR506" s="41">
        <f t="shared" si="807"/>
        <v>48241.549167402722</v>
      </c>
      <c r="GS506" s="14">
        <f t="shared" si="808"/>
        <v>41.648579096436784</v>
      </c>
      <c r="GT506" s="1">
        <f t="shared" si="882"/>
        <v>189.76</v>
      </c>
      <c r="GU506" s="1">
        <f t="shared" si="883"/>
        <v>288.54000000000002</v>
      </c>
      <c r="GV506" s="1">
        <f t="shared" si="884"/>
        <v>356.23000000000008</v>
      </c>
      <c r="GW506" s="41">
        <f t="shared" si="809"/>
        <v>254.66899999999998</v>
      </c>
      <c r="GX506" s="46">
        <f>(BT506*CB506+CO506*CW506)/GW506</f>
        <v>8.3870761655325143E-2</v>
      </c>
      <c r="GY506" s="41">
        <f>1000*GW506*GX506/100</f>
        <v>213.59282999999996</v>
      </c>
      <c r="GZ506" s="41">
        <f>SUM(FU506:GM506)</f>
        <v>12460.199155178834</v>
      </c>
      <c r="HA506" s="14">
        <f>GZ506/GW506</f>
        <v>48.92703530927924</v>
      </c>
      <c r="HB506" s="1">
        <f t="shared" si="885"/>
        <v>106.00863000000001</v>
      </c>
      <c r="HC506" s="1">
        <f t="shared" si="886"/>
        <v>107.5842</v>
      </c>
      <c r="HD506" s="37" t="s">
        <v>2</v>
      </c>
      <c r="HE506" s="1" t="s">
        <v>113</v>
      </c>
      <c r="HF506" s="1" t="s">
        <v>129</v>
      </c>
      <c r="HG506" s="1" t="s">
        <v>1043</v>
      </c>
      <c r="HI506" s="1" t="s">
        <v>96</v>
      </c>
      <c r="HJ506" s="37" t="s">
        <v>2</v>
      </c>
      <c r="JH506" s="58" t="s">
        <v>2</v>
      </c>
    </row>
    <row r="507" spans="1:268" ht="16.25" customHeight="1" x14ac:dyDescent="0.2">
      <c r="A507" s="15" t="s">
        <v>1052</v>
      </c>
      <c r="B507" s="1" t="s">
        <v>69</v>
      </c>
      <c r="F507" s="1" t="s">
        <v>1053</v>
      </c>
      <c r="I507" s="1">
        <v>0</v>
      </c>
      <c r="AD507" s="1">
        <v>3.6389999999999998</v>
      </c>
      <c r="AE507" s="1">
        <v>0.99</v>
      </c>
      <c r="AF507" s="1">
        <v>0.2</v>
      </c>
      <c r="AL507" s="1">
        <v>1.83</v>
      </c>
      <c r="AM507" s="1">
        <v>0.05</v>
      </c>
      <c r="AN507" s="1">
        <v>0.42</v>
      </c>
      <c r="AO507" s="1">
        <v>0.26</v>
      </c>
      <c r="AY507" s="1">
        <v>4.3819999999999997</v>
      </c>
      <c r="AZ507" s="1">
        <v>0.92</v>
      </c>
      <c r="BA507" s="1">
        <v>0.16</v>
      </c>
      <c r="BG507" s="1">
        <v>1.58</v>
      </c>
      <c r="BH507" s="1">
        <v>0.04</v>
      </c>
      <c r="BI507" s="1">
        <v>0.28999999999999998</v>
      </c>
      <c r="BJ507" s="1">
        <v>0.18</v>
      </c>
      <c r="BT507" s="1">
        <v>0</v>
      </c>
      <c r="CO507" s="1">
        <v>0</v>
      </c>
      <c r="DJ507" s="1" t="s">
        <v>96</v>
      </c>
      <c r="DK507" s="1" t="s">
        <v>96</v>
      </c>
      <c r="DL507" s="1">
        <f t="shared" si="802"/>
        <v>1.6934210198229651</v>
      </c>
      <c r="DM507" s="1">
        <f t="shared" si="803"/>
        <v>4.4536840792918593E-2</v>
      </c>
      <c r="DN507" s="1" t="s">
        <v>185</v>
      </c>
      <c r="DO507" s="1" t="s">
        <v>2</v>
      </c>
      <c r="DP507" s="38">
        <f t="shared" si="810"/>
        <v>7.6340500000000006E-2</v>
      </c>
      <c r="DQ507" s="38">
        <f t="shared" si="811"/>
        <v>1.42892</v>
      </c>
      <c r="DR507" s="38">
        <f t="shared" si="812"/>
        <v>0</v>
      </c>
      <c r="DS507" s="38">
        <f t="shared" si="813"/>
        <v>0</v>
      </c>
      <c r="DT507" s="38">
        <f t="shared" si="814"/>
        <v>0</v>
      </c>
      <c r="DU507" s="38">
        <f t="shared" si="815"/>
        <v>0</v>
      </c>
      <c r="DV507" s="38">
        <f t="shared" si="816"/>
        <v>0</v>
      </c>
      <c r="DW507" s="38">
        <f t="shared" si="817"/>
        <v>0.13582930000000001</v>
      </c>
      <c r="DX507" s="38">
        <f t="shared" si="818"/>
        <v>3.5723E-3</v>
      </c>
      <c r="DY507" s="38">
        <f t="shared" si="819"/>
        <v>2.7991599999999996</v>
      </c>
      <c r="DZ507" s="38">
        <f t="shared" si="820"/>
        <v>1.7348999999999999</v>
      </c>
      <c r="EA507" s="38">
        <f t="shared" si="821"/>
        <v>0</v>
      </c>
      <c r="EB507" s="38">
        <f t="shared" si="822"/>
        <v>0</v>
      </c>
      <c r="EC507" s="38">
        <f t="shared" si="823"/>
        <v>0</v>
      </c>
      <c r="ED507" s="38">
        <f t="shared" si="824"/>
        <v>0</v>
      </c>
      <c r="EE507" s="38">
        <f t="shared" si="825"/>
        <v>0</v>
      </c>
      <c r="EG507" s="38">
        <f t="shared" si="826"/>
        <v>0</v>
      </c>
      <c r="EH507" s="38">
        <f t="shared" si="827"/>
        <v>0</v>
      </c>
      <c r="EI507" s="38">
        <f t="shared" si="828"/>
        <v>498.16878824800006</v>
      </c>
      <c r="EJ507" s="38">
        <f t="shared" si="829"/>
        <v>58.443287459807067</v>
      </c>
      <c r="EK507" s="38">
        <f t="shared" si="830"/>
        <v>0</v>
      </c>
      <c r="EL507" s="38">
        <f t="shared" si="831"/>
        <v>0</v>
      </c>
      <c r="EM507" s="38">
        <f t="shared" si="832"/>
        <v>0</v>
      </c>
      <c r="EN507" s="38">
        <f t="shared" si="833"/>
        <v>0</v>
      </c>
      <c r="EO507" s="38">
        <f t="shared" si="834"/>
        <v>0</v>
      </c>
      <c r="EP507" s="38">
        <f t="shared" si="835"/>
        <v>1781.2654402000003</v>
      </c>
      <c r="EQ507" s="38">
        <f t="shared" si="836"/>
        <v>259.41872558519998</v>
      </c>
      <c r="ER507" s="38">
        <f t="shared" si="837"/>
        <v>79.443941016077147</v>
      </c>
      <c r="ES507" s="38">
        <f t="shared" si="838"/>
        <v>57.816797652733115</v>
      </c>
      <c r="ET507" s="38">
        <f t="shared" si="839"/>
        <v>0</v>
      </c>
      <c r="EU507" s="38">
        <f t="shared" si="840"/>
        <v>0</v>
      </c>
      <c r="EV507" s="38">
        <f t="shared" si="841"/>
        <v>0</v>
      </c>
      <c r="EW507" s="38">
        <f t="shared" si="842"/>
        <v>0</v>
      </c>
      <c r="EX507" s="38">
        <f t="shared" si="843"/>
        <v>0</v>
      </c>
      <c r="EZ507" s="38">
        <f t="shared" si="844"/>
        <v>0</v>
      </c>
      <c r="FA507" s="38">
        <f t="shared" si="845"/>
        <v>0</v>
      </c>
      <c r="FB507" s="1">
        <f t="shared" si="846"/>
        <v>0</v>
      </c>
      <c r="FC507" s="1">
        <f t="shared" si="847"/>
        <v>0</v>
      </c>
      <c r="FD507" s="1">
        <f t="shared" si="848"/>
        <v>0</v>
      </c>
      <c r="FE507" s="1">
        <f t="shared" si="849"/>
        <v>0</v>
      </c>
      <c r="FF507" s="1">
        <f t="shared" si="850"/>
        <v>0</v>
      </c>
      <c r="FG507" s="1">
        <f t="shared" si="851"/>
        <v>0</v>
      </c>
      <c r="FH507" s="1">
        <f t="shared" si="852"/>
        <v>0</v>
      </c>
      <c r="FI507" s="1">
        <f t="shared" si="853"/>
        <v>0</v>
      </c>
      <c r="FJ507" s="1">
        <f t="shared" si="854"/>
        <v>0</v>
      </c>
      <c r="FK507" s="1">
        <f t="shared" si="855"/>
        <v>0</v>
      </c>
      <c r="FL507" s="1">
        <f t="shared" si="856"/>
        <v>0</v>
      </c>
      <c r="FM507" s="1">
        <f t="shared" si="857"/>
        <v>0</v>
      </c>
      <c r="FN507" s="1">
        <f t="shared" si="858"/>
        <v>0</v>
      </c>
      <c r="FO507" s="1">
        <f t="shared" si="859"/>
        <v>0</v>
      </c>
      <c r="FP507" s="1">
        <f t="shared" si="860"/>
        <v>0</v>
      </c>
      <c r="FQ507" s="1">
        <f t="shared" si="861"/>
        <v>0</v>
      </c>
      <c r="FS507" s="1">
        <f t="shared" si="862"/>
        <v>0</v>
      </c>
      <c r="FT507" s="1">
        <f t="shared" si="863"/>
        <v>0</v>
      </c>
      <c r="FU507" s="38">
        <f t="shared" si="864"/>
        <v>0</v>
      </c>
      <c r="FV507" s="38">
        <f t="shared" si="865"/>
        <v>0</v>
      </c>
      <c r="FW507" s="38">
        <f t="shared" si="866"/>
        <v>0</v>
      </c>
      <c r="FX507" s="38">
        <f t="shared" si="867"/>
        <v>0</v>
      </c>
      <c r="FY507" s="38">
        <f t="shared" si="868"/>
        <v>0</v>
      </c>
      <c r="FZ507" s="38">
        <f t="shared" si="869"/>
        <v>0</v>
      </c>
      <c r="GA507" s="38">
        <f t="shared" si="870"/>
        <v>0</v>
      </c>
      <c r="GB507" s="38">
        <f t="shared" si="871"/>
        <v>0</v>
      </c>
      <c r="GC507" s="38">
        <f t="shared" si="872"/>
        <v>0</v>
      </c>
      <c r="GD507" s="38">
        <f t="shared" si="873"/>
        <v>0</v>
      </c>
      <c r="GE507" s="38">
        <f t="shared" si="874"/>
        <v>0</v>
      </c>
      <c r="GF507" s="38">
        <f t="shared" si="875"/>
        <v>0</v>
      </c>
      <c r="GG507" s="38">
        <f t="shared" si="876"/>
        <v>0</v>
      </c>
      <c r="GH507" s="38">
        <f t="shared" si="877"/>
        <v>0</v>
      </c>
      <c r="GI507" s="38">
        <f t="shared" si="878"/>
        <v>0</v>
      </c>
      <c r="GJ507" s="38">
        <f t="shared" si="879"/>
        <v>0</v>
      </c>
      <c r="GL507" s="38">
        <f t="shared" si="880"/>
        <v>0</v>
      </c>
      <c r="GM507" s="38">
        <f t="shared" si="881"/>
        <v>0</v>
      </c>
      <c r="GN507" s="1" t="s">
        <v>2</v>
      </c>
      <c r="GO507" s="1">
        <f t="shared" si="804"/>
        <v>8.020999999999999</v>
      </c>
      <c r="GP507" s="13">
        <f t="shared" si="805"/>
        <v>1.6934210198229651</v>
      </c>
      <c r="GQ507" s="41">
        <f t="shared" si="806"/>
        <v>135.82930000000002</v>
      </c>
      <c r="GR507" s="41">
        <f t="shared" si="807"/>
        <v>2734.5569801618171</v>
      </c>
      <c r="GS507" s="14">
        <f t="shared" si="808"/>
        <v>340.92469519533944</v>
      </c>
      <c r="GT507" s="1">
        <f t="shared" si="882"/>
        <v>0</v>
      </c>
      <c r="GU507" s="1">
        <f t="shared" si="883"/>
        <v>66.593699999999998</v>
      </c>
      <c r="GV507" s="1">
        <f t="shared" si="884"/>
        <v>69.235600000000005</v>
      </c>
      <c r="GW507" s="37">
        <f t="shared" si="809"/>
        <v>0</v>
      </c>
      <c r="GX507" s="37"/>
      <c r="GY507" s="37"/>
      <c r="GZ507" s="37"/>
      <c r="HB507" s="1">
        <f t="shared" si="885"/>
        <v>0</v>
      </c>
      <c r="HC507" s="1">
        <f t="shared" si="886"/>
        <v>0</v>
      </c>
      <c r="HD507" s="37" t="s">
        <v>2</v>
      </c>
      <c r="HE507" s="1" t="s">
        <v>113</v>
      </c>
      <c r="HF507" s="1" t="s">
        <v>129</v>
      </c>
      <c r="HG507" s="1" t="s">
        <v>1043</v>
      </c>
      <c r="HI507" s="1" t="s">
        <v>96</v>
      </c>
      <c r="HJ507" s="37" t="s">
        <v>2</v>
      </c>
      <c r="JH507" s="58" t="s">
        <v>2</v>
      </c>
    </row>
    <row r="508" spans="1:268" ht="16.25" customHeight="1" x14ac:dyDescent="0.2">
      <c r="A508" s="15" t="s">
        <v>1066</v>
      </c>
      <c r="B508" s="1" t="s">
        <v>69</v>
      </c>
      <c r="F508" s="1" t="s">
        <v>1042</v>
      </c>
      <c r="I508" s="1">
        <v>0</v>
      </c>
      <c r="AD508" s="1">
        <v>0</v>
      </c>
      <c r="AY508" s="1">
        <v>435.5</v>
      </c>
      <c r="AZ508" s="1">
        <v>0.43</v>
      </c>
      <c r="BG508" s="1">
        <v>0.16</v>
      </c>
      <c r="BT508" s="1">
        <v>0</v>
      </c>
      <c r="CO508" s="1">
        <v>0</v>
      </c>
      <c r="DJ508" s="1" t="s">
        <v>96</v>
      </c>
      <c r="DL508" s="1">
        <f t="shared" si="802"/>
        <v>0.16</v>
      </c>
      <c r="DM508" s="1">
        <f t="shared" si="803"/>
        <v>0</v>
      </c>
      <c r="DN508" s="1" t="s">
        <v>67</v>
      </c>
      <c r="DO508" s="1" t="s">
        <v>2</v>
      </c>
      <c r="DP508" s="38">
        <f t="shared" si="810"/>
        <v>1.8726499999999999</v>
      </c>
      <c r="DQ508" s="38">
        <f t="shared" si="811"/>
        <v>0</v>
      </c>
      <c r="DR508" s="38">
        <f t="shared" si="812"/>
        <v>0</v>
      </c>
      <c r="DS508" s="38">
        <f t="shared" si="813"/>
        <v>0</v>
      </c>
      <c r="DT508" s="38">
        <f t="shared" si="814"/>
        <v>0</v>
      </c>
      <c r="DU508" s="38">
        <f t="shared" si="815"/>
        <v>0</v>
      </c>
      <c r="DV508" s="38">
        <f t="shared" si="816"/>
        <v>0</v>
      </c>
      <c r="DW508" s="38">
        <f t="shared" si="817"/>
        <v>0.69680000000000009</v>
      </c>
      <c r="DX508" s="38">
        <f t="shared" si="818"/>
        <v>0</v>
      </c>
      <c r="DY508" s="38">
        <f t="shared" si="819"/>
        <v>0</v>
      </c>
      <c r="DZ508" s="38">
        <f t="shared" si="820"/>
        <v>0</v>
      </c>
      <c r="EA508" s="38">
        <f t="shared" si="821"/>
        <v>0</v>
      </c>
      <c r="EB508" s="38">
        <f t="shared" si="822"/>
        <v>0</v>
      </c>
      <c r="EC508" s="38">
        <f t="shared" si="823"/>
        <v>0</v>
      </c>
      <c r="ED508" s="38">
        <f t="shared" si="824"/>
        <v>0</v>
      </c>
      <c r="EE508" s="38">
        <f t="shared" si="825"/>
        <v>0</v>
      </c>
      <c r="EG508" s="38">
        <f t="shared" si="826"/>
        <v>0</v>
      </c>
      <c r="EH508" s="38">
        <f t="shared" si="827"/>
        <v>0</v>
      </c>
      <c r="EI508" s="38">
        <f t="shared" si="828"/>
        <v>12220.194802399999</v>
      </c>
      <c r="EJ508" s="38">
        <f t="shared" si="829"/>
        <v>0</v>
      </c>
      <c r="EK508" s="38">
        <f t="shared" si="830"/>
        <v>0</v>
      </c>
      <c r="EL508" s="38">
        <f t="shared" si="831"/>
        <v>0</v>
      </c>
      <c r="EM508" s="38">
        <f t="shared" si="832"/>
        <v>0</v>
      </c>
      <c r="EN508" s="38">
        <f t="shared" si="833"/>
        <v>0</v>
      </c>
      <c r="EO508" s="38">
        <f t="shared" si="834"/>
        <v>0</v>
      </c>
      <c r="EP508" s="38">
        <f t="shared" si="835"/>
        <v>9137.8352000000014</v>
      </c>
      <c r="EQ508" s="38">
        <f t="shared" si="836"/>
        <v>0</v>
      </c>
      <c r="ER508" s="38">
        <f t="shared" si="837"/>
        <v>0</v>
      </c>
      <c r="ES508" s="38">
        <f t="shared" si="838"/>
        <v>0</v>
      </c>
      <c r="ET508" s="38">
        <f t="shared" si="839"/>
        <v>0</v>
      </c>
      <c r="EU508" s="38">
        <f t="shared" si="840"/>
        <v>0</v>
      </c>
      <c r="EV508" s="38">
        <f t="shared" si="841"/>
        <v>0</v>
      </c>
      <c r="EW508" s="38">
        <f t="shared" si="842"/>
        <v>0</v>
      </c>
      <c r="EX508" s="38">
        <f t="shared" si="843"/>
        <v>0</v>
      </c>
      <c r="EZ508" s="38">
        <f t="shared" si="844"/>
        <v>0</v>
      </c>
      <c r="FA508" s="38">
        <f t="shared" si="845"/>
        <v>0</v>
      </c>
      <c r="FB508" s="1">
        <f t="shared" si="846"/>
        <v>0</v>
      </c>
      <c r="FC508" s="1">
        <f t="shared" si="847"/>
        <v>0</v>
      </c>
      <c r="FD508" s="1">
        <f t="shared" si="848"/>
        <v>0</v>
      </c>
      <c r="FE508" s="1">
        <f t="shared" si="849"/>
        <v>0</v>
      </c>
      <c r="FF508" s="1">
        <f t="shared" si="850"/>
        <v>0</v>
      </c>
      <c r="FG508" s="1">
        <f t="shared" si="851"/>
        <v>0</v>
      </c>
      <c r="FH508" s="1">
        <f t="shared" si="852"/>
        <v>0</v>
      </c>
      <c r="FI508" s="1">
        <f t="shared" si="853"/>
        <v>0</v>
      </c>
      <c r="FJ508" s="1">
        <f t="shared" si="854"/>
        <v>0</v>
      </c>
      <c r="FK508" s="1">
        <f t="shared" si="855"/>
        <v>0</v>
      </c>
      <c r="FL508" s="1">
        <f t="shared" si="856"/>
        <v>0</v>
      </c>
      <c r="FM508" s="1">
        <f t="shared" si="857"/>
        <v>0</v>
      </c>
      <c r="FN508" s="1">
        <f t="shared" si="858"/>
        <v>0</v>
      </c>
      <c r="FO508" s="1">
        <f t="shared" si="859"/>
        <v>0</v>
      </c>
      <c r="FP508" s="1">
        <f t="shared" si="860"/>
        <v>0</v>
      </c>
      <c r="FQ508" s="1">
        <f t="shared" si="861"/>
        <v>0</v>
      </c>
      <c r="FS508" s="1">
        <f t="shared" si="862"/>
        <v>0</v>
      </c>
      <c r="FT508" s="1">
        <f t="shared" si="863"/>
        <v>0</v>
      </c>
      <c r="FU508" s="38">
        <f t="shared" si="864"/>
        <v>0</v>
      </c>
      <c r="FV508" s="38">
        <f t="shared" si="865"/>
        <v>0</v>
      </c>
      <c r="FW508" s="38">
        <f t="shared" si="866"/>
        <v>0</v>
      </c>
      <c r="FX508" s="38">
        <f t="shared" si="867"/>
        <v>0</v>
      </c>
      <c r="FY508" s="38">
        <f t="shared" si="868"/>
        <v>0</v>
      </c>
      <c r="FZ508" s="38">
        <f t="shared" si="869"/>
        <v>0</v>
      </c>
      <c r="GA508" s="38">
        <f t="shared" si="870"/>
        <v>0</v>
      </c>
      <c r="GB508" s="38">
        <f t="shared" si="871"/>
        <v>0</v>
      </c>
      <c r="GC508" s="38">
        <f t="shared" si="872"/>
        <v>0</v>
      </c>
      <c r="GD508" s="38">
        <f t="shared" si="873"/>
        <v>0</v>
      </c>
      <c r="GE508" s="38">
        <f t="shared" si="874"/>
        <v>0</v>
      </c>
      <c r="GF508" s="38">
        <f t="shared" si="875"/>
        <v>0</v>
      </c>
      <c r="GG508" s="38">
        <f t="shared" si="876"/>
        <v>0</v>
      </c>
      <c r="GH508" s="38">
        <f t="shared" si="877"/>
        <v>0</v>
      </c>
      <c r="GI508" s="38">
        <f t="shared" si="878"/>
        <v>0</v>
      </c>
      <c r="GJ508" s="38">
        <f t="shared" si="879"/>
        <v>0</v>
      </c>
      <c r="GL508" s="38">
        <f t="shared" si="880"/>
        <v>0</v>
      </c>
      <c r="GM508" s="38">
        <f t="shared" si="881"/>
        <v>0</v>
      </c>
      <c r="GN508" s="1" t="s">
        <v>2</v>
      </c>
      <c r="GO508" s="1">
        <f t="shared" si="804"/>
        <v>435.5</v>
      </c>
      <c r="GP508" s="1">
        <f t="shared" si="805"/>
        <v>0.16</v>
      </c>
      <c r="GQ508" s="41">
        <f t="shared" si="806"/>
        <v>696.8</v>
      </c>
      <c r="GR508" s="41">
        <f t="shared" si="807"/>
        <v>21358.030002400003</v>
      </c>
      <c r="GS508" s="14">
        <f t="shared" si="808"/>
        <v>49.042548800000006</v>
      </c>
      <c r="GT508" s="1">
        <f t="shared" si="882"/>
        <v>0</v>
      </c>
      <c r="GU508" s="1">
        <f t="shared" si="883"/>
        <v>0</v>
      </c>
      <c r="GV508" s="1">
        <f t="shared" si="884"/>
        <v>696.8</v>
      </c>
      <c r="GW508" s="37">
        <f t="shared" si="809"/>
        <v>0</v>
      </c>
      <c r="GX508" s="37"/>
      <c r="GY508" s="37"/>
      <c r="GZ508" s="37"/>
      <c r="HB508" s="1">
        <f t="shared" si="885"/>
        <v>0</v>
      </c>
      <c r="HC508" s="1">
        <f t="shared" si="886"/>
        <v>0</v>
      </c>
      <c r="HD508" s="37" t="s">
        <v>2</v>
      </c>
      <c r="HE508" s="1" t="s">
        <v>113</v>
      </c>
      <c r="HF508" s="1" t="s">
        <v>129</v>
      </c>
      <c r="HG508" s="1" t="s">
        <v>1043</v>
      </c>
      <c r="HI508" s="1" t="s">
        <v>96</v>
      </c>
      <c r="HJ508" s="37" t="s">
        <v>2</v>
      </c>
      <c r="JH508" s="58" t="s">
        <v>2</v>
      </c>
    </row>
    <row r="509" spans="1:268" ht="16.25" customHeight="1" x14ac:dyDescent="0.15">
      <c r="A509" s="31" t="s">
        <v>832</v>
      </c>
      <c r="B509" s="1" t="s">
        <v>69</v>
      </c>
      <c r="F509" s="1" t="s">
        <v>833</v>
      </c>
      <c r="I509" s="1">
        <v>100.92</v>
      </c>
      <c r="J509" s="2">
        <v>0.19</v>
      </c>
      <c r="K509" s="1">
        <v>0.109</v>
      </c>
      <c r="Q509" s="1">
        <v>0.443</v>
      </c>
      <c r="R509" s="1">
        <v>1.6E-2</v>
      </c>
      <c r="S509" s="1">
        <v>0.29899999999999999</v>
      </c>
      <c r="T509" s="1">
        <v>0.32500000000000001</v>
      </c>
      <c r="AD509" s="1">
        <v>126.59</v>
      </c>
      <c r="AE509" s="1">
        <v>0.14299999999999999</v>
      </c>
      <c r="AF509" s="1">
        <v>5.5E-2</v>
      </c>
      <c r="AL509" s="2">
        <v>0.35</v>
      </c>
      <c r="AM509" s="1">
        <v>1.6E-2</v>
      </c>
      <c r="AN509" s="2">
        <v>0.13</v>
      </c>
      <c r="AO509" s="1">
        <v>0.11799999999999999</v>
      </c>
      <c r="AY509" s="1">
        <v>83.69</v>
      </c>
      <c r="AZ509" s="1">
        <v>0.104</v>
      </c>
      <c r="BA509" s="1">
        <v>4.4999999999999998E-2</v>
      </c>
      <c r="BG509" s="1">
        <v>0.29899999999999999</v>
      </c>
      <c r="BH509" s="1">
        <v>1.4999999999999999E-2</v>
      </c>
      <c r="BI509" s="1">
        <v>0.106</v>
      </c>
      <c r="BJ509" s="1">
        <v>8.2000000000000003E-2</v>
      </c>
      <c r="BT509" s="1">
        <v>0</v>
      </c>
      <c r="CO509" s="1">
        <v>0</v>
      </c>
      <c r="DJ509" s="1" t="s">
        <v>96</v>
      </c>
      <c r="DK509" s="1" t="s">
        <v>96</v>
      </c>
      <c r="DL509" s="1">
        <f t="shared" si="802"/>
        <v>0.36644399100257069</v>
      </c>
      <c r="DM509" s="1">
        <f t="shared" si="803"/>
        <v>1.573107326478149E-2</v>
      </c>
      <c r="DN509" s="1" t="s">
        <v>834</v>
      </c>
      <c r="DO509" s="1" t="s">
        <v>2</v>
      </c>
      <c r="DP509" s="38">
        <f t="shared" si="810"/>
        <v>0.45980930000000003</v>
      </c>
      <c r="DQ509" s="38">
        <f t="shared" si="811"/>
        <v>21.72878</v>
      </c>
      <c r="DR509" s="38">
        <f t="shared" si="812"/>
        <v>0</v>
      </c>
      <c r="DS509" s="38">
        <f t="shared" si="813"/>
        <v>0</v>
      </c>
      <c r="DT509" s="38">
        <f t="shared" si="814"/>
        <v>0</v>
      </c>
      <c r="DU509" s="38">
        <f t="shared" si="815"/>
        <v>0</v>
      </c>
      <c r="DV509" s="38">
        <f t="shared" si="816"/>
        <v>0</v>
      </c>
      <c r="DW509" s="38">
        <f t="shared" si="817"/>
        <v>1.1403737</v>
      </c>
      <c r="DX509" s="38">
        <f t="shared" si="818"/>
        <v>4.8955100000000001E-2</v>
      </c>
      <c r="DY509" s="38">
        <f t="shared" si="819"/>
        <v>55.502919999999996</v>
      </c>
      <c r="DZ509" s="38">
        <f t="shared" si="820"/>
        <v>54.599200000000003</v>
      </c>
      <c r="EA509" s="38">
        <f t="shared" si="821"/>
        <v>0</v>
      </c>
      <c r="EB509" s="38">
        <f t="shared" si="822"/>
        <v>0</v>
      </c>
      <c r="EC509" s="38">
        <f t="shared" si="823"/>
        <v>0</v>
      </c>
      <c r="ED509" s="38">
        <f t="shared" si="824"/>
        <v>0</v>
      </c>
      <c r="EE509" s="38">
        <f t="shared" si="825"/>
        <v>0</v>
      </c>
      <c r="EG509" s="38">
        <f t="shared" si="826"/>
        <v>0</v>
      </c>
      <c r="EH509" s="38">
        <f t="shared" si="827"/>
        <v>0</v>
      </c>
      <c r="EI509" s="38">
        <f t="shared" si="828"/>
        <v>3000.5389250288003</v>
      </c>
      <c r="EJ509" s="38">
        <f t="shared" si="829"/>
        <v>888.71408874598058</v>
      </c>
      <c r="EK509" s="38">
        <f t="shared" si="830"/>
        <v>0</v>
      </c>
      <c r="EL509" s="38">
        <f t="shared" si="831"/>
        <v>0</v>
      </c>
      <c r="EM509" s="38">
        <f t="shared" si="832"/>
        <v>0</v>
      </c>
      <c r="EN509" s="38">
        <f t="shared" si="833"/>
        <v>0</v>
      </c>
      <c r="EO509" s="38">
        <f t="shared" si="834"/>
        <v>0</v>
      </c>
      <c r="EP509" s="38">
        <f t="shared" si="835"/>
        <v>14954.8607018</v>
      </c>
      <c r="EQ509" s="38">
        <f t="shared" si="836"/>
        <v>3555.0960593723998</v>
      </c>
      <c r="ER509" s="38">
        <f t="shared" si="837"/>
        <v>1575.2478253118968</v>
      </c>
      <c r="ES509" s="38">
        <f t="shared" si="838"/>
        <v>1819.557841028939</v>
      </c>
      <c r="ET509" s="38">
        <f t="shared" si="839"/>
        <v>0</v>
      </c>
      <c r="EU509" s="38">
        <f t="shared" si="840"/>
        <v>0</v>
      </c>
      <c r="EV509" s="38">
        <f t="shared" si="841"/>
        <v>0</v>
      </c>
      <c r="EW509" s="38">
        <f t="shared" si="842"/>
        <v>0</v>
      </c>
      <c r="EX509" s="38">
        <f t="shared" si="843"/>
        <v>0</v>
      </c>
      <c r="EZ509" s="38">
        <f t="shared" si="844"/>
        <v>0</v>
      </c>
      <c r="FA509" s="38">
        <f t="shared" si="845"/>
        <v>0</v>
      </c>
      <c r="FB509" s="1">
        <f t="shared" si="846"/>
        <v>0</v>
      </c>
      <c r="FC509" s="1">
        <f t="shared" si="847"/>
        <v>0</v>
      </c>
      <c r="FD509" s="1">
        <f t="shared" si="848"/>
        <v>0</v>
      </c>
      <c r="FE509" s="1">
        <f t="shared" si="849"/>
        <v>0</v>
      </c>
      <c r="FF509" s="1">
        <f t="shared" si="850"/>
        <v>0</v>
      </c>
      <c r="FG509" s="1">
        <f t="shared" si="851"/>
        <v>0</v>
      </c>
      <c r="FH509" s="1">
        <f t="shared" si="852"/>
        <v>0</v>
      </c>
      <c r="FI509" s="1">
        <f t="shared" si="853"/>
        <v>0</v>
      </c>
      <c r="FJ509" s="1">
        <f t="shared" si="854"/>
        <v>0</v>
      </c>
      <c r="FK509" s="1">
        <f t="shared" si="855"/>
        <v>0</v>
      </c>
      <c r="FL509" s="1">
        <f t="shared" si="856"/>
        <v>0</v>
      </c>
      <c r="FM509" s="1">
        <f t="shared" si="857"/>
        <v>0</v>
      </c>
      <c r="FN509" s="1">
        <f t="shared" si="858"/>
        <v>0</v>
      </c>
      <c r="FO509" s="1">
        <f t="shared" si="859"/>
        <v>0</v>
      </c>
      <c r="FP509" s="1">
        <f t="shared" si="860"/>
        <v>0</v>
      </c>
      <c r="FQ509" s="1">
        <f t="shared" si="861"/>
        <v>0</v>
      </c>
      <c r="FS509" s="1">
        <f t="shared" si="862"/>
        <v>0</v>
      </c>
      <c r="FT509" s="1">
        <f t="shared" si="863"/>
        <v>0</v>
      </c>
      <c r="FU509" s="38">
        <f t="shared" si="864"/>
        <v>0</v>
      </c>
      <c r="FV509" s="38">
        <f t="shared" si="865"/>
        <v>0</v>
      </c>
      <c r="FW509" s="38">
        <f t="shared" si="866"/>
        <v>0</v>
      </c>
      <c r="FX509" s="38">
        <f t="shared" si="867"/>
        <v>0</v>
      </c>
      <c r="FY509" s="38">
        <f t="shared" si="868"/>
        <v>0</v>
      </c>
      <c r="FZ509" s="38">
        <f t="shared" si="869"/>
        <v>0</v>
      </c>
      <c r="GA509" s="38">
        <f t="shared" si="870"/>
        <v>0</v>
      </c>
      <c r="GB509" s="38">
        <f t="shared" si="871"/>
        <v>0</v>
      </c>
      <c r="GC509" s="38">
        <f t="shared" si="872"/>
        <v>0</v>
      </c>
      <c r="GD509" s="38">
        <f t="shared" si="873"/>
        <v>0</v>
      </c>
      <c r="GE509" s="38">
        <f t="shared" si="874"/>
        <v>0</v>
      </c>
      <c r="GF509" s="38">
        <f t="shared" si="875"/>
        <v>0</v>
      </c>
      <c r="GG509" s="38">
        <f t="shared" si="876"/>
        <v>0</v>
      </c>
      <c r="GH509" s="38">
        <f t="shared" si="877"/>
        <v>0</v>
      </c>
      <c r="GI509" s="38">
        <f t="shared" si="878"/>
        <v>0</v>
      </c>
      <c r="GJ509" s="38">
        <f t="shared" si="879"/>
        <v>0</v>
      </c>
      <c r="GL509" s="38">
        <f t="shared" si="880"/>
        <v>0</v>
      </c>
      <c r="GM509" s="38">
        <f t="shared" si="881"/>
        <v>0</v>
      </c>
      <c r="GN509" s="1" t="s">
        <v>2</v>
      </c>
      <c r="GO509" s="1">
        <f t="shared" si="804"/>
        <v>311.2</v>
      </c>
      <c r="GP509" s="13">
        <f t="shared" si="805"/>
        <v>0.36644399100257069</v>
      </c>
      <c r="GQ509" s="43">
        <f t="shared" si="806"/>
        <v>1140.3736999999999</v>
      </c>
      <c r="GR509" s="41">
        <f t="shared" si="807"/>
        <v>25794.015441288018</v>
      </c>
      <c r="GS509" s="14">
        <f t="shared" si="808"/>
        <v>82.885653731645306</v>
      </c>
      <c r="GT509" s="1">
        <f t="shared" si="882"/>
        <v>447.07559999999995</v>
      </c>
      <c r="GU509" s="1">
        <f t="shared" si="883"/>
        <v>443.065</v>
      </c>
      <c r="GV509" s="1">
        <f t="shared" si="884"/>
        <v>250.23309999999998</v>
      </c>
      <c r="GW509" s="37">
        <f t="shared" si="809"/>
        <v>0</v>
      </c>
      <c r="GX509" s="37"/>
      <c r="GY509" s="37"/>
      <c r="GZ509" s="37"/>
      <c r="HB509" s="1">
        <f t="shared" si="885"/>
        <v>0</v>
      </c>
      <c r="HC509" s="1">
        <f t="shared" si="886"/>
        <v>0</v>
      </c>
      <c r="HD509" s="37" t="s">
        <v>2</v>
      </c>
      <c r="HE509" s="1" t="s">
        <v>113</v>
      </c>
      <c r="HF509" s="1" t="s">
        <v>129</v>
      </c>
      <c r="HG509" s="1" t="s">
        <v>835</v>
      </c>
      <c r="HI509" s="1" t="s">
        <v>96</v>
      </c>
      <c r="HJ509" s="37" t="s">
        <v>2</v>
      </c>
      <c r="JH509" s="58" t="s">
        <v>2</v>
      </c>
    </row>
    <row r="510" spans="1:268" ht="16.25" customHeight="1" x14ac:dyDescent="0.15">
      <c r="A510" s="31" t="s">
        <v>836</v>
      </c>
      <c r="B510" s="1" t="s">
        <v>69</v>
      </c>
      <c r="F510" s="1" t="s">
        <v>833</v>
      </c>
      <c r="I510" s="1">
        <v>50.99</v>
      </c>
      <c r="J510" s="1">
        <v>0.33900000000000002</v>
      </c>
      <c r="K510" s="2">
        <v>0.14000000000000001</v>
      </c>
      <c r="Q510" s="1">
        <v>0.55800000000000005</v>
      </c>
      <c r="R510" s="1">
        <v>1.9E-2</v>
      </c>
      <c r="S510" s="1">
        <v>0.30199999999999999</v>
      </c>
      <c r="T510" s="1">
        <v>0.28799999999999998</v>
      </c>
      <c r="AD510" s="1">
        <v>40.08</v>
      </c>
      <c r="AE510" s="1">
        <v>0.29299999999999998</v>
      </c>
      <c r="AF510" s="1">
        <v>0.123</v>
      </c>
      <c r="AL510" s="1">
        <v>0.50800000000000001</v>
      </c>
      <c r="AM510" s="1">
        <v>1.9E-2</v>
      </c>
      <c r="AN510" s="1">
        <v>0.28299999999999997</v>
      </c>
      <c r="AO510" s="1">
        <v>0.255</v>
      </c>
      <c r="AY510" s="1">
        <v>0</v>
      </c>
      <c r="BT510" s="1">
        <v>0</v>
      </c>
      <c r="CO510" s="1">
        <v>0</v>
      </c>
      <c r="DJ510" s="1" t="s">
        <v>96</v>
      </c>
      <c r="DK510" s="1" t="s">
        <v>96</v>
      </c>
      <c r="DL510" s="1">
        <f t="shared" si="802"/>
        <v>0.53599494894037569</v>
      </c>
      <c r="DM510" s="1">
        <f t="shared" si="803"/>
        <v>1.9E-2</v>
      </c>
      <c r="DN510" s="1" t="s">
        <v>834</v>
      </c>
      <c r="DO510" s="1" t="s">
        <v>2</v>
      </c>
      <c r="DP510" s="38">
        <f t="shared" si="810"/>
        <v>0.29029050000000001</v>
      </c>
      <c r="DQ510" s="38">
        <f t="shared" si="811"/>
        <v>12.068440000000001</v>
      </c>
      <c r="DR510" s="38">
        <f t="shared" si="812"/>
        <v>0</v>
      </c>
      <c r="DS510" s="38">
        <f t="shared" si="813"/>
        <v>0</v>
      </c>
      <c r="DT510" s="38">
        <f t="shared" si="814"/>
        <v>0</v>
      </c>
      <c r="DU510" s="38">
        <f t="shared" si="815"/>
        <v>0</v>
      </c>
      <c r="DV510" s="38">
        <f t="shared" si="816"/>
        <v>0</v>
      </c>
      <c r="DW510" s="38">
        <f t="shared" si="817"/>
        <v>0.48813060000000008</v>
      </c>
      <c r="DX510" s="38">
        <f t="shared" si="818"/>
        <v>1.7303300000000001E-2</v>
      </c>
      <c r="DY510" s="38">
        <f t="shared" si="819"/>
        <v>26.741619999999998</v>
      </c>
      <c r="DZ510" s="38">
        <f t="shared" si="820"/>
        <v>24.905519999999999</v>
      </c>
      <c r="EA510" s="38">
        <f t="shared" si="821"/>
        <v>0</v>
      </c>
      <c r="EB510" s="38">
        <f t="shared" si="822"/>
        <v>0</v>
      </c>
      <c r="EC510" s="38">
        <f t="shared" si="823"/>
        <v>0</v>
      </c>
      <c r="ED510" s="38">
        <f t="shared" si="824"/>
        <v>0</v>
      </c>
      <c r="EE510" s="38">
        <f t="shared" si="825"/>
        <v>0</v>
      </c>
      <c r="EG510" s="38">
        <f t="shared" si="826"/>
        <v>0</v>
      </c>
      <c r="EH510" s="38">
        <f t="shared" si="827"/>
        <v>0</v>
      </c>
      <c r="EI510" s="38">
        <f t="shared" si="828"/>
        <v>1894.3243314480001</v>
      </c>
      <c r="EJ510" s="38">
        <f t="shared" si="829"/>
        <v>493.60307652733115</v>
      </c>
      <c r="EK510" s="38">
        <f t="shared" si="830"/>
        <v>0</v>
      </c>
      <c r="EL510" s="38">
        <f t="shared" si="831"/>
        <v>0</v>
      </c>
      <c r="EM510" s="38">
        <f t="shared" si="832"/>
        <v>0</v>
      </c>
      <c r="EN510" s="38">
        <f t="shared" si="833"/>
        <v>0</v>
      </c>
      <c r="EO510" s="38">
        <f t="shared" si="834"/>
        <v>0</v>
      </c>
      <c r="EP510" s="38">
        <f t="shared" si="835"/>
        <v>6401.3446884000014</v>
      </c>
      <c r="EQ510" s="38">
        <f t="shared" si="836"/>
        <v>1256.5574096291998</v>
      </c>
      <c r="ER510" s="38">
        <f t="shared" si="837"/>
        <v>758.96328968488729</v>
      </c>
      <c r="ES510" s="38">
        <f t="shared" si="838"/>
        <v>829.99447246302248</v>
      </c>
      <c r="ET510" s="38">
        <f t="shared" si="839"/>
        <v>0</v>
      </c>
      <c r="EU510" s="38">
        <f t="shared" si="840"/>
        <v>0</v>
      </c>
      <c r="EV510" s="38">
        <f t="shared" si="841"/>
        <v>0</v>
      </c>
      <c r="EW510" s="38">
        <f t="shared" si="842"/>
        <v>0</v>
      </c>
      <c r="EX510" s="38">
        <f t="shared" si="843"/>
        <v>0</v>
      </c>
      <c r="EZ510" s="38">
        <f t="shared" si="844"/>
        <v>0</v>
      </c>
      <c r="FA510" s="38">
        <f t="shared" si="845"/>
        <v>0</v>
      </c>
      <c r="FB510" s="1">
        <f t="shared" si="846"/>
        <v>0</v>
      </c>
      <c r="FC510" s="1">
        <f t="shared" si="847"/>
        <v>0</v>
      </c>
      <c r="FD510" s="1">
        <f t="shared" si="848"/>
        <v>0</v>
      </c>
      <c r="FE510" s="1">
        <f t="shared" si="849"/>
        <v>0</v>
      </c>
      <c r="FF510" s="1">
        <f t="shared" si="850"/>
        <v>0</v>
      </c>
      <c r="FG510" s="1">
        <f t="shared" si="851"/>
        <v>0</v>
      </c>
      <c r="FH510" s="1">
        <f t="shared" si="852"/>
        <v>0</v>
      </c>
      <c r="FI510" s="1">
        <f t="shared" si="853"/>
        <v>0</v>
      </c>
      <c r="FJ510" s="1">
        <f t="shared" si="854"/>
        <v>0</v>
      </c>
      <c r="FK510" s="1">
        <f t="shared" si="855"/>
        <v>0</v>
      </c>
      <c r="FL510" s="1">
        <f t="shared" si="856"/>
        <v>0</v>
      </c>
      <c r="FM510" s="1">
        <f t="shared" si="857"/>
        <v>0</v>
      </c>
      <c r="FN510" s="1">
        <f t="shared" si="858"/>
        <v>0</v>
      </c>
      <c r="FO510" s="1">
        <f t="shared" si="859"/>
        <v>0</v>
      </c>
      <c r="FP510" s="1">
        <f t="shared" si="860"/>
        <v>0</v>
      </c>
      <c r="FQ510" s="1">
        <f t="shared" si="861"/>
        <v>0</v>
      </c>
      <c r="FS510" s="1">
        <f t="shared" si="862"/>
        <v>0</v>
      </c>
      <c r="FT510" s="1">
        <f t="shared" si="863"/>
        <v>0</v>
      </c>
      <c r="FU510" s="38">
        <f t="shared" si="864"/>
        <v>0</v>
      </c>
      <c r="FV510" s="38">
        <f t="shared" si="865"/>
        <v>0</v>
      </c>
      <c r="FW510" s="38">
        <f t="shared" si="866"/>
        <v>0</v>
      </c>
      <c r="FX510" s="38">
        <f t="shared" si="867"/>
        <v>0</v>
      </c>
      <c r="FY510" s="38">
        <f t="shared" si="868"/>
        <v>0</v>
      </c>
      <c r="FZ510" s="38">
        <f t="shared" si="869"/>
        <v>0</v>
      </c>
      <c r="GA510" s="38">
        <f t="shared" si="870"/>
        <v>0</v>
      </c>
      <c r="GB510" s="38">
        <f t="shared" si="871"/>
        <v>0</v>
      </c>
      <c r="GC510" s="38">
        <f t="shared" si="872"/>
        <v>0</v>
      </c>
      <c r="GD510" s="38">
        <f t="shared" si="873"/>
        <v>0</v>
      </c>
      <c r="GE510" s="38">
        <f t="shared" si="874"/>
        <v>0</v>
      </c>
      <c r="GF510" s="38">
        <f t="shared" si="875"/>
        <v>0</v>
      </c>
      <c r="GG510" s="38">
        <f t="shared" si="876"/>
        <v>0</v>
      </c>
      <c r="GH510" s="38">
        <f t="shared" si="877"/>
        <v>0</v>
      </c>
      <c r="GI510" s="38">
        <f t="shared" si="878"/>
        <v>0</v>
      </c>
      <c r="GJ510" s="38">
        <f t="shared" si="879"/>
        <v>0</v>
      </c>
      <c r="GL510" s="38">
        <f t="shared" si="880"/>
        <v>0</v>
      </c>
      <c r="GM510" s="38">
        <f t="shared" si="881"/>
        <v>0</v>
      </c>
      <c r="GN510" s="1" t="s">
        <v>2</v>
      </c>
      <c r="GO510" s="1">
        <f t="shared" si="804"/>
        <v>91.07</v>
      </c>
      <c r="GP510" s="13">
        <f t="shared" si="805"/>
        <v>0.53599494894037569</v>
      </c>
      <c r="GQ510" s="41">
        <f t="shared" si="806"/>
        <v>488.13060000000013</v>
      </c>
      <c r="GR510" s="41">
        <f t="shared" si="807"/>
        <v>11634.787268152442</v>
      </c>
      <c r="GS510" s="14">
        <f t="shared" si="808"/>
        <v>127.75653089000157</v>
      </c>
      <c r="GT510" s="1">
        <f t="shared" si="882"/>
        <v>284.52420000000001</v>
      </c>
      <c r="GU510" s="1">
        <f t="shared" si="883"/>
        <v>203.60640000000001</v>
      </c>
      <c r="GV510" s="1">
        <f t="shared" si="884"/>
        <v>0</v>
      </c>
      <c r="GW510" s="37">
        <f t="shared" si="809"/>
        <v>0</v>
      </c>
      <c r="GX510" s="37"/>
      <c r="GY510" s="37"/>
      <c r="GZ510" s="37"/>
      <c r="HB510" s="1">
        <f t="shared" si="885"/>
        <v>0</v>
      </c>
      <c r="HC510" s="1">
        <f t="shared" si="886"/>
        <v>0</v>
      </c>
      <c r="HD510" s="37" t="s">
        <v>2</v>
      </c>
      <c r="HE510" s="1" t="s">
        <v>113</v>
      </c>
      <c r="HF510" s="1" t="s">
        <v>129</v>
      </c>
      <c r="HG510" s="1" t="s">
        <v>835</v>
      </c>
      <c r="HI510" s="1" t="s">
        <v>96</v>
      </c>
      <c r="HJ510" s="37" t="s">
        <v>2</v>
      </c>
      <c r="JH510" s="58" t="s">
        <v>2</v>
      </c>
    </row>
    <row r="511" spans="1:268" ht="16.25" customHeight="1" x14ac:dyDescent="0.15">
      <c r="A511" s="31" t="s">
        <v>837</v>
      </c>
      <c r="B511" s="1" t="s">
        <v>69</v>
      </c>
      <c r="F511" s="1" t="s">
        <v>833</v>
      </c>
      <c r="I511" s="1">
        <v>66.150000000000006</v>
      </c>
      <c r="J511" s="1">
        <v>0.191</v>
      </c>
      <c r="K511" s="1">
        <v>9.4E-2</v>
      </c>
      <c r="Q511" s="1">
        <v>0.40400000000000003</v>
      </c>
      <c r="R511" s="1">
        <v>1.4999999999999999E-2</v>
      </c>
      <c r="S511" s="1">
        <v>0.38900000000000001</v>
      </c>
      <c r="T511" s="2">
        <v>0.3</v>
      </c>
      <c r="AD511" s="1">
        <v>106.86</v>
      </c>
      <c r="AE511" s="1">
        <v>0.182</v>
      </c>
      <c r="AF511" s="1">
        <v>6.4000000000000001E-2</v>
      </c>
      <c r="AL511" s="1">
        <v>0.38800000000000001</v>
      </c>
      <c r="AM511" s="1">
        <v>1.4999999999999999E-2</v>
      </c>
      <c r="AN511" s="1">
        <v>0.20799999999999999</v>
      </c>
      <c r="AO511" s="1">
        <v>0.20200000000000001</v>
      </c>
      <c r="AY511" s="1">
        <v>17.61</v>
      </c>
      <c r="AZ511" s="1">
        <v>0.161</v>
      </c>
      <c r="BA511" s="1">
        <v>5.8999999999999997E-2</v>
      </c>
      <c r="BG511" s="2">
        <v>0.34</v>
      </c>
      <c r="BH511" s="1">
        <v>1.4E-2</v>
      </c>
      <c r="BI511" s="1">
        <v>0.20399999999999999</v>
      </c>
      <c r="BJ511" s="1">
        <v>0.20599999999999999</v>
      </c>
      <c r="BT511" s="1">
        <v>0</v>
      </c>
      <c r="CO511" s="1">
        <v>0</v>
      </c>
      <c r="DJ511" s="1" t="s">
        <v>96</v>
      </c>
      <c r="DK511" s="1" t="s">
        <v>96</v>
      </c>
      <c r="DL511" s="1">
        <f t="shared" si="802"/>
        <v>0.38911803588290844</v>
      </c>
      <c r="DM511" s="1">
        <f t="shared" si="803"/>
        <v>1.4907617248977023E-2</v>
      </c>
      <c r="DN511" s="1" t="s">
        <v>834</v>
      </c>
      <c r="DO511" s="1" t="s">
        <v>2</v>
      </c>
      <c r="DP511" s="38">
        <f t="shared" si="810"/>
        <v>0.34918379999999999</v>
      </c>
      <c r="DQ511" s="38">
        <f t="shared" si="811"/>
        <v>14.09613</v>
      </c>
      <c r="DR511" s="38">
        <f t="shared" si="812"/>
        <v>0</v>
      </c>
      <c r="DS511" s="38">
        <f t="shared" si="813"/>
        <v>0</v>
      </c>
      <c r="DT511" s="38">
        <f t="shared" si="814"/>
        <v>0</v>
      </c>
      <c r="DU511" s="38">
        <f t="shared" si="815"/>
        <v>0</v>
      </c>
      <c r="DV511" s="38">
        <f t="shared" si="816"/>
        <v>0</v>
      </c>
      <c r="DW511" s="38">
        <f t="shared" si="817"/>
        <v>0.74173680000000008</v>
      </c>
      <c r="DX511" s="38">
        <f t="shared" si="818"/>
        <v>2.8416900000000002E-2</v>
      </c>
      <c r="DY511" s="38">
        <f t="shared" si="819"/>
        <v>51.551670000000001</v>
      </c>
      <c r="DZ511" s="38">
        <f t="shared" si="820"/>
        <v>45.058380000000007</v>
      </c>
      <c r="EA511" s="38">
        <f t="shared" si="821"/>
        <v>0</v>
      </c>
      <c r="EB511" s="38">
        <f t="shared" si="822"/>
        <v>0</v>
      </c>
      <c r="EC511" s="38">
        <f t="shared" si="823"/>
        <v>0</v>
      </c>
      <c r="ED511" s="38">
        <f t="shared" si="824"/>
        <v>0</v>
      </c>
      <c r="EE511" s="38">
        <f t="shared" si="825"/>
        <v>0</v>
      </c>
      <c r="EG511" s="38">
        <f t="shared" si="826"/>
        <v>0</v>
      </c>
      <c r="EH511" s="38">
        <f t="shared" si="827"/>
        <v>0</v>
      </c>
      <c r="EI511" s="38">
        <f t="shared" si="828"/>
        <v>2278.6393922207999</v>
      </c>
      <c r="EJ511" s="38">
        <f t="shared" si="829"/>
        <v>576.53624951768484</v>
      </c>
      <c r="EK511" s="38">
        <f t="shared" si="830"/>
        <v>0</v>
      </c>
      <c r="EL511" s="38">
        <f t="shared" si="831"/>
        <v>0</v>
      </c>
      <c r="EM511" s="38">
        <f t="shared" si="832"/>
        <v>0</v>
      </c>
      <c r="EN511" s="38">
        <f t="shared" si="833"/>
        <v>0</v>
      </c>
      <c r="EO511" s="38">
        <f t="shared" si="834"/>
        <v>0</v>
      </c>
      <c r="EP511" s="38">
        <f t="shared" si="835"/>
        <v>9727.1363952000011</v>
      </c>
      <c r="EQ511" s="38">
        <f t="shared" si="836"/>
        <v>2063.6217515556</v>
      </c>
      <c r="ER511" s="38">
        <f t="shared" si="837"/>
        <v>1463.1060142186493</v>
      </c>
      <c r="ES511" s="38">
        <f t="shared" si="838"/>
        <v>1501.603112006431</v>
      </c>
      <c r="ET511" s="38">
        <f t="shared" si="839"/>
        <v>0</v>
      </c>
      <c r="EU511" s="38">
        <f t="shared" si="840"/>
        <v>0</v>
      </c>
      <c r="EV511" s="38">
        <f t="shared" si="841"/>
        <v>0</v>
      </c>
      <c r="EW511" s="38">
        <f t="shared" si="842"/>
        <v>0</v>
      </c>
      <c r="EX511" s="38">
        <f t="shared" si="843"/>
        <v>0</v>
      </c>
      <c r="EZ511" s="38">
        <f t="shared" si="844"/>
        <v>0</v>
      </c>
      <c r="FA511" s="38">
        <f t="shared" si="845"/>
        <v>0</v>
      </c>
      <c r="FB511" s="1">
        <f t="shared" si="846"/>
        <v>0</v>
      </c>
      <c r="FC511" s="1">
        <f t="shared" si="847"/>
        <v>0</v>
      </c>
      <c r="FD511" s="1">
        <f t="shared" si="848"/>
        <v>0</v>
      </c>
      <c r="FE511" s="1">
        <f t="shared" si="849"/>
        <v>0</v>
      </c>
      <c r="FF511" s="1">
        <f t="shared" si="850"/>
        <v>0</v>
      </c>
      <c r="FG511" s="1">
        <f t="shared" si="851"/>
        <v>0</v>
      </c>
      <c r="FH511" s="1">
        <f t="shared" si="852"/>
        <v>0</v>
      </c>
      <c r="FI511" s="1">
        <f t="shared" si="853"/>
        <v>0</v>
      </c>
      <c r="FJ511" s="1">
        <f t="shared" si="854"/>
        <v>0</v>
      </c>
      <c r="FK511" s="1">
        <f t="shared" si="855"/>
        <v>0</v>
      </c>
      <c r="FL511" s="1">
        <f t="shared" si="856"/>
        <v>0</v>
      </c>
      <c r="FM511" s="1">
        <f t="shared" si="857"/>
        <v>0</v>
      </c>
      <c r="FN511" s="1">
        <f t="shared" si="858"/>
        <v>0</v>
      </c>
      <c r="FO511" s="1">
        <f t="shared" si="859"/>
        <v>0</v>
      </c>
      <c r="FP511" s="1">
        <f t="shared" si="860"/>
        <v>0</v>
      </c>
      <c r="FQ511" s="1">
        <f t="shared" si="861"/>
        <v>0</v>
      </c>
      <c r="FS511" s="1">
        <f t="shared" si="862"/>
        <v>0</v>
      </c>
      <c r="FT511" s="1">
        <f t="shared" si="863"/>
        <v>0</v>
      </c>
      <c r="FU511" s="38">
        <f t="shared" si="864"/>
        <v>0</v>
      </c>
      <c r="FV511" s="38">
        <f t="shared" si="865"/>
        <v>0</v>
      </c>
      <c r="FW511" s="38">
        <f t="shared" si="866"/>
        <v>0</v>
      </c>
      <c r="FX511" s="38">
        <f t="shared" si="867"/>
        <v>0</v>
      </c>
      <c r="FY511" s="38">
        <f t="shared" si="868"/>
        <v>0</v>
      </c>
      <c r="FZ511" s="38">
        <f t="shared" si="869"/>
        <v>0</v>
      </c>
      <c r="GA511" s="38">
        <f t="shared" si="870"/>
        <v>0</v>
      </c>
      <c r="GB511" s="38">
        <f t="shared" si="871"/>
        <v>0</v>
      </c>
      <c r="GC511" s="38">
        <f t="shared" si="872"/>
        <v>0</v>
      </c>
      <c r="GD511" s="38">
        <f t="shared" si="873"/>
        <v>0</v>
      </c>
      <c r="GE511" s="38">
        <f t="shared" si="874"/>
        <v>0</v>
      </c>
      <c r="GF511" s="38">
        <f t="shared" si="875"/>
        <v>0</v>
      </c>
      <c r="GG511" s="38">
        <f t="shared" si="876"/>
        <v>0</v>
      </c>
      <c r="GH511" s="38">
        <f t="shared" si="877"/>
        <v>0</v>
      </c>
      <c r="GI511" s="38">
        <f t="shared" si="878"/>
        <v>0</v>
      </c>
      <c r="GJ511" s="38">
        <f t="shared" si="879"/>
        <v>0</v>
      </c>
      <c r="GL511" s="38">
        <f t="shared" si="880"/>
        <v>0</v>
      </c>
      <c r="GM511" s="38">
        <f t="shared" si="881"/>
        <v>0</v>
      </c>
      <c r="GN511" s="1" t="s">
        <v>2</v>
      </c>
      <c r="GO511" s="14">
        <f t="shared" si="804"/>
        <v>190.62</v>
      </c>
      <c r="GP511" s="13">
        <f t="shared" si="805"/>
        <v>0.38911803588290844</v>
      </c>
      <c r="GQ511" s="41">
        <f t="shared" si="806"/>
        <v>741.73680000000013</v>
      </c>
      <c r="GR511" s="41">
        <f t="shared" si="807"/>
        <v>17610.642914719167</v>
      </c>
      <c r="GS511" s="14">
        <f t="shared" si="808"/>
        <v>92.386123778822608</v>
      </c>
      <c r="GT511" s="1">
        <f t="shared" si="882"/>
        <v>267.24600000000004</v>
      </c>
      <c r="GU511" s="1">
        <f t="shared" si="883"/>
        <v>414.61680000000001</v>
      </c>
      <c r="GV511" s="1">
        <f t="shared" si="884"/>
        <v>59.873999999999995</v>
      </c>
      <c r="GW511" s="37">
        <f t="shared" si="809"/>
        <v>0</v>
      </c>
      <c r="GX511" s="37"/>
      <c r="GY511" s="37"/>
      <c r="GZ511" s="37"/>
      <c r="HB511" s="1">
        <f t="shared" si="885"/>
        <v>0</v>
      </c>
      <c r="HC511" s="1">
        <f t="shared" si="886"/>
        <v>0</v>
      </c>
      <c r="HD511" s="37" t="s">
        <v>2</v>
      </c>
      <c r="HE511" s="1" t="s">
        <v>113</v>
      </c>
      <c r="HF511" s="1" t="s">
        <v>129</v>
      </c>
      <c r="HG511" s="1" t="s">
        <v>835</v>
      </c>
      <c r="HI511" s="1" t="s">
        <v>96</v>
      </c>
      <c r="HJ511" s="37" t="s">
        <v>2</v>
      </c>
      <c r="JH511" s="58" t="s">
        <v>2</v>
      </c>
    </row>
    <row r="512" spans="1:268" ht="16.25" customHeight="1" x14ac:dyDescent="0.2">
      <c r="A512" s="15" t="s">
        <v>852</v>
      </c>
      <c r="B512" s="1" t="s">
        <v>853</v>
      </c>
      <c r="F512" s="1" t="s">
        <v>249</v>
      </c>
      <c r="I512" s="1">
        <v>0</v>
      </c>
      <c r="AD512" s="1">
        <v>206.8</v>
      </c>
      <c r="AE512" s="1">
        <v>0.5</v>
      </c>
      <c r="AF512" s="1">
        <v>0.2</v>
      </c>
      <c r="AL512" s="1">
        <v>0.3</v>
      </c>
      <c r="AM512" s="1">
        <v>0.01</v>
      </c>
      <c r="AN512" s="14">
        <v>2</v>
      </c>
      <c r="AO512" s="14">
        <v>5</v>
      </c>
      <c r="AY512" s="1">
        <v>0</v>
      </c>
      <c r="BT512" s="1">
        <v>0</v>
      </c>
      <c r="CO512" s="1">
        <v>0</v>
      </c>
      <c r="DJ512" s="1" t="s">
        <v>96</v>
      </c>
      <c r="DK512" s="1" t="s">
        <v>96</v>
      </c>
      <c r="DL512" s="1">
        <f t="shared" si="802"/>
        <v>0.3</v>
      </c>
      <c r="DM512" s="1">
        <f t="shared" si="803"/>
        <v>0.01</v>
      </c>
      <c r="DN512" s="1" t="s">
        <v>67</v>
      </c>
      <c r="DO512" s="1" t="s">
        <v>2</v>
      </c>
      <c r="DP512" s="38">
        <f t="shared" si="810"/>
        <v>1.034</v>
      </c>
      <c r="DQ512" s="38">
        <f t="shared" si="811"/>
        <v>41.360000000000007</v>
      </c>
      <c r="DR512" s="38">
        <f t="shared" si="812"/>
        <v>0</v>
      </c>
      <c r="DS512" s="38">
        <f t="shared" si="813"/>
        <v>0</v>
      </c>
      <c r="DT512" s="38">
        <f t="shared" si="814"/>
        <v>0</v>
      </c>
      <c r="DU512" s="38">
        <f t="shared" si="815"/>
        <v>0</v>
      </c>
      <c r="DV512" s="38">
        <f t="shared" si="816"/>
        <v>0</v>
      </c>
      <c r="DW512" s="38">
        <f t="shared" si="817"/>
        <v>0.62039999999999995</v>
      </c>
      <c r="DX512" s="38">
        <f t="shared" si="818"/>
        <v>2.068E-2</v>
      </c>
      <c r="DY512" s="38">
        <f t="shared" si="819"/>
        <v>413.6</v>
      </c>
      <c r="DZ512" s="38">
        <f t="shared" si="820"/>
        <v>1034</v>
      </c>
      <c r="EA512" s="38">
        <f t="shared" si="821"/>
        <v>0</v>
      </c>
      <c r="EB512" s="38">
        <f t="shared" si="822"/>
        <v>0</v>
      </c>
      <c r="EC512" s="38">
        <f t="shared" si="823"/>
        <v>0</v>
      </c>
      <c r="ED512" s="38">
        <f t="shared" si="824"/>
        <v>0</v>
      </c>
      <c r="EE512" s="38">
        <f t="shared" si="825"/>
        <v>0</v>
      </c>
      <c r="EG512" s="38">
        <f t="shared" si="826"/>
        <v>0</v>
      </c>
      <c r="EH512" s="38">
        <f t="shared" si="827"/>
        <v>0</v>
      </c>
      <c r="EI512" s="38">
        <f t="shared" si="828"/>
        <v>6747.4869440000002</v>
      </c>
      <c r="EJ512" s="38">
        <f t="shared" si="829"/>
        <v>1691.6372990353698</v>
      </c>
      <c r="EK512" s="38">
        <f t="shared" si="830"/>
        <v>0</v>
      </c>
      <c r="EL512" s="38">
        <f t="shared" si="831"/>
        <v>0</v>
      </c>
      <c r="EM512" s="38">
        <f t="shared" si="832"/>
        <v>0</v>
      </c>
      <c r="EN512" s="38">
        <f t="shared" si="833"/>
        <v>0</v>
      </c>
      <c r="EO512" s="38">
        <f t="shared" si="834"/>
        <v>0</v>
      </c>
      <c r="EP512" s="38">
        <f t="shared" si="835"/>
        <v>8135.9255999999996</v>
      </c>
      <c r="EQ512" s="38">
        <f t="shared" si="836"/>
        <v>1501.7717563199999</v>
      </c>
      <c r="ER512" s="38">
        <f t="shared" si="837"/>
        <v>11738.526559485528</v>
      </c>
      <c r="ES512" s="38">
        <f t="shared" si="838"/>
        <v>34458.798070739547</v>
      </c>
      <c r="ET512" s="38">
        <f t="shared" si="839"/>
        <v>0</v>
      </c>
      <c r="EU512" s="38">
        <f t="shared" si="840"/>
        <v>0</v>
      </c>
      <c r="EV512" s="38">
        <f t="shared" si="841"/>
        <v>0</v>
      </c>
      <c r="EW512" s="38">
        <f t="shared" si="842"/>
        <v>0</v>
      </c>
      <c r="EX512" s="38">
        <f t="shared" si="843"/>
        <v>0</v>
      </c>
      <c r="EZ512" s="38">
        <f t="shared" si="844"/>
        <v>0</v>
      </c>
      <c r="FA512" s="38">
        <f t="shared" si="845"/>
        <v>0</v>
      </c>
      <c r="FB512" s="1">
        <f t="shared" si="846"/>
        <v>0</v>
      </c>
      <c r="FC512" s="1">
        <f t="shared" si="847"/>
        <v>0</v>
      </c>
      <c r="FD512" s="1">
        <f t="shared" si="848"/>
        <v>0</v>
      </c>
      <c r="FE512" s="1">
        <f t="shared" si="849"/>
        <v>0</v>
      </c>
      <c r="FF512" s="1">
        <f t="shared" si="850"/>
        <v>0</v>
      </c>
      <c r="FG512" s="1">
        <f t="shared" si="851"/>
        <v>0</v>
      </c>
      <c r="FH512" s="1">
        <f t="shared" si="852"/>
        <v>0</v>
      </c>
      <c r="FI512" s="1">
        <f t="shared" si="853"/>
        <v>0</v>
      </c>
      <c r="FJ512" s="1">
        <f t="shared" si="854"/>
        <v>0</v>
      </c>
      <c r="FK512" s="1">
        <f t="shared" si="855"/>
        <v>0</v>
      </c>
      <c r="FL512" s="1">
        <f t="shared" si="856"/>
        <v>0</v>
      </c>
      <c r="FM512" s="1">
        <f t="shared" si="857"/>
        <v>0</v>
      </c>
      <c r="FN512" s="1">
        <f t="shared" si="858"/>
        <v>0</v>
      </c>
      <c r="FO512" s="1">
        <f t="shared" si="859"/>
        <v>0</v>
      </c>
      <c r="FP512" s="1">
        <f t="shared" si="860"/>
        <v>0</v>
      </c>
      <c r="FQ512" s="1">
        <f t="shared" si="861"/>
        <v>0</v>
      </c>
      <c r="FS512" s="1">
        <f t="shared" si="862"/>
        <v>0</v>
      </c>
      <c r="FT512" s="1">
        <f t="shared" si="863"/>
        <v>0</v>
      </c>
      <c r="FU512" s="38">
        <f t="shared" si="864"/>
        <v>0</v>
      </c>
      <c r="FV512" s="38">
        <f t="shared" si="865"/>
        <v>0</v>
      </c>
      <c r="FW512" s="38">
        <f t="shared" si="866"/>
        <v>0</v>
      </c>
      <c r="FX512" s="38">
        <f t="shared" si="867"/>
        <v>0</v>
      </c>
      <c r="FY512" s="38">
        <f t="shared" si="868"/>
        <v>0</v>
      </c>
      <c r="FZ512" s="38">
        <f t="shared" si="869"/>
        <v>0</v>
      </c>
      <c r="GA512" s="38">
        <f t="shared" si="870"/>
        <v>0</v>
      </c>
      <c r="GB512" s="38">
        <f t="shared" si="871"/>
        <v>0</v>
      </c>
      <c r="GC512" s="38">
        <f t="shared" si="872"/>
        <v>0</v>
      </c>
      <c r="GD512" s="38">
        <f t="shared" si="873"/>
        <v>0</v>
      </c>
      <c r="GE512" s="38">
        <f t="shared" si="874"/>
        <v>0</v>
      </c>
      <c r="GF512" s="38">
        <f t="shared" si="875"/>
        <v>0</v>
      </c>
      <c r="GG512" s="38">
        <f t="shared" si="876"/>
        <v>0</v>
      </c>
      <c r="GH512" s="38">
        <f t="shared" si="877"/>
        <v>0</v>
      </c>
      <c r="GI512" s="38">
        <f t="shared" si="878"/>
        <v>0</v>
      </c>
      <c r="GJ512" s="38">
        <f t="shared" si="879"/>
        <v>0</v>
      </c>
      <c r="GL512" s="38">
        <f t="shared" si="880"/>
        <v>0</v>
      </c>
      <c r="GM512" s="38">
        <f t="shared" si="881"/>
        <v>0</v>
      </c>
      <c r="GN512" s="1" t="s">
        <v>2</v>
      </c>
      <c r="GO512" s="1">
        <f t="shared" si="804"/>
        <v>206.8</v>
      </c>
      <c r="GP512" s="1">
        <f t="shared" si="805"/>
        <v>0.3</v>
      </c>
      <c r="GQ512" s="41">
        <f t="shared" si="806"/>
        <v>620.4</v>
      </c>
      <c r="GR512" s="41">
        <f t="shared" si="807"/>
        <v>64274.146229580445</v>
      </c>
      <c r="GS512" s="14">
        <f t="shared" si="808"/>
        <v>310.80341503665591</v>
      </c>
      <c r="GT512" s="1">
        <f t="shared" si="882"/>
        <v>0</v>
      </c>
      <c r="GU512" s="1">
        <f t="shared" si="883"/>
        <v>620.4</v>
      </c>
      <c r="GV512" s="1">
        <f t="shared" si="884"/>
        <v>0</v>
      </c>
      <c r="GW512" s="37">
        <f t="shared" si="809"/>
        <v>0</v>
      </c>
      <c r="GX512" s="37"/>
      <c r="GY512" s="37"/>
      <c r="GZ512" s="37"/>
      <c r="HB512" s="1">
        <f t="shared" si="885"/>
        <v>0</v>
      </c>
      <c r="HC512" s="1">
        <f t="shared" si="886"/>
        <v>0</v>
      </c>
      <c r="HD512" s="37" t="s">
        <v>2</v>
      </c>
      <c r="HE512" s="1" t="s">
        <v>113</v>
      </c>
      <c r="HF512" s="1" t="s">
        <v>129</v>
      </c>
      <c r="HG512" s="1" t="s">
        <v>835</v>
      </c>
      <c r="HI512" s="1" t="s">
        <v>96</v>
      </c>
      <c r="HJ512" s="37" t="s">
        <v>2</v>
      </c>
      <c r="JH512" s="58" t="s">
        <v>2</v>
      </c>
    </row>
    <row r="513" spans="1:268" ht="16.25" customHeight="1" x14ac:dyDescent="0.2">
      <c r="A513" s="15" t="s">
        <v>874</v>
      </c>
      <c r="B513" s="1" t="s">
        <v>64</v>
      </c>
      <c r="F513" s="1" t="s">
        <v>249</v>
      </c>
      <c r="I513" s="1">
        <v>0</v>
      </c>
      <c r="AD513" s="4">
        <v>1708.5650000000001</v>
      </c>
      <c r="AE513" s="1">
        <v>1.31</v>
      </c>
      <c r="AF513" s="1">
        <v>0.21</v>
      </c>
      <c r="AL513" s="13">
        <v>0.7</v>
      </c>
      <c r="AM513" s="2">
        <f>(0.036*1172.095+0.027*956.848+0*403.687+0*123.731)/(1172.095+956.848+403.687+123.731)</f>
        <v>2.5610342871319074E-2</v>
      </c>
      <c r="AN513" s="13">
        <v>1</v>
      </c>
      <c r="AO513" s="1">
        <v>3.56</v>
      </c>
      <c r="AY513" s="1">
        <v>440.89800000000002</v>
      </c>
      <c r="AZ513" s="1">
        <v>1.74</v>
      </c>
      <c r="BA513" s="1">
        <v>0.25</v>
      </c>
      <c r="BG513" s="1">
        <v>0.85</v>
      </c>
      <c r="BH513" s="2">
        <f>(0.036*1172.095+0.027*956.848+0*403.687+0*123.731)/(1172.095+956.848+403.687+123.731)</f>
        <v>2.5610342871319074E-2</v>
      </c>
      <c r="BI513" s="1">
        <v>1.0900000000000001</v>
      </c>
      <c r="BJ513" s="1">
        <v>4.22</v>
      </c>
      <c r="BT513" s="1">
        <v>328.57100000000003</v>
      </c>
      <c r="BU513" s="1">
        <v>1.55</v>
      </c>
      <c r="BV513" s="1">
        <v>0.23</v>
      </c>
      <c r="CB513" s="1">
        <v>0.79</v>
      </c>
      <c r="CC513" s="2">
        <f>(0.036*1172.095+0.027*956.848+0*403.687+0*123.731)/(1172.095+956.848+403.687+123.731)</f>
        <v>2.5610342871319074E-2</v>
      </c>
      <c r="CD513" s="1">
        <v>1.04</v>
      </c>
      <c r="CE513" s="1">
        <v>3.83</v>
      </c>
      <c r="CO513" s="1">
        <v>311.62200000000001</v>
      </c>
      <c r="CP513" s="1">
        <v>2.11</v>
      </c>
      <c r="CQ513" s="1">
        <v>0.27</v>
      </c>
      <c r="CW513" s="1">
        <v>1.1399999999999999</v>
      </c>
      <c r="CX513" s="2">
        <f>(0.036*1172.095+0.027*956.848+0*403.687+0*123.731)/(1172.095+956.848+403.687+123.731)</f>
        <v>2.5610342871319074E-2</v>
      </c>
      <c r="CY513" s="1">
        <v>1.1299999999999999</v>
      </c>
      <c r="CZ513" s="1">
        <v>4.6399999999999997</v>
      </c>
      <c r="DJ513" s="1" t="s">
        <v>96</v>
      </c>
      <c r="DK513" s="1" t="s">
        <v>875</v>
      </c>
      <c r="DL513" s="1">
        <f t="shared" si="802"/>
        <v>0.73076801042865125</v>
      </c>
      <c r="DM513" s="1">
        <f t="shared" si="803"/>
        <v>2.561034287131907E-2</v>
      </c>
      <c r="DN513" s="1" t="s">
        <v>67</v>
      </c>
      <c r="DO513" s="1" t="s">
        <v>2</v>
      </c>
      <c r="DP513" s="38">
        <f t="shared" si="810"/>
        <v>30.053826699999998</v>
      </c>
      <c r="DQ513" s="38">
        <f t="shared" si="811"/>
        <v>469.02314999999999</v>
      </c>
      <c r="DR513" s="38">
        <f t="shared" si="812"/>
        <v>0</v>
      </c>
      <c r="DS513" s="38">
        <f t="shared" si="813"/>
        <v>0</v>
      </c>
      <c r="DT513" s="38">
        <f t="shared" si="814"/>
        <v>0</v>
      </c>
      <c r="DU513" s="38">
        <f t="shared" si="815"/>
        <v>0</v>
      </c>
      <c r="DV513" s="38">
        <f t="shared" si="816"/>
        <v>0</v>
      </c>
      <c r="DW513" s="38">
        <f t="shared" si="817"/>
        <v>15.707588000000001</v>
      </c>
      <c r="DX513" s="38">
        <f t="shared" si="818"/>
        <v>0.55048484419214105</v>
      </c>
      <c r="DY513" s="38">
        <f t="shared" si="819"/>
        <v>2189.1438200000002</v>
      </c>
      <c r="DZ513" s="38">
        <f t="shared" si="820"/>
        <v>7943.0809599999993</v>
      </c>
      <c r="EA513" s="38">
        <f t="shared" si="821"/>
        <v>0</v>
      </c>
      <c r="EB513" s="38">
        <f t="shared" si="822"/>
        <v>0</v>
      </c>
      <c r="EC513" s="38">
        <f t="shared" si="823"/>
        <v>0</v>
      </c>
      <c r="ED513" s="38">
        <f t="shared" si="824"/>
        <v>0</v>
      </c>
      <c r="EE513" s="38">
        <f t="shared" si="825"/>
        <v>0</v>
      </c>
      <c r="EG513" s="38">
        <f t="shared" si="826"/>
        <v>0</v>
      </c>
      <c r="EH513" s="38">
        <f t="shared" si="827"/>
        <v>0</v>
      </c>
      <c r="EI513" s="38">
        <f t="shared" si="828"/>
        <v>196119.7323747472</v>
      </c>
      <c r="EJ513" s="38">
        <f t="shared" si="829"/>
        <v>19183.197646302251</v>
      </c>
      <c r="EK513" s="38">
        <f t="shared" si="830"/>
        <v>0</v>
      </c>
      <c r="EL513" s="38">
        <f t="shared" si="831"/>
        <v>0</v>
      </c>
      <c r="EM513" s="38">
        <f t="shared" si="832"/>
        <v>0</v>
      </c>
      <c r="EN513" s="38">
        <f t="shared" si="833"/>
        <v>0</v>
      </c>
      <c r="EO513" s="38">
        <f t="shared" si="834"/>
        <v>0</v>
      </c>
      <c r="EP513" s="38">
        <f t="shared" si="835"/>
        <v>205989.30903200002</v>
      </c>
      <c r="EQ513" s="38">
        <f t="shared" si="836"/>
        <v>39975.947354447446</v>
      </c>
      <c r="ER513" s="38">
        <f t="shared" si="837"/>
        <v>62130.858011614146</v>
      </c>
      <c r="ES513" s="38">
        <f t="shared" si="838"/>
        <v>264708.91959398071</v>
      </c>
      <c r="ET513" s="38">
        <f t="shared" si="839"/>
        <v>0</v>
      </c>
      <c r="EU513" s="38">
        <f t="shared" si="840"/>
        <v>0</v>
      </c>
      <c r="EV513" s="38">
        <f t="shared" si="841"/>
        <v>0</v>
      </c>
      <c r="EW513" s="38">
        <f t="shared" si="842"/>
        <v>0</v>
      </c>
      <c r="EX513" s="38">
        <f t="shared" si="843"/>
        <v>0</v>
      </c>
      <c r="EZ513" s="38">
        <f t="shared" si="844"/>
        <v>0</v>
      </c>
      <c r="FA513" s="38">
        <f t="shared" si="845"/>
        <v>0</v>
      </c>
      <c r="FB513" s="1">
        <f t="shared" si="846"/>
        <v>11.668074700000002</v>
      </c>
      <c r="FC513" s="1">
        <f t="shared" si="847"/>
        <v>159.70927</v>
      </c>
      <c r="FD513" s="1">
        <f t="shared" si="848"/>
        <v>0</v>
      </c>
      <c r="FE513" s="1">
        <f t="shared" si="849"/>
        <v>0</v>
      </c>
      <c r="FF513" s="1">
        <f t="shared" si="850"/>
        <v>0</v>
      </c>
      <c r="FG513" s="1">
        <f t="shared" si="851"/>
        <v>0</v>
      </c>
      <c r="FH513" s="1">
        <f t="shared" si="852"/>
        <v>0</v>
      </c>
      <c r="FI513" s="1">
        <f t="shared" si="853"/>
        <v>6.1482016999999995</v>
      </c>
      <c r="FJ513" s="1">
        <f t="shared" si="854"/>
        <v>0.16395562233818375</v>
      </c>
      <c r="FK513" s="1">
        <f t="shared" si="855"/>
        <v>693.84670000000006</v>
      </c>
      <c r="FL513" s="1">
        <f t="shared" si="856"/>
        <v>2704.3530099999998</v>
      </c>
      <c r="FM513" s="1">
        <f t="shared" si="857"/>
        <v>0</v>
      </c>
      <c r="FN513" s="1">
        <f t="shared" si="858"/>
        <v>0</v>
      </c>
      <c r="FO513" s="1">
        <f t="shared" si="859"/>
        <v>0</v>
      </c>
      <c r="FP513" s="1">
        <f t="shared" si="860"/>
        <v>0</v>
      </c>
      <c r="FQ513" s="1">
        <f t="shared" si="861"/>
        <v>0</v>
      </c>
      <c r="FS513" s="1">
        <f t="shared" si="862"/>
        <v>0</v>
      </c>
      <c r="FT513" s="1">
        <f t="shared" si="863"/>
        <v>0</v>
      </c>
      <c r="FU513" s="38">
        <f t="shared" si="864"/>
        <v>76141.374951515216</v>
      </c>
      <c r="FV513" s="38">
        <f t="shared" si="865"/>
        <v>6532.1604964630224</v>
      </c>
      <c r="FW513" s="38">
        <f t="shared" si="866"/>
        <v>0</v>
      </c>
      <c r="FX513" s="38">
        <f t="shared" si="867"/>
        <v>0</v>
      </c>
      <c r="FY513" s="38">
        <f t="shared" si="868"/>
        <v>0</v>
      </c>
      <c r="FZ513" s="38">
        <f t="shared" si="869"/>
        <v>0</v>
      </c>
      <c r="GA513" s="38">
        <f t="shared" si="870"/>
        <v>0</v>
      </c>
      <c r="GB513" s="38">
        <f t="shared" si="871"/>
        <v>80627.517093799994</v>
      </c>
      <c r="GC513" s="38">
        <f t="shared" si="872"/>
        <v>11906.379251322669</v>
      </c>
      <c r="GD513" s="38">
        <f t="shared" si="873"/>
        <v>19692.306373697746</v>
      </c>
      <c r="GE513" s="38">
        <f t="shared" si="874"/>
        <v>90124.520583739548</v>
      </c>
      <c r="GF513" s="38">
        <f t="shared" si="875"/>
        <v>0</v>
      </c>
      <c r="GG513" s="38">
        <f t="shared" si="876"/>
        <v>0</v>
      </c>
      <c r="GH513" s="38">
        <f t="shared" si="877"/>
        <v>0</v>
      </c>
      <c r="GI513" s="38">
        <f t="shared" si="878"/>
        <v>0</v>
      </c>
      <c r="GJ513" s="38">
        <f t="shared" si="879"/>
        <v>0</v>
      </c>
      <c r="GL513" s="38">
        <f t="shared" si="880"/>
        <v>0</v>
      </c>
      <c r="GM513" s="38">
        <f t="shared" si="881"/>
        <v>0</v>
      </c>
      <c r="GN513" s="1" t="s">
        <v>2</v>
      </c>
      <c r="GO513" s="4">
        <f t="shared" si="804"/>
        <v>2149.4630000000002</v>
      </c>
      <c r="GP513" s="13">
        <f t="shared" si="805"/>
        <v>0.73076801042865125</v>
      </c>
      <c r="GQ513" s="43">
        <f t="shared" si="806"/>
        <v>15707.588</v>
      </c>
      <c r="GR513" s="41">
        <f t="shared" si="807"/>
        <v>788107.96401309175</v>
      </c>
      <c r="GS513" s="14">
        <f t="shared" si="808"/>
        <v>366.65342181423529</v>
      </c>
      <c r="GT513" s="1">
        <f t="shared" si="882"/>
        <v>0</v>
      </c>
      <c r="GU513" s="1">
        <f t="shared" si="883"/>
        <v>11959.955</v>
      </c>
      <c r="GV513" s="1">
        <f t="shared" si="884"/>
        <v>3747.6329999999998</v>
      </c>
      <c r="GW513" s="37">
        <f t="shared" si="809"/>
        <v>640.19299999999998</v>
      </c>
      <c r="GX513" s="44">
        <f>(BT513*CB513+CO513*CW513)/GW513</f>
        <v>0.96036690498021682</v>
      </c>
      <c r="GY513" s="43">
        <f>1000*GW513*GX513/100</f>
        <v>6148.2016999999996</v>
      </c>
      <c r="GZ513" s="41">
        <f>SUM(FU513:GM513)</f>
        <v>285024.25875053823</v>
      </c>
      <c r="HA513" s="14">
        <f>GZ513/GW513</f>
        <v>445.21614380435</v>
      </c>
      <c r="HB513" s="1">
        <f t="shared" si="885"/>
        <v>2595.7109</v>
      </c>
      <c r="HC513" s="1">
        <f t="shared" si="886"/>
        <v>3552.4908</v>
      </c>
      <c r="HD513" s="37" t="s">
        <v>2</v>
      </c>
      <c r="HE513" s="1" t="s">
        <v>113</v>
      </c>
      <c r="HF513" s="1" t="s">
        <v>129</v>
      </c>
      <c r="HG513" s="1" t="s">
        <v>835</v>
      </c>
      <c r="HI513" s="1" t="s">
        <v>96</v>
      </c>
      <c r="HJ513" s="37" t="s">
        <v>2</v>
      </c>
      <c r="JH513" s="58" t="s">
        <v>2</v>
      </c>
    </row>
    <row r="514" spans="1:268" ht="16.25" customHeight="1" x14ac:dyDescent="0.2">
      <c r="A514" s="15" t="s">
        <v>755</v>
      </c>
      <c r="B514" s="1" t="s">
        <v>71</v>
      </c>
      <c r="F514" s="1" t="s">
        <v>756</v>
      </c>
      <c r="I514" s="1">
        <v>0</v>
      </c>
      <c r="AD514" s="1">
        <f>12.43+1.832</f>
        <v>14.262</v>
      </c>
      <c r="AE514" s="13">
        <f>(0.37*12.43+0.41*1.832)/AD514</f>
        <v>0.37513812929462909</v>
      </c>
      <c r="AF514" s="13">
        <f>(0.199*12.43+0.218*1.832)/AD514</f>
        <v>0.20144061141494882</v>
      </c>
      <c r="AL514" s="13">
        <f>(0.35*12.43+0.37*1.832)/AD514</f>
        <v>0.35256906464731447</v>
      </c>
      <c r="AM514" s="13">
        <f>(0.02*12.43+0.03*1.832)/AD514</f>
        <v>2.1284532323657269E-2</v>
      </c>
      <c r="AN514" s="13">
        <f>(0.351*12.43+0.361*1.832)/AD514</f>
        <v>0.3522845323236572</v>
      </c>
      <c r="AO514" s="13">
        <f>(0.386*12.43+0.387*1.832)/AD514</f>
        <v>0.38612845323236572</v>
      </c>
      <c r="AY514" s="1">
        <f>0.25+0.736</f>
        <v>0.98599999999999999</v>
      </c>
      <c r="AZ514" s="13">
        <f>(0.26*0.25+0.39*0.736)/AY514</f>
        <v>0.35703853955375259</v>
      </c>
      <c r="BA514" s="13">
        <f>(0.132*0.25+0.18*0.736)/AY514</f>
        <v>0.16782961460446247</v>
      </c>
      <c r="BG514" s="13">
        <f>(0.32*0.25+0.37*0.736)/AY514</f>
        <v>0.35732251521298175</v>
      </c>
      <c r="BH514" s="13">
        <f>(0.02*0.25+0.03*0.736)/AY514</f>
        <v>2.7464503042596348E-2</v>
      </c>
      <c r="BI514" s="13">
        <f>(0.234*0.25+0.316*0.736)/AY514</f>
        <v>0.29520892494929007</v>
      </c>
      <c r="BJ514" s="13">
        <f>(0.222*0.25+0.333*0.736)/AY514</f>
        <v>0.30485598377281947</v>
      </c>
      <c r="BT514" s="1">
        <v>0</v>
      </c>
      <c r="CO514" s="1">
        <v>11.827999999999999</v>
      </c>
      <c r="CP514" s="1">
        <v>0.35</v>
      </c>
      <c r="CQ514" s="1">
        <v>0.18</v>
      </c>
      <c r="CW514" s="1">
        <v>0.33</v>
      </c>
      <c r="CX514" s="1">
        <v>0.02</v>
      </c>
      <c r="CY514" s="1">
        <v>0.33</v>
      </c>
      <c r="CZ514" s="1">
        <v>0.36</v>
      </c>
      <c r="DJ514" s="1" t="s">
        <v>96</v>
      </c>
      <c r="DK514" s="1" t="s">
        <v>96</v>
      </c>
      <c r="DL514" s="1">
        <f t="shared" si="802"/>
        <v>0.35287644281217201</v>
      </c>
      <c r="DM514" s="1">
        <f t="shared" si="803"/>
        <v>2.168415529905561E-2</v>
      </c>
      <c r="DN514" s="1" t="s">
        <v>164</v>
      </c>
      <c r="DO514" s="1" t="s">
        <v>2</v>
      </c>
      <c r="DP514" s="38">
        <f t="shared" si="810"/>
        <v>5.70226E-2</v>
      </c>
      <c r="DQ514" s="38">
        <f t="shared" si="811"/>
        <v>3.0384260000000003</v>
      </c>
      <c r="DR514" s="38">
        <f t="shared" si="812"/>
        <v>0</v>
      </c>
      <c r="DS514" s="38">
        <f t="shared" si="813"/>
        <v>0</v>
      </c>
      <c r="DT514" s="38">
        <f t="shared" si="814"/>
        <v>0</v>
      </c>
      <c r="DU514" s="38">
        <f t="shared" si="815"/>
        <v>0</v>
      </c>
      <c r="DV514" s="38">
        <f t="shared" si="816"/>
        <v>0</v>
      </c>
      <c r="DW514" s="38">
        <f t="shared" si="817"/>
        <v>5.3806599999999989E-2</v>
      </c>
      <c r="DX514" s="38">
        <f t="shared" si="818"/>
        <v>3.3063999999999997E-3</v>
      </c>
      <c r="DY514" s="38">
        <f t="shared" si="819"/>
        <v>5.3153579999999998</v>
      </c>
      <c r="DZ514" s="38">
        <f t="shared" si="820"/>
        <v>5.8075520000000003</v>
      </c>
      <c r="EA514" s="38">
        <f t="shared" si="821"/>
        <v>0</v>
      </c>
      <c r="EB514" s="38">
        <f t="shared" si="822"/>
        <v>0</v>
      </c>
      <c r="EC514" s="38">
        <f t="shared" si="823"/>
        <v>0</v>
      </c>
      <c r="ED514" s="38">
        <f t="shared" si="824"/>
        <v>0</v>
      </c>
      <c r="EE514" s="38">
        <f t="shared" si="825"/>
        <v>0</v>
      </c>
      <c r="EG514" s="38">
        <f t="shared" si="826"/>
        <v>0</v>
      </c>
      <c r="EH514" s="38">
        <f t="shared" si="827"/>
        <v>0</v>
      </c>
      <c r="EI514" s="38">
        <f t="shared" si="828"/>
        <v>372.10759092159998</v>
      </c>
      <c r="EJ514" s="38">
        <f t="shared" si="829"/>
        <v>124.2726003858521</v>
      </c>
      <c r="EK514" s="38">
        <f t="shared" si="830"/>
        <v>0</v>
      </c>
      <c r="EL514" s="38">
        <f t="shared" si="831"/>
        <v>0</v>
      </c>
      <c r="EM514" s="38">
        <f t="shared" si="832"/>
        <v>0</v>
      </c>
      <c r="EN514" s="38">
        <f t="shared" si="833"/>
        <v>0</v>
      </c>
      <c r="EO514" s="38">
        <f t="shared" si="834"/>
        <v>0</v>
      </c>
      <c r="EP514" s="38">
        <f t="shared" si="835"/>
        <v>705.61975239999981</v>
      </c>
      <c r="EQ514" s="38">
        <f t="shared" si="836"/>
        <v>240.10919415359996</v>
      </c>
      <c r="ER514" s="38">
        <f t="shared" si="837"/>
        <v>150.85703833697744</v>
      </c>
      <c r="ES514" s="38">
        <f t="shared" si="838"/>
        <v>193.54087200514471</v>
      </c>
      <c r="ET514" s="38">
        <f t="shared" si="839"/>
        <v>0</v>
      </c>
      <c r="EU514" s="38">
        <f t="shared" si="840"/>
        <v>0</v>
      </c>
      <c r="EV514" s="38">
        <f t="shared" si="841"/>
        <v>0</v>
      </c>
      <c r="EW514" s="38">
        <f t="shared" si="842"/>
        <v>0</v>
      </c>
      <c r="EX514" s="38">
        <f t="shared" si="843"/>
        <v>0</v>
      </c>
      <c r="EZ514" s="38">
        <f t="shared" si="844"/>
        <v>0</v>
      </c>
      <c r="FA514" s="38">
        <f t="shared" si="845"/>
        <v>0</v>
      </c>
      <c r="FB514" s="1">
        <f t="shared" si="846"/>
        <v>4.139799999999999E-2</v>
      </c>
      <c r="FC514" s="1">
        <f t="shared" si="847"/>
        <v>2.1290399999999998</v>
      </c>
      <c r="FD514" s="1">
        <f t="shared" si="848"/>
        <v>0</v>
      </c>
      <c r="FE514" s="1">
        <f t="shared" si="849"/>
        <v>0</v>
      </c>
      <c r="FF514" s="1">
        <f t="shared" si="850"/>
        <v>0</v>
      </c>
      <c r="FG514" s="1">
        <f t="shared" si="851"/>
        <v>0</v>
      </c>
      <c r="FH514" s="1">
        <f t="shared" si="852"/>
        <v>0</v>
      </c>
      <c r="FI514" s="1">
        <f t="shared" si="853"/>
        <v>3.9032399999999995E-2</v>
      </c>
      <c r="FJ514" s="1">
        <f t="shared" si="854"/>
        <v>2.3655999999999998E-3</v>
      </c>
      <c r="FK514" s="1">
        <f t="shared" si="855"/>
        <v>3.9032399999999998</v>
      </c>
      <c r="FL514" s="1">
        <f t="shared" si="856"/>
        <v>4.2580799999999996</v>
      </c>
      <c r="FM514" s="1">
        <f t="shared" si="857"/>
        <v>0</v>
      </c>
      <c r="FN514" s="1">
        <f t="shared" si="858"/>
        <v>0</v>
      </c>
      <c r="FO514" s="1">
        <f t="shared" si="859"/>
        <v>0</v>
      </c>
      <c r="FP514" s="1">
        <f t="shared" si="860"/>
        <v>0</v>
      </c>
      <c r="FQ514" s="1">
        <f t="shared" si="861"/>
        <v>0</v>
      </c>
      <c r="FS514" s="1">
        <f t="shared" si="862"/>
        <v>0</v>
      </c>
      <c r="FT514" s="1">
        <f t="shared" si="863"/>
        <v>0</v>
      </c>
      <c r="FU514" s="38">
        <f t="shared" si="864"/>
        <v>270.14745116799992</v>
      </c>
      <c r="FV514" s="38">
        <f t="shared" si="865"/>
        <v>87.078420578778122</v>
      </c>
      <c r="FW514" s="38">
        <f t="shared" si="866"/>
        <v>0</v>
      </c>
      <c r="FX514" s="38">
        <f t="shared" si="867"/>
        <v>0</v>
      </c>
      <c r="FY514" s="38">
        <f t="shared" si="868"/>
        <v>0</v>
      </c>
      <c r="FZ514" s="38">
        <f t="shared" si="869"/>
        <v>0</v>
      </c>
      <c r="GA514" s="38">
        <f t="shared" si="870"/>
        <v>0</v>
      </c>
      <c r="GB514" s="38">
        <f t="shared" si="871"/>
        <v>511.87089359999993</v>
      </c>
      <c r="GC514" s="38">
        <f t="shared" si="872"/>
        <v>171.78874597439997</v>
      </c>
      <c r="GD514" s="38">
        <f t="shared" si="873"/>
        <v>110.77922245659163</v>
      </c>
      <c r="GE514" s="38">
        <f t="shared" si="874"/>
        <v>141.90359660450162</v>
      </c>
      <c r="GF514" s="38">
        <f t="shared" si="875"/>
        <v>0</v>
      </c>
      <c r="GG514" s="38">
        <f t="shared" si="876"/>
        <v>0</v>
      </c>
      <c r="GH514" s="38">
        <f t="shared" si="877"/>
        <v>0</v>
      </c>
      <c r="GI514" s="38">
        <f t="shared" si="878"/>
        <v>0</v>
      </c>
      <c r="GJ514" s="38">
        <f t="shared" si="879"/>
        <v>0</v>
      </c>
      <c r="GL514" s="38">
        <f t="shared" si="880"/>
        <v>0</v>
      </c>
      <c r="GM514" s="38">
        <f t="shared" si="881"/>
        <v>0</v>
      </c>
      <c r="GN514" s="1" t="s">
        <v>2</v>
      </c>
      <c r="GO514" s="13">
        <f t="shared" si="804"/>
        <v>15.248000000000001</v>
      </c>
      <c r="GP514" s="13">
        <f t="shared" si="805"/>
        <v>0.35287644281217201</v>
      </c>
      <c r="GQ514" s="41">
        <f t="shared" si="806"/>
        <v>53.806599999999996</v>
      </c>
      <c r="GR514" s="41">
        <f t="shared" si="807"/>
        <v>1786.5070482031738</v>
      </c>
      <c r="GS514" s="14">
        <f t="shared" si="808"/>
        <v>117.1633688485817</v>
      </c>
      <c r="GT514" s="1">
        <f t="shared" si="882"/>
        <v>0</v>
      </c>
      <c r="GU514" s="1">
        <f t="shared" si="883"/>
        <v>50.283399999999993</v>
      </c>
      <c r="GV514" s="1">
        <f t="shared" si="884"/>
        <v>3.5232000000000006</v>
      </c>
      <c r="GW514" s="44">
        <f t="shared" si="809"/>
        <v>11.827999999999999</v>
      </c>
      <c r="GX514" s="44">
        <f>(BT514*CB514+CO514*CW514)/GW514</f>
        <v>0.33</v>
      </c>
      <c r="GY514" s="41">
        <f>1000*GW514*GX514/100</f>
        <v>39.032400000000003</v>
      </c>
      <c r="GZ514" s="41">
        <f>SUM(FU514:GM514)</f>
        <v>1293.5683303822714</v>
      </c>
      <c r="HA514" s="14">
        <f>GZ514/GW514</f>
        <v>109.36492478713826</v>
      </c>
      <c r="HB514" s="1">
        <f t="shared" si="885"/>
        <v>0</v>
      </c>
      <c r="HC514" s="1">
        <f t="shared" si="886"/>
        <v>39.032399999999996</v>
      </c>
      <c r="HD514" s="37" t="s">
        <v>2</v>
      </c>
      <c r="HE514" s="1" t="s">
        <v>113</v>
      </c>
      <c r="HF514" s="1" t="s">
        <v>129</v>
      </c>
      <c r="HG514" s="1" t="s">
        <v>129</v>
      </c>
      <c r="HI514" s="1" t="s">
        <v>96</v>
      </c>
      <c r="HJ514" s="37" t="s">
        <v>2</v>
      </c>
      <c r="JH514" s="58" t="s">
        <v>2</v>
      </c>
    </row>
    <row r="515" spans="1:268" ht="16.25" customHeight="1" x14ac:dyDescent="0.2">
      <c r="A515" s="15" t="s">
        <v>757</v>
      </c>
      <c r="B515" s="1" t="s">
        <v>69</v>
      </c>
      <c r="F515" s="1" t="s">
        <v>758</v>
      </c>
      <c r="I515" s="1">
        <v>0.73599999999999999</v>
      </c>
      <c r="J515" s="1">
        <v>0.66</v>
      </c>
      <c r="K515" s="1">
        <v>0.22</v>
      </c>
      <c r="Q515" s="1">
        <v>0.89</v>
      </c>
      <c r="S515" s="1">
        <v>0.37</v>
      </c>
      <c r="T515" s="1">
        <v>1.19</v>
      </c>
      <c r="AD515" s="1">
        <v>1.847</v>
      </c>
      <c r="AE515" s="13">
        <v>0.6</v>
      </c>
      <c r="AF515" s="1">
        <v>0.23</v>
      </c>
      <c r="AL515" s="1">
        <v>0.92</v>
      </c>
      <c r="AN515" s="1">
        <v>0.33</v>
      </c>
      <c r="AO515" s="1">
        <v>1.05</v>
      </c>
      <c r="AY515" s="1">
        <v>0.34200000000000003</v>
      </c>
      <c r="AZ515" s="1">
        <v>0.61</v>
      </c>
      <c r="BA515" s="1">
        <v>0.18</v>
      </c>
      <c r="BG515" s="1">
        <v>1.1100000000000001</v>
      </c>
      <c r="BI515" s="1">
        <v>0.27</v>
      </c>
      <c r="BJ515" s="1">
        <v>0.97</v>
      </c>
      <c r="BT515" s="1">
        <v>0</v>
      </c>
      <c r="CO515" s="1">
        <v>0</v>
      </c>
      <c r="DJ515" s="1" t="s">
        <v>96</v>
      </c>
      <c r="DL515" s="1">
        <f t="shared" si="802"/>
        <v>0.93466666666666665</v>
      </c>
      <c r="DM515" s="1">
        <f t="shared" si="803"/>
        <v>0</v>
      </c>
      <c r="DN515" s="1" t="s">
        <v>759</v>
      </c>
      <c r="DO515" s="1" t="s">
        <v>2</v>
      </c>
      <c r="DP515" s="38">
        <f t="shared" si="810"/>
        <v>1.8025799999999998E-2</v>
      </c>
      <c r="DQ515" s="38">
        <f t="shared" si="811"/>
        <v>0.64829000000000003</v>
      </c>
      <c r="DR515" s="38">
        <f t="shared" si="812"/>
        <v>0</v>
      </c>
      <c r="DS515" s="38">
        <f t="shared" si="813"/>
        <v>0</v>
      </c>
      <c r="DT515" s="38">
        <f t="shared" si="814"/>
        <v>0</v>
      </c>
      <c r="DU515" s="38">
        <f t="shared" si="815"/>
        <v>0</v>
      </c>
      <c r="DV515" s="38">
        <f t="shared" si="816"/>
        <v>0</v>
      </c>
      <c r="DW515" s="38">
        <f t="shared" si="817"/>
        <v>2.7339000000000002E-2</v>
      </c>
      <c r="DX515" s="38">
        <f t="shared" si="818"/>
        <v>0</v>
      </c>
      <c r="DY515" s="38">
        <f t="shared" si="819"/>
        <v>0.97416999999999998</v>
      </c>
      <c r="DZ515" s="38">
        <f t="shared" si="820"/>
        <v>3.1469300000000002</v>
      </c>
      <c r="EA515" s="38">
        <f t="shared" si="821"/>
        <v>0</v>
      </c>
      <c r="EB515" s="38">
        <f t="shared" si="822"/>
        <v>0</v>
      </c>
      <c r="EC515" s="38">
        <f t="shared" si="823"/>
        <v>0</v>
      </c>
      <c r="ED515" s="38">
        <f t="shared" si="824"/>
        <v>0</v>
      </c>
      <c r="EE515" s="38">
        <f t="shared" si="825"/>
        <v>0</v>
      </c>
      <c r="EG515" s="38">
        <f t="shared" si="826"/>
        <v>0</v>
      </c>
      <c r="EH515" s="38">
        <f t="shared" si="827"/>
        <v>0</v>
      </c>
      <c r="EI515" s="38">
        <f t="shared" si="828"/>
        <v>117.62944889279999</v>
      </c>
      <c r="EJ515" s="38">
        <f t="shared" si="829"/>
        <v>26.515269453376202</v>
      </c>
      <c r="EK515" s="38">
        <f t="shared" si="830"/>
        <v>0</v>
      </c>
      <c r="EL515" s="38">
        <f t="shared" si="831"/>
        <v>0</v>
      </c>
      <c r="EM515" s="38">
        <f t="shared" si="832"/>
        <v>0</v>
      </c>
      <c r="EN515" s="38">
        <f t="shared" si="833"/>
        <v>0</v>
      </c>
      <c r="EO515" s="38">
        <f t="shared" si="834"/>
        <v>0</v>
      </c>
      <c r="EP515" s="38">
        <f t="shared" si="835"/>
        <v>358.52364600000004</v>
      </c>
      <c r="EQ515" s="38">
        <f t="shared" si="836"/>
        <v>0</v>
      </c>
      <c r="ER515" s="38">
        <f t="shared" si="837"/>
        <v>27.648260199356908</v>
      </c>
      <c r="ES515" s="38">
        <f t="shared" si="838"/>
        <v>104.87371896784568</v>
      </c>
      <c r="ET515" s="38">
        <f t="shared" si="839"/>
        <v>0</v>
      </c>
      <c r="EU515" s="38">
        <f t="shared" si="840"/>
        <v>0</v>
      </c>
      <c r="EV515" s="38">
        <f t="shared" si="841"/>
        <v>0</v>
      </c>
      <c r="EW515" s="38">
        <f t="shared" si="842"/>
        <v>0</v>
      </c>
      <c r="EX515" s="38">
        <f t="shared" si="843"/>
        <v>0</v>
      </c>
      <c r="EZ515" s="38">
        <f t="shared" si="844"/>
        <v>0</v>
      </c>
      <c r="FA515" s="38">
        <f t="shared" si="845"/>
        <v>0</v>
      </c>
      <c r="FB515" s="1">
        <f t="shared" si="846"/>
        <v>0</v>
      </c>
      <c r="FC515" s="1">
        <f t="shared" si="847"/>
        <v>0</v>
      </c>
      <c r="FD515" s="1">
        <f t="shared" si="848"/>
        <v>0</v>
      </c>
      <c r="FE515" s="1">
        <f t="shared" si="849"/>
        <v>0</v>
      </c>
      <c r="FF515" s="1">
        <f t="shared" si="850"/>
        <v>0</v>
      </c>
      <c r="FG515" s="1">
        <f t="shared" si="851"/>
        <v>0</v>
      </c>
      <c r="FH515" s="1">
        <f t="shared" si="852"/>
        <v>0</v>
      </c>
      <c r="FI515" s="1">
        <f t="shared" si="853"/>
        <v>0</v>
      </c>
      <c r="FJ515" s="1">
        <f t="shared" si="854"/>
        <v>0</v>
      </c>
      <c r="FK515" s="1">
        <f t="shared" si="855"/>
        <v>0</v>
      </c>
      <c r="FL515" s="1">
        <f t="shared" si="856"/>
        <v>0</v>
      </c>
      <c r="FM515" s="1">
        <f t="shared" si="857"/>
        <v>0</v>
      </c>
      <c r="FN515" s="1">
        <f t="shared" si="858"/>
        <v>0</v>
      </c>
      <c r="FO515" s="1">
        <f t="shared" si="859"/>
        <v>0</v>
      </c>
      <c r="FP515" s="1">
        <f t="shared" si="860"/>
        <v>0</v>
      </c>
      <c r="FQ515" s="1">
        <f t="shared" si="861"/>
        <v>0</v>
      </c>
      <c r="FS515" s="1">
        <f t="shared" si="862"/>
        <v>0</v>
      </c>
      <c r="FT515" s="1">
        <f t="shared" si="863"/>
        <v>0</v>
      </c>
      <c r="FU515" s="38">
        <f t="shared" si="864"/>
        <v>0</v>
      </c>
      <c r="FV515" s="38">
        <f t="shared" si="865"/>
        <v>0</v>
      </c>
      <c r="FW515" s="38">
        <f t="shared" si="866"/>
        <v>0</v>
      </c>
      <c r="FX515" s="38">
        <f t="shared" si="867"/>
        <v>0</v>
      </c>
      <c r="FY515" s="38">
        <f t="shared" si="868"/>
        <v>0</v>
      </c>
      <c r="FZ515" s="38">
        <f t="shared" si="869"/>
        <v>0</v>
      </c>
      <c r="GA515" s="38">
        <f t="shared" si="870"/>
        <v>0</v>
      </c>
      <c r="GB515" s="38">
        <f t="shared" si="871"/>
        <v>0</v>
      </c>
      <c r="GC515" s="38">
        <f t="shared" si="872"/>
        <v>0</v>
      </c>
      <c r="GD515" s="38">
        <f t="shared" si="873"/>
        <v>0</v>
      </c>
      <c r="GE515" s="38">
        <f t="shared" si="874"/>
        <v>0</v>
      </c>
      <c r="GF515" s="38">
        <f t="shared" si="875"/>
        <v>0</v>
      </c>
      <c r="GG515" s="38">
        <f t="shared" si="876"/>
        <v>0</v>
      </c>
      <c r="GH515" s="38">
        <f t="shared" si="877"/>
        <v>0</v>
      </c>
      <c r="GI515" s="38">
        <f t="shared" si="878"/>
        <v>0</v>
      </c>
      <c r="GJ515" s="38">
        <f t="shared" si="879"/>
        <v>0</v>
      </c>
      <c r="GL515" s="38">
        <f t="shared" si="880"/>
        <v>0</v>
      </c>
      <c r="GM515" s="38">
        <f t="shared" si="881"/>
        <v>0</v>
      </c>
      <c r="GN515" s="1" t="s">
        <v>2</v>
      </c>
      <c r="GO515" s="1">
        <f t="shared" si="804"/>
        <v>2.9250000000000003</v>
      </c>
      <c r="GP515" s="13">
        <f t="shared" si="805"/>
        <v>0.93466666666666665</v>
      </c>
      <c r="GQ515" s="41">
        <f t="shared" si="806"/>
        <v>27.339000000000006</v>
      </c>
      <c r="GR515" s="41">
        <f t="shared" si="807"/>
        <v>635.19034351337871</v>
      </c>
      <c r="GS515" s="14">
        <f t="shared" si="808"/>
        <v>217.15909179944569</v>
      </c>
      <c r="GT515" s="1">
        <f t="shared" si="882"/>
        <v>6.5503999999999998</v>
      </c>
      <c r="GU515" s="1">
        <f t="shared" si="883"/>
        <v>16.9924</v>
      </c>
      <c r="GV515" s="1">
        <f t="shared" si="884"/>
        <v>3.7962000000000007</v>
      </c>
      <c r="GW515" s="37">
        <f t="shared" si="809"/>
        <v>0</v>
      </c>
      <c r="GX515" s="37"/>
      <c r="GY515" s="37"/>
      <c r="GZ515" s="37"/>
      <c r="HB515" s="1">
        <f t="shared" si="885"/>
        <v>0</v>
      </c>
      <c r="HC515" s="1">
        <f t="shared" si="886"/>
        <v>0</v>
      </c>
      <c r="HD515" s="37" t="s">
        <v>2</v>
      </c>
      <c r="HE515" s="1" t="s">
        <v>113</v>
      </c>
      <c r="HF515" s="1" t="s">
        <v>129</v>
      </c>
      <c r="HG515" s="1" t="s">
        <v>129</v>
      </c>
      <c r="HI515" s="1" t="s">
        <v>96</v>
      </c>
      <c r="HJ515" s="37" t="s">
        <v>2</v>
      </c>
      <c r="JH515" s="58" t="s">
        <v>2</v>
      </c>
    </row>
    <row r="516" spans="1:268" ht="16.25" customHeight="1" x14ac:dyDescent="0.2">
      <c r="A516" s="15" t="s">
        <v>760</v>
      </c>
      <c r="B516" s="1" t="s">
        <v>69</v>
      </c>
      <c r="F516" s="1" t="s">
        <v>756</v>
      </c>
      <c r="I516" s="1">
        <v>0</v>
      </c>
      <c r="AD516" s="1">
        <v>1.02</v>
      </c>
      <c r="AE516" s="1">
        <v>0.36</v>
      </c>
      <c r="AL516" s="1">
        <v>0.71</v>
      </c>
      <c r="AM516" s="1">
        <v>0.02</v>
      </c>
      <c r="AY516" s="1">
        <v>1.49</v>
      </c>
      <c r="AZ516" s="1">
        <v>0.36</v>
      </c>
      <c r="BG516" s="1">
        <v>0.67</v>
      </c>
      <c r="BH516" s="1">
        <v>0.03</v>
      </c>
      <c r="BT516" s="1">
        <v>0</v>
      </c>
      <c r="CO516" s="1">
        <v>0</v>
      </c>
      <c r="DJ516" s="1" t="s">
        <v>96</v>
      </c>
      <c r="DK516" s="1" t="s">
        <v>96</v>
      </c>
      <c r="DL516" s="1">
        <f t="shared" ref="DL516:DL580" si="887">(Q516*I516+AL516*AD516+BG516*AY516)/(I516+AD516+AY516)</f>
        <v>0.68625498007968144</v>
      </c>
      <c r="DM516" s="1">
        <f t="shared" ref="DM516:DM580" si="888">(R516*I516+AM516*AD516+BH516*AY516)/(I516+AD516+AY516)</f>
        <v>2.5936254980079679E-2</v>
      </c>
      <c r="DN516" s="1" t="s">
        <v>761</v>
      </c>
      <c r="DO516" s="1" t="s">
        <v>2</v>
      </c>
      <c r="DP516" s="38">
        <f t="shared" si="810"/>
        <v>9.0359999999999989E-3</v>
      </c>
      <c r="DQ516" s="38">
        <f t="shared" si="811"/>
        <v>0</v>
      </c>
      <c r="DR516" s="38">
        <f t="shared" si="812"/>
        <v>0</v>
      </c>
      <c r="DS516" s="38">
        <f t="shared" si="813"/>
        <v>0</v>
      </c>
      <c r="DT516" s="38">
        <f t="shared" si="814"/>
        <v>0</v>
      </c>
      <c r="DU516" s="38">
        <f t="shared" si="815"/>
        <v>0</v>
      </c>
      <c r="DV516" s="38">
        <f t="shared" si="816"/>
        <v>0</v>
      </c>
      <c r="DW516" s="38">
        <f t="shared" si="817"/>
        <v>1.7225000000000001E-2</v>
      </c>
      <c r="DX516" s="38">
        <f t="shared" si="818"/>
        <v>6.5099999999999989E-4</v>
      </c>
      <c r="DY516" s="38">
        <f t="shared" si="819"/>
        <v>0</v>
      </c>
      <c r="DZ516" s="38">
        <f t="shared" si="820"/>
        <v>0</v>
      </c>
      <c r="EA516" s="38">
        <f t="shared" si="821"/>
        <v>0</v>
      </c>
      <c r="EB516" s="38">
        <f t="shared" si="822"/>
        <v>0</v>
      </c>
      <c r="EC516" s="38">
        <f t="shared" si="823"/>
        <v>0</v>
      </c>
      <c r="ED516" s="38">
        <f t="shared" si="824"/>
        <v>0</v>
      </c>
      <c r="EE516" s="38">
        <f t="shared" si="825"/>
        <v>0</v>
      </c>
      <c r="EG516" s="38">
        <f t="shared" si="826"/>
        <v>0</v>
      </c>
      <c r="EH516" s="38">
        <f t="shared" si="827"/>
        <v>0</v>
      </c>
      <c r="EI516" s="38">
        <f t="shared" si="828"/>
        <v>58.965466175999993</v>
      </c>
      <c r="EJ516" s="38">
        <f t="shared" si="829"/>
        <v>0</v>
      </c>
      <c r="EK516" s="38">
        <f t="shared" si="830"/>
        <v>0</v>
      </c>
      <c r="EL516" s="38">
        <f t="shared" si="831"/>
        <v>0</v>
      </c>
      <c r="EM516" s="38">
        <f t="shared" si="832"/>
        <v>0</v>
      </c>
      <c r="EN516" s="38">
        <f t="shared" si="833"/>
        <v>0</v>
      </c>
      <c r="EO516" s="38">
        <f t="shared" si="834"/>
        <v>0</v>
      </c>
      <c r="EP516" s="38">
        <f t="shared" si="835"/>
        <v>225.88865000000001</v>
      </c>
      <c r="EQ516" s="38">
        <f t="shared" si="836"/>
        <v>47.275310123999986</v>
      </c>
      <c r="ER516" s="38">
        <f t="shared" si="837"/>
        <v>0</v>
      </c>
      <c r="ES516" s="38">
        <f t="shared" si="838"/>
        <v>0</v>
      </c>
      <c r="ET516" s="38">
        <f t="shared" si="839"/>
        <v>0</v>
      </c>
      <c r="EU516" s="38">
        <f t="shared" si="840"/>
        <v>0</v>
      </c>
      <c r="EV516" s="38">
        <f t="shared" si="841"/>
        <v>0</v>
      </c>
      <c r="EW516" s="38">
        <f t="shared" si="842"/>
        <v>0</v>
      </c>
      <c r="EX516" s="38">
        <f t="shared" si="843"/>
        <v>0</v>
      </c>
      <c r="EZ516" s="38">
        <f t="shared" si="844"/>
        <v>0</v>
      </c>
      <c r="FA516" s="38">
        <f t="shared" si="845"/>
        <v>0</v>
      </c>
      <c r="FB516" s="1">
        <f t="shared" si="846"/>
        <v>0</v>
      </c>
      <c r="FC516" s="1">
        <f t="shared" si="847"/>
        <v>0</v>
      </c>
      <c r="FD516" s="1">
        <f t="shared" si="848"/>
        <v>0</v>
      </c>
      <c r="FE516" s="1">
        <f t="shared" si="849"/>
        <v>0</v>
      </c>
      <c r="FF516" s="1">
        <f t="shared" si="850"/>
        <v>0</v>
      </c>
      <c r="FG516" s="1">
        <f t="shared" si="851"/>
        <v>0</v>
      </c>
      <c r="FH516" s="1">
        <f t="shared" si="852"/>
        <v>0</v>
      </c>
      <c r="FI516" s="1">
        <f t="shared" si="853"/>
        <v>0</v>
      </c>
      <c r="FJ516" s="1">
        <f t="shared" si="854"/>
        <v>0</v>
      </c>
      <c r="FK516" s="1">
        <f t="shared" si="855"/>
        <v>0</v>
      </c>
      <c r="FL516" s="1">
        <f t="shared" si="856"/>
        <v>0</v>
      </c>
      <c r="FM516" s="1">
        <f t="shared" si="857"/>
        <v>0</v>
      </c>
      <c r="FN516" s="1">
        <f t="shared" si="858"/>
        <v>0</v>
      </c>
      <c r="FO516" s="1">
        <f t="shared" si="859"/>
        <v>0</v>
      </c>
      <c r="FP516" s="1">
        <f t="shared" si="860"/>
        <v>0</v>
      </c>
      <c r="FQ516" s="1">
        <f t="shared" si="861"/>
        <v>0</v>
      </c>
      <c r="FS516" s="1">
        <f t="shared" si="862"/>
        <v>0</v>
      </c>
      <c r="FT516" s="1">
        <f t="shared" si="863"/>
        <v>0</v>
      </c>
      <c r="FU516" s="38">
        <f t="shared" si="864"/>
        <v>0</v>
      </c>
      <c r="FV516" s="38">
        <f t="shared" si="865"/>
        <v>0</v>
      </c>
      <c r="FW516" s="38">
        <f t="shared" si="866"/>
        <v>0</v>
      </c>
      <c r="FX516" s="38">
        <f t="shared" si="867"/>
        <v>0</v>
      </c>
      <c r="FY516" s="38">
        <f t="shared" si="868"/>
        <v>0</v>
      </c>
      <c r="FZ516" s="38">
        <f t="shared" si="869"/>
        <v>0</v>
      </c>
      <c r="GA516" s="38">
        <f t="shared" si="870"/>
        <v>0</v>
      </c>
      <c r="GB516" s="38">
        <f t="shared" si="871"/>
        <v>0</v>
      </c>
      <c r="GC516" s="38">
        <f t="shared" si="872"/>
        <v>0</v>
      </c>
      <c r="GD516" s="38">
        <f t="shared" si="873"/>
        <v>0</v>
      </c>
      <c r="GE516" s="38">
        <f t="shared" si="874"/>
        <v>0</v>
      </c>
      <c r="GF516" s="38">
        <f t="shared" si="875"/>
        <v>0</v>
      </c>
      <c r="GG516" s="38">
        <f t="shared" si="876"/>
        <v>0</v>
      </c>
      <c r="GH516" s="38">
        <f t="shared" si="877"/>
        <v>0</v>
      </c>
      <c r="GI516" s="38">
        <f t="shared" si="878"/>
        <v>0</v>
      </c>
      <c r="GJ516" s="38">
        <f t="shared" si="879"/>
        <v>0</v>
      </c>
      <c r="GL516" s="38">
        <f t="shared" si="880"/>
        <v>0</v>
      </c>
      <c r="GM516" s="38">
        <f t="shared" si="881"/>
        <v>0</v>
      </c>
      <c r="GN516" s="1" t="s">
        <v>2</v>
      </c>
      <c r="GO516" s="1">
        <f t="shared" ref="GO516:GO580" si="889">I516+AD516+AY516</f>
        <v>2.5099999999999998</v>
      </c>
      <c r="GP516" s="13">
        <f t="shared" ref="GP516:GP580" si="890">(I516*Q516+AD516*AL516+AY516*BG516)/GO516</f>
        <v>0.68625498007968144</v>
      </c>
      <c r="GQ516" s="41">
        <f t="shared" ref="GQ516:GQ580" si="891">1000*GO516*GP516/100</f>
        <v>17.225000000000005</v>
      </c>
      <c r="GR516" s="41">
        <f t="shared" ref="GR516:GR580" si="892">SUM(EI516:FA516)</f>
        <v>332.12942629999998</v>
      </c>
      <c r="GS516" s="14">
        <f t="shared" ref="GS516:GS580" si="893">GR516/GO516</f>
        <v>132.32248059760957</v>
      </c>
      <c r="GT516" s="1">
        <f t="shared" si="882"/>
        <v>0</v>
      </c>
      <c r="GU516" s="1">
        <f t="shared" si="883"/>
        <v>7.2419999999999991</v>
      </c>
      <c r="GV516" s="1">
        <f t="shared" si="884"/>
        <v>9.9830000000000005</v>
      </c>
      <c r="GW516" s="37">
        <f t="shared" ref="GW516:GW580" si="894">BT516+CO516</f>
        <v>0</v>
      </c>
      <c r="GX516" s="37"/>
      <c r="GY516" s="37"/>
      <c r="GZ516" s="37"/>
      <c r="HB516" s="1">
        <f t="shared" si="885"/>
        <v>0</v>
      </c>
      <c r="HC516" s="1">
        <f t="shared" si="886"/>
        <v>0</v>
      </c>
      <c r="HD516" s="37" t="s">
        <v>2</v>
      </c>
      <c r="HE516" s="1" t="s">
        <v>113</v>
      </c>
      <c r="HF516" s="1" t="s">
        <v>129</v>
      </c>
      <c r="HG516" s="1" t="s">
        <v>129</v>
      </c>
      <c r="HI516" s="1" t="s">
        <v>96</v>
      </c>
      <c r="HJ516" s="37" t="s">
        <v>2</v>
      </c>
      <c r="JH516" s="58" t="s">
        <v>2</v>
      </c>
    </row>
    <row r="517" spans="1:268" ht="16.25" customHeight="1" x14ac:dyDescent="0.2">
      <c r="A517" s="15" t="s">
        <v>790</v>
      </c>
      <c r="B517" s="1" t="s">
        <v>69</v>
      </c>
      <c r="F517" s="1" t="s">
        <v>365</v>
      </c>
      <c r="I517" s="1">
        <v>0</v>
      </c>
      <c r="AD517" s="1">
        <f>8.46+1.369</f>
        <v>9.8290000000000006</v>
      </c>
      <c r="AE517" s="13">
        <f>(0.25*8.46+0.43*1.369)/AD517</f>
        <v>0.27507070912605558</v>
      </c>
      <c r="AF517" s="13">
        <f>(0.07*8.46+0.11*1.369)/AD517</f>
        <v>7.557126869467902E-2</v>
      </c>
      <c r="AG517" s="13">
        <f>(1.04*8.46+1.65*1.369)/AD517</f>
        <v>1.1249618475938548</v>
      </c>
      <c r="AL517" s="13">
        <f>(0.18*8.46+0.24*1.369)/AD517</f>
        <v>0.18835690304201852</v>
      </c>
      <c r="AM517" s="2">
        <f>(0.014*8.46+0.016*1.369)/AD517</f>
        <v>1.4278563434733951E-2</v>
      </c>
      <c r="AN517" s="13">
        <f>(0.98*8.46+1.54*1.369)/AD517</f>
        <v>1.0579977617255061</v>
      </c>
      <c r="AO517" s="13">
        <f>(0.04*8.46+0.08*1.369)/AD517</f>
        <v>4.5571268694679014E-2</v>
      </c>
      <c r="AY517" s="1">
        <f>0.053+0.472</f>
        <v>0.52500000000000002</v>
      </c>
      <c r="AZ517" s="13">
        <f>(0.22*0.053+0.36*0.472)/AY517</f>
        <v>0.34586666666666666</v>
      </c>
      <c r="BA517" s="13">
        <f>(0.07*0.053+0.09*0.472)/AY517</f>
        <v>8.7980952380952368E-2</v>
      </c>
      <c r="BB517" s="13">
        <f>(0.96*0.053+1.32*0.472)/AY517</f>
        <v>1.2836571428571431</v>
      </c>
      <c r="BG517" s="13">
        <f>(0.18*0.053+0.19*0.472)/AY517</f>
        <v>0.18899047619047618</v>
      </c>
      <c r="BH517" s="2">
        <f>(0.014*0.053+0.011*0.472)/AY517</f>
        <v>1.1302857142857142E-2</v>
      </c>
      <c r="BI517" s="13">
        <f>(0.89*0.053+1.25*0.472)/AY517</f>
        <v>1.2136571428571428</v>
      </c>
      <c r="BJ517" s="13">
        <f>(0.04*0.053+0.06*0.472)/AY517</f>
        <v>5.7980952380952376E-2</v>
      </c>
      <c r="BT517" s="1">
        <v>0</v>
      </c>
      <c r="CO517" s="1">
        <v>0</v>
      </c>
      <c r="DJ517" s="1" t="s">
        <v>96</v>
      </c>
      <c r="DK517" s="1" t="s">
        <v>96</v>
      </c>
      <c r="DL517" s="1">
        <f t="shared" si="887"/>
        <v>0.18838902839482327</v>
      </c>
      <c r="DM517" s="1">
        <f t="shared" si="888"/>
        <v>1.4127680123623721E-2</v>
      </c>
      <c r="DN517" s="1" t="s">
        <v>67</v>
      </c>
      <c r="DO517" s="1" t="s">
        <v>2</v>
      </c>
      <c r="DP517" s="38">
        <f t="shared" si="810"/>
        <v>2.88525E-2</v>
      </c>
      <c r="DQ517" s="38">
        <f t="shared" si="811"/>
        <v>0.78898000000000013</v>
      </c>
      <c r="DR517" s="38">
        <f t="shared" si="812"/>
        <v>11.731170000000001</v>
      </c>
      <c r="DS517" s="38">
        <f t="shared" si="813"/>
        <v>0</v>
      </c>
      <c r="DT517" s="38">
        <f t="shared" si="814"/>
        <v>0</v>
      </c>
      <c r="DU517" s="38">
        <f t="shared" si="815"/>
        <v>0</v>
      </c>
      <c r="DV517" s="38">
        <f t="shared" si="816"/>
        <v>0</v>
      </c>
      <c r="DW517" s="38">
        <f t="shared" si="817"/>
        <v>1.9505800000000004E-2</v>
      </c>
      <c r="DX517" s="38">
        <f t="shared" si="818"/>
        <v>1.4627800000000001E-3</v>
      </c>
      <c r="DY517" s="38">
        <f t="shared" si="819"/>
        <v>11.03623</v>
      </c>
      <c r="DZ517" s="38">
        <f t="shared" si="820"/>
        <v>0.47836000000000006</v>
      </c>
      <c r="EA517" s="38">
        <f t="shared" si="821"/>
        <v>0</v>
      </c>
      <c r="EB517" s="38">
        <f t="shared" si="822"/>
        <v>0</v>
      </c>
      <c r="EC517" s="38">
        <f t="shared" si="823"/>
        <v>0</v>
      </c>
      <c r="ED517" s="38">
        <f t="shared" si="824"/>
        <v>0</v>
      </c>
      <c r="EE517" s="38">
        <f t="shared" si="825"/>
        <v>0</v>
      </c>
      <c r="EG517" s="38">
        <f t="shared" si="826"/>
        <v>0</v>
      </c>
      <c r="EH517" s="38">
        <f t="shared" si="827"/>
        <v>0</v>
      </c>
      <c r="EI517" s="38">
        <f t="shared" si="828"/>
        <v>188.28033564</v>
      </c>
      <c r="EJ517" s="38">
        <f t="shared" si="829"/>
        <v>32.269535691318332</v>
      </c>
      <c r="EK517" s="38">
        <f t="shared" si="830"/>
        <v>5.9410266077170411</v>
      </c>
      <c r="EL517" s="38">
        <f t="shared" si="831"/>
        <v>0</v>
      </c>
      <c r="EM517" s="38">
        <f t="shared" si="832"/>
        <v>0</v>
      </c>
      <c r="EN517" s="38">
        <f t="shared" si="833"/>
        <v>0</v>
      </c>
      <c r="EO517" s="38">
        <f t="shared" si="834"/>
        <v>0</v>
      </c>
      <c r="EP517" s="38">
        <f t="shared" si="835"/>
        <v>255.79906120000004</v>
      </c>
      <c r="EQ517" s="38">
        <f t="shared" si="836"/>
        <v>106.22638731671999</v>
      </c>
      <c r="ER517" s="38">
        <f t="shared" si="837"/>
        <v>313.22311163344045</v>
      </c>
      <c r="ES517" s="38">
        <f t="shared" si="838"/>
        <v>15.941693080385855</v>
      </c>
      <c r="ET517" s="38">
        <f t="shared" si="839"/>
        <v>0</v>
      </c>
      <c r="EU517" s="38">
        <f t="shared" si="840"/>
        <v>0</v>
      </c>
      <c r="EV517" s="38">
        <f t="shared" si="841"/>
        <v>0</v>
      </c>
      <c r="EW517" s="38">
        <f t="shared" si="842"/>
        <v>0</v>
      </c>
      <c r="EX517" s="38">
        <f t="shared" si="843"/>
        <v>0</v>
      </c>
      <c r="EZ517" s="38">
        <f t="shared" si="844"/>
        <v>0</v>
      </c>
      <c r="FA517" s="38">
        <f t="shared" si="845"/>
        <v>0</v>
      </c>
      <c r="FB517" s="1">
        <f t="shared" si="846"/>
        <v>0</v>
      </c>
      <c r="FC517" s="1">
        <f t="shared" si="847"/>
        <v>0</v>
      </c>
      <c r="FD517" s="1">
        <f t="shared" si="848"/>
        <v>0</v>
      </c>
      <c r="FE517" s="1">
        <f t="shared" si="849"/>
        <v>0</v>
      </c>
      <c r="FF517" s="1">
        <f t="shared" si="850"/>
        <v>0</v>
      </c>
      <c r="FG517" s="1">
        <f t="shared" si="851"/>
        <v>0</v>
      </c>
      <c r="FH517" s="1">
        <f t="shared" si="852"/>
        <v>0</v>
      </c>
      <c r="FI517" s="1">
        <f t="shared" si="853"/>
        <v>0</v>
      </c>
      <c r="FJ517" s="1">
        <f t="shared" si="854"/>
        <v>0</v>
      </c>
      <c r="FK517" s="1">
        <f t="shared" si="855"/>
        <v>0</v>
      </c>
      <c r="FL517" s="1">
        <f t="shared" si="856"/>
        <v>0</v>
      </c>
      <c r="FM517" s="1">
        <f t="shared" si="857"/>
        <v>0</v>
      </c>
      <c r="FN517" s="1">
        <f t="shared" si="858"/>
        <v>0</v>
      </c>
      <c r="FO517" s="1">
        <f t="shared" si="859"/>
        <v>0</v>
      </c>
      <c r="FP517" s="1">
        <f t="shared" si="860"/>
        <v>0</v>
      </c>
      <c r="FQ517" s="1">
        <f t="shared" si="861"/>
        <v>0</v>
      </c>
      <c r="FS517" s="1">
        <f t="shared" si="862"/>
        <v>0</v>
      </c>
      <c r="FT517" s="1">
        <f t="shared" si="863"/>
        <v>0</v>
      </c>
      <c r="FU517" s="38">
        <f t="shared" si="864"/>
        <v>0</v>
      </c>
      <c r="FV517" s="38">
        <f t="shared" si="865"/>
        <v>0</v>
      </c>
      <c r="FW517" s="38">
        <f t="shared" si="866"/>
        <v>0</v>
      </c>
      <c r="FX517" s="38">
        <f t="shared" si="867"/>
        <v>0</v>
      </c>
      <c r="FY517" s="38">
        <f t="shared" si="868"/>
        <v>0</v>
      </c>
      <c r="FZ517" s="38">
        <f t="shared" si="869"/>
        <v>0</v>
      </c>
      <c r="GA517" s="38">
        <f t="shared" si="870"/>
        <v>0</v>
      </c>
      <c r="GB517" s="38">
        <f t="shared" si="871"/>
        <v>0</v>
      </c>
      <c r="GC517" s="38">
        <f t="shared" si="872"/>
        <v>0</v>
      </c>
      <c r="GD517" s="38">
        <f t="shared" si="873"/>
        <v>0</v>
      </c>
      <c r="GE517" s="38">
        <f t="shared" si="874"/>
        <v>0</v>
      </c>
      <c r="GF517" s="38">
        <f t="shared" si="875"/>
        <v>0</v>
      </c>
      <c r="GG517" s="38">
        <f t="shared" si="876"/>
        <v>0</v>
      </c>
      <c r="GH517" s="38">
        <f t="shared" si="877"/>
        <v>0</v>
      </c>
      <c r="GI517" s="38">
        <f t="shared" si="878"/>
        <v>0</v>
      </c>
      <c r="GJ517" s="38">
        <f t="shared" si="879"/>
        <v>0</v>
      </c>
      <c r="GL517" s="38">
        <f t="shared" si="880"/>
        <v>0</v>
      </c>
      <c r="GM517" s="38">
        <f t="shared" si="881"/>
        <v>0</v>
      </c>
      <c r="GN517" s="1" t="s">
        <v>2</v>
      </c>
      <c r="GO517" s="13">
        <f t="shared" si="889"/>
        <v>10.354000000000001</v>
      </c>
      <c r="GP517" s="13">
        <f t="shared" si="890"/>
        <v>0.18838902839482327</v>
      </c>
      <c r="GQ517" s="41">
        <f t="shared" si="891"/>
        <v>19.505800000000004</v>
      </c>
      <c r="GR517" s="41">
        <f t="shared" si="892"/>
        <v>917.68115116958177</v>
      </c>
      <c r="GS517" s="14">
        <f t="shared" si="893"/>
        <v>88.630592154682404</v>
      </c>
      <c r="GT517" s="1">
        <f t="shared" si="882"/>
        <v>0</v>
      </c>
      <c r="GU517" s="1">
        <f t="shared" si="883"/>
        <v>18.5136</v>
      </c>
      <c r="GV517" s="1">
        <f t="shared" si="884"/>
        <v>0.99219999999999997</v>
      </c>
      <c r="GW517" s="37">
        <f t="shared" si="894"/>
        <v>0</v>
      </c>
      <c r="GX517" s="37"/>
      <c r="GY517" s="37"/>
      <c r="GZ517" s="37"/>
      <c r="HB517" s="1">
        <f t="shared" si="885"/>
        <v>0</v>
      </c>
      <c r="HC517" s="1">
        <f t="shared" si="886"/>
        <v>0</v>
      </c>
      <c r="HD517" s="37" t="s">
        <v>2</v>
      </c>
      <c r="HE517" s="1" t="s">
        <v>113</v>
      </c>
      <c r="HF517" s="1" t="s">
        <v>129</v>
      </c>
      <c r="HG517" s="1" t="s">
        <v>129</v>
      </c>
      <c r="HI517" s="1" t="s">
        <v>96</v>
      </c>
      <c r="HJ517" s="37" t="s">
        <v>2</v>
      </c>
      <c r="JH517" s="58" t="s">
        <v>2</v>
      </c>
    </row>
    <row r="518" spans="1:268" ht="16.25" customHeight="1" x14ac:dyDescent="0.2">
      <c r="A518" s="15" t="s">
        <v>795</v>
      </c>
      <c r="B518" s="1" t="s">
        <v>64</v>
      </c>
      <c r="F518" s="1" t="s">
        <v>466</v>
      </c>
      <c r="I518" s="1">
        <v>15.5</v>
      </c>
      <c r="J518" s="13">
        <v>1</v>
      </c>
      <c r="Q518" s="1">
        <v>2.2400000000000002</v>
      </c>
      <c r="R518" s="1">
        <v>0.13</v>
      </c>
      <c r="AD518" s="1">
        <v>15.5</v>
      </c>
      <c r="AE518" s="1">
        <v>0.88</v>
      </c>
      <c r="AL518" s="13">
        <v>2</v>
      </c>
      <c r="AM518" s="1">
        <v>0.12</v>
      </c>
      <c r="AY518" s="1">
        <v>0</v>
      </c>
      <c r="BT518" s="1">
        <v>15.5</v>
      </c>
      <c r="BU518" s="13">
        <v>1</v>
      </c>
      <c r="CB518" s="1">
        <v>2.2400000000000002</v>
      </c>
      <c r="CC518" s="1">
        <v>0.13</v>
      </c>
      <c r="CO518" s="1">
        <v>15.5</v>
      </c>
      <c r="CP518" s="1">
        <v>0.88</v>
      </c>
      <c r="CW518" s="13">
        <v>2</v>
      </c>
      <c r="CX518" s="1">
        <v>0.12</v>
      </c>
      <c r="DJ518" s="1" t="s">
        <v>96</v>
      </c>
      <c r="DK518" s="1" t="s">
        <v>96</v>
      </c>
      <c r="DL518" s="1">
        <f t="shared" si="887"/>
        <v>2.12</v>
      </c>
      <c r="DM518" s="1">
        <f t="shared" si="888"/>
        <v>0.125</v>
      </c>
      <c r="DN518" s="1" t="s">
        <v>606</v>
      </c>
      <c r="DO518" s="1" t="s">
        <v>2</v>
      </c>
      <c r="DP518" s="38">
        <f t="shared" si="810"/>
        <v>0.29139999999999999</v>
      </c>
      <c r="DQ518" s="38">
        <f t="shared" si="811"/>
        <v>0</v>
      </c>
      <c r="DR518" s="38">
        <f t="shared" si="812"/>
        <v>0</v>
      </c>
      <c r="DS518" s="38">
        <f t="shared" si="813"/>
        <v>0</v>
      </c>
      <c r="DT518" s="38">
        <f t="shared" si="814"/>
        <v>0</v>
      </c>
      <c r="DU518" s="38">
        <f t="shared" si="815"/>
        <v>0</v>
      </c>
      <c r="DV518" s="38">
        <f t="shared" si="816"/>
        <v>0</v>
      </c>
      <c r="DW518" s="38">
        <f t="shared" si="817"/>
        <v>0.65720000000000001</v>
      </c>
      <c r="DX518" s="38">
        <f t="shared" si="818"/>
        <v>3.875E-2</v>
      </c>
      <c r="DY518" s="38">
        <f t="shared" si="819"/>
        <v>0</v>
      </c>
      <c r="DZ518" s="38">
        <f t="shared" si="820"/>
        <v>0</v>
      </c>
      <c r="EA518" s="38">
        <f t="shared" si="821"/>
        <v>0</v>
      </c>
      <c r="EB518" s="38">
        <f t="shared" si="822"/>
        <v>0</v>
      </c>
      <c r="EC518" s="38">
        <f t="shared" si="823"/>
        <v>0</v>
      </c>
      <c r="ED518" s="38">
        <f t="shared" si="824"/>
        <v>0</v>
      </c>
      <c r="EE518" s="38">
        <f t="shared" si="825"/>
        <v>0</v>
      </c>
      <c r="EG518" s="38">
        <f t="shared" si="826"/>
        <v>0</v>
      </c>
      <c r="EH518" s="38">
        <f t="shared" si="827"/>
        <v>0</v>
      </c>
      <c r="EI518" s="38">
        <f t="shared" si="828"/>
        <v>1901.5645024</v>
      </c>
      <c r="EJ518" s="38">
        <f t="shared" si="829"/>
        <v>0</v>
      </c>
      <c r="EK518" s="38">
        <f t="shared" si="830"/>
        <v>0</v>
      </c>
      <c r="EL518" s="38">
        <f t="shared" si="831"/>
        <v>0</v>
      </c>
      <c r="EM518" s="38">
        <f t="shared" si="832"/>
        <v>0</v>
      </c>
      <c r="EN518" s="38">
        <f t="shared" si="833"/>
        <v>0</v>
      </c>
      <c r="EO518" s="38">
        <f t="shared" si="834"/>
        <v>0</v>
      </c>
      <c r="EP518" s="38">
        <f t="shared" si="835"/>
        <v>8618.5208000000002</v>
      </c>
      <c r="EQ518" s="38">
        <f t="shared" si="836"/>
        <v>2814.0065549999995</v>
      </c>
      <c r="ER518" s="38">
        <f t="shared" si="837"/>
        <v>0</v>
      </c>
      <c r="ES518" s="38">
        <f t="shared" si="838"/>
        <v>0</v>
      </c>
      <c r="ET518" s="38">
        <f t="shared" si="839"/>
        <v>0</v>
      </c>
      <c r="EU518" s="38">
        <f t="shared" si="840"/>
        <v>0</v>
      </c>
      <c r="EV518" s="38">
        <f t="shared" si="841"/>
        <v>0</v>
      </c>
      <c r="EW518" s="38">
        <f t="shared" si="842"/>
        <v>0</v>
      </c>
      <c r="EX518" s="38">
        <f t="shared" si="843"/>
        <v>0</v>
      </c>
      <c r="EZ518" s="38">
        <f t="shared" si="844"/>
        <v>0</v>
      </c>
      <c r="FA518" s="38">
        <f t="shared" si="845"/>
        <v>0</v>
      </c>
      <c r="FB518" s="1">
        <f t="shared" si="846"/>
        <v>0.29139999999999999</v>
      </c>
      <c r="FC518" s="1">
        <f t="shared" si="847"/>
        <v>0</v>
      </c>
      <c r="FD518" s="1">
        <f t="shared" si="848"/>
        <v>0</v>
      </c>
      <c r="FE518" s="1">
        <f t="shared" si="849"/>
        <v>0</v>
      </c>
      <c r="FF518" s="1">
        <f t="shared" si="850"/>
        <v>0</v>
      </c>
      <c r="FG518" s="1">
        <f t="shared" si="851"/>
        <v>0</v>
      </c>
      <c r="FH518" s="1">
        <f t="shared" si="852"/>
        <v>0</v>
      </c>
      <c r="FI518" s="1">
        <f t="shared" si="853"/>
        <v>0.65720000000000001</v>
      </c>
      <c r="FJ518" s="1">
        <f t="shared" si="854"/>
        <v>3.875E-2</v>
      </c>
      <c r="FK518" s="1">
        <f t="shared" si="855"/>
        <v>0</v>
      </c>
      <c r="FL518" s="1">
        <f t="shared" si="856"/>
        <v>0</v>
      </c>
      <c r="FM518" s="1">
        <f t="shared" si="857"/>
        <v>0</v>
      </c>
      <c r="FN518" s="1">
        <f t="shared" si="858"/>
        <v>0</v>
      </c>
      <c r="FO518" s="1">
        <f t="shared" si="859"/>
        <v>0</v>
      </c>
      <c r="FP518" s="1">
        <f t="shared" si="860"/>
        <v>0</v>
      </c>
      <c r="FQ518" s="1">
        <f t="shared" si="861"/>
        <v>0</v>
      </c>
      <c r="FS518" s="1">
        <f t="shared" si="862"/>
        <v>0</v>
      </c>
      <c r="FT518" s="1">
        <f t="shared" si="863"/>
        <v>0</v>
      </c>
      <c r="FU518" s="38">
        <f t="shared" si="864"/>
        <v>1901.5645024</v>
      </c>
      <c r="FV518" s="38">
        <f t="shared" si="865"/>
        <v>0</v>
      </c>
      <c r="FW518" s="38">
        <f t="shared" si="866"/>
        <v>0</v>
      </c>
      <c r="FX518" s="38">
        <f t="shared" si="867"/>
        <v>0</v>
      </c>
      <c r="FY518" s="38">
        <f t="shared" si="868"/>
        <v>0</v>
      </c>
      <c r="FZ518" s="38">
        <f t="shared" si="869"/>
        <v>0</v>
      </c>
      <c r="GA518" s="38">
        <f t="shared" si="870"/>
        <v>0</v>
      </c>
      <c r="GB518" s="38">
        <f t="shared" si="871"/>
        <v>8618.5208000000002</v>
      </c>
      <c r="GC518" s="38">
        <f t="shared" si="872"/>
        <v>2814.0065549999995</v>
      </c>
      <c r="GD518" s="38">
        <f t="shared" si="873"/>
        <v>0</v>
      </c>
      <c r="GE518" s="38">
        <f t="shared" si="874"/>
        <v>0</v>
      </c>
      <c r="GF518" s="38">
        <f t="shared" si="875"/>
        <v>0</v>
      </c>
      <c r="GG518" s="38">
        <f t="shared" si="876"/>
        <v>0</v>
      </c>
      <c r="GH518" s="38">
        <f t="shared" si="877"/>
        <v>0</v>
      </c>
      <c r="GI518" s="38">
        <f t="shared" si="878"/>
        <v>0</v>
      </c>
      <c r="GJ518" s="38">
        <f t="shared" si="879"/>
        <v>0</v>
      </c>
      <c r="GL518" s="38">
        <f t="shared" si="880"/>
        <v>0</v>
      </c>
      <c r="GM518" s="38">
        <f t="shared" si="881"/>
        <v>0</v>
      </c>
      <c r="GN518" s="1" t="s">
        <v>2</v>
      </c>
      <c r="GO518" s="1">
        <f t="shared" si="889"/>
        <v>31</v>
      </c>
      <c r="GP518" s="1">
        <f t="shared" si="890"/>
        <v>2.12</v>
      </c>
      <c r="GQ518" s="41">
        <f t="shared" si="891"/>
        <v>657.2</v>
      </c>
      <c r="GR518" s="41">
        <f t="shared" si="892"/>
        <v>13334.091857400001</v>
      </c>
      <c r="GS518" s="14">
        <f t="shared" si="893"/>
        <v>430.13199539999999</v>
      </c>
      <c r="GT518" s="1">
        <f t="shared" si="882"/>
        <v>347.20000000000005</v>
      </c>
      <c r="GU518" s="1">
        <f t="shared" si="883"/>
        <v>310</v>
      </c>
      <c r="GV518" s="1">
        <f t="shared" si="884"/>
        <v>0</v>
      </c>
      <c r="GW518" s="37">
        <f t="shared" si="894"/>
        <v>31</v>
      </c>
      <c r="GX518" s="44">
        <f>(BT518*CB518+CO518*CW518)/GW518</f>
        <v>2.12</v>
      </c>
      <c r="GY518" s="41">
        <f>1000*GW518*GX518/100</f>
        <v>657.2</v>
      </c>
      <c r="GZ518" s="41">
        <f>SUM(FU518:GM518)</f>
        <v>13334.091857400001</v>
      </c>
      <c r="HA518" s="14">
        <f>GZ518/GW518</f>
        <v>430.13199539999999</v>
      </c>
      <c r="HB518" s="1">
        <f t="shared" si="885"/>
        <v>347.20000000000005</v>
      </c>
      <c r="HC518" s="1">
        <f t="shared" si="886"/>
        <v>310</v>
      </c>
      <c r="HD518" s="37" t="s">
        <v>2</v>
      </c>
      <c r="HE518" s="1" t="s">
        <v>113</v>
      </c>
      <c r="HF518" s="1" t="s">
        <v>129</v>
      </c>
      <c r="HG518" s="1" t="s">
        <v>129</v>
      </c>
      <c r="HI518" s="1" t="s">
        <v>96</v>
      </c>
      <c r="HJ518" s="37" t="s">
        <v>2</v>
      </c>
      <c r="JH518" s="58" t="s">
        <v>2</v>
      </c>
    </row>
    <row r="519" spans="1:268" ht="16.25" customHeight="1" x14ac:dyDescent="0.2">
      <c r="A519" s="15" t="s">
        <v>578</v>
      </c>
      <c r="B519" s="1" t="s">
        <v>69</v>
      </c>
      <c r="F519" s="1" t="s">
        <v>579</v>
      </c>
      <c r="I519" s="1">
        <v>0</v>
      </c>
      <c r="AD519" s="2">
        <v>4.223821</v>
      </c>
      <c r="AE519" s="1">
        <v>0.38</v>
      </c>
      <c r="AF519" s="1">
        <v>0.04</v>
      </c>
      <c r="AL519" s="1">
        <v>0.36</v>
      </c>
      <c r="AM519" s="1">
        <v>0.03</v>
      </c>
      <c r="AN519" s="1">
        <v>0.14000000000000001</v>
      </c>
      <c r="AO519" s="1">
        <v>0.17</v>
      </c>
      <c r="AY519" s="2">
        <v>2.0053670000000001</v>
      </c>
      <c r="AZ519" s="1">
        <v>0.34</v>
      </c>
      <c r="BA519" s="1">
        <v>0.02</v>
      </c>
      <c r="BG519" s="1">
        <v>0.33</v>
      </c>
      <c r="BH519" s="1">
        <v>0.02</v>
      </c>
      <c r="BI519" s="1">
        <v>0.02</v>
      </c>
      <c r="BJ519" s="1">
        <v>0.02</v>
      </c>
      <c r="BT519" s="1">
        <v>0</v>
      </c>
      <c r="CO519" s="1">
        <v>0</v>
      </c>
      <c r="DJ519" s="1" t="s">
        <v>96</v>
      </c>
      <c r="DK519" s="1" t="s">
        <v>96</v>
      </c>
      <c r="DL519" s="1">
        <f t="shared" si="887"/>
        <v>0.35034207829335062</v>
      </c>
      <c r="DM519" s="1">
        <f t="shared" si="888"/>
        <v>2.6780692764450192E-2</v>
      </c>
      <c r="DN519" s="1" t="s">
        <v>580</v>
      </c>
      <c r="DO519" s="1" t="s">
        <v>2</v>
      </c>
      <c r="DP519" s="38">
        <f t="shared" si="810"/>
        <v>2.2868767600000003E-2</v>
      </c>
      <c r="DQ519" s="38">
        <f t="shared" si="811"/>
        <v>0.20906017999999998</v>
      </c>
      <c r="DR519" s="38">
        <f t="shared" si="812"/>
        <v>0</v>
      </c>
      <c r="DS519" s="38">
        <f t="shared" si="813"/>
        <v>0</v>
      </c>
      <c r="DT519" s="38">
        <f t="shared" si="814"/>
        <v>0</v>
      </c>
      <c r="DU519" s="38">
        <f t="shared" si="815"/>
        <v>0</v>
      </c>
      <c r="DV519" s="38">
        <f t="shared" si="816"/>
        <v>0</v>
      </c>
      <c r="DW519" s="38">
        <f t="shared" si="817"/>
        <v>2.1823466700000002E-2</v>
      </c>
      <c r="DX519" s="38">
        <f t="shared" si="818"/>
        <v>1.6682196999999999E-3</v>
      </c>
      <c r="DY519" s="38">
        <f t="shared" si="819"/>
        <v>0.63144228000000013</v>
      </c>
      <c r="DZ519" s="38">
        <f t="shared" si="820"/>
        <v>0.75815691000000007</v>
      </c>
      <c r="EA519" s="38">
        <f t="shared" si="821"/>
        <v>0</v>
      </c>
      <c r="EB519" s="38">
        <f t="shared" si="822"/>
        <v>0</v>
      </c>
      <c r="EC519" s="38">
        <f t="shared" si="823"/>
        <v>0</v>
      </c>
      <c r="ED519" s="38">
        <f t="shared" si="824"/>
        <v>0</v>
      </c>
      <c r="EE519" s="38">
        <f t="shared" si="825"/>
        <v>0</v>
      </c>
      <c r="EG519" s="38">
        <f t="shared" si="826"/>
        <v>0</v>
      </c>
      <c r="EH519" s="38">
        <f t="shared" si="827"/>
        <v>0</v>
      </c>
      <c r="EI519" s="38">
        <f t="shared" si="828"/>
        <v>149.2327957508416</v>
      </c>
      <c r="EJ519" s="38">
        <f t="shared" si="829"/>
        <v>8.550628583922828</v>
      </c>
      <c r="EK519" s="38">
        <f t="shared" si="830"/>
        <v>0</v>
      </c>
      <c r="EL519" s="38">
        <f t="shared" si="831"/>
        <v>0</v>
      </c>
      <c r="EM519" s="38">
        <f t="shared" si="832"/>
        <v>0</v>
      </c>
      <c r="EN519" s="38">
        <f t="shared" si="833"/>
        <v>0</v>
      </c>
      <c r="EO519" s="38">
        <f t="shared" si="834"/>
        <v>0</v>
      </c>
      <c r="EP519" s="38">
        <f t="shared" si="835"/>
        <v>286.19294230380001</v>
      </c>
      <c r="EQ519" s="38">
        <f t="shared" si="836"/>
        <v>121.14532054142278</v>
      </c>
      <c r="ER519" s="38">
        <f t="shared" si="837"/>
        <v>17.921184658032157</v>
      </c>
      <c r="ES519" s="38">
        <f t="shared" si="838"/>
        <v>25.26612753155306</v>
      </c>
      <c r="ET519" s="38">
        <f t="shared" si="839"/>
        <v>0</v>
      </c>
      <c r="EU519" s="38">
        <f t="shared" si="840"/>
        <v>0</v>
      </c>
      <c r="EV519" s="38">
        <f t="shared" si="841"/>
        <v>0</v>
      </c>
      <c r="EW519" s="38">
        <f t="shared" si="842"/>
        <v>0</v>
      </c>
      <c r="EX519" s="38">
        <f t="shared" si="843"/>
        <v>0</v>
      </c>
      <c r="EZ519" s="38">
        <f t="shared" si="844"/>
        <v>0</v>
      </c>
      <c r="FA519" s="38">
        <f t="shared" si="845"/>
        <v>0</v>
      </c>
      <c r="FB519" s="1">
        <f t="shared" si="846"/>
        <v>0</v>
      </c>
      <c r="FC519" s="1">
        <f t="shared" si="847"/>
        <v>0</v>
      </c>
      <c r="FD519" s="1">
        <f t="shared" si="848"/>
        <v>0</v>
      </c>
      <c r="FE519" s="1">
        <f t="shared" si="849"/>
        <v>0</v>
      </c>
      <c r="FF519" s="1">
        <f t="shared" si="850"/>
        <v>0</v>
      </c>
      <c r="FG519" s="1">
        <f t="shared" si="851"/>
        <v>0</v>
      </c>
      <c r="FH519" s="1">
        <f t="shared" si="852"/>
        <v>0</v>
      </c>
      <c r="FI519" s="1">
        <f t="shared" si="853"/>
        <v>0</v>
      </c>
      <c r="FJ519" s="1">
        <f t="shared" si="854"/>
        <v>0</v>
      </c>
      <c r="FK519" s="1">
        <f t="shared" si="855"/>
        <v>0</v>
      </c>
      <c r="FL519" s="1">
        <f t="shared" si="856"/>
        <v>0</v>
      </c>
      <c r="FM519" s="1">
        <f t="shared" si="857"/>
        <v>0</v>
      </c>
      <c r="FN519" s="1">
        <f t="shared" si="858"/>
        <v>0</v>
      </c>
      <c r="FO519" s="1">
        <f t="shared" si="859"/>
        <v>0</v>
      </c>
      <c r="FP519" s="1">
        <f t="shared" si="860"/>
        <v>0</v>
      </c>
      <c r="FQ519" s="1">
        <f t="shared" si="861"/>
        <v>0</v>
      </c>
      <c r="FS519" s="1">
        <f t="shared" si="862"/>
        <v>0</v>
      </c>
      <c r="FT519" s="1">
        <f t="shared" si="863"/>
        <v>0</v>
      </c>
      <c r="FU519" s="38">
        <f t="shared" si="864"/>
        <v>0</v>
      </c>
      <c r="FV519" s="38">
        <f t="shared" si="865"/>
        <v>0</v>
      </c>
      <c r="FW519" s="38">
        <f t="shared" si="866"/>
        <v>0</v>
      </c>
      <c r="FX519" s="38">
        <f t="shared" si="867"/>
        <v>0</v>
      </c>
      <c r="FY519" s="38">
        <f t="shared" si="868"/>
        <v>0</v>
      </c>
      <c r="FZ519" s="38">
        <f t="shared" si="869"/>
        <v>0</v>
      </c>
      <c r="GA519" s="38">
        <f t="shared" si="870"/>
        <v>0</v>
      </c>
      <c r="GB519" s="38">
        <f t="shared" si="871"/>
        <v>0</v>
      </c>
      <c r="GC519" s="38">
        <f t="shared" si="872"/>
        <v>0</v>
      </c>
      <c r="GD519" s="38">
        <f t="shared" si="873"/>
        <v>0</v>
      </c>
      <c r="GE519" s="38">
        <f t="shared" si="874"/>
        <v>0</v>
      </c>
      <c r="GF519" s="38">
        <f t="shared" si="875"/>
        <v>0</v>
      </c>
      <c r="GG519" s="38">
        <f t="shared" si="876"/>
        <v>0</v>
      </c>
      <c r="GH519" s="38">
        <f t="shared" si="877"/>
        <v>0</v>
      </c>
      <c r="GI519" s="38">
        <f t="shared" si="878"/>
        <v>0</v>
      </c>
      <c r="GJ519" s="38">
        <f t="shared" si="879"/>
        <v>0</v>
      </c>
      <c r="GL519" s="38">
        <f t="shared" si="880"/>
        <v>0</v>
      </c>
      <c r="GM519" s="38">
        <f t="shared" si="881"/>
        <v>0</v>
      </c>
      <c r="GN519" s="1" t="s">
        <v>2</v>
      </c>
      <c r="GO519" s="2">
        <f t="shared" si="889"/>
        <v>6.2291880000000006</v>
      </c>
      <c r="GP519" s="13">
        <f t="shared" si="890"/>
        <v>0.35034207829335062</v>
      </c>
      <c r="GQ519" s="41">
        <f t="shared" si="891"/>
        <v>21.823466700000004</v>
      </c>
      <c r="GR519" s="41">
        <f t="shared" si="892"/>
        <v>608.30899936957235</v>
      </c>
      <c r="GS519" s="14">
        <f t="shared" si="893"/>
        <v>97.654621977948381</v>
      </c>
      <c r="GT519" s="1">
        <f t="shared" si="882"/>
        <v>0</v>
      </c>
      <c r="GU519" s="1">
        <f t="shared" si="883"/>
        <v>15.2057556</v>
      </c>
      <c r="GV519" s="1">
        <f t="shared" si="884"/>
        <v>6.6177111000000011</v>
      </c>
      <c r="GW519" s="37">
        <f t="shared" si="894"/>
        <v>0</v>
      </c>
      <c r="GX519" s="37"/>
      <c r="GY519" s="37"/>
      <c r="GZ519" s="37"/>
      <c r="HB519" s="1">
        <f t="shared" si="885"/>
        <v>0</v>
      </c>
      <c r="HC519" s="1">
        <f t="shared" si="886"/>
        <v>0</v>
      </c>
      <c r="HD519" s="37" t="s">
        <v>2</v>
      </c>
      <c r="HE519" s="1" t="s">
        <v>113</v>
      </c>
      <c r="HF519" s="1" t="s">
        <v>129</v>
      </c>
      <c r="HI519" s="1" t="s">
        <v>96</v>
      </c>
      <c r="HJ519" s="37" t="s">
        <v>2</v>
      </c>
      <c r="JH519" s="58" t="s">
        <v>2</v>
      </c>
    </row>
    <row r="520" spans="1:268" ht="16.25" customHeight="1" x14ac:dyDescent="0.2">
      <c r="A520" s="15" t="s">
        <v>350</v>
      </c>
      <c r="B520" s="1" t="s">
        <v>69</v>
      </c>
      <c r="E520" s="1" t="s">
        <v>72</v>
      </c>
      <c r="F520" s="1" t="s">
        <v>99</v>
      </c>
      <c r="H520" s="1" t="s">
        <v>70</v>
      </c>
      <c r="I520" s="1">
        <v>0</v>
      </c>
      <c r="AD520" s="1">
        <v>37.799999999999997</v>
      </c>
      <c r="AE520" s="1">
        <v>0.44</v>
      </c>
      <c r="AF520" s="1">
        <v>0.04</v>
      </c>
      <c r="AL520" s="1">
        <v>0.49</v>
      </c>
      <c r="AM520" s="2">
        <v>2.1100000000000001E-2</v>
      </c>
      <c r="AN520" s="1">
        <v>7.0000000000000007E-2</v>
      </c>
      <c r="AO520" s="1">
        <v>0.08</v>
      </c>
      <c r="AY520" s="1">
        <v>1.9</v>
      </c>
      <c r="AZ520" s="1">
        <v>0.34</v>
      </c>
      <c r="BA520" s="1">
        <v>0.04</v>
      </c>
      <c r="BG520" s="1">
        <v>0.37</v>
      </c>
      <c r="BH520" s="2">
        <v>2.29E-2</v>
      </c>
      <c r="BI520" s="1">
        <v>0.08</v>
      </c>
      <c r="BJ520" s="1">
        <v>7.0000000000000007E-2</v>
      </c>
      <c r="BT520" s="1">
        <v>0</v>
      </c>
      <c r="CO520" s="1">
        <v>0</v>
      </c>
      <c r="DJ520" s="1" t="s">
        <v>96</v>
      </c>
      <c r="DK520" s="1" t="s">
        <v>96</v>
      </c>
      <c r="DL520" s="1">
        <f t="shared" si="887"/>
        <v>0.48425692695214106</v>
      </c>
      <c r="DM520" s="1">
        <f t="shared" si="888"/>
        <v>2.1186146095717888E-2</v>
      </c>
      <c r="DN520" s="1" t="s">
        <v>67</v>
      </c>
      <c r="DO520" s="1" t="s">
        <v>2</v>
      </c>
      <c r="DP520" s="38">
        <f t="shared" si="810"/>
        <v>0.17277999999999999</v>
      </c>
      <c r="DQ520" s="38">
        <f t="shared" si="811"/>
        <v>1.5880000000000001</v>
      </c>
      <c r="DR520" s="38">
        <f t="shared" si="812"/>
        <v>0</v>
      </c>
      <c r="DS520" s="38">
        <f t="shared" si="813"/>
        <v>0</v>
      </c>
      <c r="DT520" s="38">
        <f t="shared" si="814"/>
        <v>0</v>
      </c>
      <c r="DU520" s="38">
        <f t="shared" si="815"/>
        <v>0</v>
      </c>
      <c r="DV520" s="38">
        <f t="shared" si="816"/>
        <v>0</v>
      </c>
      <c r="DW520" s="38">
        <f t="shared" si="817"/>
        <v>0.19224999999999998</v>
      </c>
      <c r="DX520" s="38">
        <f t="shared" si="818"/>
        <v>8.4109000000000007E-3</v>
      </c>
      <c r="DY520" s="38">
        <f t="shared" si="819"/>
        <v>2.798</v>
      </c>
      <c r="DZ520" s="38">
        <f t="shared" si="820"/>
        <v>3.157</v>
      </c>
      <c r="EA520" s="38">
        <f t="shared" si="821"/>
        <v>0</v>
      </c>
      <c r="EB520" s="38">
        <f t="shared" si="822"/>
        <v>0</v>
      </c>
      <c r="EC520" s="38">
        <f t="shared" si="823"/>
        <v>0</v>
      </c>
      <c r="ED520" s="38">
        <f t="shared" si="824"/>
        <v>0</v>
      </c>
      <c r="EE520" s="38">
        <f t="shared" si="825"/>
        <v>0</v>
      </c>
      <c r="EG520" s="38">
        <f t="shared" si="826"/>
        <v>0</v>
      </c>
      <c r="EH520" s="38">
        <f t="shared" si="827"/>
        <v>0</v>
      </c>
      <c r="EI520" s="38">
        <f t="shared" si="828"/>
        <v>1127.49593248</v>
      </c>
      <c r="EJ520" s="38">
        <f t="shared" si="829"/>
        <v>64.94971061093247</v>
      </c>
      <c r="EK520" s="38">
        <f t="shared" si="830"/>
        <v>0</v>
      </c>
      <c r="EL520" s="38">
        <f t="shared" si="831"/>
        <v>0</v>
      </c>
      <c r="EM520" s="38">
        <f t="shared" si="832"/>
        <v>0</v>
      </c>
      <c r="EN520" s="38">
        <f t="shared" si="833"/>
        <v>0</v>
      </c>
      <c r="EO520" s="38">
        <f t="shared" si="834"/>
        <v>0</v>
      </c>
      <c r="EP520" s="38">
        <f t="shared" si="835"/>
        <v>2521.1664999999998</v>
      </c>
      <c r="EQ520" s="38">
        <f t="shared" si="836"/>
        <v>610.79555441159994</v>
      </c>
      <c r="ER520" s="38">
        <f t="shared" si="837"/>
        <v>79.411018649517672</v>
      </c>
      <c r="ES520" s="38">
        <f t="shared" si="838"/>
        <v>105.20930900321544</v>
      </c>
      <c r="ET520" s="38">
        <f t="shared" si="839"/>
        <v>0</v>
      </c>
      <c r="EU520" s="38">
        <f t="shared" si="840"/>
        <v>0</v>
      </c>
      <c r="EV520" s="38">
        <f t="shared" si="841"/>
        <v>0</v>
      </c>
      <c r="EW520" s="38">
        <f t="shared" si="842"/>
        <v>0</v>
      </c>
      <c r="EX520" s="38">
        <f t="shared" si="843"/>
        <v>0</v>
      </c>
      <c r="EZ520" s="38">
        <f t="shared" si="844"/>
        <v>0</v>
      </c>
      <c r="FA520" s="38">
        <f t="shared" si="845"/>
        <v>0</v>
      </c>
      <c r="FB520" s="1">
        <f t="shared" si="846"/>
        <v>0</v>
      </c>
      <c r="FC520" s="1">
        <f t="shared" si="847"/>
        <v>0</v>
      </c>
      <c r="FD520" s="1">
        <f t="shared" si="848"/>
        <v>0</v>
      </c>
      <c r="FE520" s="1">
        <f t="shared" si="849"/>
        <v>0</v>
      </c>
      <c r="FF520" s="1">
        <f t="shared" si="850"/>
        <v>0</v>
      </c>
      <c r="FG520" s="1">
        <f t="shared" si="851"/>
        <v>0</v>
      </c>
      <c r="FH520" s="1">
        <f t="shared" si="852"/>
        <v>0</v>
      </c>
      <c r="FI520" s="1">
        <f t="shared" si="853"/>
        <v>0</v>
      </c>
      <c r="FJ520" s="1">
        <f t="shared" si="854"/>
        <v>0</v>
      </c>
      <c r="FK520" s="1">
        <f t="shared" si="855"/>
        <v>0</v>
      </c>
      <c r="FL520" s="1">
        <f t="shared" si="856"/>
        <v>0</v>
      </c>
      <c r="FM520" s="1">
        <f t="shared" si="857"/>
        <v>0</v>
      </c>
      <c r="FN520" s="1">
        <f t="shared" si="858"/>
        <v>0</v>
      </c>
      <c r="FO520" s="1">
        <f t="shared" si="859"/>
        <v>0</v>
      </c>
      <c r="FP520" s="1">
        <f t="shared" si="860"/>
        <v>0</v>
      </c>
      <c r="FQ520" s="1">
        <f t="shared" si="861"/>
        <v>0</v>
      </c>
      <c r="FS520" s="1">
        <f t="shared" si="862"/>
        <v>0</v>
      </c>
      <c r="FT520" s="1">
        <f t="shared" si="863"/>
        <v>0</v>
      </c>
      <c r="FU520" s="38">
        <f t="shared" si="864"/>
        <v>0</v>
      </c>
      <c r="FV520" s="38">
        <f t="shared" si="865"/>
        <v>0</v>
      </c>
      <c r="FW520" s="38">
        <f t="shared" si="866"/>
        <v>0</v>
      </c>
      <c r="FX520" s="38">
        <f t="shared" si="867"/>
        <v>0</v>
      </c>
      <c r="FY520" s="38">
        <f t="shared" si="868"/>
        <v>0</v>
      </c>
      <c r="FZ520" s="38">
        <f t="shared" si="869"/>
        <v>0</v>
      </c>
      <c r="GA520" s="38">
        <f t="shared" si="870"/>
        <v>0</v>
      </c>
      <c r="GB520" s="38">
        <f t="shared" si="871"/>
        <v>0</v>
      </c>
      <c r="GC520" s="38">
        <f t="shared" si="872"/>
        <v>0</v>
      </c>
      <c r="GD520" s="38">
        <f t="shared" si="873"/>
        <v>0</v>
      </c>
      <c r="GE520" s="38">
        <f t="shared" si="874"/>
        <v>0</v>
      </c>
      <c r="GF520" s="38">
        <f t="shared" si="875"/>
        <v>0</v>
      </c>
      <c r="GG520" s="38">
        <f t="shared" si="876"/>
        <v>0</v>
      </c>
      <c r="GH520" s="38">
        <f t="shared" si="877"/>
        <v>0</v>
      </c>
      <c r="GI520" s="38">
        <f t="shared" si="878"/>
        <v>0</v>
      </c>
      <c r="GJ520" s="38">
        <f t="shared" si="879"/>
        <v>0</v>
      </c>
      <c r="GL520" s="38">
        <f t="shared" si="880"/>
        <v>0</v>
      </c>
      <c r="GM520" s="38">
        <f t="shared" si="881"/>
        <v>0</v>
      </c>
      <c r="GN520" s="1" t="s">
        <v>2</v>
      </c>
      <c r="GO520" s="1">
        <f t="shared" si="889"/>
        <v>39.699999999999996</v>
      </c>
      <c r="GP520" s="13">
        <f t="shared" si="890"/>
        <v>0.48425692695214106</v>
      </c>
      <c r="GQ520" s="41">
        <f t="shared" si="891"/>
        <v>192.24999999999997</v>
      </c>
      <c r="GR520" s="41">
        <f t="shared" si="892"/>
        <v>4509.0280251552658</v>
      </c>
      <c r="GS520" s="14">
        <f t="shared" si="893"/>
        <v>113.57753211978</v>
      </c>
      <c r="GT520" s="1">
        <f t="shared" si="882"/>
        <v>0</v>
      </c>
      <c r="GU520" s="1">
        <f t="shared" si="883"/>
        <v>185.22</v>
      </c>
      <c r="GV520" s="1">
        <f t="shared" si="884"/>
        <v>7.03</v>
      </c>
      <c r="GW520" s="37">
        <f t="shared" si="894"/>
        <v>0</v>
      </c>
      <c r="GX520" s="37"/>
      <c r="GY520" s="37"/>
      <c r="GZ520" s="37"/>
      <c r="HB520" s="1">
        <f t="shared" si="885"/>
        <v>0</v>
      </c>
      <c r="HC520" s="1">
        <f t="shared" si="886"/>
        <v>0</v>
      </c>
      <c r="HD520" s="37" t="s">
        <v>2</v>
      </c>
      <c r="HE520" s="1" t="s">
        <v>113</v>
      </c>
      <c r="HF520" s="1" t="s">
        <v>129</v>
      </c>
      <c r="HI520" s="1" t="s">
        <v>96</v>
      </c>
      <c r="HJ520" s="37" t="s">
        <v>2</v>
      </c>
      <c r="JH520" s="58" t="s">
        <v>2</v>
      </c>
    </row>
    <row r="521" spans="1:268" ht="16.25" customHeight="1" x14ac:dyDescent="0.2">
      <c r="A521" s="15" t="s">
        <v>351</v>
      </c>
      <c r="B521" s="1" t="s">
        <v>69</v>
      </c>
      <c r="E521" s="1" t="s">
        <v>72</v>
      </c>
      <c r="F521" s="1" t="s">
        <v>99</v>
      </c>
      <c r="H521" s="1" t="s">
        <v>70</v>
      </c>
      <c r="I521" s="1">
        <v>0</v>
      </c>
      <c r="AD521" s="1">
        <v>73.900000000000006</v>
      </c>
      <c r="AE521" s="1">
        <v>0.41</v>
      </c>
      <c r="AF521" s="1">
        <v>0.06</v>
      </c>
      <c r="AL521" s="1">
        <v>0.36</v>
      </c>
      <c r="AM521" s="2">
        <v>1.32E-2</v>
      </c>
      <c r="AN521" s="1">
        <v>0.09</v>
      </c>
      <c r="AO521" s="13">
        <v>0.1</v>
      </c>
      <c r="AY521" s="1">
        <v>169.4</v>
      </c>
      <c r="AZ521" s="1">
        <v>0.37</v>
      </c>
      <c r="BA521" s="1">
        <v>0.06</v>
      </c>
      <c r="BG521" s="1">
        <v>0.33</v>
      </c>
      <c r="BH521" s="2">
        <v>1.23E-2</v>
      </c>
      <c r="BI521" s="1">
        <v>0.09</v>
      </c>
      <c r="BJ521" s="13">
        <v>0.1</v>
      </c>
      <c r="BT521" s="1">
        <v>0</v>
      </c>
      <c r="CO521" s="1">
        <v>0</v>
      </c>
      <c r="DJ521" s="1" t="s">
        <v>96</v>
      </c>
      <c r="DK521" s="1" t="s">
        <v>96</v>
      </c>
      <c r="DL521" s="1">
        <f t="shared" si="887"/>
        <v>0.33911220715166462</v>
      </c>
      <c r="DM521" s="1">
        <f t="shared" si="888"/>
        <v>1.2573366214549939E-2</v>
      </c>
      <c r="DN521" s="1" t="s">
        <v>67</v>
      </c>
      <c r="DO521" s="1" t="s">
        <v>2</v>
      </c>
      <c r="DP521" s="38">
        <f t="shared" si="810"/>
        <v>0.92976999999999999</v>
      </c>
      <c r="DQ521" s="38">
        <f t="shared" si="811"/>
        <v>14.597999999999999</v>
      </c>
      <c r="DR521" s="38">
        <f t="shared" si="812"/>
        <v>0</v>
      </c>
      <c r="DS521" s="38">
        <f t="shared" si="813"/>
        <v>0</v>
      </c>
      <c r="DT521" s="38">
        <f t="shared" si="814"/>
        <v>0</v>
      </c>
      <c r="DU521" s="38">
        <f t="shared" si="815"/>
        <v>0</v>
      </c>
      <c r="DV521" s="38">
        <f t="shared" si="816"/>
        <v>0</v>
      </c>
      <c r="DW521" s="38">
        <f t="shared" si="817"/>
        <v>0.82506000000000002</v>
      </c>
      <c r="DX521" s="38">
        <f t="shared" si="818"/>
        <v>3.0591000000000004E-2</v>
      </c>
      <c r="DY521" s="38">
        <f t="shared" si="819"/>
        <v>21.897000000000002</v>
      </c>
      <c r="DZ521" s="38">
        <f t="shared" si="820"/>
        <v>24.330000000000002</v>
      </c>
      <c r="EA521" s="38">
        <f t="shared" si="821"/>
        <v>0</v>
      </c>
      <c r="EB521" s="38">
        <f t="shared" si="822"/>
        <v>0</v>
      </c>
      <c r="EC521" s="38">
        <f t="shared" si="823"/>
        <v>0</v>
      </c>
      <c r="ED521" s="38">
        <f t="shared" si="824"/>
        <v>0</v>
      </c>
      <c r="EE521" s="38">
        <f t="shared" si="825"/>
        <v>0</v>
      </c>
      <c r="EG521" s="38">
        <f t="shared" si="826"/>
        <v>0</v>
      </c>
      <c r="EH521" s="38">
        <f t="shared" si="827"/>
        <v>0</v>
      </c>
      <c r="EI521" s="38">
        <f t="shared" si="828"/>
        <v>6067.3219883199999</v>
      </c>
      <c r="EJ521" s="38">
        <f t="shared" si="829"/>
        <v>597.06289389067524</v>
      </c>
      <c r="EK521" s="38">
        <f t="shared" si="830"/>
        <v>0</v>
      </c>
      <c r="EL521" s="38">
        <f t="shared" si="831"/>
        <v>0</v>
      </c>
      <c r="EM521" s="38">
        <f t="shared" si="832"/>
        <v>0</v>
      </c>
      <c r="EN521" s="38">
        <f t="shared" si="833"/>
        <v>0</v>
      </c>
      <c r="EO521" s="38">
        <f t="shared" si="834"/>
        <v>0</v>
      </c>
      <c r="EP521" s="38">
        <f t="shared" si="835"/>
        <v>10819.83684</v>
      </c>
      <c r="EQ521" s="38">
        <f t="shared" si="836"/>
        <v>2221.5038586840001</v>
      </c>
      <c r="ER521" s="38">
        <f t="shared" si="837"/>
        <v>621.46643151125397</v>
      </c>
      <c r="ES521" s="38">
        <f t="shared" si="838"/>
        <v>810.81485209003222</v>
      </c>
      <c r="ET521" s="38">
        <f t="shared" si="839"/>
        <v>0</v>
      </c>
      <c r="EU521" s="38">
        <f t="shared" si="840"/>
        <v>0</v>
      </c>
      <c r="EV521" s="38">
        <f t="shared" si="841"/>
        <v>0</v>
      </c>
      <c r="EW521" s="38">
        <f t="shared" si="842"/>
        <v>0</v>
      </c>
      <c r="EX521" s="38">
        <f t="shared" si="843"/>
        <v>0</v>
      </c>
      <c r="EZ521" s="38">
        <f t="shared" si="844"/>
        <v>0</v>
      </c>
      <c r="FA521" s="38">
        <f t="shared" si="845"/>
        <v>0</v>
      </c>
      <c r="FB521" s="1">
        <f t="shared" si="846"/>
        <v>0</v>
      </c>
      <c r="FC521" s="1">
        <f t="shared" si="847"/>
        <v>0</v>
      </c>
      <c r="FD521" s="1">
        <f t="shared" si="848"/>
        <v>0</v>
      </c>
      <c r="FE521" s="1">
        <f t="shared" si="849"/>
        <v>0</v>
      </c>
      <c r="FF521" s="1">
        <f t="shared" si="850"/>
        <v>0</v>
      </c>
      <c r="FG521" s="1">
        <f t="shared" si="851"/>
        <v>0</v>
      </c>
      <c r="FH521" s="1">
        <f t="shared" si="852"/>
        <v>0</v>
      </c>
      <c r="FI521" s="1">
        <f t="shared" si="853"/>
        <v>0</v>
      </c>
      <c r="FJ521" s="1">
        <f t="shared" si="854"/>
        <v>0</v>
      </c>
      <c r="FK521" s="1">
        <f t="shared" si="855"/>
        <v>0</v>
      </c>
      <c r="FL521" s="1">
        <f t="shared" si="856"/>
        <v>0</v>
      </c>
      <c r="FM521" s="1">
        <f t="shared" si="857"/>
        <v>0</v>
      </c>
      <c r="FN521" s="1">
        <f t="shared" si="858"/>
        <v>0</v>
      </c>
      <c r="FO521" s="1">
        <f t="shared" si="859"/>
        <v>0</v>
      </c>
      <c r="FP521" s="1">
        <f t="shared" si="860"/>
        <v>0</v>
      </c>
      <c r="FQ521" s="1">
        <f t="shared" si="861"/>
        <v>0</v>
      </c>
      <c r="FS521" s="1">
        <f t="shared" si="862"/>
        <v>0</v>
      </c>
      <c r="FT521" s="1">
        <f t="shared" si="863"/>
        <v>0</v>
      </c>
      <c r="FU521" s="38">
        <f t="shared" si="864"/>
        <v>0</v>
      </c>
      <c r="FV521" s="38">
        <f t="shared" si="865"/>
        <v>0</v>
      </c>
      <c r="FW521" s="38">
        <f t="shared" si="866"/>
        <v>0</v>
      </c>
      <c r="FX521" s="38">
        <f t="shared" si="867"/>
        <v>0</v>
      </c>
      <c r="FY521" s="38">
        <f t="shared" si="868"/>
        <v>0</v>
      </c>
      <c r="FZ521" s="38">
        <f t="shared" si="869"/>
        <v>0</v>
      </c>
      <c r="GA521" s="38">
        <f t="shared" si="870"/>
        <v>0</v>
      </c>
      <c r="GB521" s="38">
        <f t="shared" si="871"/>
        <v>0</v>
      </c>
      <c r="GC521" s="38">
        <f t="shared" si="872"/>
        <v>0</v>
      </c>
      <c r="GD521" s="38">
        <f t="shared" si="873"/>
        <v>0</v>
      </c>
      <c r="GE521" s="38">
        <f t="shared" si="874"/>
        <v>0</v>
      </c>
      <c r="GF521" s="38">
        <f t="shared" si="875"/>
        <v>0</v>
      </c>
      <c r="GG521" s="38">
        <f t="shared" si="876"/>
        <v>0</v>
      </c>
      <c r="GH521" s="38">
        <f t="shared" si="877"/>
        <v>0</v>
      </c>
      <c r="GI521" s="38">
        <f t="shared" si="878"/>
        <v>0</v>
      </c>
      <c r="GJ521" s="38">
        <f t="shared" si="879"/>
        <v>0</v>
      </c>
      <c r="GL521" s="38">
        <f t="shared" si="880"/>
        <v>0</v>
      </c>
      <c r="GM521" s="38">
        <f t="shared" si="881"/>
        <v>0</v>
      </c>
      <c r="GN521" s="1" t="s">
        <v>2</v>
      </c>
      <c r="GO521" s="1">
        <f t="shared" si="889"/>
        <v>243.3</v>
      </c>
      <c r="GP521" s="13">
        <f t="shared" si="890"/>
        <v>0.33911220715166462</v>
      </c>
      <c r="GQ521" s="41">
        <f t="shared" si="891"/>
        <v>825.06</v>
      </c>
      <c r="GR521" s="41">
        <f t="shared" si="892"/>
        <v>21138.006864495965</v>
      </c>
      <c r="GS521" s="14">
        <f t="shared" si="893"/>
        <v>86.880422788721589</v>
      </c>
      <c r="GT521" s="1">
        <f t="shared" si="882"/>
        <v>0</v>
      </c>
      <c r="GU521" s="1">
        <f t="shared" si="883"/>
        <v>266.04000000000002</v>
      </c>
      <c r="GV521" s="1">
        <f t="shared" si="884"/>
        <v>559.02</v>
      </c>
      <c r="GW521" s="37">
        <f t="shared" si="894"/>
        <v>0</v>
      </c>
      <c r="GX521" s="37"/>
      <c r="GY521" s="37"/>
      <c r="GZ521" s="37"/>
      <c r="HB521" s="1">
        <f t="shared" si="885"/>
        <v>0</v>
      </c>
      <c r="HC521" s="1">
        <f t="shared" si="886"/>
        <v>0</v>
      </c>
      <c r="HD521" s="37" t="s">
        <v>2</v>
      </c>
      <c r="HE521" s="1" t="s">
        <v>113</v>
      </c>
      <c r="HF521" s="1" t="s">
        <v>129</v>
      </c>
      <c r="HI521" s="1" t="s">
        <v>96</v>
      </c>
      <c r="HJ521" s="37" t="s">
        <v>2</v>
      </c>
      <c r="JH521" s="58" t="s">
        <v>2</v>
      </c>
    </row>
    <row r="522" spans="1:268" ht="16.25" customHeight="1" x14ac:dyDescent="0.2">
      <c r="A522" s="15" t="s">
        <v>908</v>
      </c>
      <c r="B522" s="1" t="s">
        <v>69</v>
      </c>
      <c r="F522" s="1" t="s">
        <v>131</v>
      </c>
      <c r="I522" s="1">
        <v>0</v>
      </c>
      <c r="AD522" s="1">
        <v>0</v>
      </c>
      <c r="AY522" s="1">
        <v>4.0999999999999996</v>
      </c>
      <c r="AZ522" s="1">
        <v>0.5</v>
      </c>
      <c r="BG522" s="1">
        <v>0.7</v>
      </c>
      <c r="BT522" s="1">
        <v>0</v>
      </c>
      <c r="CO522" s="1">
        <v>0</v>
      </c>
      <c r="DJ522" s="1" t="s">
        <v>96</v>
      </c>
      <c r="DL522" s="1">
        <f t="shared" si="887"/>
        <v>0.7</v>
      </c>
      <c r="DM522" s="1">
        <f t="shared" si="888"/>
        <v>0</v>
      </c>
      <c r="DN522" s="1" t="s">
        <v>155</v>
      </c>
      <c r="DO522" s="1" t="s">
        <v>2</v>
      </c>
      <c r="DP522" s="38">
        <f t="shared" si="810"/>
        <v>2.0499999999999997E-2</v>
      </c>
      <c r="DQ522" s="38">
        <f t="shared" si="811"/>
        <v>0</v>
      </c>
      <c r="DR522" s="38">
        <f t="shared" si="812"/>
        <v>0</v>
      </c>
      <c r="DS522" s="38">
        <f t="shared" si="813"/>
        <v>0</v>
      </c>
      <c r="DT522" s="38">
        <f t="shared" si="814"/>
        <v>0</v>
      </c>
      <c r="DU522" s="38">
        <f t="shared" si="815"/>
        <v>0</v>
      </c>
      <c r="DV522" s="38">
        <f t="shared" si="816"/>
        <v>0</v>
      </c>
      <c r="DW522" s="38">
        <f t="shared" si="817"/>
        <v>2.8699999999999996E-2</v>
      </c>
      <c r="DX522" s="38">
        <f t="shared" si="818"/>
        <v>0</v>
      </c>
      <c r="DY522" s="38">
        <f t="shared" si="819"/>
        <v>0</v>
      </c>
      <c r="DZ522" s="38">
        <f t="shared" si="820"/>
        <v>0</v>
      </c>
      <c r="EA522" s="38">
        <f t="shared" si="821"/>
        <v>0</v>
      </c>
      <c r="EB522" s="38">
        <f t="shared" si="822"/>
        <v>0</v>
      </c>
      <c r="EC522" s="38">
        <f t="shared" si="823"/>
        <v>0</v>
      </c>
      <c r="ED522" s="38">
        <f t="shared" si="824"/>
        <v>0</v>
      </c>
      <c r="EE522" s="38">
        <f t="shared" si="825"/>
        <v>0</v>
      </c>
      <c r="EG522" s="38">
        <f t="shared" si="826"/>
        <v>0</v>
      </c>
      <c r="EH522" s="38">
        <f t="shared" si="827"/>
        <v>0</v>
      </c>
      <c r="EI522" s="38">
        <f t="shared" si="828"/>
        <v>133.775128</v>
      </c>
      <c r="EJ522" s="38">
        <f t="shared" si="829"/>
        <v>0</v>
      </c>
      <c r="EK522" s="38">
        <f t="shared" si="830"/>
        <v>0</v>
      </c>
      <c r="EL522" s="38">
        <f t="shared" si="831"/>
        <v>0</v>
      </c>
      <c r="EM522" s="38">
        <f t="shared" si="832"/>
        <v>0</v>
      </c>
      <c r="EN522" s="38">
        <f t="shared" si="833"/>
        <v>0</v>
      </c>
      <c r="EO522" s="38">
        <f t="shared" si="834"/>
        <v>0</v>
      </c>
      <c r="EP522" s="38">
        <f t="shared" si="835"/>
        <v>376.37179999999995</v>
      </c>
      <c r="EQ522" s="38">
        <f t="shared" si="836"/>
        <v>0</v>
      </c>
      <c r="ER522" s="38">
        <f t="shared" si="837"/>
        <v>0</v>
      </c>
      <c r="ES522" s="38">
        <f t="shared" si="838"/>
        <v>0</v>
      </c>
      <c r="ET522" s="38">
        <f t="shared" si="839"/>
        <v>0</v>
      </c>
      <c r="EU522" s="38">
        <f t="shared" si="840"/>
        <v>0</v>
      </c>
      <c r="EV522" s="38">
        <f t="shared" si="841"/>
        <v>0</v>
      </c>
      <c r="EW522" s="38">
        <f t="shared" si="842"/>
        <v>0</v>
      </c>
      <c r="EX522" s="38">
        <f t="shared" si="843"/>
        <v>0</v>
      </c>
      <c r="EZ522" s="38">
        <f t="shared" si="844"/>
        <v>0</v>
      </c>
      <c r="FA522" s="38">
        <f t="shared" si="845"/>
        <v>0</v>
      </c>
      <c r="FB522" s="1">
        <f t="shared" si="846"/>
        <v>0</v>
      </c>
      <c r="FC522" s="1">
        <f t="shared" si="847"/>
        <v>0</v>
      </c>
      <c r="FD522" s="1">
        <f t="shared" si="848"/>
        <v>0</v>
      </c>
      <c r="FE522" s="1">
        <f t="shared" si="849"/>
        <v>0</v>
      </c>
      <c r="FF522" s="1">
        <f t="shared" si="850"/>
        <v>0</v>
      </c>
      <c r="FG522" s="1">
        <f t="shared" si="851"/>
        <v>0</v>
      </c>
      <c r="FH522" s="1">
        <f t="shared" si="852"/>
        <v>0</v>
      </c>
      <c r="FI522" s="1">
        <f t="shared" si="853"/>
        <v>0</v>
      </c>
      <c r="FJ522" s="1">
        <f t="shared" si="854"/>
        <v>0</v>
      </c>
      <c r="FK522" s="1">
        <f t="shared" si="855"/>
        <v>0</v>
      </c>
      <c r="FL522" s="1">
        <f t="shared" si="856"/>
        <v>0</v>
      </c>
      <c r="FM522" s="1">
        <f t="shared" si="857"/>
        <v>0</v>
      </c>
      <c r="FN522" s="1">
        <f t="shared" si="858"/>
        <v>0</v>
      </c>
      <c r="FO522" s="1">
        <f t="shared" si="859"/>
        <v>0</v>
      </c>
      <c r="FP522" s="1">
        <f t="shared" si="860"/>
        <v>0</v>
      </c>
      <c r="FQ522" s="1">
        <f t="shared" si="861"/>
        <v>0</v>
      </c>
      <c r="FS522" s="1">
        <f t="shared" si="862"/>
        <v>0</v>
      </c>
      <c r="FT522" s="1">
        <f t="shared" si="863"/>
        <v>0</v>
      </c>
      <c r="FU522" s="38">
        <f t="shared" si="864"/>
        <v>0</v>
      </c>
      <c r="FV522" s="38">
        <f t="shared" si="865"/>
        <v>0</v>
      </c>
      <c r="FW522" s="38">
        <f t="shared" si="866"/>
        <v>0</v>
      </c>
      <c r="FX522" s="38">
        <f t="shared" si="867"/>
        <v>0</v>
      </c>
      <c r="FY522" s="38">
        <f t="shared" si="868"/>
        <v>0</v>
      </c>
      <c r="FZ522" s="38">
        <f t="shared" si="869"/>
        <v>0</v>
      </c>
      <c r="GA522" s="38">
        <f t="shared" si="870"/>
        <v>0</v>
      </c>
      <c r="GB522" s="38">
        <f t="shared" si="871"/>
        <v>0</v>
      </c>
      <c r="GC522" s="38">
        <f t="shared" si="872"/>
        <v>0</v>
      </c>
      <c r="GD522" s="38">
        <f t="shared" si="873"/>
        <v>0</v>
      </c>
      <c r="GE522" s="38">
        <f t="shared" si="874"/>
        <v>0</v>
      </c>
      <c r="GF522" s="38">
        <f t="shared" si="875"/>
        <v>0</v>
      </c>
      <c r="GG522" s="38">
        <f t="shared" si="876"/>
        <v>0</v>
      </c>
      <c r="GH522" s="38">
        <f t="shared" si="877"/>
        <v>0</v>
      </c>
      <c r="GI522" s="38">
        <f t="shared" si="878"/>
        <v>0</v>
      </c>
      <c r="GJ522" s="38">
        <f t="shared" si="879"/>
        <v>0</v>
      </c>
      <c r="GL522" s="38">
        <f t="shared" si="880"/>
        <v>0</v>
      </c>
      <c r="GM522" s="38">
        <f t="shared" si="881"/>
        <v>0</v>
      </c>
      <c r="GN522" s="1" t="s">
        <v>2</v>
      </c>
      <c r="GO522" s="1">
        <f t="shared" si="889"/>
        <v>4.0999999999999996</v>
      </c>
      <c r="GP522" s="1">
        <f t="shared" si="890"/>
        <v>0.7</v>
      </c>
      <c r="GQ522" s="41">
        <f t="shared" si="891"/>
        <v>28.7</v>
      </c>
      <c r="GR522" s="41">
        <f t="shared" si="892"/>
        <v>510.14692799999995</v>
      </c>
      <c r="GS522" s="14">
        <f t="shared" si="893"/>
        <v>124.42608</v>
      </c>
      <c r="GT522" s="1">
        <f t="shared" si="882"/>
        <v>0</v>
      </c>
      <c r="GU522" s="1">
        <f t="shared" si="883"/>
        <v>0</v>
      </c>
      <c r="GV522" s="1">
        <f t="shared" si="884"/>
        <v>28.699999999999996</v>
      </c>
      <c r="GW522" s="37">
        <f t="shared" si="894"/>
        <v>0</v>
      </c>
      <c r="GX522" s="37"/>
      <c r="GY522" s="37"/>
      <c r="GZ522" s="37"/>
      <c r="HB522" s="1">
        <f t="shared" si="885"/>
        <v>0</v>
      </c>
      <c r="HC522" s="1">
        <f t="shared" si="886"/>
        <v>0</v>
      </c>
      <c r="HD522" s="37" t="s">
        <v>2</v>
      </c>
      <c r="HE522" s="1" t="s">
        <v>113</v>
      </c>
      <c r="HF522" s="1" t="s">
        <v>129</v>
      </c>
      <c r="HI522" s="1" t="s">
        <v>96</v>
      </c>
      <c r="HJ522" s="37" t="s">
        <v>2</v>
      </c>
      <c r="JH522" s="58" t="s">
        <v>2</v>
      </c>
    </row>
    <row r="523" spans="1:268" ht="16.25" customHeight="1" x14ac:dyDescent="0.2">
      <c r="A523" s="15" t="s">
        <v>910</v>
      </c>
      <c r="B523" s="1" t="s">
        <v>71</v>
      </c>
      <c r="F523" s="1" t="s">
        <v>249</v>
      </c>
      <c r="I523" s="1">
        <v>0</v>
      </c>
      <c r="AD523" s="14">
        <v>106</v>
      </c>
      <c r="AE523" s="1">
        <v>0.17</v>
      </c>
      <c r="AL523" s="1">
        <v>0.21</v>
      </c>
      <c r="AY523" s="1">
        <v>0</v>
      </c>
      <c r="BT523" s="1">
        <v>0</v>
      </c>
      <c r="CO523" s="1">
        <v>0</v>
      </c>
      <c r="DJ523" s="1" t="s">
        <v>96</v>
      </c>
      <c r="DL523" s="1">
        <f t="shared" si="887"/>
        <v>0.21</v>
      </c>
      <c r="DM523" s="1">
        <f t="shared" si="888"/>
        <v>0</v>
      </c>
      <c r="DN523" s="1" t="s">
        <v>195</v>
      </c>
      <c r="DO523" s="1" t="s">
        <v>2</v>
      </c>
      <c r="DP523" s="38">
        <f t="shared" si="810"/>
        <v>0.1802</v>
      </c>
      <c r="DQ523" s="38">
        <f t="shared" si="811"/>
        <v>0</v>
      </c>
      <c r="DR523" s="38">
        <f t="shared" si="812"/>
        <v>0</v>
      </c>
      <c r="DS523" s="38">
        <f t="shared" si="813"/>
        <v>0</v>
      </c>
      <c r="DT523" s="38">
        <f t="shared" si="814"/>
        <v>0</v>
      </c>
      <c r="DU523" s="38">
        <f t="shared" si="815"/>
        <v>0</v>
      </c>
      <c r="DV523" s="38">
        <f t="shared" si="816"/>
        <v>0</v>
      </c>
      <c r="DW523" s="38">
        <f t="shared" si="817"/>
        <v>0.22259999999999999</v>
      </c>
      <c r="DX523" s="38">
        <f t="shared" si="818"/>
        <v>0</v>
      </c>
      <c r="DY523" s="38">
        <f t="shared" si="819"/>
        <v>0</v>
      </c>
      <c r="DZ523" s="38">
        <f t="shared" si="820"/>
        <v>0</v>
      </c>
      <c r="EA523" s="38">
        <f t="shared" si="821"/>
        <v>0</v>
      </c>
      <c r="EB523" s="38">
        <f t="shared" si="822"/>
        <v>0</v>
      </c>
      <c r="EC523" s="38">
        <f t="shared" si="823"/>
        <v>0</v>
      </c>
      <c r="ED523" s="38">
        <f t="shared" si="824"/>
        <v>0</v>
      </c>
      <c r="EE523" s="38">
        <f t="shared" si="825"/>
        <v>0</v>
      </c>
      <c r="EG523" s="38">
        <f t="shared" si="826"/>
        <v>0</v>
      </c>
      <c r="EH523" s="38">
        <f t="shared" si="827"/>
        <v>0</v>
      </c>
      <c r="EI523" s="38">
        <f t="shared" si="828"/>
        <v>1175.9160032</v>
      </c>
      <c r="EJ523" s="38">
        <f t="shared" si="829"/>
        <v>0</v>
      </c>
      <c r="EK523" s="38">
        <f t="shared" si="830"/>
        <v>0</v>
      </c>
      <c r="EL523" s="38">
        <f t="shared" si="831"/>
        <v>0</v>
      </c>
      <c r="EM523" s="38">
        <f t="shared" si="832"/>
        <v>0</v>
      </c>
      <c r="EN523" s="38">
        <f t="shared" si="833"/>
        <v>0</v>
      </c>
      <c r="EO523" s="38">
        <f t="shared" si="834"/>
        <v>0</v>
      </c>
      <c r="EP523" s="38">
        <f t="shared" si="835"/>
        <v>2919.1763999999998</v>
      </c>
      <c r="EQ523" s="38">
        <f t="shared" si="836"/>
        <v>0</v>
      </c>
      <c r="ER523" s="38">
        <f t="shared" si="837"/>
        <v>0</v>
      </c>
      <c r="ES523" s="38">
        <f t="shared" si="838"/>
        <v>0</v>
      </c>
      <c r="ET523" s="38">
        <f t="shared" si="839"/>
        <v>0</v>
      </c>
      <c r="EU523" s="38">
        <f t="shared" si="840"/>
        <v>0</v>
      </c>
      <c r="EV523" s="38">
        <f t="shared" si="841"/>
        <v>0</v>
      </c>
      <c r="EW523" s="38">
        <f t="shared" si="842"/>
        <v>0</v>
      </c>
      <c r="EX523" s="38">
        <f t="shared" si="843"/>
        <v>0</v>
      </c>
      <c r="EZ523" s="38">
        <f t="shared" si="844"/>
        <v>0</v>
      </c>
      <c r="FA523" s="38">
        <f t="shared" si="845"/>
        <v>0</v>
      </c>
      <c r="FB523" s="1">
        <f t="shared" si="846"/>
        <v>0</v>
      </c>
      <c r="FC523" s="1">
        <f t="shared" si="847"/>
        <v>0</v>
      </c>
      <c r="FD523" s="1">
        <f t="shared" si="848"/>
        <v>0</v>
      </c>
      <c r="FE523" s="1">
        <f t="shared" si="849"/>
        <v>0</v>
      </c>
      <c r="FF523" s="1">
        <f t="shared" si="850"/>
        <v>0</v>
      </c>
      <c r="FG523" s="1">
        <f t="shared" si="851"/>
        <v>0</v>
      </c>
      <c r="FH523" s="1">
        <f t="shared" si="852"/>
        <v>0</v>
      </c>
      <c r="FI523" s="1">
        <f t="shared" si="853"/>
        <v>0</v>
      </c>
      <c r="FJ523" s="1">
        <f t="shared" si="854"/>
        <v>0</v>
      </c>
      <c r="FK523" s="1">
        <f t="shared" si="855"/>
        <v>0</v>
      </c>
      <c r="FL523" s="1">
        <f t="shared" si="856"/>
        <v>0</v>
      </c>
      <c r="FM523" s="1">
        <f t="shared" si="857"/>
        <v>0</v>
      </c>
      <c r="FN523" s="1">
        <f t="shared" si="858"/>
        <v>0</v>
      </c>
      <c r="FO523" s="1">
        <f t="shared" si="859"/>
        <v>0</v>
      </c>
      <c r="FP523" s="1">
        <f t="shared" si="860"/>
        <v>0</v>
      </c>
      <c r="FQ523" s="1">
        <f t="shared" si="861"/>
        <v>0</v>
      </c>
      <c r="FS523" s="1">
        <f t="shared" si="862"/>
        <v>0</v>
      </c>
      <c r="FT523" s="1">
        <f t="shared" si="863"/>
        <v>0</v>
      </c>
      <c r="FU523" s="38">
        <f t="shared" si="864"/>
        <v>0</v>
      </c>
      <c r="FV523" s="38">
        <f t="shared" si="865"/>
        <v>0</v>
      </c>
      <c r="FW523" s="38">
        <f t="shared" si="866"/>
        <v>0</v>
      </c>
      <c r="FX523" s="38">
        <f t="shared" si="867"/>
        <v>0</v>
      </c>
      <c r="FY523" s="38">
        <f t="shared" si="868"/>
        <v>0</v>
      </c>
      <c r="FZ523" s="38">
        <f t="shared" si="869"/>
        <v>0</v>
      </c>
      <c r="GA523" s="38">
        <f t="shared" si="870"/>
        <v>0</v>
      </c>
      <c r="GB523" s="38">
        <f t="shared" si="871"/>
        <v>0</v>
      </c>
      <c r="GC523" s="38">
        <f t="shared" si="872"/>
        <v>0</v>
      </c>
      <c r="GD523" s="38">
        <f t="shared" si="873"/>
        <v>0</v>
      </c>
      <c r="GE523" s="38">
        <f t="shared" si="874"/>
        <v>0</v>
      </c>
      <c r="GF523" s="38">
        <f t="shared" si="875"/>
        <v>0</v>
      </c>
      <c r="GG523" s="38">
        <f t="shared" si="876"/>
        <v>0</v>
      </c>
      <c r="GH523" s="38">
        <f t="shared" si="877"/>
        <v>0</v>
      </c>
      <c r="GI523" s="38">
        <f t="shared" si="878"/>
        <v>0</v>
      </c>
      <c r="GJ523" s="38">
        <f t="shared" si="879"/>
        <v>0</v>
      </c>
      <c r="GL523" s="38">
        <f t="shared" si="880"/>
        <v>0</v>
      </c>
      <c r="GM523" s="38">
        <f t="shared" si="881"/>
        <v>0</v>
      </c>
      <c r="GN523" s="1" t="s">
        <v>2</v>
      </c>
      <c r="GO523" s="1">
        <f t="shared" si="889"/>
        <v>106</v>
      </c>
      <c r="GP523" s="1">
        <f t="shared" si="890"/>
        <v>0.21</v>
      </c>
      <c r="GQ523" s="41">
        <f t="shared" si="891"/>
        <v>222.6</v>
      </c>
      <c r="GR523" s="41">
        <f t="shared" si="892"/>
        <v>4095.0924031999998</v>
      </c>
      <c r="GS523" s="14">
        <f t="shared" si="893"/>
        <v>38.632947199999997</v>
      </c>
      <c r="GT523" s="1">
        <f t="shared" si="882"/>
        <v>0</v>
      </c>
      <c r="GU523" s="1">
        <f t="shared" si="883"/>
        <v>222.59999999999997</v>
      </c>
      <c r="GV523" s="1">
        <f t="shared" si="884"/>
        <v>0</v>
      </c>
      <c r="GW523" s="37">
        <f t="shared" si="894"/>
        <v>0</v>
      </c>
      <c r="GX523" s="37"/>
      <c r="GY523" s="37"/>
      <c r="GZ523" s="37"/>
      <c r="HB523" s="1">
        <f t="shared" si="885"/>
        <v>0</v>
      </c>
      <c r="HC523" s="1">
        <f t="shared" si="886"/>
        <v>0</v>
      </c>
      <c r="HD523" s="37" t="s">
        <v>2</v>
      </c>
      <c r="HE523" s="1" t="s">
        <v>113</v>
      </c>
      <c r="HF523" s="1" t="s">
        <v>129</v>
      </c>
      <c r="HI523" s="1" t="s">
        <v>96</v>
      </c>
      <c r="HJ523" s="37" t="s">
        <v>2</v>
      </c>
      <c r="JH523" s="58" t="s">
        <v>2</v>
      </c>
    </row>
    <row r="524" spans="1:268" ht="16.25" customHeight="1" x14ac:dyDescent="0.2">
      <c r="A524" s="15" t="s">
        <v>911</v>
      </c>
      <c r="B524" s="1" t="s">
        <v>71</v>
      </c>
      <c r="F524" s="1" t="s">
        <v>912</v>
      </c>
      <c r="I524" s="1">
        <v>0</v>
      </c>
      <c r="AD524" s="1">
        <v>0</v>
      </c>
      <c r="AY524" s="13">
        <v>37.201155999999997</v>
      </c>
      <c r="AZ524" s="1">
        <v>0.42</v>
      </c>
      <c r="BG524" s="1">
        <v>0.46</v>
      </c>
      <c r="BT524" s="1">
        <v>0</v>
      </c>
      <c r="CO524" s="1">
        <v>0</v>
      </c>
      <c r="DJ524" s="1" t="s">
        <v>96</v>
      </c>
      <c r="DL524" s="1">
        <f t="shared" si="887"/>
        <v>0.46</v>
      </c>
      <c r="DM524" s="1">
        <f t="shared" si="888"/>
        <v>0</v>
      </c>
      <c r="DN524" s="1" t="s">
        <v>913</v>
      </c>
      <c r="DO524" s="1" t="s">
        <v>2</v>
      </c>
      <c r="DP524" s="38">
        <f t="shared" si="810"/>
        <v>0.15624485519999998</v>
      </c>
      <c r="DQ524" s="38">
        <f t="shared" si="811"/>
        <v>0</v>
      </c>
      <c r="DR524" s="38">
        <f t="shared" si="812"/>
        <v>0</v>
      </c>
      <c r="DS524" s="38">
        <f t="shared" si="813"/>
        <v>0</v>
      </c>
      <c r="DT524" s="38">
        <f t="shared" si="814"/>
        <v>0</v>
      </c>
      <c r="DU524" s="38">
        <f t="shared" si="815"/>
        <v>0</v>
      </c>
      <c r="DV524" s="38">
        <f t="shared" si="816"/>
        <v>0</v>
      </c>
      <c r="DW524" s="38">
        <f t="shared" si="817"/>
        <v>0.17112531759999999</v>
      </c>
      <c r="DX524" s="38">
        <f t="shared" si="818"/>
        <v>0</v>
      </c>
      <c r="DY524" s="38">
        <f t="shared" si="819"/>
        <v>0</v>
      </c>
      <c r="DZ524" s="38">
        <f t="shared" si="820"/>
        <v>0</v>
      </c>
      <c r="EA524" s="38">
        <f t="shared" si="821"/>
        <v>0</v>
      </c>
      <c r="EB524" s="38">
        <f t="shared" si="822"/>
        <v>0</v>
      </c>
      <c r="EC524" s="38">
        <f t="shared" si="823"/>
        <v>0</v>
      </c>
      <c r="ED524" s="38">
        <f t="shared" si="824"/>
        <v>0</v>
      </c>
      <c r="EE524" s="38">
        <f t="shared" si="825"/>
        <v>0</v>
      </c>
      <c r="EG524" s="38">
        <f t="shared" si="826"/>
        <v>0</v>
      </c>
      <c r="EH524" s="38">
        <f t="shared" si="827"/>
        <v>0</v>
      </c>
      <c r="EI524" s="38">
        <f t="shared" si="828"/>
        <v>1019.5939270108031</v>
      </c>
      <c r="EJ524" s="38">
        <f t="shared" si="829"/>
        <v>0</v>
      </c>
      <c r="EK524" s="38">
        <f t="shared" si="830"/>
        <v>0</v>
      </c>
      <c r="EL524" s="38">
        <f t="shared" si="831"/>
        <v>0</v>
      </c>
      <c r="EM524" s="38">
        <f t="shared" si="832"/>
        <v>0</v>
      </c>
      <c r="EN524" s="38">
        <f t="shared" si="833"/>
        <v>0</v>
      </c>
      <c r="EO524" s="38">
        <f t="shared" si="834"/>
        <v>0</v>
      </c>
      <c r="EP524" s="38">
        <f t="shared" si="835"/>
        <v>2244.1374150063998</v>
      </c>
      <c r="EQ524" s="38">
        <f t="shared" si="836"/>
        <v>0</v>
      </c>
      <c r="ER524" s="38">
        <f t="shared" si="837"/>
        <v>0</v>
      </c>
      <c r="ES524" s="38">
        <f t="shared" si="838"/>
        <v>0</v>
      </c>
      <c r="ET524" s="38">
        <f t="shared" si="839"/>
        <v>0</v>
      </c>
      <c r="EU524" s="38">
        <f t="shared" si="840"/>
        <v>0</v>
      </c>
      <c r="EV524" s="38">
        <f t="shared" si="841"/>
        <v>0</v>
      </c>
      <c r="EW524" s="38">
        <f t="shared" si="842"/>
        <v>0</v>
      </c>
      <c r="EX524" s="38">
        <f t="shared" si="843"/>
        <v>0</v>
      </c>
      <c r="EZ524" s="38">
        <f t="shared" si="844"/>
        <v>0</v>
      </c>
      <c r="FA524" s="38">
        <f t="shared" si="845"/>
        <v>0</v>
      </c>
      <c r="FB524" s="1">
        <f t="shared" si="846"/>
        <v>0</v>
      </c>
      <c r="FC524" s="1">
        <f t="shared" si="847"/>
        <v>0</v>
      </c>
      <c r="FD524" s="1">
        <f t="shared" si="848"/>
        <v>0</v>
      </c>
      <c r="FE524" s="1">
        <f t="shared" si="849"/>
        <v>0</v>
      </c>
      <c r="FF524" s="1">
        <f t="shared" si="850"/>
        <v>0</v>
      </c>
      <c r="FG524" s="1">
        <f t="shared" si="851"/>
        <v>0</v>
      </c>
      <c r="FH524" s="1">
        <f t="shared" si="852"/>
        <v>0</v>
      </c>
      <c r="FI524" s="1">
        <f t="shared" si="853"/>
        <v>0</v>
      </c>
      <c r="FJ524" s="1">
        <f t="shared" si="854"/>
        <v>0</v>
      </c>
      <c r="FK524" s="1">
        <f t="shared" si="855"/>
        <v>0</v>
      </c>
      <c r="FL524" s="1">
        <f t="shared" si="856"/>
        <v>0</v>
      </c>
      <c r="FM524" s="1">
        <f t="shared" si="857"/>
        <v>0</v>
      </c>
      <c r="FN524" s="1">
        <f t="shared" si="858"/>
        <v>0</v>
      </c>
      <c r="FO524" s="1">
        <f t="shared" si="859"/>
        <v>0</v>
      </c>
      <c r="FP524" s="1">
        <f t="shared" si="860"/>
        <v>0</v>
      </c>
      <c r="FQ524" s="1">
        <f t="shared" si="861"/>
        <v>0</v>
      </c>
      <c r="FS524" s="1">
        <f t="shared" si="862"/>
        <v>0</v>
      </c>
      <c r="FT524" s="1">
        <f t="shared" si="863"/>
        <v>0</v>
      </c>
      <c r="FU524" s="38">
        <f t="shared" si="864"/>
        <v>0</v>
      </c>
      <c r="FV524" s="38">
        <f t="shared" si="865"/>
        <v>0</v>
      </c>
      <c r="FW524" s="38">
        <f t="shared" si="866"/>
        <v>0</v>
      </c>
      <c r="FX524" s="38">
        <f t="shared" si="867"/>
        <v>0</v>
      </c>
      <c r="FY524" s="38">
        <f t="shared" si="868"/>
        <v>0</v>
      </c>
      <c r="FZ524" s="38">
        <f t="shared" si="869"/>
        <v>0</v>
      </c>
      <c r="GA524" s="38">
        <f t="shared" si="870"/>
        <v>0</v>
      </c>
      <c r="GB524" s="38">
        <f t="shared" si="871"/>
        <v>0</v>
      </c>
      <c r="GC524" s="38">
        <f t="shared" si="872"/>
        <v>0</v>
      </c>
      <c r="GD524" s="38">
        <f t="shared" si="873"/>
        <v>0</v>
      </c>
      <c r="GE524" s="38">
        <f t="shared" si="874"/>
        <v>0</v>
      </c>
      <c r="GF524" s="38">
        <f t="shared" si="875"/>
        <v>0</v>
      </c>
      <c r="GG524" s="38">
        <f t="shared" si="876"/>
        <v>0</v>
      </c>
      <c r="GH524" s="38">
        <f t="shared" si="877"/>
        <v>0</v>
      </c>
      <c r="GI524" s="38">
        <f t="shared" si="878"/>
        <v>0</v>
      </c>
      <c r="GJ524" s="38">
        <f t="shared" si="879"/>
        <v>0</v>
      </c>
      <c r="GL524" s="38">
        <f t="shared" si="880"/>
        <v>0</v>
      </c>
      <c r="GM524" s="38">
        <f t="shared" si="881"/>
        <v>0</v>
      </c>
      <c r="GN524" s="1" t="s">
        <v>2</v>
      </c>
      <c r="GO524" s="13">
        <f t="shared" si="889"/>
        <v>37.201155999999997</v>
      </c>
      <c r="GP524" s="1">
        <f t="shared" si="890"/>
        <v>0.46</v>
      </c>
      <c r="GQ524" s="41">
        <f t="shared" si="891"/>
        <v>171.12531759999999</v>
      </c>
      <c r="GR524" s="41">
        <f t="shared" si="892"/>
        <v>3263.7313420172031</v>
      </c>
      <c r="GS524" s="14">
        <f t="shared" si="893"/>
        <v>87.731987200000006</v>
      </c>
      <c r="GT524" s="1">
        <f t="shared" si="882"/>
        <v>0</v>
      </c>
      <c r="GU524" s="1">
        <f t="shared" si="883"/>
        <v>0</v>
      </c>
      <c r="GV524" s="1">
        <f t="shared" si="884"/>
        <v>171.12531759999999</v>
      </c>
      <c r="GW524" s="37">
        <f t="shared" si="894"/>
        <v>0</v>
      </c>
      <c r="GX524" s="37"/>
      <c r="GY524" s="37"/>
      <c r="GZ524" s="37"/>
      <c r="HB524" s="1">
        <f t="shared" si="885"/>
        <v>0</v>
      </c>
      <c r="HC524" s="1">
        <f t="shared" si="886"/>
        <v>0</v>
      </c>
      <c r="HD524" s="37" t="s">
        <v>2</v>
      </c>
      <c r="HE524" s="1" t="s">
        <v>113</v>
      </c>
      <c r="HF524" s="1" t="s">
        <v>129</v>
      </c>
      <c r="HI524" s="1" t="s">
        <v>96</v>
      </c>
      <c r="HJ524" s="37" t="s">
        <v>2</v>
      </c>
      <c r="JH524" s="58" t="s">
        <v>2</v>
      </c>
    </row>
    <row r="525" spans="1:268" ht="16.25" customHeight="1" x14ac:dyDescent="0.2">
      <c r="A525" s="15" t="s">
        <v>914</v>
      </c>
      <c r="B525" s="1" t="s">
        <v>71</v>
      </c>
      <c r="F525" s="1" t="s">
        <v>912</v>
      </c>
      <c r="I525" s="1">
        <v>0</v>
      </c>
      <c r="AD525" s="1">
        <v>0</v>
      </c>
      <c r="AY525" s="13">
        <v>4.4675609999999999</v>
      </c>
      <c r="AZ525" s="1">
        <v>1.19</v>
      </c>
      <c r="BG525" s="1">
        <v>1.47</v>
      </c>
      <c r="BT525" s="1">
        <v>0</v>
      </c>
      <c r="CO525" s="1">
        <v>0</v>
      </c>
      <c r="DJ525" s="1" t="s">
        <v>96</v>
      </c>
      <c r="DL525" s="1">
        <f t="shared" si="887"/>
        <v>1.47</v>
      </c>
      <c r="DM525" s="1">
        <f t="shared" si="888"/>
        <v>0</v>
      </c>
      <c r="DN525" s="1" t="s">
        <v>913</v>
      </c>
      <c r="DO525" s="1" t="s">
        <v>2</v>
      </c>
      <c r="DP525" s="38">
        <f t="shared" si="810"/>
        <v>5.3163975899999993E-2</v>
      </c>
      <c r="DQ525" s="38">
        <f t="shared" si="811"/>
        <v>0</v>
      </c>
      <c r="DR525" s="38">
        <f t="shared" si="812"/>
        <v>0</v>
      </c>
      <c r="DS525" s="38">
        <f t="shared" si="813"/>
        <v>0</v>
      </c>
      <c r="DT525" s="38">
        <f t="shared" si="814"/>
        <v>0</v>
      </c>
      <c r="DU525" s="38">
        <f t="shared" si="815"/>
        <v>0</v>
      </c>
      <c r="DV525" s="38">
        <f t="shared" si="816"/>
        <v>0</v>
      </c>
      <c r="DW525" s="38">
        <f t="shared" si="817"/>
        <v>6.5673146700000004E-2</v>
      </c>
      <c r="DX525" s="38">
        <f t="shared" si="818"/>
        <v>0</v>
      </c>
      <c r="DY525" s="38">
        <f t="shared" si="819"/>
        <v>0</v>
      </c>
      <c r="DZ525" s="38">
        <f t="shared" si="820"/>
        <v>0</v>
      </c>
      <c r="EA525" s="38">
        <f t="shared" si="821"/>
        <v>0</v>
      </c>
      <c r="EB525" s="38">
        <f t="shared" si="822"/>
        <v>0</v>
      </c>
      <c r="EC525" s="38">
        <f t="shared" si="823"/>
        <v>0</v>
      </c>
      <c r="ED525" s="38">
        <f t="shared" si="824"/>
        <v>0</v>
      </c>
      <c r="EE525" s="38">
        <f t="shared" si="825"/>
        <v>0</v>
      </c>
      <c r="EG525" s="38">
        <f t="shared" si="826"/>
        <v>0</v>
      </c>
      <c r="EH525" s="38">
        <f t="shared" si="827"/>
        <v>0</v>
      </c>
      <c r="EI525" s="38">
        <f t="shared" si="828"/>
        <v>346.92769175665438</v>
      </c>
      <c r="EJ525" s="38">
        <f t="shared" si="829"/>
        <v>0</v>
      </c>
      <c r="EK525" s="38">
        <f t="shared" si="830"/>
        <v>0</v>
      </c>
      <c r="EL525" s="38">
        <f t="shared" si="831"/>
        <v>0</v>
      </c>
      <c r="EM525" s="38">
        <f t="shared" si="832"/>
        <v>0</v>
      </c>
      <c r="EN525" s="38">
        <f t="shared" si="833"/>
        <v>0</v>
      </c>
      <c r="EO525" s="38">
        <f t="shared" si="834"/>
        <v>0</v>
      </c>
      <c r="EP525" s="38">
        <f t="shared" si="835"/>
        <v>861.23764582380011</v>
      </c>
      <c r="EQ525" s="38">
        <f t="shared" si="836"/>
        <v>0</v>
      </c>
      <c r="ER525" s="38">
        <f t="shared" si="837"/>
        <v>0</v>
      </c>
      <c r="ES525" s="38">
        <f t="shared" si="838"/>
        <v>0</v>
      </c>
      <c r="ET525" s="38">
        <f t="shared" si="839"/>
        <v>0</v>
      </c>
      <c r="EU525" s="38">
        <f t="shared" si="840"/>
        <v>0</v>
      </c>
      <c r="EV525" s="38">
        <f t="shared" si="841"/>
        <v>0</v>
      </c>
      <c r="EW525" s="38">
        <f t="shared" si="842"/>
        <v>0</v>
      </c>
      <c r="EX525" s="38">
        <f t="shared" si="843"/>
        <v>0</v>
      </c>
      <c r="EZ525" s="38">
        <f t="shared" si="844"/>
        <v>0</v>
      </c>
      <c r="FA525" s="38">
        <f t="shared" si="845"/>
        <v>0</v>
      </c>
      <c r="FB525" s="1">
        <f t="shared" si="846"/>
        <v>0</v>
      </c>
      <c r="FC525" s="1">
        <f t="shared" si="847"/>
        <v>0</v>
      </c>
      <c r="FD525" s="1">
        <f t="shared" si="848"/>
        <v>0</v>
      </c>
      <c r="FE525" s="1">
        <f t="shared" si="849"/>
        <v>0</v>
      </c>
      <c r="FF525" s="1">
        <f t="shared" si="850"/>
        <v>0</v>
      </c>
      <c r="FG525" s="1">
        <f t="shared" si="851"/>
        <v>0</v>
      </c>
      <c r="FH525" s="1">
        <f t="shared" si="852"/>
        <v>0</v>
      </c>
      <c r="FI525" s="1">
        <f t="shared" si="853"/>
        <v>0</v>
      </c>
      <c r="FJ525" s="1">
        <f t="shared" si="854"/>
        <v>0</v>
      </c>
      <c r="FK525" s="1">
        <f t="shared" si="855"/>
        <v>0</v>
      </c>
      <c r="FL525" s="1">
        <f t="shared" si="856"/>
        <v>0</v>
      </c>
      <c r="FM525" s="1">
        <f t="shared" si="857"/>
        <v>0</v>
      </c>
      <c r="FN525" s="1">
        <f t="shared" si="858"/>
        <v>0</v>
      </c>
      <c r="FO525" s="1">
        <f t="shared" si="859"/>
        <v>0</v>
      </c>
      <c r="FP525" s="1">
        <f t="shared" si="860"/>
        <v>0</v>
      </c>
      <c r="FQ525" s="1">
        <f t="shared" si="861"/>
        <v>0</v>
      </c>
      <c r="FS525" s="1">
        <f t="shared" si="862"/>
        <v>0</v>
      </c>
      <c r="FT525" s="1">
        <f t="shared" si="863"/>
        <v>0</v>
      </c>
      <c r="FU525" s="38">
        <f t="shared" si="864"/>
        <v>0</v>
      </c>
      <c r="FV525" s="38">
        <f t="shared" si="865"/>
        <v>0</v>
      </c>
      <c r="FW525" s="38">
        <f t="shared" si="866"/>
        <v>0</v>
      </c>
      <c r="FX525" s="38">
        <f t="shared" si="867"/>
        <v>0</v>
      </c>
      <c r="FY525" s="38">
        <f t="shared" si="868"/>
        <v>0</v>
      </c>
      <c r="FZ525" s="38">
        <f t="shared" si="869"/>
        <v>0</v>
      </c>
      <c r="GA525" s="38">
        <f t="shared" si="870"/>
        <v>0</v>
      </c>
      <c r="GB525" s="38">
        <f t="shared" si="871"/>
        <v>0</v>
      </c>
      <c r="GC525" s="38">
        <f t="shared" si="872"/>
        <v>0</v>
      </c>
      <c r="GD525" s="38">
        <f t="shared" si="873"/>
        <v>0</v>
      </c>
      <c r="GE525" s="38">
        <f t="shared" si="874"/>
        <v>0</v>
      </c>
      <c r="GF525" s="38">
        <f t="shared" si="875"/>
        <v>0</v>
      </c>
      <c r="GG525" s="38">
        <f t="shared" si="876"/>
        <v>0</v>
      </c>
      <c r="GH525" s="38">
        <f t="shared" si="877"/>
        <v>0</v>
      </c>
      <c r="GI525" s="38">
        <f t="shared" si="878"/>
        <v>0</v>
      </c>
      <c r="GJ525" s="38">
        <f t="shared" si="879"/>
        <v>0</v>
      </c>
      <c r="GL525" s="38">
        <f t="shared" si="880"/>
        <v>0</v>
      </c>
      <c r="GM525" s="38">
        <f t="shared" si="881"/>
        <v>0</v>
      </c>
      <c r="GN525" s="1" t="s">
        <v>2</v>
      </c>
      <c r="GO525" s="2">
        <f t="shared" si="889"/>
        <v>4.4675609999999999</v>
      </c>
      <c r="GP525" s="1">
        <f t="shared" si="890"/>
        <v>1.47</v>
      </c>
      <c r="GQ525" s="41">
        <f t="shared" si="891"/>
        <v>65.673146700000004</v>
      </c>
      <c r="GR525" s="41">
        <f t="shared" si="892"/>
        <v>1208.1653375804544</v>
      </c>
      <c r="GS525" s="14">
        <f t="shared" si="893"/>
        <v>270.43063040000004</v>
      </c>
      <c r="GT525" s="1">
        <f t="shared" si="882"/>
        <v>0</v>
      </c>
      <c r="GU525" s="1">
        <f t="shared" si="883"/>
        <v>0</v>
      </c>
      <c r="GV525" s="1">
        <f t="shared" si="884"/>
        <v>65.673146700000004</v>
      </c>
      <c r="GW525" s="37">
        <f t="shared" si="894"/>
        <v>0</v>
      </c>
      <c r="GX525" s="37"/>
      <c r="GY525" s="37"/>
      <c r="GZ525" s="37"/>
      <c r="HB525" s="1">
        <f t="shared" si="885"/>
        <v>0</v>
      </c>
      <c r="HC525" s="1">
        <f t="shared" si="886"/>
        <v>0</v>
      </c>
      <c r="HD525" s="37" t="s">
        <v>2</v>
      </c>
      <c r="HE525" s="1" t="s">
        <v>113</v>
      </c>
      <c r="HF525" s="1" t="s">
        <v>129</v>
      </c>
      <c r="HI525" s="1" t="s">
        <v>96</v>
      </c>
      <c r="HJ525" s="37" t="s">
        <v>2</v>
      </c>
      <c r="JH525" s="58" t="s">
        <v>2</v>
      </c>
    </row>
    <row r="526" spans="1:268" ht="16.25" customHeight="1" x14ac:dyDescent="0.2">
      <c r="A526" s="15" t="s">
        <v>915</v>
      </c>
      <c r="B526" s="1" t="s">
        <v>71</v>
      </c>
      <c r="F526" s="1" t="s">
        <v>912</v>
      </c>
      <c r="I526" s="1">
        <v>0</v>
      </c>
      <c r="AD526" s="1">
        <v>0</v>
      </c>
      <c r="AY526" s="13">
        <v>26.753516999999999</v>
      </c>
      <c r="AZ526" s="1">
        <v>1.1499999999999999</v>
      </c>
      <c r="BG526" s="1">
        <v>0.79</v>
      </c>
      <c r="BT526" s="1">
        <v>0</v>
      </c>
      <c r="CO526" s="1">
        <v>0</v>
      </c>
      <c r="DJ526" s="1" t="s">
        <v>96</v>
      </c>
      <c r="DL526" s="1">
        <f t="shared" si="887"/>
        <v>0.79</v>
      </c>
      <c r="DM526" s="1">
        <f t="shared" si="888"/>
        <v>0</v>
      </c>
      <c r="DN526" s="1" t="s">
        <v>913</v>
      </c>
      <c r="DO526" s="1" t="s">
        <v>2</v>
      </c>
      <c r="DP526" s="38">
        <f t="shared" si="810"/>
        <v>0.30766544549999997</v>
      </c>
      <c r="DQ526" s="38">
        <f t="shared" si="811"/>
        <v>0</v>
      </c>
      <c r="DR526" s="38">
        <f t="shared" si="812"/>
        <v>0</v>
      </c>
      <c r="DS526" s="38">
        <f t="shared" si="813"/>
        <v>0</v>
      </c>
      <c r="DT526" s="38">
        <f t="shared" si="814"/>
        <v>0</v>
      </c>
      <c r="DU526" s="38">
        <f t="shared" si="815"/>
        <v>0</v>
      </c>
      <c r="DV526" s="38">
        <f t="shared" si="816"/>
        <v>0</v>
      </c>
      <c r="DW526" s="38">
        <f t="shared" si="817"/>
        <v>0.21135278429999999</v>
      </c>
      <c r="DX526" s="38">
        <f t="shared" si="818"/>
        <v>0</v>
      </c>
      <c r="DY526" s="38">
        <f t="shared" si="819"/>
        <v>0</v>
      </c>
      <c r="DZ526" s="38">
        <f t="shared" si="820"/>
        <v>0</v>
      </c>
      <c r="EA526" s="38">
        <f t="shared" si="821"/>
        <v>0</v>
      </c>
      <c r="EB526" s="38">
        <f t="shared" si="822"/>
        <v>0</v>
      </c>
      <c r="EC526" s="38">
        <f t="shared" si="823"/>
        <v>0</v>
      </c>
      <c r="ED526" s="38">
        <f t="shared" si="824"/>
        <v>0</v>
      </c>
      <c r="EE526" s="38">
        <f t="shared" si="825"/>
        <v>0</v>
      </c>
      <c r="EG526" s="38">
        <f t="shared" si="826"/>
        <v>0</v>
      </c>
      <c r="EH526" s="38">
        <f t="shared" si="827"/>
        <v>0</v>
      </c>
      <c r="EI526" s="38">
        <f t="shared" si="828"/>
        <v>2007.7065538019278</v>
      </c>
      <c r="EJ526" s="38">
        <f t="shared" si="829"/>
        <v>0</v>
      </c>
      <c r="EK526" s="38">
        <f t="shared" si="830"/>
        <v>0</v>
      </c>
      <c r="EL526" s="38">
        <f t="shared" si="831"/>
        <v>0</v>
      </c>
      <c r="EM526" s="38">
        <f t="shared" si="832"/>
        <v>0</v>
      </c>
      <c r="EN526" s="38">
        <f t="shared" si="833"/>
        <v>0</v>
      </c>
      <c r="EO526" s="38">
        <f t="shared" si="834"/>
        <v>0</v>
      </c>
      <c r="EP526" s="38">
        <f t="shared" si="835"/>
        <v>2771.6804133101996</v>
      </c>
      <c r="EQ526" s="38">
        <f t="shared" si="836"/>
        <v>0</v>
      </c>
      <c r="ER526" s="38">
        <f t="shared" si="837"/>
        <v>0</v>
      </c>
      <c r="ES526" s="38">
        <f t="shared" si="838"/>
        <v>0</v>
      </c>
      <c r="ET526" s="38">
        <f t="shared" si="839"/>
        <v>0</v>
      </c>
      <c r="EU526" s="38">
        <f t="shared" si="840"/>
        <v>0</v>
      </c>
      <c r="EV526" s="38">
        <f t="shared" si="841"/>
        <v>0</v>
      </c>
      <c r="EW526" s="38">
        <f t="shared" si="842"/>
        <v>0</v>
      </c>
      <c r="EX526" s="38">
        <f t="shared" si="843"/>
        <v>0</v>
      </c>
      <c r="EZ526" s="38">
        <f t="shared" si="844"/>
        <v>0</v>
      </c>
      <c r="FA526" s="38">
        <f t="shared" si="845"/>
        <v>0</v>
      </c>
      <c r="FB526" s="1">
        <f t="shared" si="846"/>
        <v>0</v>
      </c>
      <c r="FC526" s="1">
        <f t="shared" si="847"/>
        <v>0</v>
      </c>
      <c r="FD526" s="1">
        <f t="shared" si="848"/>
        <v>0</v>
      </c>
      <c r="FE526" s="1">
        <f t="shared" si="849"/>
        <v>0</v>
      </c>
      <c r="FF526" s="1">
        <f t="shared" si="850"/>
        <v>0</v>
      </c>
      <c r="FG526" s="1">
        <f t="shared" si="851"/>
        <v>0</v>
      </c>
      <c r="FH526" s="1">
        <f t="shared" si="852"/>
        <v>0</v>
      </c>
      <c r="FI526" s="1">
        <f t="shared" si="853"/>
        <v>0</v>
      </c>
      <c r="FJ526" s="1">
        <f t="shared" si="854"/>
        <v>0</v>
      </c>
      <c r="FK526" s="1">
        <f t="shared" si="855"/>
        <v>0</v>
      </c>
      <c r="FL526" s="1">
        <f t="shared" si="856"/>
        <v>0</v>
      </c>
      <c r="FM526" s="1">
        <f t="shared" si="857"/>
        <v>0</v>
      </c>
      <c r="FN526" s="1">
        <f t="shared" si="858"/>
        <v>0</v>
      </c>
      <c r="FO526" s="1">
        <f t="shared" si="859"/>
        <v>0</v>
      </c>
      <c r="FP526" s="1">
        <f t="shared" si="860"/>
        <v>0</v>
      </c>
      <c r="FQ526" s="1">
        <f t="shared" si="861"/>
        <v>0</v>
      </c>
      <c r="FS526" s="1">
        <f t="shared" si="862"/>
        <v>0</v>
      </c>
      <c r="FT526" s="1">
        <f t="shared" si="863"/>
        <v>0</v>
      </c>
      <c r="FU526" s="38">
        <f t="shared" si="864"/>
        <v>0</v>
      </c>
      <c r="FV526" s="38">
        <f t="shared" si="865"/>
        <v>0</v>
      </c>
      <c r="FW526" s="38">
        <f t="shared" si="866"/>
        <v>0</v>
      </c>
      <c r="FX526" s="38">
        <f t="shared" si="867"/>
        <v>0</v>
      </c>
      <c r="FY526" s="38">
        <f t="shared" si="868"/>
        <v>0</v>
      </c>
      <c r="FZ526" s="38">
        <f t="shared" si="869"/>
        <v>0</v>
      </c>
      <c r="GA526" s="38">
        <f t="shared" si="870"/>
        <v>0</v>
      </c>
      <c r="GB526" s="38">
        <f t="shared" si="871"/>
        <v>0</v>
      </c>
      <c r="GC526" s="38">
        <f t="shared" si="872"/>
        <v>0</v>
      </c>
      <c r="GD526" s="38">
        <f t="shared" si="873"/>
        <v>0</v>
      </c>
      <c r="GE526" s="38">
        <f t="shared" si="874"/>
        <v>0</v>
      </c>
      <c r="GF526" s="38">
        <f t="shared" si="875"/>
        <v>0</v>
      </c>
      <c r="GG526" s="38">
        <f t="shared" si="876"/>
        <v>0</v>
      </c>
      <c r="GH526" s="38">
        <f t="shared" si="877"/>
        <v>0</v>
      </c>
      <c r="GI526" s="38">
        <f t="shared" si="878"/>
        <v>0</v>
      </c>
      <c r="GJ526" s="38">
        <f t="shared" si="879"/>
        <v>0</v>
      </c>
      <c r="GL526" s="38">
        <f t="shared" si="880"/>
        <v>0</v>
      </c>
      <c r="GM526" s="38">
        <f t="shared" si="881"/>
        <v>0</v>
      </c>
      <c r="GN526" s="1" t="s">
        <v>2</v>
      </c>
      <c r="GO526" s="13">
        <f t="shared" si="889"/>
        <v>26.753516999999999</v>
      </c>
      <c r="GP526" s="1">
        <f t="shared" si="890"/>
        <v>0.79</v>
      </c>
      <c r="GQ526" s="41">
        <f t="shared" si="891"/>
        <v>211.35278430000002</v>
      </c>
      <c r="GR526" s="41">
        <f t="shared" si="892"/>
        <v>4779.3869671121274</v>
      </c>
      <c r="GS526" s="14">
        <f t="shared" si="893"/>
        <v>178.645184</v>
      </c>
      <c r="GT526" s="1">
        <f t="shared" si="882"/>
        <v>0</v>
      </c>
      <c r="GU526" s="1">
        <f t="shared" si="883"/>
        <v>0</v>
      </c>
      <c r="GV526" s="1">
        <f t="shared" si="884"/>
        <v>211.3527843</v>
      </c>
      <c r="GW526" s="37">
        <f t="shared" si="894"/>
        <v>0</v>
      </c>
      <c r="GX526" s="37"/>
      <c r="GY526" s="37"/>
      <c r="GZ526" s="37"/>
      <c r="HB526" s="1">
        <f t="shared" si="885"/>
        <v>0</v>
      </c>
      <c r="HC526" s="1">
        <f t="shared" si="886"/>
        <v>0</v>
      </c>
      <c r="HD526" s="37" t="s">
        <v>2</v>
      </c>
      <c r="HE526" s="1" t="s">
        <v>113</v>
      </c>
      <c r="HF526" s="1" t="s">
        <v>129</v>
      </c>
      <c r="HI526" s="1" t="s">
        <v>96</v>
      </c>
      <c r="HJ526" s="37" t="s">
        <v>2</v>
      </c>
      <c r="JH526" s="58" t="s">
        <v>2</v>
      </c>
    </row>
    <row r="527" spans="1:268" ht="16.25" customHeight="1" x14ac:dyDescent="0.2">
      <c r="A527" s="15" t="s">
        <v>916</v>
      </c>
      <c r="B527" s="1" t="s">
        <v>71</v>
      </c>
      <c r="F527" s="1" t="s">
        <v>912</v>
      </c>
      <c r="I527" s="1">
        <v>0</v>
      </c>
      <c r="AD527" s="1">
        <v>0</v>
      </c>
      <c r="AY527" s="13">
        <v>19.505586000000001</v>
      </c>
      <c r="AZ527" s="1">
        <v>0.75</v>
      </c>
      <c r="BG527" s="1">
        <v>0.68</v>
      </c>
      <c r="BT527" s="1">
        <v>0</v>
      </c>
      <c r="CO527" s="1">
        <v>0</v>
      </c>
      <c r="DJ527" s="1" t="s">
        <v>96</v>
      </c>
      <c r="DL527" s="1">
        <f t="shared" si="887"/>
        <v>0.68</v>
      </c>
      <c r="DM527" s="1">
        <f t="shared" si="888"/>
        <v>0</v>
      </c>
      <c r="DN527" s="1" t="s">
        <v>913</v>
      </c>
      <c r="DO527" s="1" t="s">
        <v>2</v>
      </c>
      <c r="DP527" s="38">
        <f t="shared" si="810"/>
        <v>0.14629189500000001</v>
      </c>
      <c r="DQ527" s="38">
        <f t="shared" si="811"/>
        <v>0</v>
      </c>
      <c r="DR527" s="38">
        <f t="shared" si="812"/>
        <v>0</v>
      </c>
      <c r="DS527" s="38">
        <f t="shared" si="813"/>
        <v>0</v>
      </c>
      <c r="DT527" s="38">
        <f t="shared" si="814"/>
        <v>0</v>
      </c>
      <c r="DU527" s="38">
        <f t="shared" si="815"/>
        <v>0</v>
      </c>
      <c r="DV527" s="38">
        <f t="shared" si="816"/>
        <v>0</v>
      </c>
      <c r="DW527" s="38">
        <f t="shared" si="817"/>
        <v>0.13263798480000002</v>
      </c>
      <c r="DX527" s="38">
        <f t="shared" si="818"/>
        <v>0</v>
      </c>
      <c r="DY527" s="38">
        <f t="shared" si="819"/>
        <v>0</v>
      </c>
      <c r="DZ527" s="38">
        <f t="shared" si="820"/>
        <v>0</v>
      </c>
      <c r="EA527" s="38">
        <f t="shared" si="821"/>
        <v>0</v>
      </c>
      <c r="EB527" s="38">
        <f t="shared" si="822"/>
        <v>0</v>
      </c>
      <c r="EC527" s="38">
        <f t="shared" si="823"/>
        <v>0</v>
      </c>
      <c r="ED527" s="38">
        <f t="shared" si="824"/>
        <v>0</v>
      </c>
      <c r="EE527" s="38">
        <f t="shared" si="825"/>
        <v>0</v>
      </c>
      <c r="EG527" s="38">
        <f t="shared" si="826"/>
        <v>0</v>
      </c>
      <c r="EH527" s="38">
        <f t="shared" si="827"/>
        <v>0</v>
      </c>
      <c r="EI527" s="38">
        <f t="shared" si="828"/>
        <v>954.64473068232007</v>
      </c>
      <c r="EJ527" s="38">
        <f t="shared" si="829"/>
        <v>0</v>
      </c>
      <c r="EK527" s="38">
        <f t="shared" si="830"/>
        <v>0</v>
      </c>
      <c r="EL527" s="38">
        <f t="shared" si="831"/>
        <v>0</v>
      </c>
      <c r="EM527" s="38">
        <f t="shared" si="832"/>
        <v>0</v>
      </c>
      <c r="EN527" s="38">
        <f t="shared" si="833"/>
        <v>0</v>
      </c>
      <c r="EO527" s="38">
        <f t="shared" si="834"/>
        <v>0</v>
      </c>
      <c r="EP527" s="38">
        <f t="shared" si="835"/>
        <v>1739.4145326672003</v>
      </c>
      <c r="EQ527" s="38">
        <f t="shared" si="836"/>
        <v>0</v>
      </c>
      <c r="ER527" s="38">
        <f t="shared" si="837"/>
        <v>0</v>
      </c>
      <c r="ES527" s="38">
        <f t="shared" si="838"/>
        <v>0</v>
      </c>
      <c r="ET527" s="38">
        <f t="shared" si="839"/>
        <v>0</v>
      </c>
      <c r="EU527" s="38">
        <f t="shared" si="840"/>
        <v>0</v>
      </c>
      <c r="EV527" s="38">
        <f t="shared" si="841"/>
        <v>0</v>
      </c>
      <c r="EW527" s="38">
        <f t="shared" si="842"/>
        <v>0</v>
      </c>
      <c r="EX527" s="38">
        <f t="shared" si="843"/>
        <v>0</v>
      </c>
      <c r="EZ527" s="38">
        <f t="shared" si="844"/>
        <v>0</v>
      </c>
      <c r="FA527" s="38">
        <f t="shared" si="845"/>
        <v>0</v>
      </c>
      <c r="FB527" s="1">
        <f t="shared" si="846"/>
        <v>0</v>
      </c>
      <c r="FC527" s="1">
        <f t="shared" si="847"/>
        <v>0</v>
      </c>
      <c r="FD527" s="1">
        <f t="shared" si="848"/>
        <v>0</v>
      </c>
      <c r="FE527" s="1">
        <f t="shared" si="849"/>
        <v>0</v>
      </c>
      <c r="FF527" s="1">
        <f t="shared" si="850"/>
        <v>0</v>
      </c>
      <c r="FG527" s="1">
        <f t="shared" si="851"/>
        <v>0</v>
      </c>
      <c r="FH527" s="1">
        <f t="shared" si="852"/>
        <v>0</v>
      </c>
      <c r="FI527" s="1">
        <f t="shared" si="853"/>
        <v>0</v>
      </c>
      <c r="FJ527" s="1">
        <f t="shared" si="854"/>
        <v>0</v>
      </c>
      <c r="FK527" s="1">
        <f t="shared" si="855"/>
        <v>0</v>
      </c>
      <c r="FL527" s="1">
        <f t="shared" si="856"/>
        <v>0</v>
      </c>
      <c r="FM527" s="1">
        <f t="shared" si="857"/>
        <v>0</v>
      </c>
      <c r="FN527" s="1">
        <f t="shared" si="858"/>
        <v>0</v>
      </c>
      <c r="FO527" s="1">
        <f t="shared" si="859"/>
        <v>0</v>
      </c>
      <c r="FP527" s="1">
        <f t="shared" si="860"/>
        <v>0</v>
      </c>
      <c r="FQ527" s="1">
        <f t="shared" si="861"/>
        <v>0</v>
      </c>
      <c r="FS527" s="1">
        <f t="shared" si="862"/>
        <v>0</v>
      </c>
      <c r="FT527" s="1">
        <f t="shared" si="863"/>
        <v>0</v>
      </c>
      <c r="FU527" s="38">
        <f t="shared" si="864"/>
        <v>0</v>
      </c>
      <c r="FV527" s="38">
        <f t="shared" si="865"/>
        <v>0</v>
      </c>
      <c r="FW527" s="38">
        <f t="shared" si="866"/>
        <v>0</v>
      </c>
      <c r="FX527" s="38">
        <f t="shared" si="867"/>
        <v>0</v>
      </c>
      <c r="FY527" s="38">
        <f t="shared" si="868"/>
        <v>0</v>
      </c>
      <c r="FZ527" s="38">
        <f t="shared" si="869"/>
        <v>0</v>
      </c>
      <c r="GA527" s="38">
        <f t="shared" si="870"/>
        <v>0</v>
      </c>
      <c r="GB527" s="38">
        <f t="shared" si="871"/>
        <v>0</v>
      </c>
      <c r="GC527" s="38">
        <f t="shared" si="872"/>
        <v>0</v>
      </c>
      <c r="GD527" s="38">
        <f t="shared" si="873"/>
        <v>0</v>
      </c>
      <c r="GE527" s="38">
        <f t="shared" si="874"/>
        <v>0</v>
      </c>
      <c r="GF527" s="38">
        <f t="shared" si="875"/>
        <v>0</v>
      </c>
      <c r="GG527" s="38">
        <f t="shared" si="876"/>
        <v>0</v>
      </c>
      <c r="GH527" s="38">
        <f t="shared" si="877"/>
        <v>0</v>
      </c>
      <c r="GI527" s="38">
        <f t="shared" si="878"/>
        <v>0</v>
      </c>
      <c r="GJ527" s="38">
        <f t="shared" si="879"/>
        <v>0</v>
      </c>
      <c r="GL527" s="38">
        <f t="shared" si="880"/>
        <v>0</v>
      </c>
      <c r="GM527" s="38">
        <f t="shared" si="881"/>
        <v>0</v>
      </c>
      <c r="GN527" s="1" t="s">
        <v>2</v>
      </c>
      <c r="GO527" s="13">
        <f t="shared" si="889"/>
        <v>19.505586000000001</v>
      </c>
      <c r="GP527" s="1">
        <f t="shared" si="890"/>
        <v>0.68</v>
      </c>
      <c r="GQ527" s="41">
        <f t="shared" si="891"/>
        <v>132.63798480000003</v>
      </c>
      <c r="GR527" s="41">
        <f t="shared" si="892"/>
        <v>2694.0592633495203</v>
      </c>
      <c r="GS527" s="14">
        <f t="shared" si="893"/>
        <v>138.11732000000001</v>
      </c>
      <c r="GT527" s="1">
        <f t="shared" si="882"/>
        <v>0</v>
      </c>
      <c r="GU527" s="1">
        <f t="shared" si="883"/>
        <v>0</v>
      </c>
      <c r="GV527" s="1">
        <f t="shared" si="884"/>
        <v>132.63798480000003</v>
      </c>
      <c r="GW527" s="37">
        <f t="shared" si="894"/>
        <v>0</v>
      </c>
      <c r="GX527" s="37"/>
      <c r="GY527" s="37"/>
      <c r="GZ527" s="37"/>
      <c r="HB527" s="1">
        <f t="shared" si="885"/>
        <v>0</v>
      </c>
      <c r="HC527" s="1">
        <f t="shared" si="886"/>
        <v>0</v>
      </c>
      <c r="HD527" s="37" t="s">
        <v>2</v>
      </c>
      <c r="HE527" s="1" t="s">
        <v>113</v>
      </c>
      <c r="HF527" s="1" t="s">
        <v>129</v>
      </c>
      <c r="HI527" s="1" t="s">
        <v>96</v>
      </c>
      <c r="HJ527" s="37" t="s">
        <v>2</v>
      </c>
      <c r="JH527" s="58" t="s">
        <v>2</v>
      </c>
    </row>
    <row r="528" spans="1:268" ht="16.25" customHeight="1" x14ac:dyDescent="0.2">
      <c r="A528" s="15" t="s">
        <v>917</v>
      </c>
      <c r="B528" s="1" t="s">
        <v>71</v>
      </c>
      <c r="F528" s="1" t="s">
        <v>912</v>
      </c>
      <c r="I528" s="1">
        <v>0</v>
      </c>
      <c r="AD528" s="1">
        <v>0</v>
      </c>
      <c r="AY528" s="13">
        <v>5.9466710000000003</v>
      </c>
      <c r="AZ528" s="1">
        <v>0.95</v>
      </c>
      <c r="BG528" s="1">
        <v>1.0900000000000001</v>
      </c>
      <c r="BT528" s="1">
        <v>0</v>
      </c>
      <c r="CO528" s="1">
        <v>0</v>
      </c>
      <c r="DJ528" s="1" t="s">
        <v>96</v>
      </c>
      <c r="DL528" s="1">
        <f t="shared" si="887"/>
        <v>1.0900000000000001</v>
      </c>
      <c r="DM528" s="1">
        <f t="shared" si="888"/>
        <v>0</v>
      </c>
      <c r="DN528" s="1" t="s">
        <v>913</v>
      </c>
      <c r="DO528" s="1" t="s">
        <v>2</v>
      </c>
      <c r="DP528" s="38">
        <f t="shared" si="810"/>
        <v>5.6493374499999999E-2</v>
      </c>
      <c r="DQ528" s="38">
        <f t="shared" si="811"/>
        <v>0</v>
      </c>
      <c r="DR528" s="38">
        <f t="shared" si="812"/>
        <v>0</v>
      </c>
      <c r="DS528" s="38">
        <f t="shared" si="813"/>
        <v>0</v>
      </c>
      <c r="DT528" s="38">
        <f t="shared" si="814"/>
        <v>0</v>
      </c>
      <c r="DU528" s="38">
        <f t="shared" si="815"/>
        <v>0</v>
      </c>
      <c r="DV528" s="38">
        <f t="shared" si="816"/>
        <v>0</v>
      </c>
      <c r="DW528" s="38">
        <f t="shared" si="817"/>
        <v>6.4818713900000005E-2</v>
      </c>
      <c r="DX528" s="38">
        <f t="shared" si="818"/>
        <v>0</v>
      </c>
      <c r="DY528" s="38">
        <f t="shared" si="819"/>
        <v>0</v>
      </c>
      <c r="DZ528" s="38">
        <f t="shared" si="820"/>
        <v>0</v>
      </c>
      <c r="EA528" s="38">
        <f t="shared" si="821"/>
        <v>0</v>
      </c>
      <c r="EB528" s="38">
        <f t="shared" si="822"/>
        <v>0</v>
      </c>
      <c r="EC528" s="38">
        <f t="shared" si="823"/>
        <v>0</v>
      </c>
      <c r="ED528" s="38">
        <f t="shared" si="824"/>
        <v>0</v>
      </c>
      <c r="EE528" s="38">
        <f t="shared" si="825"/>
        <v>0</v>
      </c>
      <c r="EG528" s="38">
        <f t="shared" si="826"/>
        <v>0</v>
      </c>
      <c r="EH528" s="38">
        <f t="shared" si="827"/>
        <v>0</v>
      </c>
      <c r="EI528" s="38">
        <f t="shared" si="828"/>
        <v>368.65406853119197</v>
      </c>
      <c r="EJ528" s="38">
        <f t="shared" si="829"/>
        <v>0</v>
      </c>
      <c r="EK528" s="38">
        <f t="shared" si="830"/>
        <v>0</v>
      </c>
      <c r="EL528" s="38">
        <f t="shared" si="831"/>
        <v>0</v>
      </c>
      <c r="EM528" s="38">
        <f t="shared" si="832"/>
        <v>0</v>
      </c>
      <c r="EN528" s="38">
        <f t="shared" si="833"/>
        <v>0</v>
      </c>
      <c r="EO528" s="38">
        <f t="shared" si="834"/>
        <v>0</v>
      </c>
      <c r="EP528" s="38">
        <f t="shared" si="835"/>
        <v>850.03261408460003</v>
      </c>
      <c r="EQ528" s="38">
        <f t="shared" si="836"/>
        <v>0</v>
      </c>
      <c r="ER528" s="38">
        <f t="shared" si="837"/>
        <v>0</v>
      </c>
      <c r="ES528" s="38">
        <f t="shared" si="838"/>
        <v>0</v>
      </c>
      <c r="ET528" s="38">
        <f t="shared" si="839"/>
        <v>0</v>
      </c>
      <c r="EU528" s="38">
        <f t="shared" si="840"/>
        <v>0</v>
      </c>
      <c r="EV528" s="38">
        <f t="shared" si="841"/>
        <v>0</v>
      </c>
      <c r="EW528" s="38">
        <f t="shared" si="842"/>
        <v>0</v>
      </c>
      <c r="EX528" s="38">
        <f t="shared" si="843"/>
        <v>0</v>
      </c>
      <c r="EZ528" s="38">
        <f t="shared" si="844"/>
        <v>0</v>
      </c>
      <c r="FA528" s="38">
        <f t="shared" si="845"/>
        <v>0</v>
      </c>
      <c r="FB528" s="1">
        <f t="shared" si="846"/>
        <v>0</v>
      </c>
      <c r="FC528" s="1">
        <f t="shared" si="847"/>
        <v>0</v>
      </c>
      <c r="FD528" s="1">
        <f t="shared" si="848"/>
        <v>0</v>
      </c>
      <c r="FE528" s="1">
        <f t="shared" si="849"/>
        <v>0</v>
      </c>
      <c r="FF528" s="1">
        <f t="shared" si="850"/>
        <v>0</v>
      </c>
      <c r="FG528" s="1">
        <f t="shared" si="851"/>
        <v>0</v>
      </c>
      <c r="FH528" s="1">
        <f t="shared" si="852"/>
        <v>0</v>
      </c>
      <c r="FI528" s="1">
        <f t="shared" si="853"/>
        <v>0</v>
      </c>
      <c r="FJ528" s="1">
        <f t="shared" si="854"/>
        <v>0</v>
      </c>
      <c r="FK528" s="1">
        <f t="shared" si="855"/>
        <v>0</v>
      </c>
      <c r="FL528" s="1">
        <f t="shared" si="856"/>
        <v>0</v>
      </c>
      <c r="FM528" s="1">
        <f t="shared" si="857"/>
        <v>0</v>
      </c>
      <c r="FN528" s="1">
        <f t="shared" si="858"/>
        <v>0</v>
      </c>
      <c r="FO528" s="1">
        <f t="shared" si="859"/>
        <v>0</v>
      </c>
      <c r="FP528" s="1">
        <f t="shared" si="860"/>
        <v>0</v>
      </c>
      <c r="FQ528" s="1">
        <f t="shared" si="861"/>
        <v>0</v>
      </c>
      <c r="FS528" s="1">
        <f t="shared" si="862"/>
        <v>0</v>
      </c>
      <c r="FT528" s="1">
        <f t="shared" si="863"/>
        <v>0</v>
      </c>
      <c r="FU528" s="38">
        <f t="shared" si="864"/>
        <v>0</v>
      </c>
      <c r="FV528" s="38">
        <f t="shared" si="865"/>
        <v>0</v>
      </c>
      <c r="FW528" s="38">
        <f t="shared" si="866"/>
        <v>0</v>
      </c>
      <c r="FX528" s="38">
        <f t="shared" si="867"/>
        <v>0</v>
      </c>
      <c r="FY528" s="38">
        <f t="shared" si="868"/>
        <v>0</v>
      </c>
      <c r="FZ528" s="38">
        <f t="shared" si="869"/>
        <v>0</v>
      </c>
      <c r="GA528" s="38">
        <f t="shared" si="870"/>
        <v>0</v>
      </c>
      <c r="GB528" s="38">
        <f t="shared" si="871"/>
        <v>0</v>
      </c>
      <c r="GC528" s="38">
        <f t="shared" si="872"/>
        <v>0</v>
      </c>
      <c r="GD528" s="38">
        <f t="shared" si="873"/>
        <v>0</v>
      </c>
      <c r="GE528" s="38">
        <f t="shared" si="874"/>
        <v>0</v>
      </c>
      <c r="GF528" s="38">
        <f t="shared" si="875"/>
        <v>0</v>
      </c>
      <c r="GG528" s="38">
        <f t="shared" si="876"/>
        <v>0</v>
      </c>
      <c r="GH528" s="38">
        <f t="shared" si="877"/>
        <v>0</v>
      </c>
      <c r="GI528" s="38">
        <f t="shared" si="878"/>
        <v>0</v>
      </c>
      <c r="GJ528" s="38">
        <f t="shared" si="879"/>
        <v>0</v>
      </c>
      <c r="GL528" s="38">
        <f t="shared" si="880"/>
        <v>0</v>
      </c>
      <c r="GM528" s="38">
        <f t="shared" si="881"/>
        <v>0</v>
      </c>
      <c r="GN528" s="1" t="s">
        <v>2</v>
      </c>
      <c r="GO528" s="2">
        <f t="shared" si="889"/>
        <v>5.9466710000000003</v>
      </c>
      <c r="GP528" s="1">
        <f t="shared" si="890"/>
        <v>1.0900000000000001</v>
      </c>
      <c r="GQ528" s="41">
        <f t="shared" si="891"/>
        <v>64.818713900000006</v>
      </c>
      <c r="GR528" s="41">
        <f t="shared" si="892"/>
        <v>1218.6866826157921</v>
      </c>
      <c r="GS528" s="14">
        <f t="shared" si="893"/>
        <v>204.93595199999999</v>
      </c>
      <c r="GT528" s="1">
        <f t="shared" si="882"/>
        <v>0</v>
      </c>
      <c r="GU528" s="1">
        <f t="shared" si="883"/>
        <v>0</v>
      </c>
      <c r="GV528" s="1">
        <f t="shared" si="884"/>
        <v>64.818713900000006</v>
      </c>
      <c r="GW528" s="37">
        <f t="shared" si="894"/>
        <v>0</v>
      </c>
      <c r="GX528" s="37"/>
      <c r="GY528" s="37"/>
      <c r="GZ528" s="37"/>
      <c r="HB528" s="1">
        <f t="shared" si="885"/>
        <v>0</v>
      </c>
      <c r="HC528" s="1">
        <f t="shared" si="886"/>
        <v>0</v>
      </c>
      <c r="HD528" s="37" t="s">
        <v>2</v>
      </c>
      <c r="HE528" s="1" t="s">
        <v>113</v>
      </c>
      <c r="HF528" s="1" t="s">
        <v>129</v>
      </c>
      <c r="HI528" s="1" t="s">
        <v>96</v>
      </c>
      <c r="HJ528" s="37" t="s">
        <v>2</v>
      </c>
      <c r="JH528" s="58" t="s">
        <v>2</v>
      </c>
    </row>
    <row r="529" spans="1:268" ht="16.25" customHeight="1" x14ac:dyDescent="0.2">
      <c r="A529" s="15" t="s">
        <v>642</v>
      </c>
      <c r="B529" s="1" t="s">
        <v>69</v>
      </c>
      <c r="F529" s="1" t="s">
        <v>131</v>
      </c>
      <c r="I529" s="1">
        <v>0</v>
      </c>
      <c r="AD529" s="1">
        <v>0</v>
      </c>
      <c r="AY529" s="2">
        <v>4.3749169999999999</v>
      </c>
      <c r="AZ529" s="1">
        <v>0.87</v>
      </c>
      <c r="BG529" s="1">
        <v>0.52</v>
      </c>
      <c r="BT529" s="1">
        <v>0</v>
      </c>
      <c r="CO529" s="1">
        <v>0</v>
      </c>
      <c r="DJ529" s="1" t="s">
        <v>96</v>
      </c>
      <c r="DL529" s="1">
        <f t="shared" si="887"/>
        <v>0.52</v>
      </c>
      <c r="DM529" s="1">
        <f t="shared" si="888"/>
        <v>0</v>
      </c>
      <c r="DN529" s="1" t="s">
        <v>643</v>
      </c>
      <c r="DO529" s="1" t="s">
        <v>2</v>
      </c>
      <c r="DP529" s="38">
        <f t="shared" si="810"/>
        <v>3.8061777900000003E-2</v>
      </c>
      <c r="DQ529" s="38">
        <f t="shared" si="811"/>
        <v>0</v>
      </c>
      <c r="DR529" s="38">
        <f t="shared" si="812"/>
        <v>0</v>
      </c>
      <c r="DS529" s="38">
        <f t="shared" si="813"/>
        <v>0</v>
      </c>
      <c r="DT529" s="38">
        <f t="shared" si="814"/>
        <v>0</v>
      </c>
      <c r="DU529" s="38">
        <f t="shared" si="815"/>
        <v>0</v>
      </c>
      <c r="DV529" s="38">
        <f t="shared" si="816"/>
        <v>0</v>
      </c>
      <c r="DW529" s="38">
        <f t="shared" si="817"/>
        <v>2.2749568400000003E-2</v>
      </c>
      <c r="DX529" s="38">
        <f t="shared" si="818"/>
        <v>0</v>
      </c>
      <c r="DY529" s="38">
        <f t="shared" si="819"/>
        <v>0</v>
      </c>
      <c r="DZ529" s="38">
        <f t="shared" si="820"/>
        <v>0</v>
      </c>
      <c r="EA529" s="38">
        <f t="shared" si="821"/>
        <v>0</v>
      </c>
      <c r="EB529" s="38">
        <f t="shared" si="822"/>
        <v>0</v>
      </c>
      <c r="EC529" s="38">
        <f t="shared" si="823"/>
        <v>0</v>
      </c>
      <c r="ED529" s="38">
        <f t="shared" si="824"/>
        <v>0</v>
      </c>
      <c r="EE529" s="38">
        <f t="shared" si="825"/>
        <v>0</v>
      </c>
      <c r="EG529" s="38">
        <f t="shared" si="826"/>
        <v>0</v>
      </c>
      <c r="EH529" s="38">
        <f t="shared" si="827"/>
        <v>0</v>
      </c>
      <c r="EI529" s="38">
        <f t="shared" si="828"/>
        <v>248.37654685268643</v>
      </c>
      <c r="EJ529" s="38">
        <f t="shared" si="829"/>
        <v>0</v>
      </c>
      <c r="EK529" s="38">
        <f t="shared" si="830"/>
        <v>0</v>
      </c>
      <c r="EL529" s="38">
        <f t="shared" si="831"/>
        <v>0</v>
      </c>
      <c r="EM529" s="38">
        <f t="shared" si="832"/>
        <v>0</v>
      </c>
      <c r="EN529" s="38">
        <f t="shared" si="833"/>
        <v>0</v>
      </c>
      <c r="EO529" s="38">
        <f t="shared" si="834"/>
        <v>0</v>
      </c>
      <c r="EP529" s="38">
        <f t="shared" si="835"/>
        <v>298.33783999760004</v>
      </c>
      <c r="EQ529" s="38">
        <f t="shared" si="836"/>
        <v>0</v>
      </c>
      <c r="ER529" s="38">
        <f t="shared" si="837"/>
        <v>0</v>
      </c>
      <c r="ES529" s="38">
        <f t="shared" si="838"/>
        <v>0</v>
      </c>
      <c r="ET529" s="38">
        <f t="shared" si="839"/>
        <v>0</v>
      </c>
      <c r="EU529" s="38">
        <f t="shared" si="840"/>
        <v>0</v>
      </c>
      <c r="EV529" s="38">
        <f t="shared" si="841"/>
        <v>0</v>
      </c>
      <c r="EW529" s="38">
        <f t="shared" si="842"/>
        <v>0</v>
      </c>
      <c r="EX529" s="38">
        <f t="shared" si="843"/>
        <v>0</v>
      </c>
      <c r="EZ529" s="38">
        <f t="shared" si="844"/>
        <v>0</v>
      </c>
      <c r="FA529" s="38">
        <f t="shared" si="845"/>
        <v>0</v>
      </c>
      <c r="FB529" s="1">
        <f t="shared" si="846"/>
        <v>0</v>
      </c>
      <c r="FC529" s="1">
        <f t="shared" si="847"/>
        <v>0</v>
      </c>
      <c r="FD529" s="1">
        <f t="shared" si="848"/>
        <v>0</v>
      </c>
      <c r="FE529" s="1">
        <f t="shared" si="849"/>
        <v>0</v>
      </c>
      <c r="FF529" s="1">
        <f t="shared" si="850"/>
        <v>0</v>
      </c>
      <c r="FG529" s="1">
        <f t="shared" si="851"/>
        <v>0</v>
      </c>
      <c r="FH529" s="1">
        <f t="shared" si="852"/>
        <v>0</v>
      </c>
      <c r="FI529" s="1">
        <f t="shared" si="853"/>
        <v>0</v>
      </c>
      <c r="FJ529" s="1">
        <f t="shared" si="854"/>
        <v>0</v>
      </c>
      <c r="FK529" s="1">
        <f t="shared" si="855"/>
        <v>0</v>
      </c>
      <c r="FL529" s="1">
        <f t="shared" si="856"/>
        <v>0</v>
      </c>
      <c r="FM529" s="1">
        <f t="shared" si="857"/>
        <v>0</v>
      </c>
      <c r="FN529" s="1">
        <f t="shared" si="858"/>
        <v>0</v>
      </c>
      <c r="FO529" s="1">
        <f t="shared" si="859"/>
        <v>0</v>
      </c>
      <c r="FP529" s="1">
        <f t="shared" si="860"/>
        <v>0</v>
      </c>
      <c r="FQ529" s="1">
        <f t="shared" si="861"/>
        <v>0</v>
      </c>
      <c r="FS529" s="1">
        <f t="shared" si="862"/>
        <v>0</v>
      </c>
      <c r="FT529" s="1">
        <f t="shared" si="863"/>
        <v>0</v>
      </c>
      <c r="FU529" s="38">
        <f t="shared" si="864"/>
        <v>0</v>
      </c>
      <c r="FV529" s="38">
        <f t="shared" si="865"/>
        <v>0</v>
      </c>
      <c r="FW529" s="38">
        <f t="shared" si="866"/>
        <v>0</v>
      </c>
      <c r="FX529" s="38">
        <f t="shared" si="867"/>
        <v>0</v>
      </c>
      <c r="FY529" s="38">
        <f t="shared" si="868"/>
        <v>0</v>
      </c>
      <c r="FZ529" s="38">
        <f t="shared" si="869"/>
        <v>0</v>
      </c>
      <c r="GA529" s="38">
        <f t="shared" si="870"/>
        <v>0</v>
      </c>
      <c r="GB529" s="38">
        <f t="shared" si="871"/>
        <v>0</v>
      </c>
      <c r="GC529" s="38">
        <f t="shared" si="872"/>
        <v>0</v>
      </c>
      <c r="GD529" s="38">
        <f t="shared" si="873"/>
        <v>0</v>
      </c>
      <c r="GE529" s="38">
        <f t="shared" si="874"/>
        <v>0</v>
      </c>
      <c r="GF529" s="38">
        <f t="shared" si="875"/>
        <v>0</v>
      </c>
      <c r="GG529" s="38">
        <f t="shared" si="876"/>
        <v>0</v>
      </c>
      <c r="GH529" s="38">
        <f t="shared" si="877"/>
        <v>0</v>
      </c>
      <c r="GI529" s="38">
        <f t="shared" si="878"/>
        <v>0</v>
      </c>
      <c r="GJ529" s="38">
        <f t="shared" si="879"/>
        <v>0</v>
      </c>
      <c r="GL529" s="38">
        <f t="shared" si="880"/>
        <v>0</v>
      </c>
      <c r="GM529" s="38">
        <f t="shared" si="881"/>
        <v>0</v>
      </c>
      <c r="GN529" s="1" t="s">
        <v>2</v>
      </c>
      <c r="GO529" s="2">
        <f t="shared" si="889"/>
        <v>4.3749169999999999</v>
      </c>
      <c r="GP529" s="1">
        <f t="shared" si="890"/>
        <v>0.52</v>
      </c>
      <c r="GQ529" s="41">
        <f t="shared" si="891"/>
        <v>22.749568400000001</v>
      </c>
      <c r="GR529" s="41">
        <f t="shared" si="892"/>
        <v>546.71438685028647</v>
      </c>
      <c r="GS529" s="14">
        <f t="shared" si="893"/>
        <v>124.96565920000002</v>
      </c>
      <c r="GT529" s="1">
        <f t="shared" si="882"/>
        <v>0</v>
      </c>
      <c r="GU529" s="1">
        <f t="shared" si="883"/>
        <v>0</v>
      </c>
      <c r="GV529" s="1">
        <f t="shared" si="884"/>
        <v>22.749568400000001</v>
      </c>
      <c r="GW529" s="37">
        <f t="shared" si="894"/>
        <v>0</v>
      </c>
      <c r="GX529" s="37"/>
      <c r="GY529" s="37"/>
      <c r="GZ529" s="37"/>
      <c r="HB529" s="1">
        <f t="shared" si="885"/>
        <v>0</v>
      </c>
      <c r="HC529" s="1">
        <f t="shared" si="886"/>
        <v>0</v>
      </c>
      <c r="HD529" s="37" t="s">
        <v>2</v>
      </c>
      <c r="HE529" s="1" t="s">
        <v>113</v>
      </c>
      <c r="HF529" s="1" t="s">
        <v>129</v>
      </c>
      <c r="HI529" s="1" t="s">
        <v>96</v>
      </c>
      <c r="HJ529" s="37" t="s">
        <v>2</v>
      </c>
      <c r="JH529" s="58" t="s">
        <v>2</v>
      </c>
    </row>
    <row r="530" spans="1:268" ht="16.25" customHeight="1" x14ac:dyDescent="0.2">
      <c r="A530" s="15" t="s">
        <v>678</v>
      </c>
      <c r="B530" s="1" t="s">
        <v>69</v>
      </c>
      <c r="F530" s="1" t="s">
        <v>679</v>
      </c>
      <c r="I530" s="1">
        <v>5.3460000000000001</v>
      </c>
      <c r="J530" s="1">
        <v>1.07</v>
      </c>
      <c r="Q530" s="1">
        <v>2.08</v>
      </c>
      <c r="S530" s="1">
        <v>1.04</v>
      </c>
      <c r="T530" s="1">
        <v>3.55</v>
      </c>
      <c r="AD530" s="1">
        <v>5.6429999999999998</v>
      </c>
      <c r="AE530" s="1">
        <v>0.89</v>
      </c>
      <c r="AL530" s="13">
        <v>1.5</v>
      </c>
      <c r="AN530" s="1">
        <v>0.94</v>
      </c>
      <c r="AO530" s="1">
        <v>3.27</v>
      </c>
      <c r="AY530" s="1">
        <v>8.9659999999999993</v>
      </c>
      <c r="AZ530" s="1">
        <v>1.1399999999999999</v>
      </c>
      <c r="BG530" s="13">
        <v>1.1000000000000001</v>
      </c>
      <c r="BI530" s="1">
        <v>1.1599999999999999</v>
      </c>
      <c r="BJ530" s="1">
        <v>3.49</v>
      </c>
      <c r="BT530" s="1">
        <v>5.2640000000000002</v>
      </c>
      <c r="BU530" s="1">
        <v>1.04</v>
      </c>
      <c r="CB530" s="1">
        <v>2.02</v>
      </c>
      <c r="CD530" s="1">
        <v>1.1000000000000001</v>
      </c>
      <c r="CE530" s="1">
        <v>3.45</v>
      </c>
      <c r="CO530" s="1">
        <v>5.867</v>
      </c>
      <c r="CP530" s="1">
        <v>0.72</v>
      </c>
      <c r="CW530" s="1">
        <v>1.38</v>
      </c>
      <c r="CY530" s="1">
        <v>0.78</v>
      </c>
      <c r="CZ530" s="1">
        <v>2.76</v>
      </c>
      <c r="DJ530" s="1" t="s">
        <v>96</v>
      </c>
      <c r="DL530" s="1">
        <f t="shared" si="887"/>
        <v>1.4756592332748686</v>
      </c>
      <c r="DM530" s="1">
        <f t="shared" si="888"/>
        <v>0</v>
      </c>
      <c r="DN530" s="1" t="s">
        <v>185</v>
      </c>
      <c r="DO530" s="1" t="s">
        <v>2</v>
      </c>
      <c r="DP530" s="38">
        <f t="shared" si="810"/>
        <v>0.20963729999999997</v>
      </c>
      <c r="DQ530" s="38">
        <f t="shared" si="811"/>
        <v>0</v>
      </c>
      <c r="DR530" s="38">
        <f t="shared" si="812"/>
        <v>0</v>
      </c>
      <c r="DS530" s="38">
        <f t="shared" si="813"/>
        <v>0</v>
      </c>
      <c r="DT530" s="38">
        <f t="shared" si="814"/>
        <v>0</v>
      </c>
      <c r="DU530" s="38">
        <f t="shared" si="815"/>
        <v>0</v>
      </c>
      <c r="DV530" s="38">
        <f t="shared" si="816"/>
        <v>0</v>
      </c>
      <c r="DW530" s="38">
        <f t="shared" si="817"/>
        <v>0.2944678</v>
      </c>
      <c r="DX530" s="38">
        <f t="shared" si="818"/>
        <v>0</v>
      </c>
      <c r="DY530" s="38">
        <f t="shared" si="819"/>
        <v>21.26482</v>
      </c>
      <c r="DZ530" s="38">
        <f t="shared" si="820"/>
        <v>68.722250000000003</v>
      </c>
      <c r="EA530" s="38">
        <f t="shared" si="821"/>
        <v>0</v>
      </c>
      <c r="EB530" s="38">
        <f t="shared" si="822"/>
        <v>0</v>
      </c>
      <c r="EC530" s="38">
        <f t="shared" si="823"/>
        <v>0</v>
      </c>
      <c r="ED530" s="38">
        <f t="shared" si="824"/>
        <v>0</v>
      </c>
      <c r="EE530" s="38">
        <f t="shared" si="825"/>
        <v>0</v>
      </c>
      <c r="EG530" s="38">
        <f t="shared" si="826"/>
        <v>0</v>
      </c>
      <c r="EH530" s="38">
        <f t="shared" si="827"/>
        <v>0</v>
      </c>
      <c r="EI530" s="38">
        <f t="shared" si="828"/>
        <v>1368.0125190767999</v>
      </c>
      <c r="EJ530" s="38">
        <f t="shared" si="829"/>
        <v>0</v>
      </c>
      <c r="EK530" s="38">
        <f t="shared" si="830"/>
        <v>0</v>
      </c>
      <c r="EL530" s="38">
        <f t="shared" si="831"/>
        <v>0</v>
      </c>
      <c r="EM530" s="38">
        <f t="shared" si="832"/>
        <v>0</v>
      </c>
      <c r="EN530" s="38">
        <f t="shared" si="833"/>
        <v>0</v>
      </c>
      <c r="EO530" s="38">
        <f t="shared" si="834"/>
        <v>0</v>
      </c>
      <c r="EP530" s="38">
        <f t="shared" si="835"/>
        <v>3861.6507292000001</v>
      </c>
      <c r="EQ530" s="38">
        <f t="shared" si="836"/>
        <v>0</v>
      </c>
      <c r="ER530" s="38">
        <f t="shared" si="837"/>
        <v>603.52430936334395</v>
      </c>
      <c r="ES530" s="38">
        <f t="shared" si="838"/>
        <v>2290.2186999196142</v>
      </c>
      <c r="ET530" s="38">
        <f t="shared" si="839"/>
        <v>0</v>
      </c>
      <c r="EU530" s="38">
        <f t="shared" si="840"/>
        <v>0</v>
      </c>
      <c r="EV530" s="38">
        <f t="shared" si="841"/>
        <v>0</v>
      </c>
      <c r="EW530" s="38">
        <f t="shared" si="842"/>
        <v>0</v>
      </c>
      <c r="EX530" s="38">
        <f t="shared" si="843"/>
        <v>0</v>
      </c>
      <c r="EZ530" s="38">
        <f t="shared" si="844"/>
        <v>0</v>
      </c>
      <c r="FA530" s="38">
        <f t="shared" si="845"/>
        <v>0</v>
      </c>
      <c r="FB530" s="1">
        <f t="shared" si="846"/>
        <v>9.6988000000000005E-2</v>
      </c>
      <c r="FC530" s="1">
        <f t="shared" si="847"/>
        <v>0</v>
      </c>
      <c r="FD530" s="1">
        <f t="shared" si="848"/>
        <v>0</v>
      </c>
      <c r="FE530" s="1">
        <f t="shared" si="849"/>
        <v>0</v>
      </c>
      <c r="FF530" s="1">
        <f t="shared" si="850"/>
        <v>0</v>
      </c>
      <c r="FG530" s="1">
        <f t="shared" si="851"/>
        <v>0</v>
      </c>
      <c r="FH530" s="1">
        <f t="shared" si="852"/>
        <v>0</v>
      </c>
      <c r="FI530" s="1">
        <f t="shared" si="853"/>
        <v>0.1872974</v>
      </c>
      <c r="FJ530" s="1">
        <f t="shared" si="854"/>
        <v>0</v>
      </c>
      <c r="FK530" s="1">
        <f t="shared" si="855"/>
        <v>10.366660000000001</v>
      </c>
      <c r="FL530" s="1">
        <f t="shared" si="856"/>
        <v>34.353719999999996</v>
      </c>
      <c r="FM530" s="1">
        <f t="shared" si="857"/>
        <v>0</v>
      </c>
      <c r="FN530" s="1">
        <f t="shared" si="858"/>
        <v>0</v>
      </c>
      <c r="FO530" s="1">
        <f t="shared" si="859"/>
        <v>0</v>
      </c>
      <c r="FP530" s="1">
        <f t="shared" si="860"/>
        <v>0</v>
      </c>
      <c r="FQ530" s="1">
        <f t="shared" si="861"/>
        <v>0</v>
      </c>
      <c r="FS530" s="1">
        <f t="shared" si="862"/>
        <v>0</v>
      </c>
      <c r="FT530" s="1">
        <f t="shared" si="863"/>
        <v>0</v>
      </c>
      <c r="FU530" s="38">
        <f t="shared" si="864"/>
        <v>632.90644460800002</v>
      </c>
      <c r="FV530" s="38">
        <f t="shared" si="865"/>
        <v>0</v>
      </c>
      <c r="FW530" s="38">
        <f t="shared" si="866"/>
        <v>0</v>
      </c>
      <c r="FX530" s="38">
        <f t="shared" si="867"/>
        <v>0</v>
      </c>
      <c r="FY530" s="38">
        <f t="shared" si="868"/>
        <v>0</v>
      </c>
      <c r="FZ530" s="38">
        <f t="shared" si="869"/>
        <v>0</v>
      </c>
      <c r="GA530" s="38">
        <f t="shared" si="870"/>
        <v>0</v>
      </c>
      <c r="GB530" s="38">
        <f t="shared" si="871"/>
        <v>2456.2181036000002</v>
      </c>
      <c r="GC530" s="38">
        <f t="shared" si="872"/>
        <v>0</v>
      </c>
      <c r="GD530" s="38">
        <f t="shared" si="873"/>
        <v>294.2198107909968</v>
      </c>
      <c r="GE530" s="38">
        <f t="shared" si="874"/>
        <v>1144.8625729774919</v>
      </c>
      <c r="GF530" s="38">
        <f t="shared" si="875"/>
        <v>0</v>
      </c>
      <c r="GG530" s="38">
        <f t="shared" si="876"/>
        <v>0</v>
      </c>
      <c r="GH530" s="38">
        <f t="shared" si="877"/>
        <v>0</v>
      </c>
      <c r="GI530" s="38">
        <f t="shared" si="878"/>
        <v>0</v>
      </c>
      <c r="GJ530" s="38">
        <f t="shared" si="879"/>
        <v>0</v>
      </c>
      <c r="GL530" s="38">
        <f t="shared" si="880"/>
        <v>0</v>
      </c>
      <c r="GM530" s="38">
        <f t="shared" si="881"/>
        <v>0</v>
      </c>
      <c r="GN530" s="1" t="s">
        <v>2</v>
      </c>
      <c r="GO530" s="13">
        <f t="shared" si="889"/>
        <v>19.954999999999998</v>
      </c>
      <c r="GP530" s="13">
        <f t="shared" si="890"/>
        <v>1.4756592332748686</v>
      </c>
      <c r="GQ530" s="41">
        <f t="shared" si="891"/>
        <v>294.46780000000001</v>
      </c>
      <c r="GR530" s="41">
        <f t="shared" si="892"/>
        <v>8123.4062575597582</v>
      </c>
      <c r="GS530" s="14">
        <f t="shared" si="893"/>
        <v>407.08625695613927</v>
      </c>
      <c r="GT530" s="1">
        <f t="shared" si="882"/>
        <v>111.1968</v>
      </c>
      <c r="GU530" s="1">
        <f t="shared" si="883"/>
        <v>84.644999999999996</v>
      </c>
      <c r="GV530" s="1">
        <f t="shared" si="884"/>
        <v>98.626000000000005</v>
      </c>
      <c r="GW530" s="44">
        <f t="shared" si="894"/>
        <v>11.131</v>
      </c>
      <c r="GX530" s="44">
        <f>(BT530*CB530+CO530*CW530)/GW530</f>
        <v>1.6826646303117418</v>
      </c>
      <c r="GY530" s="41">
        <f>1000*GW530*GX530/100</f>
        <v>187.29739999999998</v>
      </c>
      <c r="GZ530" s="41">
        <f>SUM(FU530:GM530)</f>
        <v>4528.2069319764887</v>
      </c>
      <c r="HA530" s="14">
        <f>GZ530/GW530</f>
        <v>406.81043320245158</v>
      </c>
      <c r="HB530" s="1">
        <f t="shared" si="885"/>
        <v>106.33280000000001</v>
      </c>
      <c r="HC530" s="1">
        <f t="shared" si="886"/>
        <v>80.964599999999976</v>
      </c>
      <c r="HD530" s="37" t="s">
        <v>2</v>
      </c>
      <c r="HE530" s="1" t="s">
        <v>113</v>
      </c>
      <c r="HF530" s="1" t="s">
        <v>129</v>
      </c>
      <c r="HI530" s="1" t="s">
        <v>96</v>
      </c>
      <c r="HJ530" s="37" t="s">
        <v>2</v>
      </c>
      <c r="JH530" s="58" t="s">
        <v>2</v>
      </c>
    </row>
    <row r="531" spans="1:268" ht="16.25" customHeight="1" x14ac:dyDescent="0.2">
      <c r="A531" s="15" t="s">
        <v>682</v>
      </c>
      <c r="B531" s="1" t="s">
        <v>69</v>
      </c>
      <c r="F531" s="1" t="s">
        <v>131</v>
      </c>
      <c r="I531" s="1">
        <v>0</v>
      </c>
      <c r="AD531" s="1">
        <v>15.8</v>
      </c>
      <c r="AE531" s="1">
        <v>0.99</v>
      </c>
      <c r="AL531" s="1">
        <v>0.65</v>
      </c>
      <c r="AM531" s="1">
        <v>7.0000000000000007E-2</v>
      </c>
      <c r="AN531" s="1">
        <v>0.25</v>
      </c>
      <c r="AO531" s="1">
        <v>1.55</v>
      </c>
      <c r="AY531" s="1">
        <v>30.2</v>
      </c>
      <c r="AZ531" s="13">
        <v>1</v>
      </c>
      <c r="BG531" s="1">
        <v>0.67</v>
      </c>
      <c r="BH531" s="1">
        <v>0.05</v>
      </c>
      <c r="BI531" s="1">
        <v>0.19</v>
      </c>
      <c r="BJ531" s="1">
        <v>1.18</v>
      </c>
      <c r="BT531" s="1">
        <v>0</v>
      </c>
      <c r="CO531" s="1">
        <v>0</v>
      </c>
      <c r="DJ531" s="1" t="s">
        <v>96</v>
      </c>
      <c r="DK531" s="1" t="s">
        <v>96</v>
      </c>
      <c r="DL531" s="1">
        <f t="shared" si="887"/>
        <v>0.6631304347826088</v>
      </c>
      <c r="DM531" s="1">
        <f t="shared" si="888"/>
        <v>5.6869565217391303E-2</v>
      </c>
      <c r="DN531" s="1" t="s">
        <v>683</v>
      </c>
      <c r="DO531" s="1" t="s">
        <v>2</v>
      </c>
      <c r="DP531" s="38">
        <f t="shared" si="810"/>
        <v>0.45841999999999999</v>
      </c>
      <c r="DQ531" s="38">
        <f t="shared" si="811"/>
        <v>0</v>
      </c>
      <c r="DR531" s="38">
        <f t="shared" si="812"/>
        <v>0</v>
      </c>
      <c r="DS531" s="38">
        <f t="shared" si="813"/>
        <v>0</v>
      </c>
      <c r="DT531" s="38">
        <f t="shared" si="814"/>
        <v>0</v>
      </c>
      <c r="DU531" s="38">
        <f t="shared" si="815"/>
        <v>0</v>
      </c>
      <c r="DV531" s="38">
        <f t="shared" si="816"/>
        <v>0</v>
      </c>
      <c r="DW531" s="38">
        <f t="shared" si="817"/>
        <v>0.30504000000000003</v>
      </c>
      <c r="DX531" s="38">
        <f t="shared" si="818"/>
        <v>2.6160000000000003E-2</v>
      </c>
      <c r="DY531" s="38">
        <f t="shared" si="819"/>
        <v>9.6879999999999988</v>
      </c>
      <c r="DZ531" s="38">
        <f t="shared" si="820"/>
        <v>60.125999999999998</v>
      </c>
      <c r="EA531" s="38">
        <f t="shared" si="821"/>
        <v>0</v>
      </c>
      <c r="EB531" s="38">
        <f t="shared" si="822"/>
        <v>0</v>
      </c>
      <c r="EC531" s="38">
        <f t="shared" si="823"/>
        <v>0</v>
      </c>
      <c r="ED531" s="38">
        <f t="shared" si="824"/>
        <v>0</v>
      </c>
      <c r="EE531" s="38">
        <f t="shared" si="825"/>
        <v>0</v>
      </c>
      <c r="EG531" s="38">
        <f t="shared" si="826"/>
        <v>0</v>
      </c>
      <c r="EH531" s="38">
        <f t="shared" si="827"/>
        <v>0</v>
      </c>
      <c r="EI531" s="38">
        <f t="shared" si="828"/>
        <v>2991.4728867200001</v>
      </c>
      <c r="EJ531" s="38">
        <f t="shared" si="829"/>
        <v>0</v>
      </c>
      <c r="EK531" s="38">
        <f t="shared" si="830"/>
        <v>0</v>
      </c>
      <c r="EL531" s="38">
        <f t="shared" si="831"/>
        <v>0</v>
      </c>
      <c r="EM531" s="38">
        <f t="shared" si="832"/>
        <v>0</v>
      </c>
      <c r="EN531" s="38">
        <f t="shared" si="833"/>
        <v>0</v>
      </c>
      <c r="EO531" s="38">
        <f t="shared" si="834"/>
        <v>0</v>
      </c>
      <c r="EP531" s="38">
        <f t="shared" si="835"/>
        <v>4000.2945600000003</v>
      </c>
      <c r="EQ531" s="38">
        <f t="shared" si="836"/>
        <v>1899.7267478399999</v>
      </c>
      <c r="ER531" s="38">
        <f t="shared" si="837"/>
        <v>274.95852347266873</v>
      </c>
      <c r="ES531" s="38">
        <f t="shared" si="838"/>
        <v>2003.7424495176849</v>
      </c>
      <c r="ET531" s="38">
        <f t="shared" si="839"/>
        <v>0</v>
      </c>
      <c r="EU531" s="38">
        <f t="shared" si="840"/>
        <v>0</v>
      </c>
      <c r="EV531" s="38">
        <f t="shared" si="841"/>
        <v>0</v>
      </c>
      <c r="EW531" s="38">
        <f t="shared" si="842"/>
        <v>0</v>
      </c>
      <c r="EX531" s="38">
        <f t="shared" si="843"/>
        <v>0</v>
      </c>
      <c r="EZ531" s="38">
        <f t="shared" si="844"/>
        <v>0</v>
      </c>
      <c r="FA531" s="38">
        <f t="shared" si="845"/>
        <v>0</v>
      </c>
      <c r="FB531" s="1">
        <f t="shared" si="846"/>
        <v>0</v>
      </c>
      <c r="FC531" s="1">
        <f t="shared" si="847"/>
        <v>0</v>
      </c>
      <c r="FD531" s="1">
        <f t="shared" si="848"/>
        <v>0</v>
      </c>
      <c r="FE531" s="1">
        <f t="shared" si="849"/>
        <v>0</v>
      </c>
      <c r="FF531" s="1">
        <f t="shared" si="850"/>
        <v>0</v>
      </c>
      <c r="FG531" s="1">
        <f t="shared" si="851"/>
        <v>0</v>
      </c>
      <c r="FH531" s="1">
        <f t="shared" si="852"/>
        <v>0</v>
      </c>
      <c r="FI531" s="1">
        <f t="shared" si="853"/>
        <v>0</v>
      </c>
      <c r="FJ531" s="1">
        <f t="shared" si="854"/>
        <v>0</v>
      </c>
      <c r="FK531" s="1">
        <f t="shared" si="855"/>
        <v>0</v>
      </c>
      <c r="FL531" s="1">
        <f t="shared" si="856"/>
        <v>0</v>
      </c>
      <c r="FM531" s="1">
        <f t="shared" si="857"/>
        <v>0</v>
      </c>
      <c r="FN531" s="1">
        <f t="shared" si="858"/>
        <v>0</v>
      </c>
      <c r="FO531" s="1">
        <f t="shared" si="859"/>
        <v>0</v>
      </c>
      <c r="FP531" s="1">
        <f t="shared" si="860"/>
        <v>0</v>
      </c>
      <c r="FQ531" s="1">
        <f t="shared" si="861"/>
        <v>0</v>
      </c>
      <c r="FS531" s="1">
        <f t="shared" si="862"/>
        <v>0</v>
      </c>
      <c r="FT531" s="1">
        <f t="shared" si="863"/>
        <v>0</v>
      </c>
      <c r="FU531" s="38">
        <f t="shared" si="864"/>
        <v>0</v>
      </c>
      <c r="FV531" s="38">
        <f t="shared" si="865"/>
        <v>0</v>
      </c>
      <c r="FW531" s="38">
        <f t="shared" si="866"/>
        <v>0</v>
      </c>
      <c r="FX531" s="38">
        <f t="shared" si="867"/>
        <v>0</v>
      </c>
      <c r="FY531" s="38">
        <f t="shared" si="868"/>
        <v>0</v>
      </c>
      <c r="FZ531" s="38">
        <f t="shared" si="869"/>
        <v>0</v>
      </c>
      <c r="GA531" s="38">
        <f t="shared" si="870"/>
        <v>0</v>
      </c>
      <c r="GB531" s="38">
        <f t="shared" si="871"/>
        <v>0</v>
      </c>
      <c r="GC531" s="38">
        <f t="shared" si="872"/>
        <v>0</v>
      </c>
      <c r="GD531" s="38">
        <f t="shared" si="873"/>
        <v>0</v>
      </c>
      <c r="GE531" s="38">
        <f t="shared" si="874"/>
        <v>0</v>
      </c>
      <c r="GF531" s="38">
        <f t="shared" si="875"/>
        <v>0</v>
      </c>
      <c r="GG531" s="38">
        <f t="shared" si="876"/>
        <v>0</v>
      </c>
      <c r="GH531" s="38">
        <f t="shared" si="877"/>
        <v>0</v>
      </c>
      <c r="GI531" s="38">
        <f t="shared" si="878"/>
        <v>0</v>
      </c>
      <c r="GJ531" s="38">
        <f t="shared" si="879"/>
        <v>0</v>
      </c>
      <c r="GL531" s="38">
        <f t="shared" si="880"/>
        <v>0</v>
      </c>
      <c r="GM531" s="38">
        <f t="shared" si="881"/>
        <v>0</v>
      </c>
      <c r="GN531" s="1" t="s">
        <v>2</v>
      </c>
      <c r="GO531" s="1">
        <f t="shared" si="889"/>
        <v>46</v>
      </c>
      <c r="GP531" s="13">
        <f t="shared" si="890"/>
        <v>0.6631304347826088</v>
      </c>
      <c r="GQ531" s="41">
        <f t="shared" si="891"/>
        <v>305.04000000000002</v>
      </c>
      <c r="GR531" s="41">
        <f t="shared" si="892"/>
        <v>11170.195167550355</v>
      </c>
      <c r="GS531" s="14">
        <f t="shared" si="893"/>
        <v>242.83032972935555</v>
      </c>
      <c r="GT531" s="1">
        <f t="shared" si="882"/>
        <v>0</v>
      </c>
      <c r="GU531" s="1">
        <f t="shared" si="883"/>
        <v>102.70000000000002</v>
      </c>
      <c r="GV531" s="1">
        <f t="shared" si="884"/>
        <v>202.34</v>
      </c>
      <c r="GW531" s="37">
        <f t="shared" si="894"/>
        <v>0</v>
      </c>
      <c r="GX531" s="37"/>
      <c r="GY531" s="37"/>
      <c r="GZ531" s="37"/>
      <c r="HB531" s="1">
        <f t="shared" si="885"/>
        <v>0</v>
      </c>
      <c r="HC531" s="1">
        <f t="shared" si="886"/>
        <v>0</v>
      </c>
      <c r="HD531" s="37" t="s">
        <v>2</v>
      </c>
      <c r="HE531" s="1" t="s">
        <v>113</v>
      </c>
      <c r="HF531" s="1" t="s">
        <v>129</v>
      </c>
      <c r="HI531" s="1" t="s">
        <v>96</v>
      </c>
      <c r="HJ531" s="37" t="s">
        <v>2</v>
      </c>
      <c r="JH531" s="58" t="s">
        <v>2</v>
      </c>
    </row>
    <row r="532" spans="1:268" ht="16.25" customHeight="1" x14ac:dyDescent="0.2">
      <c r="A532" s="15" t="s">
        <v>684</v>
      </c>
      <c r="B532" s="1" t="s">
        <v>69</v>
      </c>
      <c r="F532" s="1" t="s">
        <v>685</v>
      </c>
      <c r="I532" s="1">
        <v>13.97</v>
      </c>
      <c r="J532" s="1">
        <v>0.20799999999999999</v>
      </c>
      <c r="K532" s="1">
        <v>3.7999999999999999E-2</v>
      </c>
      <c r="L532" s="1">
        <v>1.847</v>
      </c>
      <c r="Q532" s="1">
        <v>8.9999999999999993E-3</v>
      </c>
      <c r="R532" s="1">
        <v>7.0000000000000001E-3</v>
      </c>
      <c r="S532" s="1">
        <v>2.5999999999999999E-2</v>
      </c>
      <c r="T532" s="1">
        <v>0.34100000000000003</v>
      </c>
      <c r="AD532" s="1">
        <v>37.54</v>
      </c>
      <c r="AE532" s="1">
        <v>0.216</v>
      </c>
      <c r="AF532" s="1">
        <v>3.9E-2</v>
      </c>
      <c r="AG532" s="1">
        <v>1.8879999999999999</v>
      </c>
      <c r="AL532" s="1">
        <v>0.01</v>
      </c>
      <c r="AM532" s="1">
        <v>7.0000000000000001E-3</v>
      </c>
      <c r="AN532" s="1">
        <v>2.5999999999999999E-2</v>
      </c>
      <c r="AO532" s="1">
        <v>0.36199999999999999</v>
      </c>
      <c r="AY532" s="1">
        <v>17.920000000000002</v>
      </c>
      <c r="AZ532" s="1">
        <v>0.20300000000000001</v>
      </c>
      <c r="BA532" s="1">
        <v>3.6999999999999998E-2</v>
      </c>
      <c r="BB532" s="1">
        <v>1.62</v>
      </c>
      <c r="BG532" s="1">
        <v>8.9999999999999993E-3</v>
      </c>
      <c r="BH532" s="1">
        <v>6.0000000000000001E-3</v>
      </c>
      <c r="BI532" s="1">
        <v>2.5000000000000001E-2</v>
      </c>
      <c r="BJ532" s="1">
        <v>0.34899999999999998</v>
      </c>
      <c r="BT532" s="1">
        <v>0</v>
      </c>
      <c r="CO532" s="1">
        <v>0</v>
      </c>
      <c r="DJ532" s="1" t="s">
        <v>96</v>
      </c>
      <c r="DK532" s="1" t="s">
        <v>96</v>
      </c>
      <c r="DL532" s="1">
        <f t="shared" si="887"/>
        <v>9.5406884632003447E-3</v>
      </c>
      <c r="DM532" s="1">
        <f t="shared" si="888"/>
        <v>6.7418983148494881E-3</v>
      </c>
      <c r="DN532" s="1" t="s">
        <v>686</v>
      </c>
      <c r="DO532" s="1" t="s">
        <v>2</v>
      </c>
      <c r="DP532" s="38">
        <f t="shared" si="810"/>
        <v>0.14652159999999997</v>
      </c>
      <c r="DQ532" s="38">
        <f t="shared" si="811"/>
        <v>2.6579600000000001</v>
      </c>
      <c r="DR532" s="38">
        <f t="shared" si="812"/>
        <v>125.70851</v>
      </c>
      <c r="DS532" s="38">
        <f t="shared" si="813"/>
        <v>0</v>
      </c>
      <c r="DT532" s="38">
        <f t="shared" si="814"/>
        <v>0</v>
      </c>
      <c r="DU532" s="38">
        <f t="shared" si="815"/>
        <v>0</v>
      </c>
      <c r="DV532" s="38">
        <f t="shared" si="816"/>
        <v>0</v>
      </c>
      <c r="DW532" s="38">
        <f t="shared" si="817"/>
        <v>6.6241000000000008E-3</v>
      </c>
      <c r="DX532" s="38">
        <f t="shared" si="818"/>
        <v>4.6809E-3</v>
      </c>
      <c r="DY532" s="38">
        <f t="shared" si="819"/>
        <v>1.7872599999999998</v>
      </c>
      <c r="DZ532" s="38">
        <f t="shared" si="820"/>
        <v>24.607330000000005</v>
      </c>
      <c r="EA532" s="38">
        <f t="shared" si="821"/>
        <v>0</v>
      </c>
      <c r="EB532" s="38">
        <f t="shared" si="822"/>
        <v>0</v>
      </c>
      <c r="EC532" s="38">
        <f t="shared" si="823"/>
        <v>0</v>
      </c>
      <c r="ED532" s="38">
        <f t="shared" si="824"/>
        <v>0</v>
      </c>
      <c r="EE532" s="38">
        <f t="shared" si="825"/>
        <v>0</v>
      </c>
      <c r="EG532" s="38">
        <f t="shared" si="826"/>
        <v>0</v>
      </c>
      <c r="EH532" s="38">
        <f t="shared" si="827"/>
        <v>0</v>
      </c>
      <c r="EI532" s="38">
        <f t="shared" si="828"/>
        <v>956.14369730559986</v>
      </c>
      <c r="EJ532" s="38">
        <f t="shared" si="829"/>
        <v>108.71141864951768</v>
      </c>
      <c r="EK532" s="38">
        <f t="shared" si="830"/>
        <v>63.662669855305467</v>
      </c>
      <c r="EL532" s="38">
        <f t="shared" si="831"/>
        <v>0</v>
      </c>
      <c r="EM532" s="38">
        <f t="shared" si="832"/>
        <v>0</v>
      </c>
      <c r="EN532" s="38">
        <f t="shared" si="833"/>
        <v>0</v>
      </c>
      <c r="EO532" s="38">
        <f t="shared" si="834"/>
        <v>0</v>
      </c>
      <c r="EP532" s="38">
        <f t="shared" si="835"/>
        <v>86.868447400000008</v>
      </c>
      <c r="EQ532" s="38">
        <f t="shared" si="836"/>
        <v>339.92472989159995</v>
      </c>
      <c r="ER532" s="38">
        <f t="shared" si="837"/>
        <v>50.724852463022494</v>
      </c>
      <c r="ES532" s="38">
        <f t="shared" si="838"/>
        <v>820.05707498070751</v>
      </c>
      <c r="ET532" s="38">
        <f t="shared" si="839"/>
        <v>0</v>
      </c>
      <c r="EU532" s="38">
        <f t="shared" si="840"/>
        <v>0</v>
      </c>
      <c r="EV532" s="38">
        <f t="shared" si="841"/>
        <v>0</v>
      </c>
      <c r="EW532" s="38">
        <f t="shared" si="842"/>
        <v>0</v>
      </c>
      <c r="EX532" s="38">
        <f t="shared" si="843"/>
        <v>0</v>
      </c>
      <c r="EZ532" s="38">
        <f t="shared" si="844"/>
        <v>0</v>
      </c>
      <c r="FA532" s="38">
        <f t="shared" si="845"/>
        <v>0</v>
      </c>
      <c r="FB532" s="1">
        <f t="shared" si="846"/>
        <v>0</v>
      </c>
      <c r="FC532" s="1">
        <f t="shared" si="847"/>
        <v>0</v>
      </c>
      <c r="FD532" s="1">
        <f t="shared" si="848"/>
        <v>0</v>
      </c>
      <c r="FE532" s="1">
        <f t="shared" si="849"/>
        <v>0</v>
      </c>
      <c r="FF532" s="1">
        <f t="shared" si="850"/>
        <v>0</v>
      </c>
      <c r="FG532" s="1">
        <f t="shared" si="851"/>
        <v>0</v>
      </c>
      <c r="FH532" s="1">
        <f t="shared" si="852"/>
        <v>0</v>
      </c>
      <c r="FI532" s="1">
        <f t="shared" si="853"/>
        <v>0</v>
      </c>
      <c r="FJ532" s="1">
        <f t="shared" si="854"/>
        <v>0</v>
      </c>
      <c r="FK532" s="1">
        <f t="shared" si="855"/>
        <v>0</v>
      </c>
      <c r="FL532" s="1">
        <f t="shared" si="856"/>
        <v>0</v>
      </c>
      <c r="FM532" s="1">
        <f t="shared" si="857"/>
        <v>0</v>
      </c>
      <c r="FN532" s="1">
        <f t="shared" si="858"/>
        <v>0</v>
      </c>
      <c r="FO532" s="1">
        <f t="shared" si="859"/>
        <v>0</v>
      </c>
      <c r="FP532" s="1">
        <f t="shared" si="860"/>
        <v>0</v>
      </c>
      <c r="FQ532" s="1">
        <f t="shared" si="861"/>
        <v>0</v>
      </c>
      <c r="FS532" s="1">
        <f t="shared" si="862"/>
        <v>0</v>
      </c>
      <c r="FT532" s="1">
        <f t="shared" si="863"/>
        <v>0</v>
      </c>
      <c r="FU532" s="38">
        <f t="shared" si="864"/>
        <v>0</v>
      </c>
      <c r="FV532" s="38">
        <f t="shared" si="865"/>
        <v>0</v>
      </c>
      <c r="FW532" s="38">
        <f t="shared" si="866"/>
        <v>0</v>
      </c>
      <c r="FX532" s="38">
        <f t="shared" si="867"/>
        <v>0</v>
      </c>
      <c r="FY532" s="38">
        <f t="shared" si="868"/>
        <v>0</v>
      </c>
      <c r="FZ532" s="38">
        <f t="shared" si="869"/>
        <v>0</v>
      </c>
      <c r="GA532" s="38">
        <f t="shared" si="870"/>
        <v>0</v>
      </c>
      <c r="GB532" s="38">
        <f t="shared" si="871"/>
        <v>0</v>
      </c>
      <c r="GC532" s="38">
        <f t="shared" si="872"/>
        <v>0</v>
      </c>
      <c r="GD532" s="38">
        <f t="shared" si="873"/>
        <v>0</v>
      </c>
      <c r="GE532" s="38">
        <f t="shared" si="874"/>
        <v>0</v>
      </c>
      <c r="GF532" s="38">
        <f t="shared" si="875"/>
        <v>0</v>
      </c>
      <c r="GG532" s="38">
        <f t="shared" si="876"/>
        <v>0</v>
      </c>
      <c r="GH532" s="38">
        <f t="shared" si="877"/>
        <v>0</v>
      </c>
      <c r="GI532" s="38">
        <f t="shared" si="878"/>
        <v>0</v>
      </c>
      <c r="GJ532" s="38">
        <f t="shared" si="879"/>
        <v>0</v>
      </c>
      <c r="GL532" s="38">
        <f t="shared" si="880"/>
        <v>0</v>
      </c>
      <c r="GM532" s="38">
        <f t="shared" si="881"/>
        <v>0</v>
      </c>
      <c r="GN532" s="1" t="s">
        <v>2</v>
      </c>
      <c r="GO532" s="1">
        <f t="shared" si="889"/>
        <v>69.430000000000007</v>
      </c>
      <c r="GP532" s="1">
        <f t="shared" si="890"/>
        <v>9.5406884632003447E-3</v>
      </c>
      <c r="GQ532" s="41">
        <f t="shared" si="891"/>
        <v>6.6240999999999994</v>
      </c>
      <c r="GR532" s="41">
        <f t="shared" si="892"/>
        <v>2426.0928905457531</v>
      </c>
      <c r="GS532" s="14">
        <f t="shared" si="893"/>
        <v>34.943005769058807</v>
      </c>
      <c r="GT532" s="1">
        <f t="shared" si="882"/>
        <v>1.2573000000000001</v>
      </c>
      <c r="GU532" s="1">
        <f t="shared" si="883"/>
        <v>3.7540000000000004</v>
      </c>
      <c r="GV532" s="1">
        <f t="shared" si="884"/>
        <v>1.6128</v>
      </c>
      <c r="GW532" s="37">
        <f t="shared" si="894"/>
        <v>0</v>
      </c>
      <c r="GX532" s="37"/>
      <c r="GY532" s="37"/>
      <c r="GZ532" s="37"/>
      <c r="HB532" s="1">
        <f t="shared" si="885"/>
        <v>0</v>
      </c>
      <c r="HC532" s="1">
        <f t="shared" si="886"/>
        <v>0</v>
      </c>
      <c r="HD532" s="37" t="s">
        <v>2</v>
      </c>
      <c r="HE532" s="1" t="s">
        <v>113</v>
      </c>
      <c r="HF532" s="1" t="s">
        <v>129</v>
      </c>
      <c r="HI532" s="1" t="s">
        <v>96</v>
      </c>
      <c r="HJ532" s="37" t="s">
        <v>2</v>
      </c>
      <c r="JH532" s="58" t="s">
        <v>2</v>
      </c>
    </row>
    <row r="533" spans="1:268" ht="16.25" customHeight="1" x14ac:dyDescent="0.2">
      <c r="A533" s="15" t="s">
        <v>702</v>
      </c>
      <c r="B533" s="1" t="s">
        <v>69</v>
      </c>
      <c r="F533" s="1" t="s">
        <v>703</v>
      </c>
      <c r="I533" s="1">
        <v>1.2549999999999999</v>
      </c>
      <c r="J533" s="1">
        <v>0.56000000000000005</v>
      </c>
      <c r="Q533" s="1">
        <v>1.0900000000000001</v>
      </c>
      <c r="R533" s="1">
        <v>7.0000000000000007E-2</v>
      </c>
      <c r="S533" s="13">
        <v>0.2</v>
      </c>
      <c r="T533" s="1">
        <v>1.1100000000000001</v>
      </c>
      <c r="AD533" s="1">
        <v>0.78300000000000003</v>
      </c>
      <c r="AE533" s="1">
        <v>0.53</v>
      </c>
      <c r="AL533" s="13">
        <v>1</v>
      </c>
      <c r="AM533" s="1">
        <v>0.06</v>
      </c>
      <c r="AN533" s="1">
        <v>0.28999999999999998</v>
      </c>
      <c r="AO533" s="1">
        <v>0.91</v>
      </c>
      <c r="AY533" s="1">
        <v>1.0529999999999999</v>
      </c>
      <c r="AZ533" s="1">
        <v>0.32</v>
      </c>
      <c r="BG533" s="1">
        <v>0.81</v>
      </c>
      <c r="BH533" s="1">
        <v>0.06</v>
      </c>
      <c r="BI533" s="13">
        <v>0.5</v>
      </c>
      <c r="BJ533" s="1">
        <v>1.06</v>
      </c>
      <c r="BT533" s="1">
        <v>0</v>
      </c>
      <c r="CO533" s="1">
        <v>0</v>
      </c>
      <c r="DJ533" s="1" t="s">
        <v>96</v>
      </c>
      <c r="DK533" s="1" t="s">
        <v>96</v>
      </c>
      <c r="DL533" s="1">
        <f t="shared" si="887"/>
        <v>0.97181494661921708</v>
      </c>
      <c r="DM533" s="1">
        <f t="shared" si="888"/>
        <v>6.4060174700744113E-2</v>
      </c>
      <c r="DN533" s="1" t="s">
        <v>704</v>
      </c>
      <c r="DO533" s="1" t="s">
        <v>2</v>
      </c>
      <c r="DP533" s="38">
        <f t="shared" si="810"/>
        <v>1.45475E-2</v>
      </c>
      <c r="DQ533" s="38">
        <f t="shared" si="811"/>
        <v>0</v>
      </c>
      <c r="DR533" s="38">
        <f t="shared" si="812"/>
        <v>0</v>
      </c>
      <c r="DS533" s="38">
        <f t="shared" si="813"/>
        <v>0</v>
      </c>
      <c r="DT533" s="38">
        <f t="shared" si="814"/>
        <v>0</v>
      </c>
      <c r="DU533" s="38">
        <f t="shared" si="815"/>
        <v>0</v>
      </c>
      <c r="DV533" s="38">
        <f t="shared" si="816"/>
        <v>0</v>
      </c>
      <c r="DW533" s="38">
        <f t="shared" si="817"/>
        <v>3.0038799999999997E-2</v>
      </c>
      <c r="DX533" s="38">
        <f t="shared" si="818"/>
        <v>1.9801000000000003E-3</v>
      </c>
      <c r="DY533" s="38">
        <f t="shared" si="819"/>
        <v>1.00457</v>
      </c>
      <c r="DZ533" s="38">
        <f t="shared" si="820"/>
        <v>3.2217599999999997</v>
      </c>
      <c r="EA533" s="38">
        <f t="shared" si="821"/>
        <v>0</v>
      </c>
      <c r="EB533" s="38">
        <f t="shared" si="822"/>
        <v>0</v>
      </c>
      <c r="EC533" s="38">
        <f t="shared" si="823"/>
        <v>0</v>
      </c>
      <c r="ED533" s="38">
        <f t="shared" si="824"/>
        <v>0</v>
      </c>
      <c r="EE533" s="38">
        <f t="shared" si="825"/>
        <v>0</v>
      </c>
      <c r="EG533" s="38">
        <f t="shared" si="826"/>
        <v>0</v>
      </c>
      <c r="EH533" s="38">
        <f t="shared" si="827"/>
        <v>0</v>
      </c>
      <c r="EI533" s="38">
        <f t="shared" si="828"/>
        <v>94.931398759999993</v>
      </c>
      <c r="EJ533" s="38">
        <f t="shared" si="829"/>
        <v>0</v>
      </c>
      <c r="EK533" s="38">
        <f t="shared" si="830"/>
        <v>0</v>
      </c>
      <c r="EL533" s="38">
        <f t="shared" si="831"/>
        <v>0</v>
      </c>
      <c r="EM533" s="38">
        <f t="shared" si="832"/>
        <v>0</v>
      </c>
      <c r="EN533" s="38">
        <f t="shared" si="833"/>
        <v>0</v>
      </c>
      <c r="EO533" s="38">
        <f t="shared" si="834"/>
        <v>0</v>
      </c>
      <c r="EP533" s="38">
        <f t="shared" si="835"/>
        <v>393.92882319999995</v>
      </c>
      <c r="EQ533" s="38">
        <f t="shared" si="836"/>
        <v>143.79391947240001</v>
      </c>
      <c r="ER533" s="38">
        <f t="shared" si="837"/>
        <v>28.511053254019288</v>
      </c>
      <c r="ES533" s="38">
        <f t="shared" si="838"/>
        <v>107.36748285530547</v>
      </c>
      <c r="ET533" s="38">
        <f t="shared" si="839"/>
        <v>0</v>
      </c>
      <c r="EU533" s="38">
        <f t="shared" si="840"/>
        <v>0</v>
      </c>
      <c r="EV533" s="38">
        <f t="shared" si="841"/>
        <v>0</v>
      </c>
      <c r="EW533" s="38">
        <f t="shared" si="842"/>
        <v>0</v>
      </c>
      <c r="EX533" s="38">
        <f t="shared" si="843"/>
        <v>0</v>
      </c>
      <c r="EZ533" s="38">
        <f t="shared" si="844"/>
        <v>0</v>
      </c>
      <c r="FA533" s="38">
        <f t="shared" si="845"/>
        <v>0</v>
      </c>
      <c r="FB533" s="1">
        <f t="shared" si="846"/>
        <v>0</v>
      </c>
      <c r="FC533" s="1">
        <f t="shared" si="847"/>
        <v>0</v>
      </c>
      <c r="FD533" s="1">
        <f t="shared" si="848"/>
        <v>0</v>
      </c>
      <c r="FE533" s="1">
        <f t="shared" si="849"/>
        <v>0</v>
      </c>
      <c r="FF533" s="1">
        <f t="shared" si="850"/>
        <v>0</v>
      </c>
      <c r="FG533" s="1">
        <f t="shared" si="851"/>
        <v>0</v>
      </c>
      <c r="FH533" s="1">
        <f t="shared" si="852"/>
        <v>0</v>
      </c>
      <c r="FI533" s="1">
        <f t="shared" si="853"/>
        <v>0</v>
      </c>
      <c r="FJ533" s="1">
        <f t="shared" si="854"/>
        <v>0</v>
      </c>
      <c r="FK533" s="1">
        <f t="shared" si="855"/>
        <v>0</v>
      </c>
      <c r="FL533" s="1">
        <f t="shared" si="856"/>
        <v>0</v>
      </c>
      <c r="FM533" s="1">
        <f t="shared" si="857"/>
        <v>0</v>
      </c>
      <c r="FN533" s="1">
        <f t="shared" si="858"/>
        <v>0</v>
      </c>
      <c r="FO533" s="1">
        <f t="shared" si="859"/>
        <v>0</v>
      </c>
      <c r="FP533" s="1">
        <f t="shared" si="860"/>
        <v>0</v>
      </c>
      <c r="FQ533" s="1">
        <f t="shared" si="861"/>
        <v>0</v>
      </c>
      <c r="FS533" s="1">
        <f t="shared" si="862"/>
        <v>0</v>
      </c>
      <c r="FT533" s="1">
        <f t="shared" si="863"/>
        <v>0</v>
      </c>
      <c r="FU533" s="38">
        <f t="shared" si="864"/>
        <v>0</v>
      </c>
      <c r="FV533" s="38">
        <f t="shared" si="865"/>
        <v>0</v>
      </c>
      <c r="FW533" s="38">
        <f t="shared" si="866"/>
        <v>0</v>
      </c>
      <c r="FX533" s="38">
        <f t="shared" si="867"/>
        <v>0</v>
      </c>
      <c r="FY533" s="38">
        <f t="shared" si="868"/>
        <v>0</v>
      </c>
      <c r="FZ533" s="38">
        <f t="shared" si="869"/>
        <v>0</v>
      </c>
      <c r="GA533" s="38">
        <f t="shared" si="870"/>
        <v>0</v>
      </c>
      <c r="GB533" s="38">
        <f t="shared" si="871"/>
        <v>0</v>
      </c>
      <c r="GC533" s="38">
        <f t="shared" si="872"/>
        <v>0</v>
      </c>
      <c r="GD533" s="38">
        <f t="shared" si="873"/>
        <v>0</v>
      </c>
      <c r="GE533" s="38">
        <f t="shared" si="874"/>
        <v>0</v>
      </c>
      <c r="GF533" s="38">
        <f t="shared" si="875"/>
        <v>0</v>
      </c>
      <c r="GG533" s="38">
        <f t="shared" si="876"/>
        <v>0</v>
      </c>
      <c r="GH533" s="38">
        <f t="shared" si="877"/>
        <v>0</v>
      </c>
      <c r="GI533" s="38">
        <f t="shared" si="878"/>
        <v>0</v>
      </c>
      <c r="GJ533" s="38">
        <f t="shared" si="879"/>
        <v>0</v>
      </c>
      <c r="GL533" s="38">
        <f t="shared" si="880"/>
        <v>0</v>
      </c>
      <c r="GM533" s="38">
        <f t="shared" si="881"/>
        <v>0</v>
      </c>
      <c r="GN533" s="1" t="s">
        <v>2</v>
      </c>
      <c r="GO533" s="1">
        <f t="shared" si="889"/>
        <v>3.0909999999999997</v>
      </c>
      <c r="GP533" s="13">
        <f t="shared" si="890"/>
        <v>0.97181494661921708</v>
      </c>
      <c r="GQ533" s="41">
        <f t="shared" si="891"/>
        <v>30.038799999999995</v>
      </c>
      <c r="GR533" s="41">
        <f t="shared" si="892"/>
        <v>768.53267754172475</v>
      </c>
      <c r="GS533" s="14">
        <f t="shared" si="893"/>
        <v>248.63561227490288</v>
      </c>
      <c r="GT533" s="1">
        <f t="shared" si="882"/>
        <v>13.679500000000001</v>
      </c>
      <c r="GU533" s="1">
        <f t="shared" si="883"/>
        <v>7.83</v>
      </c>
      <c r="GV533" s="1">
        <f t="shared" si="884"/>
        <v>8.5292999999999992</v>
      </c>
      <c r="GW533" s="37">
        <f t="shared" si="894"/>
        <v>0</v>
      </c>
      <c r="GX533" s="37"/>
      <c r="GY533" s="37"/>
      <c r="GZ533" s="37"/>
      <c r="HB533" s="1">
        <f t="shared" si="885"/>
        <v>0</v>
      </c>
      <c r="HC533" s="1">
        <f t="shared" si="886"/>
        <v>0</v>
      </c>
      <c r="HD533" s="37" t="s">
        <v>2</v>
      </c>
      <c r="HE533" s="1" t="s">
        <v>113</v>
      </c>
      <c r="HF533" s="1" t="s">
        <v>129</v>
      </c>
      <c r="HI533" s="1" t="s">
        <v>96</v>
      </c>
      <c r="HJ533" s="37" t="s">
        <v>2</v>
      </c>
      <c r="JH533" s="58" t="s">
        <v>2</v>
      </c>
    </row>
    <row r="534" spans="1:268" ht="16.25" customHeight="1" x14ac:dyDescent="0.2">
      <c r="A534" s="15" t="s">
        <v>709</v>
      </c>
      <c r="B534" s="1" t="s">
        <v>69</v>
      </c>
      <c r="F534" s="1" t="s">
        <v>710</v>
      </c>
      <c r="I534" s="1">
        <v>0</v>
      </c>
      <c r="AD534" s="1">
        <v>1.899</v>
      </c>
      <c r="AE534" s="1">
        <v>0.33</v>
      </c>
      <c r="AL534" s="1">
        <v>0.7</v>
      </c>
      <c r="AM534" s="1">
        <v>3.4000000000000002E-2</v>
      </c>
      <c r="AY534" s="1">
        <v>2.403</v>
      </c>
      <c r="AZ534" s="1">
        <v>0.35</v>
      </c>
      <c r="BG534" s="1">
        <v>0.86</v>
      </c>
      <c r="BH534" s="1">
        <v>3.4000000000000002E-2</v>
      </c>
      <c r="BT534" s="1">
        <v>0</v>
      </c>
      <c r="CO534" s="1">
        <v>0</v>
      </c>
      <c r="DJ534" s="1" t="s">
        <v>96</v>
      </c>
      <c r="DK534" s="1" t="s">
        <v>96</v>
      </c>
      <c r="DL534" s="1">
        <f t="shared" si="887"/>
        <v>0.7893723849372386</v>
      </c>
      <c r="DM534" s="1">
        <f t="shared" si="888"/>
        <v>3.4000000000000002E-2</v>
      </c>
      <c r="DN534" s="1" t="s">
        <v>711</v>
      </c>
      <c r="DO534" s="1" t="s">
        <v>2</v>
      </c>
      <c r="DP534" s="38">
        <f t="shared" si="810"/>
        <v>1.46772E-2</v>
      </c>
      <c r="DQ534" s="38">
        <f t="shared" si="811"/>
        <v>0</v>
      </c>
      <c r="DR534" s="38">
        <f t="shared" si="812"/>
        <v>0</v>
      </c>
      <c r="DS534" s="38">
        <f t="shared" si="813"/>
        <v>0</v>
      </c>
      <c r="DT534" s="38">
        <f t="shared" si="814"/>
        <v>0</v>
      </c>
      <c r="DU534" s="38">
        <f t="shared" si="815"/>
        <v>0</v>
      </c>
      <c r="DV534" s="38">
        <f t="shared" si="816"/>
        <v>0</v>
      </c>
      <c r="DW534" s="38">
        <f t="shared" si="817"/>
        <v>3.3958799999999997E-2</v>
      </c>
      <c r="DX534" s="38">
        <f t="shared" si="818"/>
        <v>1.4626800000000001E-3</v>
      </c>
      <c r="DY534" s="38">
        <f t="shared" si="819"/>
        <v>0</v>
      </c>
      <c r="DZ534" s="38">
        <f t="shared" si="820"/>
        <v>0</v>
      </c>
      <c r="EA534" s="38">
        <f t="shared" si="821"/>
        <v>0</v>
      </c>
      <c r="EB534" s="38">
        <f t="shared" si="822"/>
        <v>0</v>
      </c>
      <c r="EC534" s="38">
        <f t="shared" si="823"/>
        <v>0</v>
      </c>
      <c r="ED534" s="38">
        <f t="shared" si="824"/>
        <v>0</v>
      </c>
      <c r="EE534" s="38">
        <f t="shared" si="825"/>
        <v>0</v>
      </c>
      <c r="EG534" s="38">
        <f t="shared" si="826"/>
        <v>0</v>
      </c>
      <c r="EH534" s="38">
        <f t="shared" si="827"/>
        <v>0</v>
      </c>
      <c r="EI534" s="38">
        <f t="shared" si="828"/>
        <v>95.7777711552</v>
      </c>
      <c r="EJ534" s="38">
        <f t="shared" si="829"/>
        <v>0</v>
      </c>
      <c r="EK534" s="38">
        <f t="shared" si="830"/>
        <v>0</v>
      </c>
      <c r="EL534" s="38">
        <f t="shared" si="831"/>
        <v>0</v>
      </c>
      <c r="EM534" s="38">
        <f t="shared" si="832"/>
        <v>0</v>
      </c>
      <c r="EN534" s="38">
        <f t="shared" si="833"/>
        <v>0</v>
      </c>
      <c r="EO534" s="38">
        <f t="shared" si="834"/>
        <v>0</v>
      </c>
      <c r="EP534" s="38">
        <f t="shared" si="835"/>
        <v>445.33570319999995</v>
      </c>
      <c r="EQ534" s="38">
        <f t="shared" si="836"/>
        <v>106.21912536431999</v>
      </c>
      <c r="ER534" s="38">
        <f t="shared" si="837"/>
        <v>0</v>
      </c>
      <c r="ES534" s="38">
        <f t="shared" si="838"/>
        <v>0</v>
      </c>
      <c r="ET534" s="38">
        <f t="shared" si="839"/>
        <v>0</v>
      </c>
      <c r="EU534" s="38">
        <f t="shared" si="840"/>
        <v>0</v>
      </c>
      <c r="EV534" s="38">
        <f t="shared" si="841"/>
        <v>0</v>
      </c>
      <c r="EW534" s="38">
        <f t="shared" si="842"/>
        <v>0</v>
      </c>
      <c r="EX534" s="38">
        <f t="shared" si="843"/>
        <v>0</v>
      </c>
      <c r="EZ534" s="38">
        <f t="shared" si="844"/>
        <v>0</v>
      </c>
      <c r="FA534" s="38">
        <f t="shared" si="845"/>
        <v>0</v>
      </c>
      <c r="FB534" s="1">
        <f t="shared" si="846"/>
        <v>0</v>
      </c>
      <c r="FC534" s="1">
        <f t="shared" si="847"/>
        <v>0</v>
      </c>
      <c r="FD534" s="1">
        <f t="shared" si="848"/>
        <v>0</v>
      </c>
      <c r="FE534" s="1">
        <f t="shared" si="849"/>
        <v>0</v>
      </c>
      <c r="FF534" s="1">
        <f t="shared" si="850"/>
        <v>0</v>
      </c>
      <c r="FG534" s="1">
        <f t="shared" si="851"/>
        <v>0</v>
      </c>
      <c r="FH534" s="1">
        <f t="shared" si="852"/>
        <v>0</v>
      </c>
      <c r="FI534" s="1">
        <f t="shared" si="853"/>
        <v>0</v>
      </c>
      <c r="FJ534" s="1">
        <f t="shared" si="854"/>
        <v>0</v>
      </c>
      <c r="FK534" s="1">
        <f t="shared" si="855"/>
        <v>0</v>
      </c>
      <c r="FL534" s="1">
        <f t="shared" si="856"/>
        <v>0</v>
      </c>
      <c r="FM534" s="1">
        <f t="shared" si="857"/>
        <v>0</v>
      </c>
      <c r="FN534" s="1">
        <f t="shared" si="858"/>
        <v>0</v>
      </c>
      <c r="FO534" s="1">
        <f t="shared" si="859"/>
        <v>0</v>
      </c>
      <c r="FP534" s="1">
        <f t="shared" si="860"/>
        <v>0</v>
      </c>
      <c r="FQ534" s="1">
        <f t="shared" si="861"/>
        <v>0</v>
      </c>
      <c r="FS534" s="1">
        <f t="shared" si="862"/>
        <v>0</v>
      </c>
      <c r="FT534" s="1">
        <f t="shared" si="863"/>
        <v>0</v>
      </c>
      <c r="FU534" s="38">
        <f t="shared" si="864"/>
        <v>0</v>
      </c>
      <c r="FV534" s="38">
        <f t="shared" si="865"/>
        <v>0</v>
      </c>
      <c r="FW534" s="38">
        <f t="shared" si="866"/>
        <v>0</v>
      </c>
      <c r="FX534" s="38">
        <f t="shared" si="867"/>
        <v>0</v>
      </c>
      <c r="FY534" s="38">
        <f t="shared" si="868"/>
        <v>0</v>
      </c>
      <c r="FZ534" s="38">
        <f t="shared" si="869"/>
        <v>0</v>
      </c>
      <c r="GA534" s="38">
        <f t="shared" si="870"/>
        <v>0</v>
      </c>
      <c r="GB534" s="38">
        <f t="shared" si="871"/>
        <v>0</v>
      </c>
      <c r="GC534" s="38">
        <f t="shared" si="872"/>
        <v>0</v>
      </c>
      <c r="GD534" s="38">
        <f t="shared" si="873"/>
        <v>0</v>
      </c>
      <c r="GE534" s="38">
        <f t="shared" si="874"/>
        <v>0</v>
      </c>
      <c r="GF534" s="38">
        <f t="shared" si="875"/>
        <v>0</v>
      </c>
      <c r="GG534" s="38">
        <f t="shared" si="876"/>
        <v>0</v>
      </c>
      <c r="GH534" s="38">
        <f t="shared" si="877"/>
        <v>0</v>
      </c>
      <c r="GI534" s="38">
        <f t="shared" si="878"/>
        <v>0</v>
      </c>
      <c r="GJ534" s="38">
        <f t="shared" si="879"/>
        <v>0</v>
      </c>
      <c r="GL534" s="38">
        <f t="shared" si="880"/>
        <v>0</v>
      </c>
      <c r="GM534" s="38">
        <f t="shared" si="881"/>
        <v>0</v>
      </c>
      <c r="GN534" s="1" t="s">
        <v>2</v>
      </c>
      <c r="GO534" s="1">
        <f t="shared" si="889"/>
        <v>4.3019999999999996</v>
      </c>
      <c r="GP534" s="13">
        <f t="shared" si="890"/>
        <v>0.7893723849372386</v>
      </c>
      <c r="GQ534" s="41">
        <f t="shared" si="891"/>
        <v>33.958800000000004</v>
      </c>
      <c r="GR534" s="41">
        <f t="shared" si="892"/>
        <v>647.33259971951998</v>
      </c>
      <c r="GS534" s="14">
        <f t="shared" si="893"/>
        <v>150.47247785205022</v>
      </c>
      <c r="GT534" s="1">
        <f t="shared" si="882"/>
        <v>0</v>
      </c>
      <c r="GU534" s="1">
        <f t="shared" si="883"/>
        <v>13.292999999999999</v>
      </c>
      <c r="GV534" s="1">
        <f t="shared" si="884"/>
        <v>20.665800000000001</v>
      </c>
      <c r="GW534" s="37">
        <f t="shared" si="894"/>
        <v>0</v>
      </c>
      <c r="GX534" s="37"/>
      <c r="GY534" s="37"/>
      <c r="GZ534" s="37"/>
      <c r="HB534" s="1">
        <f t="shared" si="885"/>
        <v>0</v>
      </c>
      <c r="HC534" s="1">
        <f t="shared" si="886"/>
        <v>0</v>
      </c>
      <c r="HD534" s="37" t="s">
        <v>2</v>
      </c>
      <c r="HE534" s="1" t="s">
        <v>113</v>
      </c>
      <c r="HF534" s="1" t="s">
        <v>129</v>
      </c>
      <c r="HI534" s="1" t="s">
        <v>96</v>
      </c>
      <c r="HJ534" s="37" t="s">
        <v>2</v>
      </c>
      <c r="JH534" s="58" t="s">
        <v>2</v>
      </c>
    </row>
    <row r="535" spans="1:268" ht="16.25" customHeight="1" x14ac:dyDescent="0.2">
      <c r="A535" s="15" t="s">
        <v>712</v>
      </c>
      <c r="B535" s="1" t="s">
        <v>69</v>
      </c>
      <c r="F535" s="1" t="s">
        <v>713</v>
      </c>
      <c r="I535" s="1">
        <v>0</v>
      </c>
      <c r="AD535" s="1">
        <v>7.2</v>
      </c>
      <c r="AE535" s="13">
        <v>0.13</v>
      </c>
      <c r="AF535" s="13"/>
      <c r="AL535" s="13">
        <v>0.61</v>
      </c>
      <c r="AM535" s="1">
        <v>0.01</v>
      </c>
      <c r="AN535" s="13">
        <v>0.1</v>
      </c>
      <c r="AO535" s="13">
        <v>0.36</v>
      </c>
      <c r="AY535" s="1">
        <v>0.67300000000000004</v>
      </c>
      <c r="AZ535" s="13">
        <v>0.08</v>
      </c>
      <c r="BA535" s="13"/>
      <c r="BG535" s="13">
        <v>0.27</v>
      </c>
      <c r="BH535" s="1">
        <v>0.02</v>
      </c>
      <c r="BI535" s="13">
        <v>0.05</v>
      </c>
      <c r="BJ535" s="13">
        <v>0.14000000000000001</v>
      </c>
      <c r="BT535" s="1">
        <v>0</v>
      </c>
      <c r="CO535" s="1">
        <v>0</v>
      </c>
      <c r="DJ535" s="1" t="s">
        <v>96</v>
      </c>
      <c r="DK535" s="1" t="s">
        <v>96</v>
      </c>
      <c r="DL535" s="1">
        <f t="shared" si="887"/>
        <v>0.58093611075828777</v>
      </c>
      <c r="DM535" s="1">
        <f t="shared" si="888"/>
        <v>1.0854820271815065E-2</v>
      </c>
      <c r="DN535" s="1" t="s">
        <v>714</v>
      </c>
      <c r="DO535" s="1" t="s">
        <v>2</v>
      </c>
      <c r="DP535" s="38">
        <f t="shared" si="810"/>
        <v>9.8983999999999999E-3</v>
      </c>
      <c r="DQ535" s="38">
        <f t="shared" si="811"/>
        <v>0</v>
      </c>
      <c r="DR535" s="38">
        <f t="shared" si="812"/>
        <v>0</v>
      </c>
      <c r="DS535" s="38">
        <f t="shared" si="813"/>
        <v>0</v>
      </c>
      <c r="DT535" s="38">
        <f t="shared" si="814"/>
        <v>0</v>
      </c>
      <c r="DU535" s="38">
        <f t="shared" si="815"/>
        <v>0</v>
      </c>
      <c r="DV535" s="38">
        <f t="shared" si="816"/>
        <v>0</v>
      </c>
      <c r="DW535" s="38">
        <f t="shared" si="817"/>
        <v>4.5737100000000003E-2</v>
      </c>
      <c r="DX535" s="38">
        <f t="shared" si="818"/>
        <v>8.5460000000000006E-4</v>
      </c>
      <c r="DY535" s="38">
        <f t="shared" si="819"/>
        <v>0.75365000000000004</v>
      </c>
      <c r="DZ535" s="38">
        <f t="shared" si="820"/>
        <v>2.6862200000000001</v>
      </c>
      <c r="EA535" s="38">
        <f t="shared" si="821"/>
        <v>0</v>
      </c>
      <c r="EB535" s="38">
        <f t="shared" si="822"/>
        <v>0</v>
      </c>
      <c r="EC535" s="38">
        <f t="shared" si="823"/>
        <v>0</v>
      </c>
      <c r="ED535" s="38">
        <f t="shared" si="824"/>
        <v>0</v>
      </c>
      <c r="EE535" s="38">
        <f t="shared" si="825"/>
        <v>0</v>
      </c>
      <c r="EG535" s="38">
        <f t="shared" si="826"/>
        <v>0</v>
      </c>
      <c r="EH535" s="38">
        <f t="shared" si="827"/>
        <v>0</v>
      </c>
      <c r="EI535" s="38">
        <f t="shared" si="828"/>
        <v>64.593157414399997</v>
      </c>
      <c r="EJ535" s="38">
        <f t="shared" si="829"/>
        <v>0</v>
      </c>
      <c r="EK535" s="38">
        <f t="shared" si="830"/>
        <v>0</v>
      </c>
      <c r="EL535" s="38">
        <f t="shared" si="831"/>
        <v>0</v>
      </c>
      <c r="EM535" s="38">
        <f t="shared" si="832"/>
        <v>0</v>
      </c>
      <c r="EN535" s="38">
        <f t="shared" si="833"/>
        <v>0</v>
      </c>
      <c r="EO535" s="38">
        <f t="shared" si="834"/>
        <v>0</v>
      </c>
      <c r="EP535" s="38">
        <f t="shared" si="835"/>
        <v>599.79632939999999</v>
      </c>
      <c r="EQ535" s="38">
        <f t="shared" si="836"/>
        <v>62.060645210399997</v>
      </c>
      <c r="ER535" s="38">
        <f t="shared" si="837"/>
        <v>21.389604790996781</v>
      </c>
      <c r="ES535" s="38">
        <f t="shared" si="838"/>
        <v>89.520224906752418</v>
      </c>
      <c r="ET535" s="38">
        <f t="shared" si="839"/>
        <v>0</v>
      </c>
      <c r="EU535" s="38">
        <f t="shared" si="840"/>
        <v>0</v>
      </c>
      <c r="EV535" s="38">
        <f t="shared" si="841"/>
        <v>0</v>
      </c>
      <c r="EW535" s="38">
        <f t="shared" si="842"/>
        <v>0</v>
      </c>
      <c r="EX535" s="38">
        <f t="shared" si="843"/>
        <v>0</v>
      </c>
      <c r="EZ535" s="38">
        <f t="shared" si="844"/>
        <v>0</v>
      </c>
      <c r="FA535" s="38">
        <f t="shared" si="845"/>
        <v>0</v>
      </c>
      <c r="FB535" s="1">
        <f t="shared" si="846"/>
        <v>0</v>
      </c>
      <c r="FC535" s="1">
        <f t="shared" si="847"/>
        <v>0</v>
      </c>
      <c r="FD535" s="1">
        <f t="shared" si="848"/>
        <v>0</v>
      </c>
      <c r="FE535" s="1">
        <f t="shared" si="849"/>
        <v>0</v>
      </c>
      <c r="FF535" s="1">
        <f t="shared" si="850"/>
        <v>0</v>
      </c>
      <c r="FG535" s="1">
        <f t="shared" si="851"/>
        <v>0</v>
      </c>
      <c r="FH535" s="1">
        <f t="shared" si="852"/>
        <v>0</v>
      </c>
      <c r="FI535" s="1">
        <f t="shared" si="853"/>
        <v>0</v>
      </c>
      <c r="FJ535" s="1">
        <f t="shared" si="854"/>
        <v>0</v>
      </c>
      <c r="FK535" s="1">
        <f t="shared" si="855"/>
        <v>0</v>
      </c>
      <c r="FL535" s="1">
        <f t="shared" si="856"/>
        <v>0</v>
      </c>
      <c r="FM535" s="1">
        <f t="shared" si="857"/>
        <v>0</v>
      </c>
      <c r="FN535" s="1">
        <f t="shared" si="858"/>
        <v>0</v>
      </c>
      <c r="FO535" s="1">
        <f t="shared" si="859"/>
        <v>0</v>
      </c>
      <c r="FP535" s="1">
        <f t="shared" si="860"/>
        <v>0</v>
      </c>
      <c r="FQ535" s="1">
        <f t="shared" si="861"/>
        <v>0</v>
      </c>
      <c r="FS535" s="1">
        <f t="shared" si="862"/>
        <v>0</v>
      </c>
      <c r="FT535" s="1">
        <f t="shared" si="863"/>
        <v>0</v>
      </c>
      <c r="FU535" s="38">
        <f t="shared" si="864"/>
        <v>0</v>
      </c>
      <c r="FV535" s="38">
        <f t="shared" si="865"/>
        <v>0</v>
      </c>
      <c r="FW535" s="38">
        <f t="shared" si="866"/>
        <v>0</v>
      </c>
      <c r="FX535" s="38">
        <f t="shared" si="867"/>
        <v>0</v>
      </c>
      <c r="FY535" s="38">
        <f t="shared" si="868"/>
        <v>0</v>
      </c>
      <c r="FZ535" s="38">
        <f t="shared" si="869"/>
        <v>0</v>
      </c>
      <c r="GA535" s="38">
        <f t="shared" si="870"/>
        <v>0</v>
      </c>
      <c r="GB535" s="38">
        <f t="shared" si="871"/>
        <v>0</v>
      </c>
      <c r="GC535" s="38">
        <f t="shared" si="872"/>
        <v>0</v>
      </c>
      <c r="GD535" s="38">
        <f t="shared" si="873"/>
        <v>0</v>
      </c>
      <c r="GE535" s="38">
        <f t="shared" si="874"/>
        <v>0</v>
      </c>
      <c r="GF535" s="38">
        <f t="shared" si="875"/>
        <v>0</v>
      </c>
      <c r="GG535" s="38">
        <f t="shared" si="876"/>
        <v>0</v>
      </c>
      <c r="GH535" s="38">
        <f t="shared" si="877"/>
        <v>0</v>
      </c>
      <c r="GI535" s="38">
        <f t="shared" si="878"/>
        <v>0</v>
      </c>
      <c r="GJ535" s="38">
        <f t="shared" si="879"/>
        <v>0</v>
      </c>
      <c r="GL535" s="38">
        <f t="shared" si="880"/>
        <v>0</v>
      </c>
      <c r="GM535" s="38">
        <f t="shared" si="881"/>
        <v>0</v>
      </c>
      <c r="GN535" s="1" t="s">
        <v>2</v>
      </c>
      <c r="GO535" s="1">
        <f t="shared" si="889"/>
        <v>7.8730000000000002</v>
      </c>
      <c r="GP535" s="13">
        <f t="shared" si="890"/>
        <v>0.58093611075828777</v>
      </c>
      <c r="GQ535" s="41">
        <f t="shared" si="891"/>
        <v>45.737099999999998</v>
      </c>
      <c r="GR535" s="41">
        <f t="shared" si="892"/>
        <v>837.35996172254931</v>
      </c>
      <c r="GS535" s="14">
        <f t="shared" si="893"/>
        <v>106.35843537692739</v>
      </c>
      <c r="GT535" s="1">
        <f t="shared" si="882"/>
        <v>0</v>
      </c>
      <c r="GU535" s="1">
        <f t="shared" si="883"/>
        <v>43.92</v>
      </c>
      <c r="GV535" s="1">
        <f t="shared" si="884"/>
        <v>1.8171000000000002</v>
      </c>
      <c r="GW535" s="37">
        <f t="shared" si="894"/>
        <v>0</v>
      </c>
      <c r="GX535" s="37"/>
      <c r="GY535" s="37"/>
      <c r="GZ535" s="37"/>
      <c r="HB535" s="1">
        <f t="shared" si="885"/>
        <v>0</v>
      </c>
      <c r="HC535" s="1">
        <f t="shared" si="886"/>
        <v>0</v>
      </c>
      <c r="HD535" s="37" t="s">
        <v>2</v>
      </c>
      <c r="HE535" s="1" t="s">
        <v>113</v>
      </c>
      <c r="HF535" s="1" t="s">
        <v>129</v>
      </c>
      <c r="HI535" s="1" t="s">
        <v>96</v>
      </c>
      <c r="HJ535" s="37" t="s">
        <v>2</v>
      </c>
      <c r="JH535" s="58" t="s">
        <v>2</v>
      </c>
    </row>
    <row r="536" spans="1:268" ht="16.25" customHeight="1" x14ac:dyDescent="0.2">
      <c r="A536" s="15" t="s">
        <v>717</v>
      </c>
      <c r="B536" s="1" t="s">
        <v>69</v>
      </c>
      <c r="F536" s="1" t="s">
        <v>713</v>
      </c>
      <c r="I536" s="1">
        <v>0</v>
      </c>
      <c r="AD536" s="1">
        <v>27.9</v>
      </c>
      <c r="AE536" s="1">
        <v>0.43</v>
      </c>
      <c r="AF536" s="1">
        <v>0.05</v>
      </c>
      <c r="AL536" s="1">
        <v>0.18</v>
      </c>
      <c r="AN536" s="1">
        <v>0.05</v>
      </c>
      <c r="AO536" s="1">
        <v>0.14000000000000001</v>
      </c>
      <c r="AY536" s="1">
        <v>5.3</v>
      </c>
      <c r="AZ536" s="1">
        <v>0.48</v>
      </c>
      <c r="BA536" s="1">
        <v>0.04</v>
      </c>
      <c r="BG536" s="1">
        <v>0.18</v>
      </c>
      <c r="BI536" s="1">
        <v>0.06</v>
      </c>
      <c r="BJ536" s="1">
        <v>0.15</v>
      </c>
      <c r="BT536" s="1">
        <v>0</v>
      </c>
      <c r="CO536" s="1">
        <v>0</v>
      </c>
      <c r="DJ536" s="1" t="s">
        <v>96</v>
      </c>
      <c r="DL536" s="1">
        <f t="shared" si="887"/>
        <v>0.18</v>
      </c>
      <c r="DM536" s="1">
        <f t="shared" si="888"/>
        <v>0</v>
      </c>
      <c r="DN536" s="1" t="s">
        <v>714</v>
      </c>
      <c r="DO536" s="1" t="s">
        <v>2</v>
      </c>
      <c r="DP536" s="38">
        <f t="shared" si="810"/>
        <v>0.14541000000000001</v>
      </c>
      <c r="DQ536" s="38">
        <f t="shared" si="811"/>
        <v>1.607</v>
      </c>
      <c r="DR536" s="38">
        <f t="shared" si="812"/>
        <v>0</v>
      </c>
      <c r="DS536" s="38">
        <f t="shared" si="813"/>
        <v>0</v>
      </c>
      <c r="DT536" s="38">
        <f t="shared" si="814"/>
        <v>0</v>
      </c>
      <c r="DU536" s="38">
        <f t="shared" si="815"/>
        <v>0</v>
      </c>
      <c r="DV536" s="38">
        <f t="shared" si="816"/>
        <v>0</v>
      </c>
      <c r="DW536" s="38">
        <f t="shared" si="817"/>
        <v>5.9759999999999994E-2</v>
      </c>
      <c r="DX536" s="38">
        <f t="shared" si="818"/>
        <v>0</v>
      </c>
      <c r="DY536" s="38">
        <f t="shared" si="819"/>
        <v>1.7130000000000001</v>
      </c>
      <c r="DZ536" s="38">
        <f t="shared" si="820"/>
        <v>4.7010000000000005</v>
      </c>
      <c r="EA536" s="38">
        <f t="shared" si="821"/>
        <v>0</v>
      </c>
      <c r="EB536" s="38">
        <f t="shared" si="822"/>
        <v>0</v>
      </c>
      <c r="EC536" s="38">
        <f t="shared" si="823"/>
        <v>0</v>
      </c>
      <c r="ED536" s="38">
        <f t="shared" si="824"/>
        <v>0</v>
      </c>
      <c r="EE536" s="38">
        <f t="shared" si="825"/>
        <v>0</v>
      </c>
      <c r="EG536" s="38">
        <f t="shared" si="826"/>
        <v>0</v>
      </c>
      <c r="EH536" s="38">
        <f t="shared" si="827"/>
        <v>0</v>
      </c>
      <c r="EI536" s="38">
        <f t="shared" si="828"/>
        <v>948.88982256000008</v>
      </c>
      <c r="EJ536" s="38">
        <f t="shared" si="829"/>
        <v>65.726816720257233</v>
      </c>
      <c r="EK536" s="38">
        <f t="shared" si="830"/>
        <v>0</v>
      </c>
      <c r="EL536" s="38">
        <f t="shared" si="831"/>
        <v>0</v>
      </c>
      <c r="EM536" s="38">
        <f t="shared" si="832"/>
        <v>0</v>
      </c>
      <c r="EN536" s="38">
        <f t="shared" si="833"/>
        <v>0</v>
      </c>
      <c r="EO536" s="38">
        <f t="shared" si="834"/>
        <v>0</v>
      </c>
      <c r="EP536" s="38">
        <f t="shared" si="835"/>
        <v>783.69263999999987</v>
      </c>
      <c r="EQ536" s="38">
        <f t="shared" si="836"/>
        <v>0</v>
      </c>
      <c r="ER536" s="38">
        <f t="shared" si="837"/>
        <v>48.617253376205781</v>
      </c>
      <c r="ES536" s="38">
        <f t="shared" si="838"/>
        <v>156.66422604501611</v>
      </c>
      <c r="ET536" s="38">
        <f t="shared" si="839"/>
        <v>0</v>
      </c>
      <c r="EU536" s="38">
        <f t="shared" si="840"/>
        <v>0</v>
      </c>
      <c r="EV536" s="38">
        <f t="shared" si="841"/>
        <v>0</v>
      </c>
      <c r="EW536" s="38">
        <f t="shared" si="842"/>
        <v>0</v>
      </c>
      <c r="EX536" s="38">
        <f t="shared" si="843"/>
        <v>0</v>
      </c>
      <c r="EZ536" s="38">
        <f t="shared" si="844"/>
        <v>0</v>
      </c>
      <c r="FA536" s="38">
        <f t="shared" si="845"/>
        <v>0</v>
      </c>
      <c r="FB536" s="1">
        <f t="shared" si="846"/>
        <v>0</v>
      </c>
      <c r="FC536" s="1">
        <f t="shared" si="847"/>
        <v>0</v>
      </c>
      <c r="FD536" s="1">
        <f t="shared" si="848"/>
        <v>0</v>
      </c>
      <c r="FE536" s="1">
        <f t="shared" si="849"/>
        <v>0</v>
      </c>
      <c r="FF536" s="1">
        <f t="shared" si="850"/>
        <v>0</v>
      </c>
      <c r="FG536" s="1">
        <f t="shared" si="851"/>
        <v>0</v>
      </c>
      <c r="FH536" s="1">
        <f t="shared" si="852"/>
        <v>0</v>
      </c>
      <c r="FI536" s="1">
        <f t="shared" si="853"/>
        <v>0</v>
      </c>
      <c r="FJ536" s="1">
        <f t="shared" si="854"/>
        <v>0</v>
      </c>
      <c r="FK536" s="1">
        <f t="shared" si="855"/>
        <v>0</v>
      </c>
      <c r="FL536" s="1">
        <f t="shared" si="856"/>
        <v>0</v>
      </c>
      <c r="FM536" s="1">
        <f t="shared" si="857"/>
        <v>0</v>
      </c>
      <c r="FN536" s="1">
        <f t="shared" si="858"/>
        <v>0</v>
      </c>
      <c r="FO536" s="1">
        <f t="shared" si="859"/>
        <v>0</v>
      </c>
      <c r="FP536" s="1">
        <f t="shared" si="860"/>
        <v>0</v>
      </c>
      <c r="FQ536" s="1">
        <f t="shared" si="861"/>
        <v>0</v>
      </c>
      <c r="FS536" s="1">
        <f t="shared" si="862"/>
        <v>0</v>
      </c>
      <c r="FT536" s="1">
        <f t="shared" si="863"/>
        <v>0</v>
      </c>
      <c r="FU536" s="38">
        <f t="shared" si="864"/>
        <v>0</v>
      </c>
      <c r="FV536" s="38">
        <f t="shared" si="865"/>
        <v>0</v>
      </c>
      <c r="FW536" s="38">
        <f t="shared" si="866"/>
        <v>0</v>
      </c>
      <c r="FX536" s="38">
        <f t="shared" si="867"/>
        <v>0</v>
      </c>
      <c r="FY536" s="38">
        <f t="shared" si="868"/>
        <v>0</v>
      </c>
      <c r="FZ536" s="38">
        <f t="shared" si="869"/>
        <v>0</v>
      </c>
      <c r="GA536" s="38">
        <f t="shared" si="870"/>
        <v>0</v>
      </c>
      <c r="GB536" s="38">
        <f t="shared" si="871"/>
        <v>0</v>
      </c>
      <c r="GC536" s="38">
        <f t="shared" si="872"/>
        <v>0</v>
      </c>
      <c r="GD536" s="38">
        <f t="shared" si="873"/>
        <v>0</v>
      </c>
      <c r="GE536" s="38">
        <f t="shared" si="874"/>
        <v>0</v>
      </c>
      <c r="GF536" s="38">
        <f t="shared" si="875"/>
        <v>0</v>
      </c>
      <c r="GG536" s="38">
        <f t="shared" si="876"/>
        <v>0</v>
      </c>
      <c r="GH536" s="38">
        <f t="shared" si="877"/>
        <v>0</v>
      </c>
      <c r="GI536" s="38">
        <f t="shared" si="878"/>
        <v>0</v>
      </c>
      <c r="GJ536" s="38">
        <f t="shared" si="879"/>
        <v>0</v>
      </c>
      <c r="GL536" s="38">
        <f t="shared" si="880"/>
        <v>0</v>
      </c>
      <c r="GM536" s="38">
        <f t="shared" si="881"/>
        <v>0</v>
      </c>
      <c r="GN536" s="1" t="s">
        <v>2</v>
      </c>
      <c r="GO536" s="1">
        <f t="shared" si="889"/>
        <v>33.199999999999996</v>
      </c>
      <c r="GP536" s="1">
        <f t="shared" si="890"/>
        <v>0.18</v>
      </c>
      <c r="GQ536" s="41">
        <f t="shared" si="891"/>
        <v>59.759999999999984</v>
      </c>
      <c r="GR536" s="41">
        <f t="shared" si="892"/>
        <v>2003.590758701479</v>
      </c>
      <c r="GS536" s="14">
        <f t="shared" si="893"/>
        <v>60.349119237996362</v>
      </c>
      <c r="GT536" s="1">
        <f t="shared" si="882"/>
        <v>0</v>
      </c>
      <c r="GU536" s="1">
        <f t="shared" si="883"/>
        <v>50.219999999999992</v>
      </c>
      <c r="GV536" s="1">
        <f t="shared" si="884"/>
        <v>9.5399999999999991</v>
      </c>
      <c r="GW536" s="37">
        <f t="shared" si="894"/>
        <v>0</v>
      </c>
      <c r="GX536" s="37"/>
      <c r="GY536" s="37"/>
      <c r="GZ536" s="37"/>
      <c r="HB536" s="1">
        <f t="shared" si="885"/>
        <v>0</v>
      </c>
      <c r="HC536" s="1">
        <f t="shared" si="886"/>
        <v>0</v>
      </c>
      <c r="HD536" s="37" t="s">
        <v>2</v>
      </c>
      <c r="HE536" s="1" t="s">
        <v>113</v>
      </c>
      <c r="HF536" s="1" t="s">
        <v>129</v>
      </c>
      <c r="HI536" s="1" t="s">
        <v>96</v>
      </c>
      <c r="HJ536" s="37" t="s">
        <v>2</v>
      </c>
      <c r="JH536" s="58" t="s">
        <v>2</v>
      </c>
    </row>
    <row r="537" spans="1:268" ht="16.25" customHeight="1" x14ac:dyDescent="0.2">
      <c r="A537" s="15" t="s">
        <v>736</v>
      </c>
      <c r="B537" s="1" t="s">
        <v>69</v>
      </c>
      <c r="F537" s="1" t="s">
        <v>737</v>
      </c>
      <c r="I537" s="2">
        <v>1.7697210000000001</v>
      </c>
      <c r="J537" s="1">
        <v>0.61</v>
      </c>
      <c r="Q537" s="1">
        <v>0.67</v>
      </c>
      <c r="R537" s="1">
        <v>0.03</v>
      </c>
      <c r="T537" s="1">
        <v>0.46</v>
      </c>
      <c r="AD537" s="2">
        <v>0.48893300000000001</v>
      </c>
      <c r="AE537" s="1">
        <v>0.61</v>
      </c>
      <c r="AL537" s="1">
        <v>0.67</v>
      </c>
      <c r="AM537" s="1">
        <v>0.03</v>
      </c>
      <c r="AO537" s="1">
        <v>0.47</v>
      </c>
      <c r="AY537" s="2">
        <v>0.198571</v>
      </c>
      <c r="AZ537" s="1">
        <v>0.59</v>
      </c>
      <c r="BG537" s="1">
        <v>0.66</v>
      </c>
      <c r="BH537" s="1">
        <v>0.03</v>
      </c>
      <c r="BJ537" s="1">
        <v>0.47</v>
      </c>
      <c r="BT537" s="1">
        <v>0</v>
      </c>
      <c r="CO537" s="1">
        <v>0</v>
      </c>
      <c r="DJ537" s="1" t="s">
        <v>96</v>
      </c>
      <c r="DK537" s="1" t="s">
        <v>96</v>
      </c>
      <c r="DL537" s="1">
        <f t="shared" si="887"/>
        <v>0.66919188922463357</v>
      </c>
      <c r="DM537" s="1">
        <f t="shared" si="888"/>
        <v>3.0000000000000002E-2</v>
      </c>
      <c r="DN537" s="1" t="s">
        <v>738</v>
      </c>
      <c r="DO537" s="1" t="s">
        <v>2</v>
      </c>
      <c r="DP537" s="38">
        <f t="shared" si="810"/>
        <v>1.4949358300000002E-2</v>
      </c>
      <c r="DQ537" s="38">
        <f t="shared" si="811"/>
        <v>0</v>
      </c>
      <c r="DR537" s="38">
        <f t="shared" si="812"/>
        <v>0</v>
      </c>
      <c r="DS537" s="38">
        <f t="shared" si="813"/>
        <v>0</v>
      </c>
      <c r="DT537" s="38">
        <f t="shared" si="814"/>
        <v>0</v>
      </c>
      <c r="DU537" s="38">
        <f t="shared" si="815"/>
        <v>0</v>
      </c>
      <c r="DV537" s="38">
        <f t="shared" si="816"/>
        <v>0</v>
      </c>
      <c r="DW537" s="38">
        <f t="shared" si="817"/>
        <v>1.64435504E-2</v>
      </c>
      <c r="DX537" s="38">
        <f t="shared" si="818"/>
        <v>7.3716750000000001E-4</v>
      </c>
      <c r="DY537" s="38">
        <f t="shared" si="819"/>
        <v>0</v>
      </c>
      <c r="DZ537" s="38">
        <f t="shared" si="820"/>
        <v>1.1371985400000002</v>
      </c>
      <c r="EA537" s="38">
        <f t="shared" si="821"/>
        <v>0</v>
      </c>
      <c r="EB537" s="38">
        <f t="shared" si="822"/>
        <v>0</v>
      </c>
      <c r="EC537" s="38">
        <f t="shared" si="823"/>
        <v>0</v>
      </c>
      <c r="ED537" s="38">
        <f t="shared" si="824"/>
        <v>0</v>
      </c>
      <c r="EE537" s="38">
        <f t="shared" si="825"/>
        <v>0</v>
      </c>
      <c r="EG537" s="38">
        <f t="shared" si="826"/>
        <v>0</v>
      </c>
      <c r="EH537" s="38">
        <f t="shared" si="827"/>
        <v>0</v>
      </c>
      <c r="EI537" s="38">
        <f t="shared" si="828"/>
        <v>97.553771712212807</v>
      </c>
      <c r="EJ537" s="38">
        <f t="shared" si="829"/>
        <v>0</v>
      </c>
      <c r="EK537" s="38">
        <f t="shared" si="830"/>
        <v>0</v>
      </c>
      <c r="EL537" s="38">
        <f t="shared" si="831"/>
        <v>0</v>
      </c>
      <c r="EM537" s="38">
        <f t="shared" si="832"/>
        <v>0</v>
      </c>
      <c r="EN537" s="38">
        <f t="shared" si="833"/>
        <v>0</v>
      </c>
      <c r="EO537" s="38">
        <f t="shared" si="834"/>
        <v>0</v>
      </c>
      <c r="EP537" s="38">
        <f t="shared" si="835"/>
        <v>215.64071994559998</v>
      </c>
      <c r="EQ537" s="38">
        <f t="shared" si="836"/>
        <v>53.532752958269995</v>
      </c>
      <c r="ER537" s="38">
        <f t="shared" si="837"/>
        <v>0</v>
      </c>
      <c r="ES537" s="38">
        <f t="shared" si="838"/>
        <v>37.897964077562712</v>
      </c>
      <c r="ET537" s="38">
        <f t="shared" si="839"/>
        <v>0</v>
      </c>
      <c r="EU537" s="38">
        <f t="shared" si="840"/>
        <v>0</v>
      </c>
      <c r="EV537" s="38">
        <f t="shared" si="841"/>
        <v>0</v>
      </c>
      <c r="EW537" s="38">
        <f t="shared" si="842"/>
        <v>0</v>
      </c>
      <c r="EX537" s="38">
        <f t="shared" si="843"/>
        <v>0</v>
      </c>
      <c r="EZ537" s="38">
        <f t="shared" si="844"/>
        <v>0</v>
      </c>
      <c r="FA537" s="38">
        <f t="shared" si="845"/>
        <v>0</v>
      </c>
      <c r="FB537" s="1">
        <f t="shared" si="846"/>
        <v>0</v>
      </c>
      <c r="FC537" s="1">
        <f t="shared" si="847"/>
        <v>0</v>
      </c>
      <c r="FD537" s="1">
        <f t="shared" si="848"/>
        <v>0</v>
      </c>
      <c r="FE537" s="1">
        <f t="shared" si="849"/>
        <v>0</v>
      </c>
      <c r="FF537" s="1">
        <f t="shared" si="850"/>
        <v>0</v>
      </c>
      <c r="FG537" s="1">
        <f t="shared" si="851"/>
        <v>0</v>
      </c>
      <c r="FH537" s="1">
        <f t="shared" si="852"/>
        <v>0</v>
      </c>
      <c r="FI537" s="1">
        <f t="shared" si="853"/>
        <v>0</v>
      </c>
      <c r="FJ537" s="1">
        <f t="shared" si="854"/>
        <v>0</v>
      </c>
      <c r="FK537" s="1">
        <f t="shared" si="855"/>
        <v>0</v>
      </c>
      <c r="FL537" s="1">
        <f t="shared" si="856"/>
        <v>0</v>
      </c>
      <c r="FM537" s="1">
        <f t="shared" si="857"/>
        <v>0</v>
      </c>
      <c r="FN537" s="1">
        <f t="shared" si="858"/>
        <v>0</v>
      </c>
      <c r="FO537" s="1">
        <f t="shared" si="859"/>
        <v>0</v>
      </c>
      <c r="FP537" s="1">
        <f t="shared" si="860"/>
        <v>0</v>
      </c>
      <c r="FQ537" s="1">
        <f t="shared" si="861"/>
        <v>0</v>
      </c>
      <c r="FS537" s="1">
        <f t="shared" si="862"/>
        <v>0</v>
      </c>
      <c r="FT537" s="1">
        <f t="shared" si="863"/>
        <v>0</v>
      </c>
      <c r="FU537" s="38">
        <f t="shared" si="864"/>
        <v>0</v>
      </c>
      <c r="FV537" s="38">
        <f t="shared" si="865"/>
        <v>0</v>
      </c>
      <c r="FW537" s="38">
        <f t="shared" si="866"/>
        <v>0</v>
      </c>
      <c r="FX537" s="38">
        <f t="shared" si="867"/>
        <v>0</v>
      </c>
      <c r="FY537" s="38">
        <f t="shared" si="868"/>
        <v>0</v>
      </c>
      <c r="FZ537" s="38">
        <f t="shared" si="869"/>
        <v>0</v>
      </c>
      <c r="GA537" s="38">
        <f t="shared" si="870"/>
        <v>0</v>
      </c>
      <c r="GB537" s="38">
        <f t="shared" si="871"/>
        <v>0</v>
      </c>
      <c r="GC537" s="38">
        <f t="shared" si="872"/>
        <v>0</v>
      </c>
      <c r="GD537" s="38">
        <f t="shared" si="873"/>
        <v>0</v>
      </c>
      <c r="GE537" s="38">
        <f t="shared" si="874"/>
        <v>0</v>
      </c>
      <c r="GF537" s="38">
        <f t="shared" si="875"/>
        <v>0</v>
      </c>
      <c r="GG537" s="38">
        <f t="shared" si="876"/>
        <v>0</v>
      </c>
      <c r="GH537" s="38">
        <f t="shared" si="877"/>
        <v>0</v>
      </c>
      <c r="GI537" s="38">
        <f t="shared" si="878"/>
        <v>0</v>
      </c>
      <c r="GJ537" s="38">
        <f t="shared" si="879"/>
        <v>0</v>
      </c>
      <c r="GL537" s="38">
        <f t="shared" si="880"/>
        <v>0</v>
      </c>
      <c r="GM537" s="38">
        <f t="shared" si="881"/>
        <v>0</v>
      </c>
      <c r="GN537" s="1" t="s">
        <v>2</v>
      </c>
      <c r="GO537" s="2">
        <f t="shared" si="889"/>
        <v>2.4572249999999998</v>
      </c>
      <c r="GP537" s="13">
        <f t="shared" si="890"/>
        <v>0.66919188922463357</v>
      </c>
      <c r="GQ537" s="41">
        <f t="shared" si="891"/>
        <v>16.443550400000003</v>
      </c>
      <c r="GR537" s="41">
        <f t="shared" si="892"/>
        <v>404.62520869364556</v>
      </c>
      <c r="GS537" s="14">
        <f t="shared" si="893"/>
        <v>164.66754517540949</v>
      </c>
      <c r="GT537" s="1">
        <f t="shared" si="882"/>
        <v>11.857130700000001</v>
      </c>
      <c r="GU537" s="1">
        <f t="shared" si="883"/>
        <v>3.2758510999999997</v>
      </c>
      <c r="GV537" s="1">
        <f t="shared" si="884"/>
        <v>1.3105686000000001</v>
      </c>
      <c r="GW537" s="37">
        <f t="shared" si="894"/>
        <v>0</v>
      </c>
      <c r="GX537" s="37"/>
      <c r="GY537" s="37"/>
      <c r="GZ537" s="37"/>
      <c r="HB537" s="1">
        <f t="shared" si="885"/>
        <v>0</v>
      </c>
      <c r="HC537" s="1">
        <f t="shared" si="886"/>
        <v>0</v>
      </c>
      <c r="HD537" s="37" t="s">
        <v>2</v>
      </c>
      <c r="HE537" s="1" t="s">
        <v>113</v>
      </c>
      <c r="HF537" s="1" t="s">
        <v>129</v>
      </c>
      <c r="HI537" s="1" t="s">
        <v>96</v>
      </c>
      <c r="HJ537" s="37" t="s">
        <v>2</v>
      </c>
      <c r="JH537" s="58" t="s">
        <v>2</v>
      </c>
    </row>
    <row r="538" spans="1:268" ht="16.25" customHeight="1" x14ac:dyDescent="0.2">
      <c r="A538" s="15" t="s">
        <v>750</v>
      </c>
      <c r="B538" s="1" t="s">
        <v>69</v>
      </c>
      <c r="F538" s="1" t="s">
        <v>751</v>
      </c>
      <c r="I538" s="13">
        <v>56.096699999999998</v>
      </c>
      <c r="J538" s="1">
        <v>0.06</v>
      </c>
      <c r="K538" s="1">
        <v>0.03</v>
      </c>
      <c r="Q538" s="1">
        <v>0.02</v>
      </c>
      <c r="R538" s="1">
        <v>6.0000000000000001E-3</v>
      </c>
      <c r="S538" s="13">
        <v>0.2</v>
      </c>
      <c r="T538" s="1">
        <v>0.54</v>
      </c>
      <c r="U538" s="1">
        <v>1.2999999999999999E-2</v>
      </c>
      <c r="AD538" s="13">
        <v>43.158499999999997</v>
      </c>
      <c r="AE538" s="1">
        <v>0.05</v>
      </c>
      <c r="AF538" s="1">
        <v>0.03</v>
      </c>
      <c r="AL538" s="1">
        <v>0.02</v>
      </c>
      <c r="AM538" s="1">
        <v>6.0000000000000001E-3</v>
      </c>
      <c r="AN538" s="1">
        <v>0.19</v>
      </c>
      <c r="AO538" s="1">
        <v>0.49</v>
      </c>
      <c r="AP538" s="1">
        <v>3.0000000000000001E-3</v>
      </c>
      <c r="AY538" s="13">
        <v>52.305999999999997</v>
      </c>
      <c r="AZ538" s="1">
        <v>0.04</v>
      </c>
      <c r="BA538" s="1">
        <v>0.04</v>
      </c>
      <c r="BG538" s="1">
        <v>0.02</v>
      </c>
      <c r="BH538" s="1">
        <v>1E-3</v>
      </c>
      <c r="BI538" s="1">
        <v>0.15</v>
      </c>
      <c r="BJ538" s="1">
        <v>0.31</v>
      </c>
      <c r="BK538" s="1">
        <v>1.2E-2</v>
      </c>
      <c r="BT538" s="1">
        <v>0</v>
      </c>
      <c r="CO538" s="1">
        <v>0</v>
      </c>
      <c r="DJ538" s="1" t="s">
        <v>96</v>
      </c>
      <c r="DK538" s="1" t="s">
        <v>96</v>
      </c>
      <c r="DL538" s="1">
        <f t="shared" si="887"/>
        <v>0.02</v>
      </c>
      <c r="DM538" s="1">
        <f t="shared" si="888"/>
        <v>4.2744264363174739E-3</v>
      </c>
      <c r="DN538" s="1" t="s">
        <v>198</v>
      </c>
      <c r="DO538" s="1" t="s">
        <v>2</v>
      </c>
      <c r="DP538" s="38">
        <f t="shared" si="810"/>
        <v>7.6159669999999999E-2</v>
      </c>
      <c r="DQ538" s="38">
        <f t="shared" si="811"/>
        <v>5.069896</v>
      </c>
      <c r="DR538" s="38">
        <f t="shared" si="812"/>
        <v>0</v>
      </c>
      <c r="DS538" s="38">
        <f t="shared" si="813"/>
        <v>0</v>
      </c>
      <c r="DT538" s="38">
        <f t="shared" si="814"/>
        <v>0</v>
      </c>
      <c r="DU538" s="38">
        <f t="shared" si="815"/>
        <v>0</v>
      </c>
      <c r="DV538" s="38">
        <f t="shared" si="816"/>
        <v>0</v>
      </c>
      <c r="DW538" s="38">
        <f t="shared" si="817"/>
        <v>3.0312240000000001E-2</v>
      </c>
      <c r="DX538" s="38">
        <f t="shared" si="818"/>
        <v>6.4783719999999987E-3</v>
      </c>
      <c r="DY538" s="38">
        <f t="shared" si="819"/>
        <v>27.265355</v>
      </c>
      <c r="DZ538" s="38">
        <f t="shared" si="820"/>
        <v>67.654742999999996</v>
      </c>
      <c r="EA538" s="38">
        <f t="shared" si="821"/>
        <v>1.4864046</v>
      </c>
      <c r="EB538" s="38">
        <f t="shared" si="822"/>
        <v>0</v>
      </c>
      <c r="EC538" s="38">
        <f t="shared" si="823"/>
        <v>0</v>
      </c>
      <c r="ED538" s="38">
        <f t="shared" si="824"/>
        <v>0</v>
      </c>
      <c r="EE538" s="38">
        <f t="shared" si="825"/>
        <v>0</v>
      </c>
      <c r="EG538" s="38">
        <f t="shared" si="826"/>
        <v>0</v>
      </c>
      <c r="EH538" s="38">
        <f t="shared" si="827"/>
        <v>0</v>
      </c>
      <c r="EI538" s="38">
        <f t="shared" si="828"/>
        <v>496.98876110672001</v>
      </c>
      <c r="EJ538" s="38">
        <f t="shared" si="829"/>
        <v>207.36037659163983</v>
      </c>
      <c r="EK538" s="38">
        <f t="shared" si="830"/>
        <v>0</v>
      </c>
      <c r="EL538" s="38">
        <f t="shared" si="831"/>
        <v>0</v>
      </c>
      <c r="EM538" s="38">
        <f t="shared" si="832"/>
        <v>0</v>
      </c>
      <c r="EN538" s="38">
        <f t="shared" si="833"/>
        <v>0</v>
      </c>
      <c r="EO538" s="38">
        <f t="shared" si="834"/>
        <v>0</v>
      </c>
      <c r="EP538" s="38">
        <f t="shared" si="835"/>
        <v>397.51471536000003</v>
      </c>
      <c r="EQ538" s="38">
        <f t="shared" si="836"/>
        <v>470.45629093492784</v>
      </c>
      <c r="ER538" s="38">
        <f t="shared" si="837"/>
        <v>773.82759627974258</v>
      </c>
      <c r="ES538" s="38">
        <f t="shared" si="838"/>
        <v>2254.6432568324758</v>
      </c>
      <c r="ET538" s="38">
        <f t="shared" si="839"/>
        <v>106.35678959421223</v>
      </c>
      <c r="EU538" s="38">
        <f t="shared" si="840"/>
        <v>0</v>
      </c>
      <c r="EV538" s="38">
        <f t="shared" si="841"/>
        <v>0</v>
      </c>
      <c r="EW538" s="38">
        <f t="shared" si="842"/>
        <v>0</v>
      </c>
      <c r="EX538" s="38">
        <f t="shared" si="843"/>
        <v>0</v>
      </c>
      <c r="EZ538" s="38">
        <f t="shared" si="844"/>
        <v>0</v>
      </c>
      <c r="FA538" s="38">
        <f t="shared" si="845"/>
        <v>0</v>
      </c>
      <c r="FB538" s="1">
        <f t="shared" si="846"/>
        <v>0</v>
      </c>
      <c r="FC538" s="1">
        <f t="shared" si="847"/>
        <v>0</v>
      </c>
      <c r="FD538" s="1">
        <f t="shared" si="848"/>
        <v>0</v>
      </c>
      <c r="FE538" s="1">
        <f t="shared" si="849"/>
        <v>0</v>
      </c>
      <c r="FF538" s="1">
        <f t="shared" si="850"/>
        <v>0</v>
      </c>
      <c r="FG538" s="1">
        <f t="shared" si="851"/>
        <v>0</v>
      </c>
      <c r="FH538" s="1">
        <f t="shared" si="852"/>
        <v>0</v>
      </c>
      <c r="FI538" s="1">
        <f t="shared" si="853"/>
        <v>0</v>
      </c>
      <c r="FJ538" s="1">
        <f t="shared" si="854"/>
        <v>0</v>
      </c>
      <c r="FK538" s="1">
        <f t="shared" si="855"/>
        <v>0</v>
      </c>
      <c r="FL538" s="1">
        <f t="shared" si="856"/>
        <v>0</v>
      </c>
      <c r="FM538" s="1">
        <f t="shared" si="857"/>
        <v>0</v>
      </c>
      <c r="FN538" s="1">
        <f t="shared" si="858"/>
        <v>0</v>
      </c>
      <c r="FO538" s="1">
        <f t="shared" si="859"/>
        <v>0</v>
      </c>
      <c r="FP538" s="1">
        <f t="shared" si="860"/>
        <v>0</v>
      </c>
      <c r="FQ538" s="1">
        <f t="shared" si="861"/>
        <v>0</v>
      </c>
      <c r="FS538" s="1">
        <f t="shared" si="862"/>
        <v>0</v>
      </c>
      <c r="FT538" s="1">
        <f t="shared" si="863"/>
        <v>0</v>
      </c>
      <c r="FU538" s="38">
        <f t="shared" si="864"/>
        <v>0</v>
      </c>
      <c r="FV538" s="38">
        <f t="shared" si="865"/>
        <v>0</v>
      </c>
      <c r="FW538" s="38">
        <f t="shared" si="866"/>
        <v>0</v>
      </c>
      <c r="FX538" s="38">
        <f t="shared" si="867"/>
        <v>0</v>
      </c>
      <c r="FY538" s="38">
        <f t="shared" si="868"/>
        <v>0</v>
      </c>
      <c r="FZ538" s="38">
        <f t="shared" si="869"/>
        <v>0</v>
      </c>
      <c r="GA538" s="38">
        <f t="shared" si="870"/>
        <v>0</v>
      </c>
      <c r="GB538" s="38">
        <f t="shared" si="871"/>
        <v>0</v>
      </c>
      <c r="GC538" s="38">
        <f t="shared" si="872"/>
        <v>0</v>
      </c>
      <c r="GD538" s="38">
        <f t="shared" si="873"/>
        <v>0</v>
      </c>
      <c r="GE538" s="38">
        <f t="shared" si="874"/>
        <v>0</v>
      </c>
      <c r="GF538" s="38">
        <f t="shared" si="875"/>
        <v>0</v>
      </c>
      <c r="GG538" s="38">
        <f t="shared" si="876"/>
        <v>0</v>
      </c>
      <c r="GH538" s="38">
        <f t="shared" si="877"/>
        <v>0</v>
      </c>
      <c r="GI538" s="38">
        <f t="shared" si="878"/>
        <v>0</v>
      </c>
      <c r="GJ538" s="38">
        <f t="shared" si="879"/>
        <v>0</v>
      </c>
      <c r="GL538" s="38">
        <f t="shared" si="880"/>
        <v>0</v>
      </c>
      <c r="GM538" s="38">
        <f t="shared" si="881"/>
        <v>0</v>
      </c>
      <c r="GN538" s="1" t="s">
        <v>2</v>
      </c>
      <c r="GO538" s="13">
        <f t="shared" si="889"/>
        <v>151.56119999999999</v>
      </c>
      <c r="GP538" s="1">
        <f t="shared" si="890"/>
        <v>0.02</v>
      </c>
      <c r="GQ538" s="41">
        <f t="shared" si="891"/>
        <v>30.312239999999996</v>
      </c>
      <c r="GR538" s="41">
        <f t="shared" si="892"/>
        <v>4707.1477866997184</v>
      </c>
      <c r="GS538" s="14">
        <f t="shared" si="893"/>
        <v>31.057736324994252</v>
      </c>
      <c r="GT538" s="1">
        <f t="shared" si="882"/>
        <v>11.219339999999999</v>
      </c>
      <c r="GU538" s="1">
        <f t="shared" si="883"/>
        <v>8.6317000000000004</v>
      </c>
      <c r="GV538" s="1">
        <f t="shared" si="884"/>
        <v>10.461199999999998</v>
      </c>
      <c r="GW538" s="37">
        <f t="shared" si="894"/>
        <v>0</v>
      </c>
      <c r="GX538" s="37"/>
      <c r="GY538" s="37"/>
      <c r="GZ538" s="37"/>
      <c r="HB538" s="1">
        <f t="shared" si="885"/>
        <v>0</v>
      </c>
      <c r="HC538" s="1">
        <f t="shared" si="886"/>
        <v>0</v>
      </c>
      <c r="HD538" s="37" t="s">
        <v>2</v>
      </c>
      <c r="HE538" s="1" t="s">
        <v>113</v>
      </c>
      <c r="HF538" s="1" t="s">
        <v>129</v>
      </c>
      <c r="HI538" s="1" t="s">
        <v>96</v>
      </c>
      <c r="HJ538" s="37" t="s">
        <v>2</v>
      </c>
      <c r="JH538" s="58" t="s">
        <v>2</v>
      </c>
    </row>
    <row r="539" spans="1:268" ht="16.25" customHeight="1" x14ac:dyDescent="0.2">
      <c r="A539" s="15" t="s">
        <v>799</v>
      </c>
      <c r="B539" s="1" t="s">
        <v>69</v>
      </c>
      <c r="F539" s="1" t="s">
        <v>800</v>
      </c>
      <c r="I539" s="1">
        <v>93.3</v>
      </c>
      <c r="J539" s="1">
        <v>0.17</v>
      </c>
      <c r="K539" s="1">
        <v>5.3999999999999999E-2</v>
      </c>
      <c r="Q539" s="1">
        <v>0.25</v>
      </c>
      <c r="R539" s="1">
        <v>1.4999999999999999E-2</v>
      </c>
      <c r="S539" s="1">
        <v>0.26200000000000001</v>
      </c>
      <c r="T539" s="1">
        <v>0.24399999999999999</v>
      </c>
      <c r="AD539" s="1">
        <v>230.1</v>
      </c>
      <c r="AE539" s="1">
        <v>0.15</v>
      </c>
      <c r="AF539" s="1">
        <v>4.2999999999999997E-2</v>
      </c>
      <c r="AL539" s="1">
        <v>0.27</v>
      </c>
      <c r="AM539" s="1">
        <v>1.4999999999999999E-2</v>
      </c>
      <c r="AN539" s="1">
        <v>0.249</v>
      </c>
      <c r="AO539" s="1">
        <v>0.25900000000000001</v>
      </c>
      <c r="AY539" s="1">
        <v>108.1</v>
      </c>
      <c r="AZ539" s="1">
        <v>0.15</v>
      </c>
      <c r="BA539" s="2">
        <v>0.04</v>
      </c>
      <c r="BG539" s="1">
        <v>0.28999999999999998</v>
      </c>
      <c r="BH539" s="1">
        <v>1.6E-2</v>
      </c>
      <c r="BI539" s="1">
        <v>0.25600000000000001</v>
      </c>
      <c r="BJ539" s="1">
        <v>0.27900000000000003</v>
      </c>
      <c r="BT539" s="1">
        <v>0</v>
      </c>
      <c r="CO539" s="1">
        <v>0</v>
      </c>
      <c r="DJ539" s="1" t="s">
        <v>96</v>
      </c>
      <c r="DK539" s="1" t="s">
        <v>96</v>
      </c>
      <c r="DL539" s="1">
        <f t="shared" si="887"/>
        <v>0.27068597914252607</v>
      </c>
      <c r="DM539" s="1">
        <f t="shared" si="888"/>
        <v>1.5250521436848205E-2</v>
      </c>
      <c r="DN539" s="1" t="s">
        <v>583</v>
      </c>
      <c r="DO539" s="1" t="s">
        <v>2</v>
      </c>
      <c r="DP539" s="38">
        <f t="shared" si="810"/>
        <v>0.66591000000000011</v>
      </c>
      <c r="DQ539" s="38">
        <f t="shared" si="811"/>
        <v>19.256499999999999</v>
      </c>
      <c r="DR539" s="38">
        <f t="shared" si="812"/>
        <v>0</v>
      </c>
      <c r="DS539" s="38">
        <f t="shared" si="813"/>
        <v>0</v>
      </c>
      <c r="DT539" s="38">
        <f t="shared" si="814"/>
        <v>0</v>
      </c>
      <c r="DU539" s="38">
        <f t="shared" si="815"/>
        <v>0</v>
      </c>
      <c r="DV539" s="38">
        <f t="shared" si="816"/>
        <v>0</v>
      </c>
      <c r="DW539" s="38">
        <f t="shared" si="817"/>
        <v>1.1680099999999998</v>
      </c>
      <c r="DX539" s="38">
        <f t="shared" si="818"/>
        <v>6.5806000000000003E-2</v>
      </c>
      <c r="DY539" s="38">
        <f t="shared" si="819"/>
        <v>109.41309999999999</v>
      </c>
      <c r="DZ539" s="38">
        <f t="shared" si="820"/>
        <v>112.52099999999999</v>
      </c>
      <c r="EA539" s="38">
        <f t="shared" si="821"/>
        <v>0</v>
      </c>
      <c r="EB539" s="38">
        <f t="shared" si="822"/>
        <v>0</v>
      </c>
      <c r="EC539" s="38">
        <f t="shared" si="823"/>
        <v>0</v>
      </c>
      <c r="ED539" s="38">
        <f t="shared" si="824"/>
        <v>0</v>
      </c>
      <c r="EE539" s="38">
        <f t="shared" si="825"/>
        <v>0</v>
      </c>
      <c r="EG539" s="38">
        <f t="shared" si="826"/>
        <v>0</v>
      </c>
      <c r="EH539" s="38">
        <f t="shared" si="827"/>
        <v>0</v>
      </c>
      <c r="EI539" s="38">
        <f t="shared" si="828"/>
        <v>4345.4729505600008</v>
      </c>
      <c r="EJ539" s="38">
        <f t="shared" si="829"/>
        <v>787.59704180064296</v>
      </c>
      <c r="EK539" s="38">
        <f t="shared" si="830"/>
        <v>0</v>
      </c>
      <c r="EL539" s="38">
        <f t="shared" si="831"/>
        <v>0</v>
      </c>
      <c r="EM539" s="38">
        <f t="shared" si="832"/>
        <v>0</v>
      </c>
      <c r="EN539" s="38">
        <f t="shared" si="833"/>
        <v>0</v>
      </c>
      <c r="EO539" s="38">
        <f t="shared" si="834"/>
        <v>0</v>
      </c>
      <c r="EP539" s="38">
        <f t="shared" si="835"/>
        <v>15317.283139999998</v>
      </c>
      <c r="EQ539" s="38">
        <f t="shared" si="836"/>
        <v>4778.8003963439996</v>
      </c>
      <c r="ER539" s="38">
        <f t="shared" si="837"/>
        <v>3105.2915384565908</v>
      </c>
      <c r="ES539" s="38">
        <f t="shared" si="838"/>
        <v>3749.8437308681669</v>
      </c>
      <c r="ET539" s="38">
        <f t="shared" si="839"/>
        <v>0</v>
      </c>
      <c r="EU539" s="38">
        <f t="shared" si="840"/>
        <v>0</v>
      </c>
      <c r="EV539" s="38">
        <f t="shared" si="841"/>
        <v>0</v>
      </c>
      <c r="EW539" s="38">
        <f t="shared" si="842"/>
        <v>0</v>
      </c>
      <c r="EX539" s="38">
        <f t="shared" si="843"/>
        <v>0</v>
      </c>
      <c r="EZ539" s="38">
        <f t="shared" si="844"/>
        <v>0</v>
      </c>
      <c r="FA539" s="38">
        <f t="shared" si="845"/>
        <v>0</v>
      </c>
      <c r="FB539" s="1">
        <f t="shared" si="846"/>
        <v>0</v>
      </c>
      <c r="FC539" s="1">
        <f t="shared" si="847"/>
        <v>0</v>
      </c>
      <c r="FD539" s="1">
        <f t="shared" si="848"/>
        <v>0</v>
      </c>
      <c r="FE539" s="1">
        <f t="shared" si="849"/>
        <v>0</v>
      </c>
      <c r="FF539" s="1">
        <f t="shared" si="850"/>
        <v>0</v>
      </c>
      <c r="FG539" s="1">
        <f t="shared" si="851"/>
        <v>0</v>
      </c>
      <c r="FH539" s="1">
        <f t="shared" si="852"/>
        <v>0</v>
      </c>
      <c r="FI539" s="1">
        <f t="shared" si="853"/>
        <v>0</v>
      </c>
      <c r="FJ539" s="1">
        <f t="shared" si="854"/>
        <v>0</v>
      </c>
      <c r="FK539" s="1">
        <f t="shared" si="855"/>
        <v>0</v>
      </c>
      <c r="FL539" s="1">
        <f t="shared" si="856"/>
        <v>0</v>
      </c>
      <c r="FM539" s="1">
        <f t="shared" si="857"/>
        <v>0</v>
      </c>
      <c r="FN539" s="1">
        <f t="shared" si="858"/>
        <v>0</v>
      </c>
      <c r="FO539" s="1">
        <f t="shared" si="859"/>
        <v>0</v>
      </c>
      <c r="FP539" s="1">
        <f t="shared" si="860"/>
        <v>0</v>
      </c>
      <c r="FQ539" s="1">
        <f t="shared" si="861"/>
        <v>0</v>
      </c>
      <c r="FS539" s="1">
        <f t="shared" si="862"/>
        <v>0</v>
      </c>
      <c r="FT539" s="1">
        <f t="shared" si="863"/>
        <v>0</v>
      </c>
      <c r="FU539" s="38">
        <f t="shared" si="864"/>
        <v>0</v>
      </c>
      <c r="FV539" s="38">
        <f t="shared" si="865"/>
        <v>0</v>
      </c>
      <c r="FW539" s="38">
        <f t="shared" si="866"/>
        <v>0</v>
      </c>
      <c r="FX539" s="38">
        <f t="shared" si="867"/>
        <v>0</v>
      </c>
      <c r="FY539" s="38">
        <f t="shared" si="868"/>
        <v>0</v>
      </c>
      <c r="FZ539" s="38">
        <f t="shared" si="869"/>
        <v>0</v>
      </c>
      <c r="GA539" s="38">
        <f t="shared" si="870"/>
        <v>0</v>
      </c>
      <c r="GB539" s="38">
        <f t="shared" si="871"/>
        <v>0</v>
      </c>
      <c r="GC539" s="38">
        <f t="shared" si="872"/>
        <v>0</v>
      </c>
      <c r="GD539" s="38">
        <f t="shared" si="873"/>
        <v>0</v>
      </c>
      <c r="GE539" s="38">
        <f t="shared" si="874"/>
        <v>0</v>
      </c>
      <c r="GF539" s="38">
        <f t="shared" si="875"/>
        <v>0</v>
      </c>
      <c r="GG539" s="38">
        <f t="shared" si="876"/>
        <v>0</v>
      </c>
      <c r="GH539" s="38">
        <f t="shared" si="877"/>
        <v>0</v>
      </c>
      <c r="GI539" s="38">
        <f t="shared" si="878"/>
        <v>0</v>
      </c>
      <c r="GJ539" s="38">
        <f t="shared" si="879"/>
        <v>0</v>
      </c>
      <c r="GL539" s="38">
        <f t="shared" si="880"/>
        <v>0</v>
      </c>
      <c r="GM539" s="38">
        <f t="shared" si="881"/>
        <v>0</v>
      </c>
      <c r="GN539" s="1" t="s">
        <v>2</v>
      </c>
      <c r="GO539" s="1">
        <f t="shared" si="889"/>
        <v>431.5</v>
      </c>
      <c r="GP539" s="13">
        <f t="shared" si="890"/>
        <v>0.27068597914252607</v>
      </c>
      <c r="GQ539" s="43">
        <f t="shared" si="891"/>
        <v>1168.01</v>
      </c>
      <c r="GR539" s="41">
        <f t="shared" si="892"/>
        <v>32084.288798029396</v>
      </c>
      <c r="GS539" s="14">
        <f t="shared" si="893"/>
        <v>74.355246345375193</v>
      </c>
      <c r="GT539" s="1">
        <f t="shared" si="882"/>
        <v>233.25</v>
      </c>
      <c r="GU539" s="1">
        <f t="shared" si="883"/>
        <v>621.27</v>
      </c>
      <c r="GV539" s="1">
        <f t="shared" si="884"/>
        <v>313.48999999999995</v>
      </c>
      <c r="GW539" s="37">
        <f t="shared" si="894"/>
        <v>0</v>
      </c>
      <c r="GX539" s="37"/>
      <c r="GY539" s="37"/>
      <c r="GZ539" s="37"/>
      <c r="HB539" s="1">
        <f t="shared" si="885"/>
        <v>0</v>
      </c>
      <c r="HC539" s="1">
        <f t="shared" si="886"/>
        <v>0</v>
      </c>
      <c r="HD539" s="37" t="s">
        <v>2</v>
      </c>
      <c r="HE539" s="1" t="s">
        <v>113</v>
      </c>
      <c r="HF539" s="1" t="s">
        <v>129</v>
      </c>
      <c r="HI539" s="1" t="s">
        <v>96</v>
      </c>
      <c r="HJ539" s="37" t="s">
        <v>2</v>
      </c>
      <c r="JH539" s="58" t="s">
        <v>2</v>
      </c>
    </row>
    <row r="540" spans="1:268" ht="16.25" customHeight="1" x14ac:dyDescent="0.2">
      <c r="A540" s="15" t="s">
        <v>988</v>
      </c>
      <c r="B540" s="1" t="s">
        <v>64</v>
      </c>
      <c r="F540" s="1" t="s">
        <v>989</v>
      </c>
      <c r="I540" s="1">
        <v>0</v>
      </c>
      <c r="AD540" s="1">
        <v>0</v>
      </c>
      <c r="AY540" s="13">
        <v>79.165654000000004</v>
      </c>
      <c r="AZ540" s="1">
        <v>0.27</v>
      </c>
      <c r="BG540" s="1">
        <v>0.45</v>
      </c>
      <c r="BT540" s="1">
        <v>0</v>
      </c>
      <c r="CO540" s="13">
        <v>29.758687999999999</v>
      </c>
      <c r="CP540" s="1">
        <v>0.31</v>
      </c>
      <c r="CW540" s="1">
        <v>0.49</v>
      </c>
      <c r="DJ540" s="1" t="s">
        <v>96</v>
      </c>
      <c r="DL540" s="1">
        <f t="shared" si="887"/>
        <v>0.45</v>
      </c>
      <c r="DM540" s="1">
        <f t="shared" si="888"/>
        <v>0</v>
      </c>
      <c r="DN540" s="1" t="s">
        <v>67</v>
      </c>
      <c r="DO540" s="1" t="s">
        <v>2</v>
      </c>
      <c r="DP540" s="38">
        <f t="shared" si="810"/>
        <v>0.2137472658</v>
      </c>
      <c r="DQ540" s="38">
        <f t="shared" si="811"/>
        <v>0</v>
      </c>
      <c r="DR540" s="38">
        <f t="shared" si="812"/>
        <v>0</v>
      </c>
      <c r="DS540" s="38">
        <f t="shared" si="813"/>
        <v>0</v>
      </c>
      <c r="DT540" s="38">
        <f t="shared" si="814"/>
        <v>0</v>
      </c>
      <c r="DU540" s="38">
        <f t="shared" si="815"/>
        <v>0</v>
      </c>
      <c r="DV540" s="38">
        <f t="shared" si="816"/>
        <v>0</v>
      </c>
      <c r="DW540" s="38">
        <f t="shared" si="817"/>
        <v>0.35624544300000005</v>
      </c>
      <c r="DX540" s="38">
        <f t="shared" si="818"/>
        <v>0</v>
      </c>
      <c r="DY540" s="38">
        <f t="shared" si="819"/>
        <v>0</v>
      </c>
      <c r="DZ540" s="38">
        <f t="shared" si="820"/>
        <v>0</v>
      </c>
      <c r="EA540" s="38">
        <f t="shared" si="821"/>
        <v>0</v>
      </c>
      <c r="EB540" s="38">
        <f t="shared" si="822"/>
        <v>0</v>
      </c>
      <c r="EC540" s="38">
        <f t="shared" si="823"/>
        <v>0</v>
      </c>
      <c r="ED540" s="38">
        <f t="shared" si="824"/>
        <v>0</v>
      </c>
      <c r="EE540" s="38">
        <f t="shared" si="825"/>
        <v>0</v>
      </c>
      <c r="EG540" s="38">
        <f t="shared" si="826"/>
        <v>0</v>
      </c>
      <c r="EH540" s="38">
        <f t="shared" si="827"/>
        <v>0</v>
      </c>
      <c r="EI540" s="38">
        <f t="shared" si="828"/>
        <v>1394.8325776607328</v>
      </c>
      <c r="EJ540" s="38">
        <f t="shared" si="829"/>
        <v>0</v>
      </c>
      <c r="EK540" s="38">
        <f t="shared" si="830"/>
        <v>0</v>
      </c>
      <c r="EL540" s="38">
        <f t="shared" si="831"/>
        <v>0</v>
      </c>
      <c r="EM540" s="38">
        <f t="shared" si="832"/>
        <v>0</v>
      </c>
      <c r="EN540" s="38">
        <f t="shared" si="833"/>
        <v>0</v>
      </c>
      <c r="EO540" s="38">
        <f t="shared" si="834"/>
        <v>0</v>
      </c>
      <c r="EP540" s="38">
        <f t="shared" si="835"/>
        <v>4671.8027395020008</v>
      </c>
      <c r="EQ540" s="38">
        <f t="shared" si="836"/>
        <v>0</v>
      </c>
      <c r="ER540" s="38">
        <f t="shared" si="837"/>
        <v>0</v>
      </c>
      <c r="ES540" s="38">
        <f t="shared" si="838"/>
        <v>0</v>
      </c>
      <c r="ET540" s="38">
        <f t="shared" si="839"/>
        <v>0</v>
      </c>
      <c r="EU540" s="38">
        <f t="shared" si="840"/>
        <v>0</v>
      </c>
      <c r="EV540" s="38">
        <f t="shared" si="841"/>
        <v>0</v>
      </c>
      <c r="EW540" s="38">
        <f t="shared" si="842"/>
        <v>0</v>
      </c>
      <c r="EX540" s="38">
        <f t="shared" si="843"/>
        <v>0</v>
      </c>
      <c r="EZ540" s="38">
        <f t="shared" si="844"/>
        <v>0</v>
      </c>
      <c r="FA540" s="38">
        <f t="shared" si="845"/>
        <v>0</v>
      </c>
      <c r="FB540" s="1">
        <f t="shared" si="846"/>
        <v>9.2251932799999992E-2</v>
      </c>
      <c r="FC540" s="1">
        <f t="shared" si="847"/>
        <v>0</v>
      </c>
      <c r="FD540" s="1">
        <f t="shared" si="848"/>
        <v>0</v>
      </c>
      <c r="FE540" s="1">
        <f t="shared" si="849"/>
        <v>0</v>
      </c>
      <c r="FF540" s="1">
        <f t="shared" si="850"/>
        <v>0</v>
      </c>
      <c r="FG540" s="1">
        <f t="shared" si="851"/>
        <v>0</v>
      </c>
      <c r="FH540" s="1">
        <f t="shared" si="852"/>
        <v>0</v>
      </c>
      <c r="FI540" s="1">
        <f t="shared" si="853"/>
        <v>0.1458175712</v>
      </c>
      <c r="FJ540" s="1">
        <f t="shared" si="854"/>
        <v>0</v>
      </c>
      <c r="FK540" s="1">
        <f t="shared" si="855"/>
        <v>0</v>
      </c>
      <c r="FL540" s="1">
        <f t="shared" si="856"/>
        <v>0</v>
      </c>
      <c r="FM540" s="1">
        <f t="shared" si="857"/>
        <v>0</v>
      </c>
      <c r="FN540" s="1">
        <f t="shared" si="858"/>
        <v>0</v>
      </c>
      <c r="FO540" s="1">
        <f t="shared" si="859"/>
        <v>0</v>
      </c>
      <c r="FP540" s="1">
        <f t="shared" si="860"/>
        <v>0</v>
      </c>
      <c r="FQ540" s="1">
        <f t="shared" si="861"/>
        <v>0</v>
      </c>
      <c r="FS540" s="1">
        <f t="shared" si="862"/>
        <v>0</v>
      </c>
      <c r="FT540" s="1">
        <f t="shared" si="863"/>
        <v>0</v>
      </c>
      <c r="FU540" s="38">
        <f t="shared" si="864"/>
        <v>602.00068871060478</v>
      </c>
      <c r="FV540" s="38">
        <f t="shared" si="865"/>
        <v>0</v>
      </c>
      <c r="FW540" s="38">
        <f t="shared" si="866"/>
        <v>0</v>
      </c>
      <c r="FX540" s="38">
        <f t="shared" si="867"/>
        <v>0</v>
      </c>
      <c r="FY540" s="38">
        <f t="shared" si="868"/>
        <v>0</v>
      </c>
      <c r="FZ540" s="38">
        <f t="shared" si="869"/>
        <v>0</v>
      </c>
      <c r="GA540" s="38">
        <f t="shared" si="870"/>
        <v>0</v>
      </c>
      <c r="GB540" s="38">
        <f t="shared" si="871"/>
        <v>1912.2516287168</v>
      </c>
      <c r="GC540" s="38">
        <f t="shared" si="872"/>
        <v>0</v>
      </c>
      <c r="GD540" s="38">
        <f t="shared" si="873"/>
        <v>0</v>
      </c>
      <c r="GE540" s="38">
        <f t="shared" si="874"/>
        <v>0</v>
      </c>
      <c r="GF540" s="38">
        <f t="shared" si="875"/>
        <v>0</v>
      </c>
      <c r="GG540" s="38">
        <f t="shared" si="876"/>
        <v>0</v>
      </c>
      <c r="GH540" s="38">
        <f t="shared" si="877"/>
        <v>0</v>
      </c>
      <c r="GI540" s="38">
        <f t="shared" si="878"/>
        <v>0</v>
      </c>
      <c r="GJ540" s="38">
        <f t="shared" si="879"/>
        <v>0</v>
      </c>
      <c r="GL540" s="38">
        <f t="shared" si="880"/>
        <v>0</v>
      </c>
      <c r="GM540" s="38">
        <f t="shared" si="881"/>
        <v>0</v>
      </c>
      <c r="GN540" s="1" t="s">
        <v>2</v>
      </c>
      <c r="GO540" s="13">
        <f t="shared" si="889"/>
        <v>79.165654000000004</v>
      </c>
      <c r="GP540" s="1">
        <f t="shared" si="890"/>
        <v>0.45</v>
      </c>
      <c r="GQ540" s="41">
        <f t="shared" si="891"/>
        <v>356.24544300000008</v>
      </c>
      <c r="GR540" s="41">
        <f t="shared" si="892"/>
        <v>6066.6353171627334</v>
      </c>
      <c r="GS540" s="14">
        <f t="shared" si="893"/>
        <v>76.632163200000008</v>
      </c>
      <c r="GT540" s="1">
        <f t="shared" si="882"/>
        <v>0</v>
      </c>
      <c r="GU540" s="1">
        <f t="shared" si="883"/>
        <v>0</v>
      </c>
      <c r="GV540" s="1">
        <f t="shared" si="884"/>
        <v>356.24544300000002</v>
      </c>
      <c r="GW540" s="44">
        <f t="shared" si="894"/>
        <v>29.758687999999999</v>
      </c>
      <c r="GX540" s="44">
        <f>(BT540*CB540+CO540*CW540)/GW540</f>
        <v>0.49</v>
      </c>
      <c r="GY540" s="41">
        <f>1000*GW540*GX540/100</f>
        <v>145.81757119999997</v>
      </c>
      <c r="GZ540" s="41">
        <f>SUM(FU540:GM540)</f>
        <v>2514.2523174274047</v>
      </c>
      <c r="HA540" s="14">
        <f>GZ540/GW540</f>
        <v>84.488009599999998</v>
      </c>
      <c r="HB540" s="1">
        <f t="shared" si="885"/>
        <v>0</v>
      </c>
      <c r="HC540" s="1">
        <f t="shared" si="886"/>
        <v>145.81757119999997</v>
      </c>
      <c r="HD540" s="37" t="s">
        <v>2</v>
      </c>
      <c r="HE540" s="1" t="s">
        <v>113</v>
      </c>
      <c r="HF540" s="1" t="s">
        <v>129</v>
      </c>
      <c r="HI540" s="1" t="s">
        <v>96</v>
      </c>
      <c r="HJ540" s="37" t="s">
        <v>2</v>
      </c>
      <c r="JH540" s="58" t="s">
        <v>2</v>
      </c>
    </row>
    <row r="541" spans="1:268" ht="16.25" customHeight="1" x14ac:dyDescent="0.2">
      <c r="A541" s="15" t="s">
        <v>990</v>
      </c>
      <c r="B541" s="1" t="s">
        <v>64</v>
      </c>
      <c r="F541" s="1" t="s">
        <v>989</v>
      </c>
      <c r="I541" s="1">
        <v>0</v>
      </c>
      <c r="AD541" s="1">
        <v>0</v>
      </c>
      <c r="AY541" s="13">
        <v>29.825994000000001</v>
      </c>
      <c r="AZ541" s="1">
        <v>0.97</v>
      </c>
      <c r="BG541" s="1">
        <v>0.56000000000000005</v>
      </c>
      <c r="BT541" s="1">
        <v>0</v>
      </c>
      <c r="CO541" s="13">
        <v>19.473970000000001</v>
      </c>
      <c r="CP541" s="13">
        <v>1</v>
      </c>
      <c r="CW541" s="1">
        <v>0.62</v>
      </c>
      <c r="DJ541" s="1" t="s">
        <v>96</v>
      </c>
      <c r="DL541" s="1">
        <f t="shared" si="887"/>
        <v>0.56000000000000005</v>
      </c>
      <c r="DM541" s="1">
        <f t="shared" si="888"/>
        <v>0</v>
      </c>
      <c r="DN541" s="1" t="s">
        <v>67</v>
      </c>
      <c r="DO541" s="1" t="s">
        <v>2</v>
      </c>
      <c r="DP541" s="38">
        <f t="shared" si="810"/>
        <v>0.28931214180000003</v>
      </c>
      <c r="DQ541" s="38">
        <f t="shared" si="811"/>
        <v>0</v>
      </c>
      <c r="DR541" s="38">
        <f t="shared" si="812"/>
        <v>0</v>
      </c>
      <c r="DS541" s="38">
        <f t="shared" si="813"/>
        <v>0</v>
      </c>
      <c r="DT541" s="38">
        <f t="shared" si="814"/>
        <v>0</v>
      </c>
      <c r="DU541" s="38">
        <f t="shared" si="815"/>
        <v>0</v>
      </c>
      <c r="DV541" s="38">
        <f t="shared" si="816"/>
        <v>0</v>
      </c>
      <c r="DW541" s="38">
        <f t="shared" si="817"/>
        <v>0.16702556640000002</v>
      </c>
      <c r="DX541" s="38">
        <f t="shared" si="818"/>
        <v>0</v>
      </c>
      <c r="DY541" s="38">
        <f t="shared" si="819"/>
        <v>0</v>
      </c>
      <c r="DZ541" s="38">
        <f t="shared" si="820"/>
        <v>0</v>
      </c>
      <c r="EA541" s="38">
        <f t="shared" si="821"/>
        <v>0</v>
      </c>
      <c r="EB541" s="38">
        <f t="shared" si="822"/>
        <v>0</v>
      </c>
      <c r="EC541" s="38">
        <f t="shared" si="823"/>
        <v>0</v>
      </c>
      <c r="ED541" s="38">
        <f t="shared" si="824"/>
        <v>0</v>
      </c>
      <c r="EE541" s="38">
        <f t="shared" si="825"/>
        <v>0</v>
      </c>
      <c r="EG541" s="38">
        <f t="shared" si="826"/>
        <v>0</v>
      </c>
      <c r="EH541" s="38">
        <f t="shared" si="827"/>
        <v>0</v>
      </c>
      <c r="EI541" s="38">
        <f t="shared" si="828"/>
        <v>1887.939941524349</v>
      </c>
      <c r="EJ541" s="38">
        <f t="shared" si="829"/>
        <v>0</v>
      </c>
      <c r="EK541" s="38">
        <f t="shared" si="830"/>
        <v>0</v>
      </c>
      <c r="EL541" s="38">
        <f t="shared" si="831"/>
        <v>0</v>
      </c>
      <c r="EM541" s="38">
        <f t="shared" si="832"/>
        <v>0</v>
      </c>
      <c r="EN541" s="38">
        <f t="shared" si="833"/>
        <v>0</v>
      </c>
      <c r="EO541" s="38">
        <f t="shared" si="834"/>
        <v>0</v>
      </c>
      <c r="EP541" s="38">
        <f t="shared" si="835"/>
        <v>2190.3732777696005</v>
      </c>
      <c r="EQ541" s="38">
        <f t="shared" si="836"/>
        <v>0</v>
      </c>
      <c r="ER541" s="38">
        <f t="shared" si="837"/>
        <v>0</v>
      </c>
      <c r="ES541" s="38">
        <f t="shared" si="838"/>
        <v>0</v>
      </c>
      <c r="ET541" s="38">
        <f t="shared" si="839"/>
        <v>0</v>
      </c>
      <c r="EU541" s="38">
        <f t="shared" si="840"/>
        <v>0</v>
      </c>
      <c r="EV541" s="38">
        <f t="shared" si="841"/>
        <v>0</v>
      </c>
      <c r="EW541" s="38">
        <f t="shared" si="842"/>
        <v>0</v>
      </c>
      <c r="EX541" s="38">
        <f t="shared" si="843"/>
        <v>0</v>
      </c>
      <c r="EZ541" s="38">
        <f t="shared" si="844"/>
        <v>0</v>
      </c>
      <c r="FA541" s="38">
        <f t="shared" si="845"/>
        <v>0</v>
      </c>
      <c r="FB541" s="1">
        <f t="shared" si="846"/>
        <v>0.19473970000000002</v>
      </c>
      <c r="FC541" s="1">
        <f t="shared" si="847"/>
        <v>0</v>
      </c>
      <c r="FD541" s="1">
        <f t="shared" si="848"/>
        <v>0</v>
      </c>
      <c r="FE541" s="1">
        <f t="shared" si="849"/>
        <v>0</v>
      </c>
      <c r="FF541" s="1">
        <f t="shared" si="850"/>
        <v>0</v>
      </c>
      <c r="FG541" s="1">
        <f t="shared" si="851"/>
        <v>0</v>
      </c>
      <c r="FH541" s="1">
        <f t="shared" si="852"/>
        <v>0</v>
      </c>
      <c r="FI541" s="1">
        <f t="shared" si="853"/>
        <v>0.12073861400000001</v>
      </c>
      <c r="FJ541" s="1">
        <f t="shared" si="854"/>
        <v>0</v>
      </c>
      <c r="FK541" s="1">
        <f t="shared" si="855"/>
        <v>0</v>
      </c>
      <c r="FL541" s="1">
        <f t="shared" si="856"/>
        <v>0</v>
      </c>
      <c r="FM541" s="1">
        <f t="shared" si="857"/>
        <v>0</v>
      </c>
      <c r="FN541" s="1">
        <f t="shared" si="858"/>
        <v>0</v>
      </c>
      <c r="FO541" s="1">
        <f t="shared" si="859"/>
        <v>0</v>
      </c>
      <c r="FP541" s="1">
        <f t="shared" si="860"/>
        <v>0</v>
      </c>
      <c r="FQ541" s="1">
        <f t="shared" si="861"/>
        <v>0</v>
      </c>
      <c r="FS541" s="1">
        <f t="shared" si="862"/>
        <v>0</v>
      </c>
      <c r="FT541" s="1">
        <f t="shared" si="863"/>
        <v>0</v>
      </c>
      <c r="FU541" s="38">
        <f t="shared" si="864"/>
        <v>1270.7965021552002</v>
      </c>
      <c r="FV541" s="38">
        <f t="shared" si="865"/>
        <v>0</v>
      </c>
      <c r="FW541" s="38">
        <f t="shared" si="866"/>
        <v>0</v>
      </c>
      <c r="FX541" s="38">
        <f t="shared" si="867"/>
        <v>0</v>
      </c>
      <c r="FY541" s="38">
        <f t="shared" si="868"/>
        <v>0</v>
      </c>
      <c r="FZ541" s="38">
        <f t="shared" si="869"/>
        <v>0</v>
      </c>
      <c r="GA541" s="38">
        <f t="shared" si="870"/>
        <v>0</v>
      </c>
      <c r="GB541" s="38">
        <f t="shared" si="871"/>
        <v>1583.366183996</v>
      </c>
      <c r="GC541" s="38">
        <f t="shared" si="872"/>
        <v>0</v>
      </c>
      <c r="GD541" s="38">
        <f t="shared" si="873"/>
        <v>0</v>
      </c>
      <c r="GE541" s="38">
        <f t="shared" si="874"/>
        <v>0</v>
      </c>
      <c r="GF541" s="38">
        <f t="shared" si="875"/>
        <v>0</v>
      </c>
      <c r="GG541" s="38">
        <f t="shared" si="876"/>
        <v>0</v>
      </c>
      <c r="GH541" s="38">
        <f t="shared" si="877"/>
        <v>0</v>
      </c>
      <c r="GI541" s="38">
        <f t="shared" si="878"/>
        <v>0</v>
      </c>
      <c r="GJ541" s="38">
        <f t="shared" si="879"/>
        <v>0</v>
      </c>
      <c r="GL541" s="38">
        <f t="shared" si="880"/>
        <v>0</v>
      </c>
      <c r="GM541" s="38">
        <f t="shared" si="881"/>
        <v>0</v>
      </c>
      <c r="GN541" s="1" t="s">
        <v>2</v>
      </c>
      <c r="GO541" s="13">
        <f t="shared" si="889"/>
        <v>29.825994000000001</v>
      </c>
      <c r="GP541" s="1">
        <f t="shared" si="890"/>
        <v>0.56000000000000005</v>
      </c>
      <c r="GQ541" s="41">
        <f t="shared" si="891"/>
        <v>167.02556640000003</v>
      </c>
      <c r="GR541" s="41">
        <f t="shared" si="892"/>
        <v>4078.3132192939493</v>
      </c>
      <c r="GS541" s="14">
        <f t="shared" si="893"/>
        <v>136.73687520000001</v>
      </c>
      <c r="GT541" s="1">
        <f t="shared" si="882"/>
        <v>0</v>
      </c>
      <c r="GU541" s="1">
        <f t="shared" si="883"/>
        <v>0</v>
      </c>
      <c r="GV541" s="1">
        <f t="shared" si="884"/>
        <v>167.02556640000003</v>
      </c>
      <c r="GW541" s="44">
        <f t="shared" si="894"/>
        <v>19.473970000000001</v>
      </c>
      <c r="GX541" s="44">
        <f>(BT541*CB541+CO541*CW541)/GW541</f>
        <v>0.62</v>
      </c>
      <c r="GY541" s="41">
        <f>1000*GW541*GX541/100</f>
        <v>120.738614</v>
      </c>
      <c r="GZ541" s="41">
        <f>SUM(FU541:GM541)</f>
        <v>2854.1626861512004</v>
      </c>
      <c r="HA541" s="14">
        <f>GZ541/GW541</f>
        <v>146.56296</v>
      </c>
      <c r="HB541" s="1">
        <f t="shared" si="885"/>
        <v>0</v>
      </c>
      <c r="HC541" s="1">
        <f t="shared" si="886"/>
        <v>120.738614</v>
      </c>
      <c r="HD541" s="37" t="s">
        <v>2</v>
      </c>
      <c r="HE541" s="1" t="s">
        <v>113</v>
      </c>
      <c r="HF541" s="1" t="s">
        <v>129</v>
      </c>
      <c r="HI541" s="1" t="s">
        <v>96</v>
      </c>
      <c r="HJ541" s="37" t="s">
        <v>2</v>
      </c>
      <c r="JH541" s="58" t="s">
        <v>2</v>
      </c>
    </row>
    <row r="542" spans="1:268" ht="16.25" customHeight="1" x14ac:dyDescent="0.2">
      <c r="A542" s="15" t="s">
        <v>922</v>
      </c>
      <c r="B542" s="1" t="s">
        <v>69</v>
      </c>
      <c r="F542" s="1" t="s">
        <v>923</v>
      </c>
      <c r="I542" s="1">
        <v>0</v>
      </c>
      <c r="AD542" s="1">
        <v>0</v>
      </c>
      <c r="AY542" s="1">
        <v>23.2</v>
      </c>
      <c r="AZ542" s="1">
        <v>0.21</v>
      </c>
      <c r="BA542" s="13">
        <v>0.1</v>
      </c>
      <c r="BG542" s="1">
        <v>0.14000000000000001</v>
      </c>
      <c r="BH542" s="2">
        <v>4.3E-3</v>
      </c>
      <c r="BI542" s="1">
        <v>0.12</v>
      </c>
      <c r="BJ542" s="1">
        <v>0.31</v>
      </c>
      <c r="BT542" s="1">
        <v>0</v>
      </c>
      <c r="CO542" s="1">
        <v>0</v>
      </c>
      <c r="DJ542" s="1" t="s">
        <v>96</v>
      </c>
      <c r="DL542" s="1">
        <f t="shared" si="887"/>
        <v>0.14000000000000001</v>
      </c>
      <c r="DM542" s="1">
        <f t="shared" si="888"/>
        <v>4.3E-3</v>
      </c>
      <c r="DN542" s="1" t="s">
        <v>924</v>
      </c>
      <c r="DO542" s="1" t="s">
        <v>2</v>
      </c>
      <c r="DP542" s="38">
        <f t="shared" ref="DP542:DP606" si="895">(J542*$I542+AE542*$AD542+AZ542*$AY542)/100</f>
        <v>4.8719999999999999E-2</v>
      </c>
      <c r="DQ542" s="38">
        <f t="shared" ref="DQ542:DQ606" si="896">K542*$I542+AF542*$AD542+BA542*$AY542</f>
        <v>2.3199999999999998</v>
      </c>
      <c r="DR542" s="38">
        <f t="shared" ref="DR542:DR606" si="897">L542*$I542+AG542*$AD542+BB542*$AY542</f>
        <v>0</v>
      </c>
      <c r="DS542" s="38">
        <f t="shared" ref="DS542:DS606" si="898">(M542*$I542+AH542*$AD542+BC542*$AY542)/100</f>
        <v>0</v>
      </c>
      <c r="DT542" s="38">
        <f t="shared" ref="DT542:DT606" si="899">(N542*$I542+AI542*$AD542+BD542*$AY542)/100</f>
        <v>0</v>
      </c>
      <c r="DU542" s="38">
        <f t="shared" ref="DU542:DU606" si="900">(O542*$I542+AJ542*$AD542+BE542*$AY542)/100</f>
        <v>0</v>
      </c>
      <c r="DV542" s="38">
        <f t="shared" ref="DV542:DV606" si="901">(P542*$I542+AK542*$AD542+BF542*$AY542)/100</f>
        <v>0</v>
      </c>
      <c r="DW542" s="38">
        <f t="shared" ref="DW542:DW606" si="902">(Q542*$I542+AL542*$AD542+BG542*$AY542)/100</f>
        <v>3.2480000000000002E-2</v>
      </c>
      <c r="DX542" s="38">
        <f t="shared" ref="DX542:DX606" si="903">(R542*$I542+AM542*$AD542+BH542*$AY542)/100</f>
        <v>9.9759999999999996E-4</v>
      </c>
      <c r="DY542" s="38">
        <f t="shared" ref="DY542:DY606" si="904">S542*$I542+AN542*$AD542+BI542*$AY542</f>
        <v>2.7839999999999998</v>
      </c>
      <c r="DZ542" s="38">
        <f t="shared" ref="DZ542:DZ606" si="905">T542*$I542+AO542*$AD542+BJ542*$AY542</f>
        <v>7.1920000000000002</v>
      </c>
      <c r="EA542" s="38">
        <f t="shared" ref="EA542:EA606" si="906">U542*$I542+AP542*$AD542+BK542*$AY542</f>
        <v>0</v>
      </c>
      <c r="EB542" s="38">
        <f t="shared" ref="EB542:EB606" si="907">V542*$I542+AQ542*$AD542+BL542*$AY542</f>
        <v>0</v>
      </c>
      <c r="EC542" s="38">
        <f t="shared" ref="EC542:EC606" si="908">W542*$I542+AR542*$AD542+BM542*$AY542</f>
        <v>0</v>
      </c>
      <c r="ED542" s="38">
        <f t="shared" ref="ED542:ED606" si="909">(X542*$I542+AS542*$AD542+BN542*$AY542)/100</f>
        <v>0</v>
      </c>
      <c r="EE542" s="38">
        <f t="shared" ref="EE542:EE606" si="910">(Y542*$I542+AT542*$AD542+BO542*$AY542)/100</f>
        <v>0</v>
      </c>
      <c r="EG542" s="38">
        <f t="shared" ref="EG542:EG606" si="911">AA542*$I542+AV542*$AD542+BQ542*$AY542</f>
        <v>0</v>
      </c>
      <c r="EH542" s="38">
        <f t="shared" ref="EH542:EH606" si="912">(AB542*$I542+AW542*$AD542+BR542*$AY542)/100</f>
        <v>0</v>
      </c>
      <c r="EI542" s="38">
        <f t="shared" ref="EI542:EI606" si="913">EI$1*DP542</f>
        <v>317.92801151999998</v>
      </c>
      <c r="EJ542" s="38">
        <f t="shared" ref="EJ542:EJ606" si="914">EJ$1*DQ542/1000000</f>
        <v>94.888745980707384</v>
      </c>
      <c r="EK542" s="38">
        <f t="shared" ref="EK542:EK606" si="915">EK$1*DR542/1000000</f>
        <v>0</v>
      </c>
      <c r="EL542" s="38">
        <f t="shared" ref="EL542:EL606" si="916">EL$1*DS542</f>
        <v>0</v>
      </c>
      <c r="EM542" s="38">
        <f t="shared" ref="EM542:EM606" si="917">EM$1*DT542</f>
        <v>0</v>
      </c>
      <c r="EN542" s="38">
        <f t="shared" ref="EN542:EN606" si="918">EN$1*DU542</f>
        <v>0</v>
      </c>
      <c r="EO542" s="38">
        <f t="shared" ref="EO542:EO606" si="919">EO$1*DV542</f>
        <v>0</v>
      </c>
      <c r="EP542" s="38">
        <f t="shared" ref="EP542:EP606" si="920">EP$1*DW542</f>
        <v>425.94272000000001</v>
      </c>
      <c r="EQ542" s="38">
        <f t="shared" ref="EQ542:EQ606" si="921">EQ$1*DX542</f>
        <v>72.445237142399989</v>
      </c>
      <c r="ER542" s="38">
        <f t="shared" ref="ER542:ER606" si="922">ER$1*DY542/1000000</f>
        <v>79.013679742765262</v>
      </c>
      <c r="ES542" s="38">
        <f t="shared" ref="ES542:ES606" si="923">ES$1*DZ542/1000000</f>
        <v>239.67860321543409</v>
      </c>
      <c r="ET542" s="38">
        <f t="shared" ref="ET542:ET606" si="924">ET$1*EA542/1000000</f>
        <v>0</v>
      </c>
      <c r="EU542" s="38">
        <f t="shared" ref="EU542:EU606" si="925">EU$1*EB542/1000000</f>
        <v>0</v>
      </c>
      <c r="EV542" s="38">
        <f t="shared" ref="EV542:EV606" si="926">EV$1*EC542/1000000</f>
        <v>0</v>
      </c>
      <c r="EW542" s="38">
        <f t="shared" ref="EW542:EW606" si="927">EW$1*ED542</f>
        <v>0</v>
      </c>
      <c r="EX542" s="38">
        <f t="shared" ref="EX542:EX606" si="928">EX$1*EE542</f>
        <v>0</v>
      </c>
      <c r="EZ542" s="38">
        <f t="shared" ref="EZ542:EZ606" si="929">EZ$1*EG542/1000000</f>
        <v>0</v>
      </c>
      <c r="FA542" s="38">
        <f t="shared" ref="FA542:FA606" si="930">FA$1*EH542</f>
        <v>0</v>
      </c>
      <c r="FB542" s="1">
        <f t="shared" ref="FB542:FB606" si="931">(BU542*$BT542+CP542*$CO542)/100</f>
        <v>0</v>
      </c>
      <c r="FC542" s="1">
        <f t="shared" ref="FC542:FC606" si="932">BV542*$BT542+CQ542*$CO542</f>
        <v>0</v>
      </c>
      <c r="FD542" s="1">
        <f t="shared" ref="FD542:FD606" si="933">BW542*$BT542+CR542*$CO542</f>
        <v>0</v>
      </c>
      <c r="FE542" s="1">
        <f t="shared" ref="FE542:FE606" si="934">(BX542*$BT542+CS542*$CO542)/100</f>
        <v>0</v>
      </c>
      <c r="FF542" s="1">
        <f t="shared" ref="FF542:FF606" si="935">(BY542*$BT542+CT542*$CO542)/100</f>
        <v>0</v>
      </c>
      <c r="FG542" s="1">
        <f t="shared" ref="FG542:FG606" si="936">(BZ542*$BT542+CU542*$CO542)/100</f>
        <v>0</v>
      </c>
      <c r="FH542" s="1">
        <f t="shared" ref="FH542:FH606" si="937">(CA542*$BT542+CV542*$CO542)/100</f>
        <v>0</v>
      </c>
      <c r="FI542" s="1">
        <f t="shared" ref="FI542:FI606" si="938">(CB542*$BT542+CW542*$CO542)/100</f>
        <v>0</v>
      </c>
      <c r="FJ542" s="1">
        <f t="shared" ref="FJ542:FJ606" si="939">(CC542*$BT542+CX542*$CO542)/100</f>
        <v>0</v>
      </c>
      <c r="FK542" s="1">
        <f t="shared" ref="FK542:FK606" si="940">CD542*$BT542+CY542*$CO542</f>
        <v>0</v>
      </c>
      <c r="FL542" s="1">
        <f t="shared" ref="FL542:FL606" si="941">CE542*$BT542+CZ542*$CO542</f>
        <v>0</v>
      </c>
      <c r="FM542" s="1">
        <f t="shared" ref="FM542:FM606" si="942">CF542*$BT542+DA542*$CO542</f>
        <v>0</v>
      </c>
      <c r="FN542" s="1">
        <f t="shared" ref="FN542:FN606" si="943">CG542*$BT542+DB542*$CO542</f>
        <v>0</v>
      </c>
      <c r="FO542" s="1">
        <f t="shared" ref="FO542:FO606" si="944">CH542*$BT542+DC542*$CO542</f>
        <v>0</v>
      </c>
      <c r="FP542" s="1">
        <f t="shared" ref="FP542:FP606" si="945">(CI542*$BT542+DD542*$CO542)/100</f>
        <v>0</v>
      </c>
      <c r="FQ542" s="1">
        <f t="shared" ref="FQ542:FQ606" si="946">(CJ542*$BT542+DE542*$CO542)/100</f>
        <v>0</v>
      </c>
      <c r="FS542" s="1">
        <f t="shared" ref="FS542:FS606" si="947">CL542*$BT542+DG542*$CO542</f>
        <v>0</v>
      </c>
      <c r="FT542" s="1">
        <f t="shared" ref="FT542:FT606" si="948">(CM542*$BT542+DH542*$CO542)/100</f>
        <v>0</v>
      </c>
      <c r="FU542" s="38">
        <f t="shared" ref="FU542:FU606" si="949">FU$1*FB542</f>
        <v>0</v>
      </c>
      <c r="FV542" s="38">
        <f t="shared" ref="FV542:FV606" si="950">FV$1*FC542/1000000</f>
        <v>0</v>
      </c>
      <c r="FW542" s="38">
        <f t="shared" ref="FW542:FW606" si="951">FW$1*FD542/1000000</f>
        <v>0</v>
      </c>
      <c r="FX542" s="38">
        <f t="shared" ref="FX542:FX606" si="952">FX$1*FE542</f>
        <v>0</v>
      </c>
      <c r="FY542" s="38">
        <f t="shared" ref="FY542:FY606" si="953">FY$1*FF542</f>
        <v>0</v>
      </c>
      <c r="FZ542" s="38">
        <f t="shared" ref="FZ542:FZ606" si="954">FZ$1*FG542</f>
        <v>0</v>
      </c>
      <c r="GA542" s="38">
        <f t="shared" ref="GA542:GA606" si="955">GA$1*FH542</f>
        <v>0</v>
      </c>
      <c r="GB542" s="38">
        <f t="shared" ref="GB542:GB606" si="956">GB$1*FI542</f>
        <v>0</v>
      </c>
      <c r="GC542" s="38">
        <f t="shared" ref="GC542:GC606" si="957">GC$1*FJ542</f>
        <v>0</v>
      </c>
      <c r="GD542" s="38">
        <f t="shared" ref="GD542:GD606" si="958">GD$1*FK542/1000000</f>
        <v>0</v>
      </c>
      <c r="GE542" s="38">
        <f t="shared" ref="GE542:GE606" si="959">GE$1*FL542/1000000</f>
        <v>0</v>
      </c>
      <c r="GF542" s="38">
        <f t="shared" ref="GF542:GF606" si="960">GF$1*FM542/1000000</f>
        <v>0</v>
      </c>
      <c r="GG542" s="38">
        <f t="shared" ref="GG542:GG606" si="961">GG$1*FN542/1000000</f>
        <v>0</v>
      </c>
      <c r="GH542" s="38">
        <f t="shared" ref="GH542:GH606" si="962">GH$1*FO542/1000000</f>
        <v>0</v>
      </c>
      <c r="GI542" s="38">
        <f t="shared" ref="GI542:GI606" si="963">GI$1*FP542</f>
        <v>0</v>
      </c>
      <c r="GJ542" s="38">
        <f t="shared" ref="GJ542:GJ606" si="964">GJ$1*FQ542</f>
        <v>0</v>
      </c>
      <c r="GL542" s="38">
        <f t="shared" ref="GL542:GL606" si="965">GL$1*FS542/1000000</f>
        <v>0</v>
      </c>
      <c r="GM542" s="38">
        <f t="shared" ref="GM542:GM606" si="966">GM$1*FT542</f>
        <v>0</v>
      </c>
      <c r="GN542" s="1" t="s">
        <v>2</v>
      </c>
      <c r="GO542" s="1">
        <f t="shared" si="889"/>
        <v>23.2</v>
      </c>
      <c r="GP542" s="1">
        <f t="shared" si="890"/>
        <v>0.14000000000000001</v>
      </c>
      <c r="GQ542" s="41">
        <f t="shared" si="891"/>
        <v>32.480000000000004</v>
      </c>
      <c r="GR542" s="41">
        <f t="shared" si="892"/>
        <v>1229.8969976013066</v>
      </c>
      <c r="GS542" s="14">
        <f t="shared" si="893"/>
        <v>53.012801620745975</v>
      </c>
      <c r="GT542" s="1">
        <f t="shared" ref="GT542:GT606" si="967">1000*(Q542*$I542)/100</f>
        <v>0</v>
      </c>
      <c r="GU542" s="1">
        <f t="shared" ref="GU542:GU606" si="968">1000*(AL542*$AD542)/100</f>
        <v>0</v>
      </c>
      <c r="GV542" s="1">
        <f t="shared" ref="GV542:GV606" si="969">1000*(BG542*$AY542)/100</f>
        <v>32.479999999999997</v>
      </c>
      <c r="GW542" s="37">
        <f t="shared" si="894"/>
        <v>0</v>
      </c>
      <c r="GX542" s="37"/>
      <c r="GY542" s="37"/>
      <c r="GZ542" s="37"/>
      <c r="HB542" s="1">
        <f t="shared" ref="HB542:HB606" si="970">1000*(CB542*$BT542)/100</f>
        <v>0</v>
      </c>
      <c r="HC542" s="1">
        <f t="shared" ref="HC542:HC606" si="971">1000*(CW542*$CO542)/100</f>
        <v>0</v>
      </c>
      <c r="HD542" s="37" t="s">
        <v>2</v>
      </c>
      <c r="HE542" s="1" t="s">
        <v>113</v>
      </c>
      <c r="HF542" s="1" t="s">
        <v>129</v>
      </c>
      <c r="HI542" s="1" t="s">
        <v>96</v>
      </c>
      <c r="HJ542" s="37" t="s">
        <v>2</v>
      </c>
      <c r="JH542" s="58" t="s">
        <v>2</v>
      </c>
    </row>
    <row r="543" spans="1:268" ht="16.25" customHeight="1" x14ac:dyDescent="0.2">
      <c r="A543" s="15" t="s">
        <v>925</v>
      </c>
      <c r="B543" s="1" t="s">
        <v>71</v>
      </c>
      <c r="F543" s="1" t="s">
        <v>131</v>
      </c>
      <c r="H543" s="1" t="s">
        <v>70</v>
      </c>
      <c r="I543" s="1">
        <f>0.149+0.072</f>
        <v>0.22099999999999997</v>
      </c>
      <c r="J543" s="13">
        <f>(0.2*0.149+0.29*0.072)/I543</f>
        <v>0.2293212669683258</v>
      </c>
      <c r="Q543" s="13">
        <f>(0.59*0.149+0.7*0.072)/I543</f>
        <v>0.62583710407239823</v>
      </c>
      <c r="R543" s="1">
        <v>0.02</v>
      </c>
      <c r="S543" s="1">
        <v>0.1</v>
      </c>
      <c r="T543" s="1">
        <v>0.1</v>
      </c>
      <c r="AD543" s="1">
        <f>0.487+1.02+0.931+1.604</f>
        <v>4.0419999999999998</v>
      </c>
      <c r="AE543" s="13">
        <f>(0.26*0.487+0.13*1.02+0.23*0.931+0.13*1.604)/AD543</f>
        <v>0.16869619000494807</v>
      </c>
      <c r="AL543" s="13">
        <f>(0.6*0.487+0.38*1.02+0.65*0.931+0.42*1.604)/AD543</f>
        <v>0.48456952003958442</v>
      </c>
      <c r="AM543" s="1">
        <v>0.02</v>
      </c>
      <c r="AN543" s="1">
        <v>0.1</v>
      </c>
      <c r="AO543" s="1">
        <v>0.1</v>
      </c>
      <c r="AY543" s="1">
        <v>0.45700000000000002</v>
      </c>
      <c r="AZ543" s="1">
        <v>0.31</v>
      </c>
      <c r="BG543" s="1">
        <v>0.72</v>
      </c>
      <c r="BH543" s="1">
        <v>0.02</v>
      </c>
      <c r="BI543" s="1">
        <v>0.1</v>
      </c>
      <c r="BJ543" s="1">
        <v>0.1</v>
      </c>
      <c r="BT543" s="1">
        <v>0.14899999999999999</v>
      </c>
      <c r="BU543" s="1">
        <v>0.2</v>
      </c>
      <c r="CB543" s="1">
        <v>0.59</v>
      </c>
      <c r="CC543" s="1">
        <v>0.02</v>
      </c>
      <c r="CD543" s="1">
        <v>0.1</v>
      </c>
      <c r="CE543" s="1">
        <v>0.1</v>
      </c>
      <c r="CO543" s="1">
        <f>0.487+1.02</f>
        <v>1.5070000000000001</v>
      </c>
      <c r="CP543" s="13">
        <f>(0.26*0.487+0.13*1.02)/CO543</f>
        <v>0.17201061712010615</v>
      </c>
      <c r="CW543" s="13">
        <f>(0.6*0.487+0.38*1.02)/CO543</f>
        <v>0.45109489051094886</v>
      </c>
      <c r="CX543" s="1">
        <v>0.02</v>
      </c>
      <c r="CY543" s="1">
        <v>0.1</v>
      </c>
      <c r="CZ543" s="1">
        <v>0.1</v>
      </c>
      <c r="DJ543" s="1" t="s">
        <v>96</v>
      </c>
      <c r="DK543" s="1" t="s">
        <v>96</v>
      </c>
      <c r="DL543" s="1">
        <f t="shared" si="887"/>
        <v>0.51397881355932207</v>
      </c>
      <c r="DM543" s="1">
        <f t="shared" si="888"/>
        <v>1.9999999999999997E-2</v>
      </c>
      <c r="DN543" s="1" t="s">
        <v>926</v>
      </c>
      <c r="DO543" s="1" t="s">
        <v>2</v>
      </c>
      <c r="DP543" s="38">
        <f t="shared" si="895"/>
        <v>8.7422000000000003E-3</v>
      </c>
      <c r="DQ543" s="38">
        <f t="shared" si="896"/>
        <v>0</v>
      </c>
      <c r="DR543" s="38">
        <f t="shared" si="897"/>
        <v>0</v>
      </c>
      <c r="DS543" s="38">
        <f t="shared" si="898"/>
        <v>0</v>
      </c>
      <c r="DT543" s="38">
        <f t="shared" si="899"/>
        <v>0</v>
      </c>
      <c r="DU543" s="38">
        <f t="shared" si="900"/>
        <v>0</v>
      </c>
      <c r="DV543" s="38">
        <f t="shared" si="901"/>
        <v>0</v>
      </c>
      <c r="DW543" s="38">
        <f t="shared" si="902"/>
        <v>2.4259800000000002E-2</v>
      </c>
      <c r="DX543" s="38">
        <f t="shared" si="903"/>
        <v>9.4399999999999985E-4</v>
      </c>
      <c r="DY543" s="38">
        <f t="shared" si="904"/>
        <v>0.47200000000000003</v>
      </c>
      <c r="DZ543" s="38">
        <f t="shared" si="905"/>
        <v>0.47200000000000003</v>
      </c>
      <c r="EA543" s="38">
        <f t="shared" si="906"/>
        <v>0</v>
      </c>
      <c r="EB543" s="38">
        <f t="shared" si="907"/>
        <v>0</v>
      </c>
      <c r="EC543" s="38">
        <f t="shared" si="908"/>
        <v>0</v>
      </c>
      <c r="ED543" s="38">
        <f t="shared" si="909"/>
        <v>0</v>
      </c>
      <c r="EE543" s="38">
        <f t="shared" si="910"/>
        <v>0</v>
      </c>
      <c r="EG543" s="38">
        <f t="shared" si="911"/>
        <v>0</v>
      </c>
      <c r="EH543" s="38">
        <f t="shared" si="912"/>
        <v>0</v>
      </c>
      <c r="EI543" s="38">
        <f t="shared" si="913"/>
        <v>57.048240195200002</v>
      </c>
      <c r="EJ543" s="38">
        <f t="shared" si="914"/>
        <v>0</v>
      </c>
      <c r="EK543" s="38">
        <f t="shared" si="915"/>
        <v>0</v>
      </c>
      <c r="EL543" s="38">
        <f t="shared" si="916"/>
        <v>0</v>
      </c>
      <c r="EM543" s="38">
        <f t="shared" si="917"/>
        <v>0</v>
      </c>
      <c r="EN543" s="38">
        <f t="shared" si="918"/>
        <v>0</v>
      </c>
      <c r="EO543" s="38">
        <f t="shared" si="919"/>
        <v>0</v>
      </c>
      <c r="EP543" s="38">
        <f t="shared" si="920"/>
        <v>318.14301720000003</v>
      </c>
      <c r="EQ543" s="38">
        <f t="shared" si="921"/>
        <v>68.552830655999983</v>
      </c>
      <c r="ER543" s="38">
        <f t="shared" si="922"/>
        <v>13.395997427652732</v>
      </c>
      <c r="ES543" s="38">
        <f t="shared" si="923"/>
        <v>15.72974147909968</v>
      </c>
      <c r="ET543" s="38">
        <f t="shared" si="924"/>
        <v>0</v>
      </c>
      <c r="EU543" s="38">
        <f t="shared" si="925"/>
        <v>0</v>
      </c>
      <c r="EV543" s="38">
        <f t="shared" si="926"/>
        <v>0</v>
      </c>
      <c r="EW543" s="38">
        <f t="shared" si="927"/>
        <v>0</v>
      </c>
      <c r="EX543" s="38">
        <f t="shared" si="928"/>
        <v>0</v>
      </c>
      <c r="EZ543" s="38">
        <f t="shared" si="929"/>
        <v>0</v>
      </c>
      <c r="FA543" s="38">
        <f t="shared" si="930"/>
        <v>0</v>
      </c>
      <c r="FB543" s="1">
        <f t="shared" si="931"/>
        <v>2.8901999999999999E-3</v>
      </c>
      <c r="FC543" s="1">
        <f t="shared" si="932"/>
        <v>0</v>
      </c>
      <c r="FD543" s="1">
        <f t="shared" si="933"/>
        <v>0</v>
      </c>
      <c r="FE543" s="1">
        <f t="shared" si="934"/>
        <v>0</v>
      </c>
      <c r="FF543" s="1">
        <f t="shared" si="935"/>
        <v>0</v>
      </c>
      <c r="FG543" s="1">
        <f t="shared" si="936"/>
        <v>0</v>
      </c>
      <c r="FH543" s="1">
        <f t="shared" si="937"/>
        <v>0</v>
      </c>
      <c r="FI543" s="1">
        <f t="shared" si="938"/>
        <v>7.6770999999999992E-3</v>
      </c>
      <c r="FJ543" s="1">
        <f t="shared" si="939"/>
        <v>3.3120000000000003E-4</v>
      </c>
      <c r="FK543" s="1">
        <f t="shared" si="940"/>
        <v>0.16560000000000002</v>
      </c>
      <c r="FL543" s="1">
        <f t="shared" si="941"/>
        <v>0.16560000000000002</v>
      </c>
      <c r="FM543" s="1">
        <f t="shared" si="942"/>
        <v>0</v>
      </c>
      <c r="FN543" s="1">
        <f t="shared" si="943"/>
        <v>0</v>
      </c>
      <c r="FO543" s="1">
        <f t="shared" si="944"/>
        <v>0</v>
      </c>
      <c r="FP543" s="1">
        <f t="shared" si="945"/>
        <v>0</v>
      </c>
      <c r="FQ543" s="1">
        <f t="shared" si="946"/>
        <v>0</v>
      </c>
      <c r="FS543" s="1">
        <f t="shared" si="947"/>
        <v>0</v>
      </c>
      <c r="FT543" s="1">
        <f t="shared" si="948"/>
        <v>0</v>
      </c>
      <c r="FU543" s="38">
        <f t="shared" si="949"/>
        <v>18.860335363200001</v>
      </c>
      <c r="FV543" s="38">
        <f t="shared" si="950"/>
        <v>0</v>
      </c>
      <c r="FW543" s="38">
        <f t="shared" si="951"/>
        <v>0</v>
      </c>
      <c r="FX543" s="38">
        <f t="shared" si="952"/>
        <v>0</v>
      </c>
      <c r="FY543" s="38">
        <f t="shared" si="953"/>
        <v>0</v>
      </c>
      <c r="FZ543" s="38">
        <f t="shared" si="954"/>
        <v>0</v>
      </c>
      <c r="GA543" s="38">
        <f t="shared" si="955"/>
        <v>0</v>
      </c>
      <c r="GB543" s="38">
        <f t="shared" si="956"/>
        <v>100.67748939999998</v>
      </c>
      <c r="GC543" s="38">
        <f t="shared" si="957"/>
        <v>24.051586348799997</v>
      </c>
      <c r="GD543" s="38">
        <f t="shared" si="958"/>
        <v>4.699951639871383</v>
      </c>
      <c r="GE543" s="38">
        <f t="shared" si="959"/>
        <v>5.5187398070739562</v>
      </c>
      <c r="GF543" s="38">
        <f t="shared" si="960"/>
        <v>0</v>
      </c>
      <c r="GG543" s="38">
        <f t="shared" si="961"/>
        <v>0</v>
      </c>
      <c r="GH543" s="38">
        <f t="shared" si="962"/>
        <v>0</v>
      </c>
      <c r="GI543" s="38">
        <f t="shared" si="963"/>
        <v>0</v>
      </c>
      <c r="GJ543" s="38">
        <f t="shared" si="964"/>
        <v>0</v>
      </c>
      <c r="GL543" s="38">
        <f t="shared" si="965"/>
        <v>0</v>
      </c>
      <c r="GM543" s="38">
        <f t="shared" si="966"/>
        <v>0</v>
      </c>
      <c r="GN543" s="1" t="s">
        <v>2</v>
      </c>
      <c r="GO543" s="1">
        <f t="shared" si="889"/>
        <v>4.72</v>
      </c>
      <c r="GP543" s="13">
        <f t="shared" si="890"/>
        <v>0.51397881355932207</v>
      </c>
      <c r="GQ543" s="41">
        <f t="shared" si="891"/>
        <v>24.259799999999998</v>
      </c>
      <c r="GR543" s="41">
        <f t="shared" si="892"/>
        <v>472.8698269579524</v>
      </c>
      <c r="GS543" s="14">
        <f t="shared" si="893"/>
        <v>100.18428537244755</v>
      </c>
      <c r="GT543" s="1">
        <f t="shared" si="967"/>
        <v>1.3831</v>
      </c>
      <c r="GU543" s="1">
        <f t="shared" si="968"/>
        <v>19.586300000000001</v>
      </c>
      <c r="GV543" s="1">
        <f t="shared" si="969"/>
        <v>3.2904</v>
      </c>
      <c r="GW543" s="37">
        <f t="shared" si="894"/>
        <v>1.6560000000000001</v>
      </c>
      <c r="GX543" s="44">
        <f>(BT543*CB543+CO543*CW543)/GW543</f>
        <v>0.46359299516908203</v>
      </c>
      <c r="GY543" s="41">
        <f>1000*GW543*GX543/100</f>
        <v>7.6770999999999994</v>
      </c>
      <c r="GZ543" s="41">
        <f>SUM(FU543:GM543)</f>
        <v>153.80810255894531</v>
      </c>
      <c r="HA543" s="14">
        <f>GZ543/GW543</f>
        <v>92.879288984870342</v>
      </c>
      <c r="HB543" s="1">
        <f t="shared" si="970"/>
        <v>0.87909999999999977</v>
      </c>
      <c r="HC543" s="1">
        <f t="shared" si="971"/>
        <v>6.7979999999999992</v>
      </c>
      <c r="HD543" s="37" t="s">
        <v>2</v>
      </c>
      <c r="HE543" s="1" t="s">
        <v>113</v>
      </c>
      <c r="HF543" s="1" t="s">
        <v>129</v>
      </c>
      <c r="HI543" s="1" t="s">
        <v>96</v>
      </c>
      <c r="HJ543" s="37" t="s">
        <v>2</v>
      </c>
      <c r="JH543" s="58" t="s">
        <v>2</v>
      </c>
    </row>
    <row r="544" spans="1:268" ht="16.25" customHeight="1" x14ac:dyDescent="0.2">
      <c r="A544" s="15" t="s">
        <v>930</v>
      </c>
      <c r="B544" s="1" t="s">
        <v>69</v>
      </c>
      <c r="F544" s="1" t="s">
        <v>131</v>
      </c>
      <c r="I544" s="1">
        <v>0</v>
      </c>
      <c r="AD544" s="1">
        <v>0</v>
      </c>
      <c r="AY544" s="1">
        <v>0.21</v>
      </c>
      <c r="AZ544" s="1">
        <v>0.28000000000000003</v>
      </c>
      <c r="BG544" s="1">
        <v>0.37</v>
      </c>
      <c r="BH544" s="1">
        <v>0.04</v>
      </c>
      <c r="BT544" s="1">
        <v>0</v>
      </c>
      <c r="CO544" s="1">
        <v>0</v>
      </c>
      <c r="DJ544" s="1" t="s">
        <v>96</v>
      </c>
      <c r="DK544" s="1" t="s">
        <v>96</v>
      </c>
      <c r="DL544" s="1">
        <f t="shared" si="887"/>
        <v>0.37</v>
      </c>
      <c r="DM544" s="1">
        <f t="shared" si="888"/>
        <v>0.04</v>
      </c>
      <c r="DN544" s="1" t="s">
        <v>919</v>
      </c>
      <c r="DO544" s="1" t="s">
        <v>2</v>
      </c>
      <c r="DP544" s="38">
        <f t="shared" si="895"/>
        <v>5.8800000000000009E-4</v>
      </c>
      <c r="DQ544" s="38">
        <f t="shared" si="896"/>
        <v>0</v>
      </c>
      <c r="DR544" s="38">
        <f t="shared" si="897"/>
        <v>0</v>
      </c>
      <c r="DS544" s="38">
        <f t="shared" si="898"/>
        <v>0</v>
      </c>
      <c r="DT544" s="38">
        <f t="shared" si="899"/>
        <v>0</v>
      </c>
      <c r="DU544" s="38">
        <f t="shared" si="900"/>
        <v>0</v>
      </c>
      <c r="DV544" s="38">
        <f t="shared" si="901"/>
        <v>0</v>
      </c>
      <c r="DW544" s="38">
        <f t="shared" si="902"/>
        <v>7.7699999999999991E-4</v>
      </c>
      <c r="DX544" s="38">
        <f t="shared" si="903"/>
        <v>8.3999999999999995E-5</v>
      </c>
      <c r="DY544" s="38">
        <f t="shared" si="904"/>
        <v>0</v>
      </c>
      <c r="DZ544" s="38">
        <f t="shared" si="905"/>
        <v>0</v>
      </c>
      <c r="EA544" s="38">
        <f t="shared" si="906"/>
        <v>0</v>
      </c>
      <c r="EB544" s="38">
        <f t="shared" si="907"/>
        <v>0</v>
      </c>
      <c r="EC544" s="38">
        <f t="shared" si="908"/>
        <v>0</v>
      </c>
      <c r="ED544" s="38">
        <f t="shared" si="909"/>
        <v>0</v>
      </c>
      <c r="EE544" s="38">
        <f t="shared" si="910"/>
        <v>0</v>
      </c>
      <c r="EG544" s="38">
        <f t="shared" si="911"/>
        <v>0</v>
      </c>
      <c r="EH544" s="38">
        <f t="shared" si="912"/>
        <v>0</v>
      </c>
      <c r="EI544" s="38">
        <f t="shared" si="913"/>
        <v>3.8370622080000008</v>
      </c>
      <c r="EJ544" s="38">
        <f t="shared" si="914"/>
        <v>0</v>
      </c>
      <c r="EK544" s="38">
        <f t="shared" si="915"/>
        <v>0</v>
      </c>
      <c r="EL544" s="38">
        <f t="shared" si="916"/>
        <v>0</v>
      </c>
      <c r="EM544" s="38">
        <f t="shared" si="917"/>
        <v>0</v>
      </c>
      <c r="EN544" s="38">
        <f t="shared" si="918"/>
        <v>0</v>
      </c>
      <c r="EO544" s="38">
        <f t="shared" si="919"/>
        <v>0</v>
      </c>
      <c r="EP544" s="38">
        <f t="shared" si="920"/>
        <v>10.189577999999999</v>
      </c>
      <c r="EQ544" s="38">
        <f t="shared" si="921"/>
        <v>6.1000400159999986</v>
      </c>
      <c r="ER544" s="38">
        <f t="shared" si="922"/>
        <v>0</v>
      </c>
      <c r="ES544" s="38">
        <f t="shared" si="923"/>
        <v>0</v>
      </c>
      <c r="ET544" s="38">
        <f t="shared" si="924"/>
        <v>0</v>
      </c>
      <c r="EU544" s="38">
        <f t="shared" si="925"/>
        <v>0</v>
      </c>
      <c r="EV544" s="38">
        <f t="shared" si="926"/>
        <v>0</v>
      </c>
      <c r="EW544" s="38">
        <f t="shared" si="927"/>
        <v>0</v>
      </c>
      <c r="EX544" s="38">
        <f t="shared" si="928"/>
        <v>0</v>
      </c>
      <c r="EZ544" s="38">
        <f t="shared" si="929"/>
        <v>0</v>
      </c>
      <c r="FA544" s="38">
        <f t="shared" si="930"/>
        <v>0</v>
      </c>
      <c r="FB544" s="1">
        <f t="shared" si="931"/>
        <v>0</v>
      </c>
      <c r="FC544" s="1">
        <f t="shared" si="932"/>
        <v>0</v>
      </c>
      <c r="FD544" s="1">
        <f t="shared" si="933"/>
        <v>0</v>
      </c>
      <c r="FE544" s="1">
        <f t="shared" si="934"/>
        <v>0</v>
      </c>
      <c r="FF544" s="1">
        <f t="shared" si="935"/>
        <v>0</v>
      </c>
      <c r="FG544" s="1">
        <f t="shared" si="936"/>
        <v>0</v>
      </c>
      <c r="FH544" s="1">
        <f t="shared" si="937"/>
        <v>0</v>
      </c>
      <c r="FI544" s="1">
        <f t="shared" si="938"/>
        <v>0</v>
      </c>
      <c r="FJ544" s="1">
        <f t="shared" si="939"/>
        <v>0</v>
      </c>
      <c r="FK544" s="1">
        <f t="shared" si="940"/>
        <v>0</v>
      </c>
      <c r="FL544" s="1">
        <f t="shared" si="941"/>
        <v>0</v>
      </c>
      <c r="FM544" s="1">
        <f t="shared" si="942"/>
        <v>0</v>
      </c>
      <c r="FN544" s="1">
        <f t="shared" si="943"/>
        <v>0</v>
      </c>
      <c r="FO544" s="1">
        <f t="shared" si="944"/>
        <v>0</v>
      </c>
      <c r="FP544" s="1">
        <f t="shared" si="945"/>
        <v>0</v>
      </c>
      <c r="FQ544" s="1">
        <f t="shared" si="946"/>
        <v>0</v>
      </c>
      <c r="FS544" s="1">
        <f t="shared" si="947"/>
        <v>0</v>
      </c>
      <c r="FT544" s="1">
        <f t="shared" si="948"/>
        <v>0</v>
      </c>
      <c r="FU544" s="38">
        <f t="shared" si="949"/>
        <v>0</v>
      </c>
      <c r="FV544" s="38">
        <f t="shared" si="950"/>
        <v>0</v>
      </c>
      <c r="FW544" s="38">
        <f t="shared" si="951"/>
        <v>0</v>
      </c>
      <c r="FX544" s="38">
        <f t="shared" si="952"/>
        <v>0</v>
      </c>
      <c r="FY544" s="38">
        <f t="shared" si="953"/>
        <v>0</v>
      </c>
      <c r="FZ544" s="38">
        <f t="shared" si="954"/>
        <v>0</v>
      </c>
      <c r="GA544" s="38">
        <f t="shared" si="955"/>
        <v>0</v>
      </c>
      <c r="GB544" s="38">
        <f t="shared" si="956"/>
        <v>0</v>
      </c>
      <c r="GC544" s="38">
        <f t="shared" si="957"/>
        <v>0</v>
      </c>
      <c r="GD544" s="38">
        <f t="shared" si="958"/>
        <v>0</v>
      </c>
      <c r="GE544" s="38">
        <f t="shared" si="959"/>
        <v>0</v>
      </c>
      <c r="GF544" s="38">
        <f t="shared" si="960"/>
        <v>0</v>
      </c>
      <c r="GG544" s="38">
        <f t="shared" si="961"/>
        <v>0</v>
      </c>
      <c r="GH544" s="38">
        <f t="shared" si="962"/>
        <v>0</v>
      </c>
      <c r="GI544" s="38">
        <f t="shared" si="963"/>
        <v>0</v>
      </c>
      <c r="GJ544" s="38">
        <f t="shared" si="964"/>
        <v>0</v>
      </c>
      <c r="GL544" s="38">
        <f t="shared" si="965"/>
        <v>0</v>
      </c>
      <c r="GM544" s="38">
        <f t="shared" si="966"/>
        <v>0</v>
      </c>
      <c r="GN544" s="1" t="s">
        <v>2</v>
      </c>
      <c r="GO544" s="1">
        <f t="shared" si="889"/>
        <v>0.21</v>
      </c>
      <c r="GP544" s="1">
        <f t="shared" si="890"/>
        <v>0.37</v>
      </c>
      <c r="GQ544" s="41">
        <f t="shared" si="891"/>
        <v>0.77700000000000002</v>
      </c>
      <c r="GR544" s="41">
        <f t="shared" si="892"/>
        <v>20.126680223999998</v>
      </c>
      <c r="GS544" s="14">
        <f t="shared" si="893"/>
        <v>95.841334399999994</v>
      </c>
      <c r="GT544" s="1">
        <f t="shared" si="967"/>
        <v>0</v>
      </c>
      <c r="GU544" s="1">
        <f t="shared" si="968"/>
        <v>0</v>
      </c>
      <c r="GV544" s="1">
        <f t="shared" si="969"/>
        <v>0.77699999999999991</v>
      </c>
      <c r="GW544" s="37">
        <f t="shared" si="894"/>
        <v>0</v>
      </c>
      <c r="GX544" s="37"/>
      <c r="GY544" s="37"/>
      <c r="GZ544" s="37"/>
      <c r="HB544" s="1">
        <f t="shared" si="970"/>
        <v>0</v>
      </c>
      <c r="HC544" s="1">
        <f t="shared" si="971"/>
        <v>0</v>
      </c>
      <c r="HD544" s="37" t="s">
        <v>2</v>
      </c>
      <c r="HE544" s="1" t="s">
        <v>113</v>
      </c>
      <c r="HF544" s="1" t="s">
        <v>129</v>
      </c>
      <c r="HI544" s="1" t="s">
        <v>96</v>
      </c>
      <c r="HJ544" s="37" t="s">
        <v>2</v>
      </c>
      <c r="JH544" s="58" t="s">
        <v>2</v>
      </c>
    </row>
    <row r="545" spans="1:268" ht="16.25" customHeight="1" x14ac:dyDescent="0.2">
      <c r="A545" s="15" t="s">
        <v>931</v>
      </c>
      <c r="B545" s="1" t="s">
        <v>69</v>
      </c>
      <c r="F545" s="1" t="s">
        <v>131</v>
      </c>
      <c r="I545" s="1">
        <v>0</v>
      </c>
      <c r="AD545" s="1">
        <v>0</v>
      </c>
      <c r="AY545" s="1">
        <v>0.104</v>
      </c>
      <c r="AZ545" s="1">
        <v>0.28000000000000003</v>
      </c>
      <c r="BG545" s="1">
        <v>0.43</v>
      </c>
      <c r="BH545" s="1">
        <v>0.03</v>
      </c>
      <c r="BT545" s="1">
        <v>0</v>
      </c>
      <c r="CO545" s="1">
        <v>0</v>
      </c>
      <c r="DJ545" s="1" t="s">
        <v>96</v>
      </c>
      <c r="DK545" s="1" t="s">
        <v>96</v>
      </c>
      <c r="DL545" s="1">
        <f t="shared" si="887"/>
        <v>0.43</v>
      </c>
      <c r="DM545" s="1">
        <f t="shared" si="888"/>
        <v>3.0000000000000002E-2</v>
      </c>
      <c r="DN545" s="1" t="s">
        <v>919</v>
      </c>
      <c r="DO545" s="1" t="s">
        <v>2</v>
      </c>
      <c r="DP545" s="38">
        <f t="shared" si="895"/>
        <v>2.9119999999999998E-4</v>
      </c>
      <c r="DQ545" s="38">
        <f t="shared" si="896"/>
        <v>0</v>
      </c>
      <c r="DR545" s="38">
        <f t="shared" si="897"/>
        <v>0</v>
      </c>
      <c r="DS545" s="38">
        <f t="shared" si="898"/>
        <v>0</v>
      </c>
      <c r="DT545" s="38">
        <f t="shared" si="899"/>
        <v>0</v>
      </c>
      <c r="DU545" s="38">
        <f t="shared" si="900"/>
        <v>0</v>
      </c>
      <c r="DV545" s="38">
        <f t="shared" si="901"/>
        <v>0</v>
      </c>
      <c r="DW545" s="38">
        <f t="shared" si="902"/>
        <v>4.4719999999999997E-4</v>
      </c>
      <c r="DX545" s="38">
        <f t="shared" si="903"/>
        <v>3.1199999999999999E-5</v>
      </c>
      <c r="DY545" s="38">
        <f t="shared" si="904"/>
        <v>0</v>
      </c>
      <c r="DZ545" s="38">
        <f t="shared" si="905"/>
        <v>0</v>
      </c>
      <c r="EA545" s="38">
        <f t="shared" si="906"/>
        <v>0</v>
      </c>
      <c r="EB545" s="38">
        <f t="shared" si="907"/>
        <v>0</v>
      </c>
      <c r="EC545" s="38">
        <f t="shared" si="908"/>
        <v>0</v>
      </c>
      <c r="ED545" s="38">
        <f t="shared" si="909"/>
        <v>0</v>
      </c>
      <c r="EE545" s="38">
        <f t="shared" si="910"/>
        <v>0</v>
      </c>
      <c r="EG545" s="38">
        <f t="shared" si="911"/>
        <v>0</v>
      </c>
      <c r="EH545" s="38">
        <f t="shared" si="912"/>
        <v>0</v>
      </c>
      <c r="EI545" s="38">
        <f t="shared" si="913"/>
        <v>1.9002593791999998</v>
      </c>
      <c r="EJ545" s="38">
        <f t="shared" si="914"/>
        <v>0</v>
      </c>
      <c r="EK545" s="38">
        <f t="shared" si="915"/>
        <v>0</v>
      </c>
      <c r="EL545" s="38">
        <f t="shared" si="916"/>
        <v>0</v>
      </c>
      <c r="EM545" s="38">
        <f t="shared" si="917"/>
        <v>0</v>
      </c>
      <c r="EN545" s="38">
        <f t="shared" si="918"/>
        <v>0</v>
      </c>
      <c r="EO545" s="38">
        <f t="shared" si="919"/>
        <v>0</v>
      </c>
      <c r="EP545" s="38">
        <f t="shared" si="920"/>
        <v>5.8645807999999997</v>
      </c>
      <c r="EQ545" s="38">
        <f t="shared" si="921"/>
        <v>2.2657291487999998</v>
      </c>
      <c r="ER545" s="38">
        <f t="shared" si="922"/>
        <v>0</v>
      </c>
      <c r="ES545" s="38">
        <f t="shared" si="923"/>
        <v>0</v>
      </c>
      <c r="ET545" s="38">
        <f t="shared" si="924"/>
        <v>0</v>
      </c>
      <c r="EU545" s="38">
        <f t="shared" si="925"/>
        <v>0</v>
      </c>
      <c r="EV545" s="38">
        <f t="shared" si="926"/>
        <v>0</v>
      </c>
      <c r="EW545" s="38">
        <f t="shared" si="927"/>
        <v>0</v>
      </c>
      <c r="EX545" s="38">
        <f t="shared" si="928"/>
        <v>0</v>
      </c>
      <c r="EZ545" s="38">
        <f t="shared" si="929"/>
        <v>0</v>
      </c>
      <c r="FA545" s="38">
        <f t="shared" si="930"/>
        <v>0</v>
      </c>
      <c r="FB545" s="1">
        <f t="shared" si="931"/>
        <v>0</v>
      </c>
      <c r="FC545" s="1">
        <f t="shared" si="932"/>
        <v>0</v>
      </c>
      <c r="FD545" s="1">
        <f t="shared" si="933"/>
        <v>0</v>
      </c>
      <c r="FE545" s="1">
        <f t="shared" si="934"/>
        <v>0</v>
      </c>
      <c r="FF545" s="1">
        <f t="shared" si="935"/>
        <v>0</v>
      </c>
      <c r="FG545" s="1">
        <f t="shared" si="936"/>
        <v>0</v>
      </c>
      <c r="FH545" s="1">
        <f t="shared" si="937"/>
        <v>0</v>
      </c>
      <c r="FI545" s="1">
        <f t="shared" si="938"/>
        <v>0</v>
      </c>
      <c r="FJ545" s="1">
        <f t="shared" si="939"/>
        <v>0</v>
      </c>
      <c r="FK545" s="1">
        <f t="shared" si="940"/>
        <v>0</v>
      </c>
      <c r="FL545" s="1">
        <f t="shared" si="941"/>
        <v>0</v>
      </c>
      <c r="FM545" s="1">
        <f t="shared" si="942"/>
        <v>0</v>
      </c>
      <c r="FN545" s="1">
        <f t="shared" si="943"/>
        <v>0</v>
      </c>
      <c r="FO545" s="1">
        <f t="shared" si="944"/>
        <v>0</v>
      </c>
      <c r="FP545" s="1">
        <f t="shared" si="945"/>
        <v>0</v>
      </c>
      <c r="FQ545" s="1">
        <f t="shared" si="946"/>
        <v>0</v>
      </c>
      <c r="FS545" s="1">
        <f t="shared" si="947"/>
        <v>0</v>
      </c>
      <c r="FT545" s="1">
        <f t="shared" si="948"/>
        <v>0</v>
      </c>
      <c r="FU545" s="38">
        <f t="shared" si="949"/>
        <v>0</v>
      </c>
      <c r="FV545" s="38">
        <f t="shared" si="950"/>
        <v>0</v>
      </c>
      <c r="FW545" s="38">
        <f t="shared" si="951"/>
        <v>0</v>
      </c>
      <c r="FX545" s="38">
        <f t="shared" si="952"/>
        <v>0</v>
      </c>
      <c r="FY545" s="38">
        <f t="shared" si="953"/>
        <v>0</v>
      </c>
      <c r="FZ545" s="38">
        <f t="shared" si="954"/>
        <v>0</v>
      </c>
      <c r="GA545" s="38">
        <f t="shared" si="955"/>
        <v>0</v>
      </c>
      <c r="GB545" s="38">
        <f t="shared" si="956"/>
        <v>0</v>
      </c>
      <c r="GC545" s="38">
        <f t="shared" si="957"/>
        <v>0</v>
      </c>
      <c r="GD545" s="38">
        <f t="shared" si="958"/>
        <v>0</v>
      </c>
      <c r="GE545" s="38">
        <f t="shared" si="959"/>
        <v>0</v>
      </c>
      <c r="GF545" s="38">
        <f t="shared" si="960"/>
        <v>0</v>
      </c>
      <c r="GG545" s="38">
        <f t="shared" si="961"/>
        <v>0</v>
      </c>
      <c r="GH545" s="38">
        <f t="shared" si="962"/>
        <v>0</v>
      </c>
      <c r="GI545" s="38">
        <f t="shared" si="963"/>
        <v>0</v>
      </c>
      <c r="GJ545" s="38">
        <f t="shared" si="964"/>
        <v>0</v>
      </c>
      <c r="GL545" s="38">
        <f t="shared" si="965"/>
        <v>0</v>
      </c>
      <c r="GM545" s="38">
        <f t="shared" si="966"/>
        <v>0</v>
      </c>
      <c r="GN545" s="1" t="s">
        <v>2</v>
      </c>
      <c r="GO545" s="1">
        <f t="shared" si="889"/>
        <v>0.104</v>
      </c>
      <c r="GP545" s="1">
        <f t="shared" si="890"/>
        <v>0.43</v>
      </c>
      <c r="GQ545" s="41">
        <f t="shared" si="891"/>
        <v>0.44719999999999999</v>
      </c>
      <c r="GR545" s="41">
        <f t="shared" si="892"/>
        <v>10.030569327999999</v>
      </c>
      <c r="GS545" s="14">
        <f t="shared" si="893"/>
        <v>96.447781999999989</v>
      </c>
      <c r="GT545" s="1">
        <f t="shared" si="967"/>
        <v>0</v>
      </c>
      <c r="GU545" s="1">
        <f t="shared" si="968"/>
        <v>0</v>
      </c>
      <c r="GV545" s="1">
        <f t="shared" si="969"/>
        <v>0.44719999999999999</v>
      </c>
      <c r="GW545" s="37">
        <f t="shared" si="894"/>
        <v>0</v>
      </c>
      <c r="GX545" s="37"/>
      <c r="GY545" s="37"/>
      <c r="GZ545" s="37"/>
      <c r="HB545" s="1">
        <f t="shared" si="970"/>
        <v>0</v>
      </c>
      <c r="HC545" s="1">
        <f t="shared" si="971"/>
        <v>0</v>
      </c>
      <c r="HD545" s="37" t="s">
        <v>2</v>
      </c>
      <c r="HE545" s="1" t="s">
        <v>113</v>
      </c>
      <c r="HF545" s="1" t="s">
        <v>129</v>
      </c>
      <c r="HI545" s="1" t="s">
        <v>96</v>
      </c>
      <c r="HJ545" s="37" t="s">
        <v>2</v>
      </c>
      <c r="JH545" s="58" t="s">
        <v>2</v>
      </c>
    </row>
    <row r="546" spans="1:268" ht="16.25" customHeight="1" x14ac:dyDescent="0.2">
      <c r="A546" s="15" t="s">
        <v>932</v>
      </c>
      <c r="B546" s="1" t="s">
        <v>69</v>
      </c>
      <c r="F546" s="1" t="s">
        <v>131</v>
      </c>
      <c r="I546" s="1">
        <v>0</v>
      </c>
      <c r="AD546" s="1">
        <v>0</v>
      </c>
      <c r="AY546" s="1">
        <v>0.13700000000000001</v>
      </c>
      <c r="AZ546" s="1">
        <v>0.28999999999999998</v>
      </c>
      <c r="BG546" s="1">
        <v>0.24</v>
      </c>
      <c r="BT546" s="1">
        <v>0</v>
      </c>
      <c r="CO546" s="1">
        <v>0</v>
      </c>
      <c r="DJ546" s="1" t="s">
        <v>96</v>
      </c>
      <c r="DL546" s="1">
        <f t="shared" si="887"/>
        <v>0.24</v>
      </c>
      <c r="DM546" s="1">
        <f t="shared" si="888"/>
        <v>0</v>
      </c>
      <c r="DN546" s="1" t="s">
        <v>919</v>
      </c>
      <c r="DO546" s="1" t="s">
        <v>2</v>
      </c>
      <c r="DP546" s="38">
        <f t="shared" si="895"/>
        <v>3.9730000000000001E-4</v>
      </c>
      <c r="DQ546" s="38">
        <f t="shared" si="896"/>
        <v>0</v>
      </c>
      <c r="DR546" s="38">
        <f t="shared" si="897"/>
        <v>0</v>
      </c>
      <c r="DS546" s="38">
        <f t="shared" si="898"/>
        <v>0</v>
      </c>
      <c r="DT546" s="38">
        <f t="shared" si="899"/>
        <v>0</v>
      </c>
      <c r="DU546" s="38">
        <f t="shared" si="900"/>
        <v>0</v>
      </c>
      <c r="DV546" s="38">
        <f t="shared" si="901"/>
        <v>0</v>
      </c>
      <c r="DW546" s="38">
        <f t="shared" si="902"/>
        <v>3.2879999999999997E-4</v>
      </c>
      <c r="DX546" s="38">
        <f t="shared" si="903"/>
        <v>0</v>
      </c>
      <c r="DY546" s="38">
        <f t="shared" si="904"/>
        <v>0</v>
      </c>
      <c r="DZ546" s="38">
        <f t="shared" si="905"/>
        <v>0</v>
      </c>
      <c r="EA546" s="38">
        <f t="shared" si="906"/>
        <v>0</v>
      </c>
      <c r="EB546" s="38">
        <f t="shared" si="907"/>
        <v>0</v>
      </c>
      <c r="EC546" s="38">
        <f t="shared" si="908"/>
        <v>0</v>
      </c>
      <c r="ED546" s="38">
        <f t="shared" si="909"/>
        <v>0</v>
      </c>
      <c r="EE546" s="38">
        <f t="shared" si="910"/>
        <v>0</v>
      </c>
      <c r="EG546" s="38">
        <f t="shared" si="911"/>
        <v>0</v>
      </c>
      <c r="EH546" s="38">
        <f t="shared" si="912"/>
        <v>0</v>
      </c>
      <c r="EI546" s="38">
        <f t="shared" si="913"/>
        <v>2.5926272367999998</v>
      </c>
      <c r="EJ546" s="38">
        <f t="shared" si="914"/>
        <v>0</v>
      </c>
      <c r="EK546" s="38">
        <f t="shared" si="915"/>
        <v>0</v>
      </c>
      <c r="EL546" s="38">
        <f t="shared" si="916"/>
        <v>0</v>
      </c>
      <c r="EM546" s="38">
        <f t="shared" si="917"/>
        <v>0</v>
      </c>
      <c r="EN546" s="38">
        <f t="shared" si="918"/>
        <v>0</v>
      </c>
      <c r="EO546" s="38">
        <f t="shared" si="919"/>
        <v>0</v>
      </c>
      <c r="EP546" s="38">
        <f t="shared" si="920"/>
        <v>4.3118831999999996</v>
      </c>
      <c r="EQ546" s="38">
        <f t="shared" si="921"/>
        <v>0</v>
      </c>
      <c r="ER546" s="38">
        <f t="shared" si="922"/>
        <v>0</v>
      </c>
      <c r="ES546" s="38">
        <f t="shared" si="923"/>
        <v>0</v>
      </c>
      <c r="ET546" s="38">
        <f t="shared" si="924"/>
        <v>0</v>
      </c>
      <c r="EU546" s="38">
        <f t="shared" si="925"/>
        <v>0</v>
      </c>
      <c r="EV546" s="38">
        <f t="shared" si="926"/>
        <v>0</v>
      </c>
      <c r="EW546" s="38">
        <f t="shared" si="927"/>
        <v>0</v>
      </c>
      <c r="EX546" s="38">
        <f t="shared" si="928"/>
        <v>0</v>
      </c>
      <c r="EZ546" s="38">
        <f t="shared" si="929"/>
        <v>0</v>
      </c>
      <c r="FA546" s="38">
        <f t="shared" si="930"/>
        <v>0</v>
      </c>
      <c r="FB546" s="1">
        <f t="shared" si="931"/>
        <v>0</v>
      </c>
      <c r="FC546" s="1">
        <f t="shared" si="932"/>
        <v>0</v>
      </c>
      <c r="FD546" s="1">
        <f t="shared" si="933"/>
        <v>0</v>
      </c>
      <c r="FE546" s="1">
        <f t="shared" si="934"/>
        <v>0</v>
      </c>
      <c r="FF546" s="1">
        <f t="shared" si="935"/>
        <v>0</v>
      </c>
      <c r="FG546" s="1">
        <f t="shared" si="936"/>
        <v>0</v>
      </c>
      <c r="FH546" s="1">
        <f t="shared" si="937"/>
        <v>0</v>
      </c>
      <c r="FI546" s="1">
        <f t="shared" si="938"/>
        <v>0</v>
      </c>
      <c r="FJ546" s="1">
        <f t="shared" si="939"/>
        <v>0</v>
      </c>
      <c r="FK546" s="1">
        <f t="shared" si="940"/>
        <v>0</v>
      </c>
      <c r="FL546" s="1">
        <f t="shared" si="941"/>
        <v>0</v>
      </c>
      <c r="FM546" s="1">
        <f t="shared" si="942"/>
        <v>0</v>
      </c>
      <c r="FN546" s="1">
        <f t="shared" si="943"/>
        <v>0</v>
      </c>
      <c r="FO546" s="1">
        <f t="shared" si="944"/>
        <v>0</v>
      </c>
      <c r="FP546" s="1">
        <f t="shared" si="945"/>
        <v>0</v>
      </c>
      <c r="FQ546" s="1">
        <f t="shared" si="946"/>
        <v>0</v>
      </c>
      <c r="FS546" s="1">
        <f t="shared" si="947"/>
        <v>0</v>
      </c>
      <c r="FT546" s="1">
        <f t="shared" si="948"/>
        <v>0</v>
      </c>
      <c r="FU546" s="38">
        <f t="shared" si="949"/>
        <v>0</v>
      </c>
      <c r="FV546" s="38">
        <f t="shared" si="950"/>
        <v>0</v>
      </c>
      <c r="FW546" s="38">
        <f t="shared" si="951"/>
        <v>0</v>
      </c>
      <c r="FX546" s="38">
        <f t="shared" si="952"/>
        <v>0</v>
      </c>
      <c r="FY546" s="38">
        <f t="shared" si="953"/>
        <v>0</v>
      </c>
      <c r="FZ546" s="38">
        <f t="shared" si="954"/>
        <v>0</v>
      </c>
      <c r="GA546" s="38">
        <f t="shared" si="955"/>
        <v>0</v>
      </c>
      <c r="GB546" s="38">
        <f t="shared" si="956"/>
        <v>0</v>
      </c>
      <c r="GC546" s="38">
        <f t="shared" si="957"/>
        <v>0</v>
      </c>
      <c r="GD546" s="38">
        <f t="shared" si="958"/>
        <v>0</v>
      </c>
      <c r="GE546" s="38">
        <f t="shared" si="959"/>
        <v>0</v>
      </c>
      <c r="GF546" s="38">
        <f t="shared" si="960"/>
        <v>0</v>
      </c>
      <c r="GG546" s="38">
        <f t="shared" si="961"/>
        <v>0</v>
      </c>
      <c r="GH546" s="38">
        <f t="shared" si="962"/>
        <v>0</v>
      </c>
      <c r="GI546" s="38">
        <f t="shared" si="963"/>
        <v>0</v>
      </c>
      <c r="GJ546" s="38">
        <f t="shared" si="964"/>
        <v>0</v>
      </c>
      <c r="GL546" s="38">
        <f t="shared" si="965"/>
        <v>0</v>
      </c>
      <c r="GM546" s="38">
        <f t="shared" si="966"/>
        <v>0</v>
      </c>
      <c r="GN546" s="1" t="s">
        <v>2</v>
      </c>
      <c r="GO546" s="1">
        <f t="shared" si="889"/>
        <v>0.13700000000000001</v>
      </c>
      <c r="GP546" s="1">
        <f t="shared" si="890"/>
        <v>0.24</v>
      </c>
      <c r="GQ546" s="41">
        <f t="shared" si="891"/>
        <v>0.32879999999999998</v>
      </c>
      <c r="GR546" s="41">
        <f t="shared" si="892"/>
        <v>6.904510436799999</v>
      </c>
      <c r="GS546" s="14">
        <f t="shared" si="893"/>
        <v>50.39788639999999</v>
      </c>
      <c r="GT546" s="1">
        <f t="shared" si="967"/>
        <v>0</v>
      </c>
      <c r="GU546" s="1">
        <f t="shared" si="968"/>
        <v>0</v>
      </c>
      <c r="GV546" s="1">
        <f t="shared" si="969"/>
        <v>0.32880000000000004</v>
      </c>
      <c r="GW546" s="37">
        <f t="shared" si="894"/>
        <v>0</v>
      </c>
      <c r="GX546" s="37"/>
      <c r="GY546" s="37"/>
      <c r="GZ546" s="37"/>
      <c r="HB546" s="1">
        <f t="shared" si="970"/>
        <v>0</v>
      </c>
      <c r="HC546" s="1">
        <f t="shared" si="971"/>
        <v>0</v>
      </c>
      <c r="HD546" s="37" t="s">
        <v>2</v>
      </c>
      <c r="HE546" s="1" t="s">
        <v>113</v>
      </c>
      <c r="HF546" s="1" t="s">
        <v>129</v>
      </c>
      <c r="HI546" s="1" t="s">
        <v>96</v>
      </c>
      <c r="HJ546" s="37" t="s">
        <v>2</v>
      </c>
      <c r="JH546" s="58" t="s">
        <v>2</v>
      </c>
    </row>
    <row r="547" spans="1:268" ht="16.25" customHeight="1" x14ac:dyDescent="0.2">
      <c r="A547" s="15" t="s">
        <v>933</v>
      </c>
      <c r="B547" s="1" t="s">
        <v>69</v>
      </c>
      <c r="F547" s="1" t="s">
        <v>131</v>
      </c>
      <c r="I547" s="1">
        <v>0</v>
      </c>
      <c r="AD547" s="1">
        <v>0</v>
      </c>
      <c r="AY547" s="1">
        <v>0.11600000000000001</v>
      </c>
      <c r="AZ547" s="1">
        <v>0.33</v>
      </c>
      <c r="BG547" s="1">
        <v>0.6</v>
      </c>
      <c r="BH547" s="1">
        <v>0.03</v>
      </c>
      <c r="BT547" s="1">
        <v>0</v>
      </c>
      <c r="CO547" s="1">
        <v>0</v>
      </c>
      <c r="DJ547" s="1" t="s">
        <v>96</v>
      </c>
      <c r="DK547" s="1" t="s">
        <v>96</v>
      </c>
      <c r="DL547" s="1">
        <f t="shared" si="887"/>
        <v>0.6</v>
      </c>
      <c r="DM547" s="1">
        <f t="shared" si="888"/>
        <v>0.03</v>
      </c>
      <c r="DN547" s="1" t="s">
        <v>919</v>
      </c>
      <c r="DO547" s="1" t="s">
        <v>2</v>
      </c>
      <c r="DP547" s="38">
        <f t="shared" si="895"/>
        <v>3.8280000000000003E-4</v>
      </c>
      <c r="DQ547" s="38">
        <f t="shared" si="896"/>
        <v>0</v>
      </c>
      <c r="DR547" s="38">
        <f t="shared" si="897"/>
        <v>0</v>
      </c>
      <c r="DS547" s="38">
        <f t="shared" si="898"/>
        <v>0</v>
      </c>
      <c r="DT547" s="38">
        <f t="shared" si="899"/>
        <v>0</v>
      </c>
      <c r="DU547" s="38">
        <f t="shared" si="900"/>
        <v>0</v>
      </c>
      <c r="DV547" s="38">
        <f t="shared" si="901"/>
        <v>0</v>
      </c>
      <c r="DW547" s="38">
        <f t="shared" si="902"/>
        <v>6.96E-4</v>
      </c>
      <c r="DX547" s="38">
        <f t="shared" si="903"/>
        <v>3.4799999999999999E-5</v>
      </c>
      <c r="DY547" s="38">
        <f t="shared" si="904"/>
        <v>0</v>
      </c>
      <c r="DZ547" s="38">
        <f t="shared" si="905"/>
        <v>0</v>
      </c>
      <c r="EA547" s="38">
        <f t="shared" si="906"/>
        <v>0</v>
      </c>
      <c r="EB547" s="38">
        <f t="shared" si="907"/>
        <v>0</v>
      </c>
      <c r="EC547" s="38">
        <f t="shared" si="908"/>
        <v>0</v>
      </c>
      <c r="ED547" s="38">
        <f t="shared" si="909"/>
        <v>0</v>
      </c>
      <c r="EE547" s="38">
        <f t="shared" si="910"/>
        <v>0</v>
      </c>
      <c r="EG547" s="38">
        <f t="shared" si="911"/>
        <v>0</v>
      </c>
      <c r="EH547" s="38">
        <f t="shared" si="912"/>
        <v>0</v>
      </c>
      <c r="EI547" s="38">
        <f t="shared" si="913"/>
        <v>2.4980058048</v>
      </c>
      <c r="EJ547" s="38">
        <f t="shared" si="914"/>
        <v>0</v>
      </c>
      <c r="EK547" s="38">
        <f t="shared" si="915"/>
        <v>0</v>
      </c>
      <c r="EL547" s="38">
        <f t="shared" si="916"/>
        <v>0</v>
      </c>
      <c r="EM547" s="38">
        <f t="shared" si="917"/>
        <v>0</v>
      </c>
      <c r="EN547" s="38">
        <f t="shared" si="918"/>
        <v>0</v>
      </c>
      <c r="EO547" s="38">
        <f t="shared" si="919"/>
        <v>0</v>
      </c>
      <c r="EP547" s="38">
        <f t="shared" si="920"/>
        <v>9.1273440000000008</v>
      </c>
      <c r="EQ547" s="38">
        <f t="shared" si="921"/>
        <v>2.5271594351999997</v>
      </c>
      <c r="ER547" s="38">
        <f t="shared" si="922"/>
        <v>0</v>
      </c>
      <c r="ES547" s="38">
        <f t="shared" si="923"/>
        <v>0</v>
      </c>
      <c r="ET547" s="38">
        <f t="shared" si="924"/>
        <v>0</v>
      </c>
      <c r="EU547" s="38">
        <f t="shared" si="925"/>
        <v>0</v>
      </c>
      <c r="EV547" s="38">
        <f t="shared" si="926"/>
        <v>0</v>
      </c>
      <c r="EW547" s="38">
        <f t="shared" si="927"/>
        <v>0</v>
      </c>
      <c r="EX547" s="38">
        <f t="shared" si="928"/>
        <v>0</v>
      </c>
      <c r="EZ547" s="38">
        <f t="shared" si="929"/>
        <v>0</v>
      </c>
      <c r="FA547" s="38">
        <f t="shared" si="930"/>
        <v>0</v>
      </c>
      <c r="FB547" s="1">
        <f t="shared" si="931"/>
        <v>0</v>
      </c>
      <c r="FC547" s="1">
        <f t="shared" si="932"/>
        <v>0</v>
      </c>
      <c r="FD547" s="1">
        <f t="shared" si="933"/>
        <v>0</v>
      </c>
      <c r="FE547" s="1">
        <f t="shared" si="934"/>
        <v>0</v>
      </c>
      <c r="FF547" s="1">
        <f t="shared" si="935"/>
        <v>0</v>
      </c>
      <c r="FG547" s="1">
        <f t="shared" si="936"/>
        <v>0</v>
      </c>
      <c r="FH547" s="1">
        <f t="shared" si="937"/>
        <v>0</v>
      </c>
      <c r="FI547" s="1">
        <f t="shared" si="938"/>
        <v>0</v>
      </c>
      <c r="FJ547" s="1">
        <f t="shared" si="939"/>
        <v>0</v>
      </c>
      <c r="FK547" s="1">
        <f t="shared" si="940"/>
        <v>0</v>
      </c>
      <c r="FL547" s="1">
        <f t="shared" si="941"/>
        <v>0</v>
      </c>
      <c r="FM547" s="1">
        <f t="shared" si="942"/>
        <v>0</v>
      </c>
      <c r="FN547" s="1">
        <f t="shared" si="943"/>
        <v>0</v>
      </c>
      <c r="FO547" s="1">
        <f t="shared" si="944"/>
        <v>0</v>
      </c>
      <c r="FP547" s="1">
        <f t="shared" si="945"/>
        <v>0</v>
      </c>
      <c r="FQ547" s="1">
        <f t="shared" si="946"/>
        <v>0</v>
      </c>
      <c r="FS547" s="1">
        <f t="shared" si="947"/>
        <v>0</v>
      </c>
      <c r="FT547" s="1">
        <f t="shared" si="948"/>
        <v>0</v>
      </c>
      <c r="FU547" s="38">
        <f t="shared" si="949"/>
        <v>0</v>
      </c>
      <c r="FV547" s="38">
        <f t="shared" si="950"/>
        <v>0</v>
      </c>
      <c r="FW547" s="38">
        <f t="shared" si="951"/>
        <v>0</v>
      </c>
      <c r="FX547" s="38">
        <f t="shared" si="952"/>
        <v>0</v>
      </c>
      <c r="FY547" s="38">
        <f t="shared" si="953"/>
        <v>0</v>
      </c>
      <c r="FZ547" s="38">
        <f t="shared" si="954"/>
        <v>0</v>
      </c>
      <c r="GA547" s="38">
        <f t="shared" si="955"/>
        <v>0</v>
      </c>
      <c r="GB547" s="38">
        <f t="shared" si="956"/>
        <v>0</v>
      </c>
      <c r="GC547" s="38">
        <f t="shared" si="957"/>
        <v>0</v>
      </c>
      <c r="GD547" s="38">
        <f t="shared" si="958"/>
        <v>0</v>
      </c>
      <c r="GE547" s="38">
        <f t="shared" si="959"/>
        <v>0</v>
      </c>
      <c r="GF547" s="38">
        <f t="shared" si="960"/>
        <v>0</v>
      </c>
      <c r="GG547" s="38">
        <f t="shared" si="961"/>
        <v>0</v>
      </c>
      <c r="GH547" s="38">
        <f t="shared" si="962"/>
        <v>0</v>
      </c>
      <c r="GI547" s="38">
        <f t="shared" si="963"/>
        <v>0</v>
      </c>
      <c r="GJ547" s="38">
        <f t="shared" si="964"/>
        <v>0</v>
      </c>
      <c r="GL547" s="38">
        <f t="shared" si="965"/>
        <v>0</v>
      </c>
      <c r="GM547" s="38">
        <f t="shared" si="966"/>
        <v>0</v>
      </c>
      <c r="GN547" s="1" t="s">
        <v>2</v>
      </c>
      <c r="GO547" s="1">
        <f t="shared" si="889"/>
        <v>0.11600000000000001</v>
      </c>
      <c r="GP547" s="1">
        <f t="shared" si="890"/>
        <v>0.6</v>
      </c>
      <c r="GQ547" s="41">
        <f t="shared" si="891"/>
        <v>0.69599999999999995</v>
      </c>
      <c r="GR547" s="41">
        <f t="shared" si="892"/>
        <v>14.152509240000001</v>
      </c>
      <c r="GS547" s="14">
        <f t="shared" si="893"/>
        <v>122.00439</v>
      </c>
      <c r="GT547" s="1">
        <f t="shared" si="967"/>
        <v>0</v>
      </c>
      <c r="GU547" s="1">
        <f t="shared" si="968"/>
        <v>0</v>
      </c>
      <c r="GV547" s="1">
        <f t="shared" si="969"/>
        <v>0.69599999999999995</v>
      </c>
      <c r="GW547" s="37">
        <f t="shared" si="894"/>
        <v>0</v>
      </c>
      <c r="GX547" s="37"/>
      <c r="GY547" s="37"/>
      <c r="GZ547" s="37"/>
      <c r="HB547" s="1">
        <f t="shared" si="970"/>
        <v>0</v>
      </c>
      <c r="HC547" s="1">
        <f t="shared" si="971"/>
        <v>0</v>
      </c>
      <c r="HD547" s="37" t="s">
        <v>2</v>
      </c>
      <c r="HE547" s="1" t="s">
        <v>113</v>
      </c>
      <c r="HF547" s="1" t="s">
        <v>129</v>
      </c>
      <c r="HI547" s="1" t="s">
        <v>96</v>
      </c>
      <c r="HJ547" s="37" t="s">
        <v>2</v>
      </c>
      <c r="JH547" s="58" t="s">
        <v>2</v>
      </c>
    </row>
    <row r="548" spans="1:268" ht="16.25" customHeight="1" x14ac:dyDescent="0.2">
      <c r="A548" s="15" t="s">
        <v>976</v>
      </c>
      <c r="B548" s="1" t="s">
        <v>69</v>
      </c>
      <c r="F548" s="1" t="s">
        <v>977</v>
      </c>
      <c r="I548" s="1">
        <v>0</v>
      </c>
      <c r="AD548" s="1">
        <v>0</v>
      </c>
      <c r="AY548" s="1">
        <v>1.052</v>
      </c>
      <c r="AZ548" s="1">
        <v>0.42</v>
      </c>
      <c r="BG548" s="1">
        <v>0.49</v>
      </c>
      <c r="BT548" s="1">
        <v>0</v>
      </c>
      <c r="CO548" s="1">
        <v>0</v>
      </c>
      <c r="DL548" s="1">
        <f t="shared" si="887"/>
        <v>0.49000000000000005</v>
      </c>
      <c r="DM548" s="1">
        <f t="shared" si="888"/>
        <v>0</v>
      </c>
      <c r="DN548" s="1" t="s">
        <v>978</v>
      </c>
      <c r="DO548" s="1" t="s">
        <v>2</v>
      </c>
      <c r="DP548" s="38">
        <f t="shared" si="895"/>
        <v>4.4184000000000003E-3</v>
      </c>
      <c r="DQ548" s="38">
        <f t="shared" si="896"/>
        <v>0</v>
      </c>
      <c r="DR548" s="38">
        <f t="shared" si="897"/>
        <v>0</v>
      </c>
      <c r="DS548" s="38">
        <f t="shared" si="898"/>
        <v>0</v>
      </c>
      <c r="DT548" s="38">
        <f t="shared" si="899"/>
        <v>0</v>
      </c>
      <c r="DU548" s="38">
        <f t="shared" si="900"/>
        <v>0</v>
      </c>
      <c r="DV548" s="38">
        <f t="shared" si="901"/>
        <v>0</v>
      </c>
      <c r="DW548" s="38">
        <f t="shared" si="902"/>
        <v>5.1548000000000002E-3</v>
      </c>
      <c r="DX548" s="38">
        <f t="shared" si="903"/>
        <v>0</v>
      </c>
      <c r="DY548" s="38">
        <f t="shared" si="904"/>
        <v>0</v>
      </c>
      <c r="DZ548" s="38">
        <f t="shared" si="905"/>
        <v>0</v>
      </c>
      <c r="EA548" s="38">
        <f t="shared" si="906"/>
        <v>0</v>
      </c>
      <c r="EB548" s="38">
        <f t="shared" si="907"/>
        <v>0</v>
      </c>
      <c r="EC548" s="38">
        <f t="shared" si="908"/>
        <v>0</v>
      </c>
      <c r="ED548" s="38">
        <f t="shared" si="909"/>
        <v>0</v>
      </c>
      <c r="EE548" s="38">
        <f t="shared" si="910"/>
        <v>0</v>
      </c>
      <c r="EG548" s="38">
        <f t="shared" si="911"/>
        <v>0</v>
      </c>
      <c r="EH548" s="38">
        <f t="shared" si="912"/>
        <v>0</v>
      </c>
      <c r="EI548" s="38">
        <f t="shared" si="913"/>
        <v>28.832781734400001</v>
      </c>
      <c r="EJ548" s="38">
        <f t="shared" si="914"/>
        <v>0</v>
      </c>
      <c r="EK548" s="38">
        <f t="shared" si="915"/>
        <v>0</v>
      </c>
      <c r="EL548" s="38">
        <f t="shared" si="916"/>
        <v>0</v>
      </c>
      <c r="EM548" s="38">
        <f t="shared" si="917"/>
        <v>0</v>
      </c>
      <c r="EN548" s="38">
        <f t="shared" si="918"/>
        <v>0</v>
      </c>
      <c r="EO548" s="38">
        <f t="shared" si="919"/>
        <v>0</v>
      </c>
      <c r="EP548" s="38">
        <f t="shared" si="920"/>
        <v>67.600047200000006</v>
      </c>
      <c r="EQ548" s="38">
        <f t="shared" si="921"/>
        <v>0</v>
      </c>
      <c r="ER548" s="38">
        <f t="shared" si="922"/>
        <v>0</v>
      </c>
      <c r="ES548" s="38">
        <f t="shared" si="923"/>
        <v>0</v>
      </c>
      <c r="ET548" s="38">
        <f t="shared" si="924"/>
        <v>0</v>
      </c>
      <c r="EU548" s="38">
        <f t="shared" si="925"/>
        <v>0</v>
      </c>
      <c r="EV548" s="38">
        <f t="shared" si="926"/>
        <v>0</v>
      </c>
      <c r="EW548" s="38">
        <f t="shared" si="927"/>
        <v>0</v>
      </c>
      <c r="EX548" s="38">
        <f t="shared" si="928"/>
        <v>0</v>
      </c>
      <c r="EZ548" s="38">
        <f t="shared" si="929"/>
        <v>0</v>
      </c>
      <c r="FA548" s="38">
        <f t="shared" si="930"/>
        <v>0</v>
      </c>
      <c r="FB548" s="1">
        <f t="shared" si="931"/>
        <v>0</v>
      </c>
      <c r="FC548" s="1">
        <f t="shared" si="932"/>
        <v>0</v>
      </c>
      <c r="FD548" s="1">
        <f t="shared" si="933"/>
        <v>0</v>
      </c>
      <c r="FE548" s="1">
        <f t="shared" si="934"/>
        <v>0</v>
      </c>
      <c r="FF548" s="1">
        <f t="shared" si="935"/>
        <v>0</v>
      </c>
      <c r="FG548" s="1">
        <f t="shared" si="936"/>
        <v>0</v>
      </c>
      <c r="FH548" s="1">
        <f t="shared" si="937"/>
        <v>0</v>
      </c>
      <c r="FI548" s="1">
        <f t="shared" si="938"/>
        <v>0</v>
      </c>
      <c r="FJ548" s="1">
        <f t="shared" si="939"/>
        <v>0</v>
      </c>
      <c r="FK548" s="1">
        <f t="shared" si="940"/>
        <v>0</v>
      </c>
      <c r="FL548" s="1">
        <f t="shared" si="941"/>
        <v>0</v>
      </c>
      <c r="FM548" s="1">
        <f t="shared" si="942"/>
        <v>0</v>
      </c>
      <c r="FN548" s="1">
        <f t="shared" si="943"/>
        <v>0</v>
      </c>
      <c r="FO548" s="1">
        <f t="shared" si="944"/>
        <v>0</v>
      </c>
      <c r="FP548" s="1">
        <f t="shared" si="945"/>
        <v>0</v>
      </c>
      <c r="FQ548" s="1">
        <f t="shared" si="946"/>
        <v>0</v>
      </c>
      <c r="FS548" s="1">
        <f t="shared" si="947"/>
        <v>0</v>
      </c>
      <c r="FT548" s="1">
        <f t="shared" si="948"/>
        <v>0</v>
      </c>
      <c r="FU548" s="38">
        <f t="shared" si="949"/>
        <v>0</v>
      </c>
      <c r="FV548" s="38">
        <f t="shared" si="950"/>
        <v>0</v>
      </c>
      <c r="FW548" s="38">
        <f t="shared" si="951"/>
        <v>0</v>
      </c>
      <c r="FX548" s="38">
        <f t="shared" si="952"/>
        <v>0</v>
      </c>
      <c r="FY548" s="38">
        <f t="shared" si="953"/>
        <v>0</v>
      </c>
      <c r="FZ548" s="38">
        <f t="shared" si="954"/>
        <v>0</v>
      </c>
      <c r="GA548" s="38">
        <f t="shared" si="955"/>
        <v>0</v>
      </c>
      <c r="GB548" s="38">
        <f t="shared" si="956"/>
        <v>0</v>
      </c>
      <c r="GC548" s="38">
        <f t="shared" si="957"/>
        <v>0</v>
      </c>
      <c r="GD548" s="38">
        <f t="shared" si="958"/>
        <v>0</v>
      </c>
      <c r="GE548" s="38">
        <f t="shared" si="959"/>
        <v>0</v>
      </c>
      <c r="GF548" s="38">
        <f t="shared" si="960"/>
        <v>0</v>
      </c>
      <c r="GG548" s="38">
        <f t="shared" si="961"/>
        <v>0</v>
      </c>
      <c r="GH548" s="38">
        <f t="shared" si="962"/>
        <v>0</v>
      </c>
      <c r="GI548" s="38">
        <f t="shared" si="963"/>
        <v>0</v>
      </c>
      <c r="GJ548" s="38">
        <f t="shared" si="964"/>
        <v>0</v>
      </c>
      <c r="GL548" s="38">
        <f t="shared" si="965"/>
        <v>0</v>
      </c>
      <c r="GM548" s="38">
        <f t="shared" si="966"/>
        <v>0</v>
      </c>
      <c r="GN548" s="1" t="s">
        <v>2</v>
      </c>
      <c r="GO548" s="1">
        <f t="shared" si="889"/>
        <v>1.052</v>
      </c>
      <c r="GP548" s="1">
        <f t="shared" si="890"/>
        <v>0.49000000000000005</v>
      </c>
      <c r="GQ548" s="41">
        <f t="shared" si="891"/>
        <v>5.1547999999999998</v>
      </c>
      <c r="GR548" s="41">
        <f t="shared" si="892"/>
        <v>96.432828934400007</v>
      </c>
      <c r="GS548" s="14">
        <f t="shared" si="893"/>
        <v>91.666187199999996</v>
      </c>
      <c r="GT548" s="1">
        <f t="shared" si="967"/>
        <v>0</v>
      </c>
      <c r="GU548" s="1">
        <f t="shared" si="968"/>
        <v>0</v>
      </c>
      <c r="GV548" s="1">
        <f t="shared" si="969"/>
        <v>5.1547999999999998</v>
      </c>
      <c r="GW548" s="37">
        <f t="shared" si="894"/>
        <v>0</v>
      </c>
      <c r="GX548" s="37"/>
      <c r="GY548" s="37"/>
      <c r="GZ548" s="37"/>
      <c r="HB548" s="1">
        <f t="shared" si="970"/>
        <v>0</v>
      </c>
      <c r="HC548" s="1">
        <f t="shared" si="971"/>
        <v>0</v>
      </c>
      <c r="HD548" s="37" t="s">
        <v>2</v>
      </c>
      <c r="HE548" s="1" t="s">
        <v>113</v>
      </c>
      <c r="HF548" s="1" t="s">
        <v>129</v>
      </c>
      <c r="HI548" s="1" t="s">
        <v>96</v>
      </c>
      <c r="HJ548" s="37" t="s">
        <v>2</v>
      </c>
      <c r="JH548" s="58" t="s">
        <v>2</v>
      </c>
    </row>
    <row r="549" spans="1:268" ht="16.25" customHeight="1" x14ac:dyDescent="0.2">
      <c r="A549" s="15" t="s">
        <v>981</v>
      </c>
      <c r="B549" s="1" t="s">
        <v>69</v>
      </c>
      <c r="F549" s="1" t="s">
        <v>977</v>
      </c>
      <c r="I549" s="1">
        <v>0</v>
      </c>
      <c r="AD549" s="1">
        <v>0</v>
      </c>
      <c r="AY549" s="1">
        <v>1.6</v>
      </c>
      <c r="AZ549" s="1">
        <v>0.28999999999999998</v>
      </c>
      <c r="BG549" s="1">
        <v>0.44</v>
      </c>
      <c r="BT549" s="1">
        <v>0</v>
      </c>
      <c r="CO549" s="1">
        <v>0</v>
      </c>
      <c r="DL549" s="1">
        <f t="shared" si="887"/>
        <v>0.44</v>
      </c>
      <c r="DM549" s="1">
        <f t="shared" si="888"/>
        <v>0</v>
      </c>
      <c r="DN549" s="1" t="s">
        <v>978</v>
      </c>
      <c r="DO549" s="1" t="s">
        <v>2</v>
      </c>
      <c r="DP549" s="38">
        <f t="shared" si="895"/>
        <v>4.64E-3</v>
      </c>
      <c r="DQ549" s="38">
        <f t="shared" si="896"/>
        <v>0</v>
      </c>
      <c r="DR549" s="38">
        <f t="shared" si="897"/>
        <v>0</v>
      </c>
      <c r="DS549" s="38">
        <f t="shared" si="898"/>
        <v>0</v>
      </c>
      <c r="DT549" s="38">
        <f t="shared" si="899"/>
        <v>0</v>
      </c>
      <c r="DU549" s="38">
        <f t="shared" si="900"/>
        <v>0</v>
      </c>
      <c r="DV549" s="38">
        <f t="shared" si="901"/>
        <v>0</v>
      </c>
      <c r="DW549" s="38">
        <f t="shared" si="902"/>
        <v>7.0400000000000011E-3</v>
      </c>
      <c r="DX549" s="38">
        <f t="shared" si="903"/>
        <v>0</v>
      </c>
      <c r="DY549" s="38">
        <f t="shared" si="904"/>
        <v>0</v>
      </c>
      <c r="DZ549" s="38">
        <f t="shared" si="905"/>
        <v>0</v>
      </c>
      <c r="EA549" s="38">
        <f t="shared" si="906"/>
        <v>0</v>
      </c>
      <c r="EB549" s="38">
        <f t="shared" si="907"/>
        <v>0</v>
      </c>
      <c r="EC549" s="38">
        <f t="shared" si="908"/>
        <v>0</v>
      </c>
      <c r="ED549" s="38">
        <f t="shared" si="909"/>
        <v>0</v>
      </c>
      <c r="EE549" s="38">
        <f t="shared" si="910"/>
        <v>0</v>
      </c>
      <c r="EG549" s="38">
        <f t="shared" si="911"/>
        <v>0</v>
      </c>
      <c r="EH549" s="38">
        <f t="shared" si="912"/>
        <v>0</v>
      </c>
      <c r="EI549" s="38">
        <f t="shared" si="913"/>
        <v>30.278858240000002</v>
      </c>
      <c r="EJ549" s="38">
        <f t="shared" si="914"/>
        <v>0</v>
      </c>
      <c r="EK549" s="38">
        <f t="shared" si="915"/>
        <v>0</v>
      </c>
      <c r="EL549" s="38">
        <f t="shared" si="916"/>
        <v>0</v>
      </c>
      <c r="EM549" s="38">
        <f t="shared" si="917"/>
        <v>0</v>
      </c>
      <c r="EN549" s="38">
        <f t="shared" si="918"/>
        <v>0</v>
      </c>
      <c r="EO549" s="38">
        <f t="shared" si="919"/>
        <v>0</v>
      </c>
      <c r="EP549" s="38">
        <f t="shared" si="920"/>
        <v>92.32256000000001</v>
      </c>
      <c r="EQ549" s="38">
        <f t="shared" si="921"/>
        <v>0</v>
      </c>
      <c r="ER549" s="38">
        <f t="shared" si="922"/>
        <v>0</v>
      </c>
      <c r="ES549" s="38">
        <f t="shared" si="923"/>
        <v>0</v>
      </c>
      <c r="ET549" s="38">
        <f t="shared" si="924"/>
        <v>0</v>
      </c>
      <c r="EU549" s="38">
        <f t="shared" si="925"/>
        <v>0</v>
      </c>
      <c r="EV549" s="38">
        <f t="shared" si="926"/>
        <v>0</v>
      </c>
      <c r="EW549" s="38">
        <f t="shared" si="927"/>
        <v>0</v>
      </c>
      <c r="EX549" s="38">
        <f t="shared" si="928"/>
        <v>0</v>
      </c>
      <c r="EZ549" s="38">
        <f t="shared" si="929"/>
        <v>0</v>
      </c>
      <c r="FA549" s="38">
        <f t="shared" si="930"/>
        <v>0</v>
      </c>
      <c r="FB549" s="1">
        <f t="shared" si="931"/>
        <v>0</v>
      </c>
      <c r="FC549" s="1">
        <f t="shared" si="932"/>
        <v>0</v>
      </c>
      <c r="FD549" s="1">
        <f t="shared" si="933"/>
        <v>0</v>
      </c>
      <c r="FE549" s="1">
        <f t="shared" si="934"/>
        <v>0</v>
      </c>
      <c r="FF549" s="1">
        <f t="shared" si="935"/>
        <v>0</v>
      </c>
      <c r="FG549" s="1">
        <f t="shared" si="936"/>
        <v>0</v>
      </c>
      <c r="FH549" s="1">
        <f t="shared" si="937"/>
        <v>0</v>
      </c>
      <c r="FI549" s="1">
        <f t="shared" si="938"/>
        <v>0</v>
      </c>
      <c r="FJ549" s="1">
        <f t="shared" si="939"/>
        <v>0</v>
      </c>
      <c r="FK549" s="1">
        <f t="shared" si="940"/>
        <v>0</v>
      </c>
      <c r="FL549" s="1">
        <f t="shared" si="941"/>
        <v>0</v>
      </c>
      <c r="FM549" s="1">
        <f t="shared" si="942"/>
        <v>0</v>
      </c>
      <c r="FN549" s="1">
        <f t="shared" si="943"/>
        <v>0</v>
      </c>
      <c r="FO549" s="1">
        <f t="shared" si="944"/>
        <v>0</v>
      </c>
      <c r="FP549" s="1">
        <f t="shared" si="945"/>
        <v>0</v>
      </c>
      <c r="FQ549" s="1">
        <f t="shared" si="946"/>
        <v>0</v>
      </c>
      <c r="FS549" s="1">
        <f t="shared" si="947"/>
        <v>0</v>
      </c>
      <c r="FT549" s="1">
        <f t="shared" si="948"/>
        <v>0</v>
      </c>
      <c r="FU549" s="38">
        <f t="shared" si="949"/>
        <v>0</v>
      </c>
      <c r="FV549" s="38">
        <f t="shared" si="950"/>
        <v>0</v>
      </c>
      <c r="FW549" s="38">
        <f t="shared" si="951"/>
        <v>0</v>
      </c>
      <c r="FX549" s="38">
        <f t="shared" si="952"/>
        <v>0</v>
      </c>
      <c r="FY549" s="38">
        <f t="shared" si="953"/>
        <v>0</v>
      </c>
      <c r="FZ549" s="38">
        <f t="shared" si="954"/>
        <v>0</v>
      </c>
      <c r="GA549" s="38">
        <f t="shared" si="955"/>
        <v>0</v>
      </c>
      <c r="GB549" s="38">
        <f t="shared" si="956"/>
        <v>0</v>
      </c>
      <c r="GC549" s="38">
        <f t="shared" si="957"/>
        <v>0</v>
      </c>
      <c r="GD549" s="38">
        <f t="shared" si="958"/>
        <v>0</v>
      </c>
      <c r="GE549" s="38">
        <f t="shared" si="959"/>
        <v>0</v>
      </c>
      <c r="GF549" s="38">
        <f t="shared" si="960"/>
        <v>0</v>
      </c>
      <c r="GG549" s="38">
        <f t="shared" si="961"/>
        <v>0</v>
      </c>
      <c r="GH549" s="38">
        <f t="shared" si="962"/>
        <v>0</v>
      </c>
      <c r="GI549" s="38">
        <f t="shared" si="963"/>
        <v>0</v>
      </c>
      <c r="GJ549" s="38">
        <f t="shared" si="964"/>
        <v>0</v>
      </c>
      <c r="GL549" s="38">
        <f t="shared" si="965"/>
        <v>0</v>
      </c>
      <c r="GM549" s="38">
        <f t="shared" si="966"/>
        <v>0</v>
      </c>
      <c r="GN549" s="1" t="s">
        <v>2</v>
      </c>
      <c r="GO549" s="1">
        <f t="shared" si="889"/>
        <v>1.6</v>
      </c>
      <c r="GP549" s="1">
        <f t="shared" si="890"/>
        <v>0.44</v>
      </c>
      <c r="GQ549" s="41">
        <f t="shared" si="891"/>
        <v>7.04</v>
      </c>
      <c r="GR549" s="41">
        <f t="shared" si="892"/>
        <v>122.60141824000002</v>
      </c>
      <c r="GS549" s="14">
        <f t="shared" si="893"/>
        <v>76.625886399999999</v>
      </c>
      <c r="GT549" s="1">
        <f t="shared" si="967"/>
        <v>0</v>
      </c>
      <c r="GU549" s="1">
        <f t="shared" si="968"/>
        <v>0</v>
      </c>
      <c r="GV549" s="1">
        <f t="shared" si="969"/>
        <v>7.0400000000000009</v>
      </c>
      <c r="GW549" s="37">
        <f t="shared" si="894"/>
        <v>0</v>
      </c>
      <c r="GX549" s="37"/>
      <c r="GY549" s="37"/>
      <c r="GZ549" s="37"/>
      <c r="HB549" s="1">
        <f t="shared" si="970"/>
        <v>0</v>
      </c>
      <c r="HC549" s="1">
        <f t="shared" si="971"/>
        <v>0</v>
      </c>
      <c r="HD549" s="37" t="s">
        <v>2</v>
      </c>
      <c r="HE549" s="1" t="s">
        <v>113</v>
      </c>
      <c r="HF549" s="1" t="s">
        <v>129</v>
      </c>
      <c r="HI549" s="1" t="s">
        <v>96</v>
      </c>
      <c r="HJ549" s="37" t="s">
        <v>2</v>
      </c>
      <c r="JH549" s="58" t="s">
        <v>2</v>
      </c>
    </row>
    <row r="550" spans="1:268" ht="16.25" customHeight="1" x14ac:dyDescent="0.2">
      <c r="A550" s="15" t="s">
        <v>1088</v>
      </c>
      <c r="B550" s="1" t="s">
        <v>69</v>
      </c>
      <c r="F550" s="1" t="s">
        <v>131</v>
      </c>
      <c r="I550" s="1">
        <v>0</v>
      </c>
      <c r="AD550" s="1">
        <v>4.625</v>
      </c>
      <c r="AE550" s="1">
        <v>0.12</v>
      </c>
      <c r="AL550" s="1">
        <v>0.28999999999999998</v>
      </c>
      <c r="AM550" s="1">
        <v>0.02</v>
      </c>
      <c r="AY550" s="1">
        <v>5.4379999999999997</v>
      </c>
      <c r="AZ550" s="1">
        <v>0.11</v>
      </c>
      <c r="BG550" s="1">
        <v>0.25</v>
      </c>
      <c r="BH550" s="1">
        <v>0.02</v>
      </c>
      <c r="BT550" s="1">
        <v>0</v>
      </c>
      <c r="CO550" s="1">
        <v>0</v>
      </c>
      <c r="DJ550" s="1" t="s">
        <v>96</v>
      </c>
      <c r="DK550" s="1" t="s">
        <v>96</v>
      </c>
      <c r="DL550" s="1">
        <f t="shared" si="887"/>
        <v>0.26838417966809103</v>
      </c>
      <c r="DM550" s="1">
        <f t="shared" si="888"/>
        <v>0.02</v>
      </c>
      <c r="DN550" s="1" t="s">
        <v>1089</v>
      </c>
      <c r="DO550" s="1" t="s">
        <v>2</v>
      </c>
      <c r="DP550" s="38">
        <f t="shared" si="895"/>
        <v>1.1531799999999998E-2</v>
      </c>
      <c r="DQ550" s="38">
        <f t="shared" si="896"/>
        <v>0</v>
      </c>
      <c r="DR550" s="38">
        <f t="shared" si="897"/>
        <v>0</v>
      </c>
      <c r="DS550" s="38">
        <f t="shared" si="898"/>
        <v>0</v>
      </c>
      <c r="DT550" s="38">
        <f t="shared" si="899"/>
        <v>0</v>
      </c>
      <c r="DU550" s="38">
        <f t="shared" si="900"/>
        <v>0</v>
      </c>
      <c r="DV550" s="38">
        <f t="shared" si="901"/>
        <v>0</v>
      </c>
      <c r="DW550" s="38">
        <f t="shared" si="902"/>
        <v>2.7007499999999997E-2</v>
      </c>
      <c r="DX550" s="38">
        <f t="shared" si="903"/>
        <v>2.0125999999999998E-3</v>
      </c>
      <c r="DY550" s="38">
        <f t="shared" si="904"/>
        <v>0</v>
      </c>
      <c r="DZ550" s="38">
        <f t="shared" si="905"/>
        <v>0</v>
      </c>
      <c r="EA550" s="38">
        <f t="shared" si="906"/>
        <v>0</v>
      </c>
      <c r="EB550" s="38">
        <f t="shared" si="907"/>
        <v>0</v>
      </c>
      <c r="EC550" s="38">
        <f t="shared" si="908"/>
        <v>0</v>
      </c>
      <c r="ED550" s="38">
        <f t="shared" si="909"/>
        <v>0</v>
      </c>
      <c r="EE550" s="38">
        <f t="shared" si="910"/>
        <v>0</v>
      </c>
      <c r="EG550" s="38">
        <f t="shared" si="911"/>
        <v>0</v>
      </c>
      <c r="EH550" s="38">
        <f t="shared" si="912"/>
        <v>0</v>
      </c>
      <c r="EI550" s="38">
        <f t="shared" si="913"/>
        <v>75.252098588799996</v>
      </c>
      <c r="EJ550" s="38">
        <f t="shared" si="914"/>
        <v>0</v>
      </c>
      <c r="EK550" s="38">
        <f t="shared" si="915"/>
        <v>0</v>
      </c>
      <c r="EL550" s="38">
        <f t="shared" si="916"/>
        <v>0</v>
      </c>
      <c r="EM550" s="38">
        <f t="shared" si="917"/>
        <v>0</v>
      </c>
      <c r="EN550" s="38">
        <f t="shared" si="918"/>
        <v>0</v>
      </c>
      <c r="EO550" s="38">
        <f t="shared" si="919"/>
        <v>0</v>
      </c>
      <c r="EP550" s="38">
        <f t="shared" si="920"/>
        <v>354.17635499999994</v>
      </c>
      <c r="EQ550" s="38">
        <f t="shared" si="921"/>
        <v>146.15405400239996</v>
      </c>
      <c r="ER550" s="38">
        <f t="shared" si="922"/>
        <v>0</v>
      </c>
      <c r="ES550" s="38">
        <f t="shared" si="923"/>
        <v>0</v>
      </c>
      <c r="ET550" s="38">
        <f t="shared" si="924"/>
        <v>0</v>
      </c>
      <c r="EU550" s="38">
        <f t="shared" si="925"/>
        <v>0</v>
      </c>
      <c r="EV550" s="38">
        <f t="shared" si="926"/>
        <v>0</v>
      </c>
      <c r="EW550" s="38">
        <f t="shared" si="927"/>
        <v>0</v>
      </c>
      <c r="EX550" s="38">
        <f t="shared" si="928"/>
        <v>0</v>
      </c>
      <c r="EZ550" s="38">
        <f t="shared" si="929"/>
        <v>0</v>
      </c>
      <c r="FA550" s="38">
        <f t="shared" si="930"/>
        <v>0</v>
      </c>
      <c r="FB550" s="1">
        <f t="shared" si="931"/>
        <v>0</v>
      </c>
      <c r="FC550" s="1">
        <f t="shared" si="932"/>
        <v>0</v>
      </c>
      <c r="FD550" s="1">
        <f t="shared" si="933"/>
        <v>0</v>
      </c>
      <c r="FE550" s="1">
        <f t="shared" si="934"/>
        <v>0</v>
      </c>
      <c r="FF550" s="1">
        <f t="shared" si="935"/>
        <v>0</v>
      </c>
      <c r="FG550" s="1">
        <f t="shared" si="936"/>
        <v>0</v>
      </c>
      <c r="FH550" s="1">
        <f t="shared" si="937"/>
        <v>0</v>
      </c>
      <c r="FI550" s="1">
        <f t="shared" si="938"/>
        <v>0</v>
      </c>
      <c r="FJ550" s="1">
        <f t="shared" si="939"/>
        <v>0</v>
      </c>
      <c r="FK550" s="1">
        <f t="shared" si="940"/>
        <v>0</v>
      </c>
      <c r="FL550" s="1">
        <f t="shared" si="941"/>
        <v>0</v>
      </c>
      <c r="FM550" s="1">
        <f t="shared" si="942"/>
        <v>0</v>
      </c>
      <c r="FN550" s="1">
        <f t="shared" si="943"/>
        <v>0</v>
      </c>
      <c r="FO550" s="1">
        <f t="shared" si="944"/>
        <v>0</v>
      </c>
      <c r="FP550" s="1">
        <f t="shared" si="945"/>
        <v>0</v>
      </c>
      <c r="FQ550" s="1">
        <f t="shared" si="946"/>
        <v>0</v>
      </c>
      <c r="FS550" s="1">
        <f t="shared" si="947"/>
        <v>0</v>
      </c>
      <c r="FT550" s="1">
        <f t="shared" si="948"/>
        <v>0</v>
      </c>
      <c r="FU550" s="38">
        <f t="shared" si="949"/>
        <v>0</v>
      </c>
      <c r="FV550" s="38">
        <f t="shared" si="950"/>
        <v>0</v>
      </c>
      <c r="FW550" s="38">
        <f t="shared" si="951"/>
        <v>0</v>
      </c>
      <c r="FX550" s="38">
        <f t="shared" si="952"/>
        <v>0</v>
      </c>
      <c r="FY550" s="38">
        <f t="shared" si="953"/>
        <v>0</v>
      </c>
      <c r="FZ550" s="38">
        <f t="shared" si="954"/>
        <v>0</v>
      </c>
      <c r="GA550" s="38">
        <f t="shared" si="955"/>
        <v>0</v>
      </c>
      <c r="GB550" s="38">
        <f t="shared" si="956"/>
        <v>0</v>
      </c>
      <c r="GC550" s="38">
        <f t="shared" si="957"/>
        <v>0</v>
      </c>
      <c r="GD550" s="38">
        <f t="shared" si="958"/>
        <v>0</v>
      </c>
      <c r="GE550" s="38">
        <f t="shared" si="959"/>
        <v>0</v>
      </c>
      <c r="GF550" s="38">
        <f t="shared" si="960"/>
        <v>0</v>
      </c>
      <c r="GG550" s="38">
        <f t="shared" si="961"/>
        <v>0</v>
      </c>
      <c r="GH550" s="38">
        <f t="shared" si="962"/>
        <v>0</v>
      </c>
      <c r="GI550" s="38">
        <f t="shared" si="963"/>
        <v>0</v>
      </c>
      <c r="GJ550" s="38">
        <f t="shared" si="964"/>
        <v>0</v>
      </c>
      <c r="GL550" s="38">
        <f t="shared" si="965"/>
        <v>0</v>
      </c>
      <c r="GM550" s="38">
        <f t="shared" si="966"/>
        <v>0</v>
      </c>
      <c r="GN550" s="1" t="s">
        <v>2</v>
      </c>
      <c r="GO550" s="13">
        <f t="shared" si="889"/>
        <v>10.062999999999999</v>
      </c>
      <c r="GP550" s="13">
        <f t="shared" si="890"/>
        <v>0.26838417966809103</v>
      </c>
      <c r="GQ550" s="41">
        <f t="shared" si="891"/>
        <v>27.007499999999997</v>
      </c>
      <c r="GR550" s="41">
        <f t="shared" si="892"/>
        <v>575.58250759119983</v>
      </c>
      <c r="GS550" s="14">
        <f t="shared" si="893"/>
        <v>57.197903964145873</v>
      </c>
      <c r="GT550" s="1">
        <f t="shared" si="967"/>
        <v>0</v>
      </c>
      <c r="GU550" s="1">
        <f t="shared" si="968"/>
        <v>13.412499999999998</v>
      </c>
      <c r="GV550" s="1">
        <f t="shared" si="969"/>
        <v>13.595000000000001</v>
      </c>
      <c r="GW550" s="37">
        <f t="shared" si="894"/>
        <v>0</v>
      </c>
      <c r="GX550" s="37"/>
      <c r="GY550" s="37"/>
      <c r="GZ550" s="37"/>
      <c r="HB550" s="1">
        <f t="shared" si="970"/>
        <v>0</v>
      </c>
      <c r="HC550" s="1">
        <f t="shared" si="971"/>
        <v>0</v>
      </c>
      <c r="HD550" s="37" t="s">
        <v>2</v>
      </c>
      <c r="HE550" s="1" t="s">
        <v>113</v>
      </c>
      <c r="HF550" s="1" t="s">
        <v>129</v>
      </c>
      <c r="HI550" s="1" t="s">
        <v>96</v>
      </c>
      <c r="HJ550" s="37" t="s">
        <v>2</v>
      </c>
      <c r="JH550" s="58" t="s">
        <v>2</v>
      </c>
    </row>
    <row r="551" spans="1:268" ht="16.25" customHeight="1" x14ac:dyDescent="0.2">
      <c r="A551" s="15" t="s">
        <v>1091</v>
      </c>
      <c r="B551" s="1" t="s">
        <v>69</v>
      </c>
      <c r="F551" s="1" t="s">
        <v>131</v>
      </c>
      <c r="I551" s="1">
        <v>0</v>
      </c>
      <c r="AD551" s="1">
        <v>0</v>
      </c>
      <c r="AY551" s="1">
        <v>1.0129999999999999</v>
      </c>
      <c r="AZ551" s="1">
        <v>0.48</v>
      </c>
      <c r="BG551" s="1">
        <v>1.0900000000000001</v>
      </c>
      <c r="BH551" s="1">
        <v>0.04</v>
      </c>
      <c r="BT551" s="1">
        <v>0</v>
      </c>
      <c r="CO551" s="1">
        <v>0</v>
      </c>
      <c r="DJ551" s="1" t="s">
        <v>96</v>
      </c>
      <c r="DK551" s="1" t="s">
        <v>96</v>
      </c>
      <c r="DL551" s="1">
        <f t="shared" si="887"/>
        <v>1.0900000000000001</v>
      </c>
      <c r="DM551" s="1">
        <f t="shared" si="888"/>
        <v>0.04</v>
      </c>
      <c r="DN551" s="1" t="s">
        <v>1089</v>
      </c>
      <c r="DO551" s="1" t="s">
        <v>2</v>
      </c>
      <c r="DP551" s="38">
        <f t="shared" si="895"/>
        <v>4.8623999999999994E-3</v>
      </c>
      <c r="DQ551" s="38">
        <f t="shared" si="896"/>
        <v>0</v>
      </c>
      <c r="DR551" s="38">
        <f t="shared" si="897"/>
        <v>0</v>
      </c>
      <c r="DS551" s="38">
        <f t="shared" si="898"/>
        <v>0</v>
      </c>
      <c r="DT551" s="38">
        <f t="shared" si="899"/>
        <v>0</v>
      </c>
      <c r="DU551" s="38">
        <f t="shared" si="900"/>
        <v>0</v>
      </c>
      <c r="DV551" s="38">
        <f t="shared" si="901"/>
        <v>0</v>
      </c>
      <c r="DW551" s="38">
        <f t="shared" si="902"/>
        <v>1.1041699999999998E-2</v>
      </c>
      <c r="DX551" s="38">
        <f t="shared" si="903"/>
        <v>4.0519999999999993E-4</v>
      </c>
      <c r="DY551" s="38">
        <f t="shared" si="904"/>
        <v>0</v>
      </c>
      <c r="DZ551" s="38">
        <f t="shared" si="905"/>
        <v>0</v>
      </c>
      <c r="EA551" s="38">
        <f t="shared" si="906"/>
        <v>0</v>
      </c>
      <c r="EB551" s="38">
        <f t="shared" si="907"/>
        <v>0</v>
      </c>
      <c r="EC551" s="38">
        <f t="shared" si="908"/>
        <v>0</v>
      </c>
      <c r="ED551" s="38">
        <f t="shared" si="909"/>
        <v>0</v>
      </c>
      <c r="EE551" s="38">
        <f t="shared" si="910"/>
        <v>0</v>
      </c>
      <c r="EG551" s="38">
        <f t="shared" si="911"/>
        <v>0</v>
      </c>
      <c r="EH551" s="38">
        <f t="shared" si="912"/>
        <v>0</v>
      </c>
      <c r="EI551" s="38">
        <f t="shared" si="913"/>
        <v>31.730155238399995</v>
      </c>
      <c r="EJ551" s="38">
        <f t="shared" si="914"/>
        <v>0</v>
      </c>
      <c r="EK551" s="38">
        <f t="shared" si="915"/>
        <v>0</v>
      </c>
      <c r="EL551" s="38">
        <f t="shared" si="916"/>
        <v>0</v>
      </c>
      <c r="EM551" s="38">
        <f t="shared" si="917"/>
        <v>0</v>
      </c>
      <c r="EN551" s="38">
        <f t="shared" si="918"/>
        <v>0</v>
      </c>
      <c r="EO551" s="38">
        <f t="shared" si="919"/>
        <v>0</v>
      </c>
      <c r="EP551" s="38">
        <f t="shared" si="920"/>
        <v>144.80085379999997</v>
      </c>
      <c r="EQ551" s="38">
        <f t="shared" si="921"/>
        <v>29.425431124799992</v>
      </c>
      <c r="ER551" s="38">
        <f t="shared" si="922"/>
        <v>0</v>
      </c>
      <c r="ES551" s="38">
        <f t="shared" si="923"/>
        <v>0</v>
      </c>
      <c r="ET551" s="38">
        <f t="shared" si="924"/>
        <v>0</v>
      </c>
      <c r="EU551" s="38">
        <f t="shared" si="925"/>
        <v>0</v>
      </c>
      <c r="EV551" s="38">
        <f t="shared" si="926"/>
        <v>0</v>
      </c>
      <c r="EW551" s="38">
        <f t="shared" si="927"/>
        <v>0</v>
      </c>
      <c r="EX551" s="38">
        <f t="shared" si="928"/>
        <v>0</v>
      </c>
      <c r="EZ551" s="38">
        <f t="shared" si="929"/>
        <v>0</v>
      </c>
      <c r="FA551" s="38">
        <f t="shared" si="930"/>
        <v>0</v>
      </c>
      <c r="FB551" s="1">
        <f t="shared" si="931"/>
        <v>0</v>
      </c>
      <c r="FC551" s="1">
        <f t="shared" si="932"/>
        <v>0</v>
      </c>
      <c r="FD551" s="1">
        <f t="shared" si="933"/>
        <v>0</v>
      </c>
      <c r="FE551" s="1">
        <f t="shared" si="934"/>
        <v>0</v>
      </c>
      <c r="FF551" s="1">
        <f t="shared" si="935"/>
        <v>0</v>
      </c>
      <c r="FG551" s="1">
        <f t="shared" si="936"/>
        <v>0</v>
      </c>
      <c r="FH551" s="1">
        <f t="shared" si="937"/>
        <v>0</v>
      </c>
      <c r="FI551" s="1">
        <f t="shared" si="938"/>
        <v>0</v>
      </c>
      <c r="FJ551" s="1">
        <f t="shared" si="939"/>
        <v>0</v>
      </c>
      <c r="FK551" s="1">
        <f t="shared" si="940"/>
        <v>0</v>
      </c>
      <c r="FL551" s="1">
        <f t="shared" si="941"/>
        <v>0</v>
      </c>
      <c r="FM551" s="1">
        <f t="shared" si="942"/>
        <v>0</v>
      </c>
      <c r="FN551" s="1">
        <f t="shared" si="943"/>
        <v>0</v>
      </c>
      <c r="FO551" s="1">
        <f t="shared" si="944"/>
        <v>0</v>
      </c>
      <c r="FP551" s="1">
        <f t="shared" si="945"/>
        <v>0</v>
      </c>
      <c r="FQ551" s="1">
        <f t="shared" si="946"/>
        <v>0</v>
      </c>
      <c r="FS551" s="1">
        <f t="shared" si="947"/>
        <v>0</v>
      </c>
      <c r="FT551" s="1">
        <f t="shared" si="948"/>
        <v>0</v>
      </c>
      <c r="FU551" s="38">
        <f t="shared" si="949"/>
        <v>0</v>
      </c>
      <c r="FV551" s="38">
        <f t="shared" si="950"/>
        <v>0</v>
      </c>
      <c r="FW551" s="38">
        <f t="shared" si="951"/>
        <v>0</v>
      </c>
      <c r="FX551" s="38">
        <f t="shared" si="952"/>
        <v>0</v>
      </c>
      <c r="FY551" s="38">
        <f t="shared" si="953"/>
        <v>0</v>
      </c>
      <c r="FZ551" s="38">
        <f t="shared" si="954"/>
        <v>0</v>
      </c>
      <c r="GA551" s="38">
        <f t="shared" si="955"/>
        <v>0</v>
      </c>
      <c r="GB551" s="38">
        <f t="shared" si="956"/>
        <v>0</v>
      </c>
      <c r="GC551" s="38">
        <f t="shared" si="957"/>
        <v>0</v>
      </c>
      <c r="GD551" s="38">
        <f t="shared" si="958"/>
        <v>0</v>
      </c>
      <c r="GE551" s="38">
        <f t="shared" si="959"/>
        <v>0</v>
      </c>
      <c r="GF551" s="38">
        <f t="shared" si="960"/>
        <v>0</v>
      </c>
      <c r="GG551" s="38">
        <f t="shared" si="961"/>
        <v>0</v>
      </c>
      <c r="GH551" s="38">
        <f t="shared" si="962"/>
        <v>0</v>
      </c>
      <c r="GI551" s="38">
        <f t="shared" si="963"/>
        <v>0</v>
      </c>
      <c r="GJ551" s="38">
        <f t="shared" si="964"/>
        <v>0</v>
      </c>
      <c r="GL551" s="38">
        <f t="shared" si="965"/>
        <v>0</v>
      </c>
      <c r="GM551" s="38">
        <f t="shared" si="966"/>
        <v>0</v>
      </c>
      <c r="GN551" s="1" t="s">
        <v>2</v>
      </c>
      <c r="GO551" s="1">
        <f t="shared" si="889"/>
        <v>1.0129999999999999</v>
      </c>
      <c r="GP551" s="1">
        <f t="shared" si="890"/>
        <v>1.0900000000000001</v>
      </c>
      <c r="GQ551" s="41">
        <f t="shared" si="891"/>
        <v>11.041699999999999</v>
      </c>
      <c r="GR551" s="41">
        <f t="shared" si="892"/>
        <v>205.95644016319994</v>
      </c>
      <c r="GS551" s="14">
        <f t="shared" si="893"/>
        <v>203.31336639999995</v>
      </c>
      <c r="GT551" s="1">
        <f t="shared" si="967"/>
        <v>0</v>
      </c>
      <c r="GU551" s="1">
        <f t="shared" si="968"/>
        <v>0</v>
      </c>
      <c r="GV551" s="1">
        <f t="shared" si="969"/>
        <v>11.041699999999999</v>
      </c>
      <c r="GW551" s="37">
        <f t="shared" si="894"/>
        <v>0</v>
      </c>
      <c r="GX551" s="37"/>
      <c r="GY551" s="37"/>
      <c r="GZ551" s="37"/>
      <c r="HB551" s="1">
        <f t="shared" si="970"/>
        <v>0</v>
      </c>
      <c r="HC551" s="1">
        <f t="shared" si="971"/>
        <v>0</v>
      </c>
      <c r="HD551" s="37" t="s">
        <v>2</v>
      </c>
      <c r="HE551" s="1" t="s">
        <v>113</v>
      </c>
      <c r="HF551" s="1" t="s">
        <v>129</v>
      </c>
      <c r="HI551" s="1" t="s">
        <v>96</v>
      </c>
      <c r="HJ551" s="37" t="s">
        <v>2</v>
      </c>
      <c r="JH551" s="58" t="s">
        <v>2</v>
      </c>
    </row>
    <row r="552" spans="1:268" ht="16.25" customHeight="1" x14ac:dyDescent="0.2">
      <c r="A552" s="15" t="s">
        <v>840</v>
      </c>
      <c r="B552" s="1" t="s">
        <v>69</v>
      </c>
      <c r="F552" s="1" t="s">
        <v>131</v>
      </c>
      <c r="I552" s="1">
        <v>0</v>
      </c>
      <c r="AD552" s="1">
        <v>0</v>
      </c>
      <c r="AY552" s="1">
        <v>20.83</v>
      </c>
      <c r="AZ552" s="1">
        <v>0.26</v>
      </c>
      <c r="BG552" s="1">
        <v>0.7</v>
      </c>
      <c r="BT552" s="1">
        <v>0</v>
      </c>
      <c r="CO552" s="1">
        <v>0</v>
      </c>
      <c r="DJ552" s="1" t="s">
        <v>96</v>
      </c>
      <c r="DL552" s="1">
        <f t="shared" si="887"/>
        <v>0.7</v>
      </c>
      <c r="DM552" s="1">
        <f t="shared" si="888"/>
        <v>0</v>
      </c>
      <c r="DN552" s="1" t="s">
        <v>815</v>
      </c>
      <c r="DO552" s="1" t="s">
        <v>2</v>
      </c>
      <c r="DP552" s="38">
        <f t="shared" si="895"/>
        <v>5.4157999999999998E-2</v>
      </c>
      <c r="DQ552" s="38">
        <f t="shared" si="896"/>
        <v>0</v>
      </c>
      <c r="DR552" s="38">
        <f t="shared" si="897"/>
        <v>0</v>
      </c>
      <c r="DS552" s="38">
        <f t="shared" si="898"/>
        <v>0</v>
      </c>
      <c r="DT552" s="38">
        <f t="shared" si="899"/>
        <v>0</v>
      </c>
      <c r="DU552" s="38">
        <f t="shared" si="900"/>
        <v>0</v>
      </c>
      <c r="DV552" s="38">
        <f t="shared" si="901"/>
        <v>0</v>
      </c>
      <c r="DW552" s="38">
        <f t="shared" si="902"/>
        <v>0.14580999999999997</v>
      </c>
      <c r="DX552" s="38">
        <f t="shared" si="903"/>
        <v>0</v>
      </c>
      <c r="DY552" s="38">
        <f t="shared" si="904"/>
        <v>0</v>
      </c>
      <c r="DZ552" s="38">
        <f t="shared" si="905"/>
        <v>0</v>
      </c>
      <c r="EA552" s="38">
        <f t="shared" si="906"/>
        <v>0</v>
      </c>
      <c r="EB552" s="38">
        <f t="shared" si="907"/>
        <v>0</v>
      </c>
      <c r="EC552" s="38">
        <f t="shared" si="908"/>
        <v>0</v>
      </c>
      <c r="ED552" s="38">
        <f t="shared" si="909"/>
        <v>0</v>
      </c>
      <c r="EE552" s="38">
        <f t="shared" si="910"/>
        <v>0</v>
      </c>
      <c r="EG552" s="38">
        <f t="shared" si="911"/>
        <v>0</v>
      </c>
      <c r="EH552" s="38">
        <f t="shared" si="912"/>
        <v>0</v>
      </c>
      <c r="EI552" s="38">
        <f t="shared" si="913"/>
        <v>353.414311328</v>
      </c>
      <c r="EJ552" s="38">
        <f t="shared" si="914"/>
        <v>0</v>
      </c>
      <c r="EK552" s="38">
        <f t="shared" si="915"/>
        <v>0</v>
      </c>
      <c r="EL552" s="38">
        <f t="shared" si="916"/>
        <v>0</v>
      </c>
      <c r="EM552" s="38">
        <f t="shared" si="917"/>
        <v>0</v>
      </c>
      <c r="EN552" s="38">
        <f t="shared" si="918"/>
        <v>0</v>
      </c>
      <c r="EO552" s="38">
        <f t="shared" si="919"/>
        <v>0</v>
      </c>
      <c r="EP552" s="38">
        <f t="shared" si="920"/>
        <v>1912.1523399999996</v>
      </c>
      <c r="EQ552" s="38">
        <f t="shared" si="921"/>
        <v>0</v>
      </c>
      <c r="ER552" s="38">
        <f t="shared" si="922"/>
        <v>0</v>
      </c>
      <c r="ES552" s="38">
        <f t="shared" si="923"/>
        <v>0</v>
      </c>
      <c r="ET552" s="38">
        <f t="shared" si="924"/>
        <v>0</v>
      </c>
      <c r="EU552" s="38">
        <f t="shared" si="925"/>
        <v>0</v>
      </c>
      <c r="EV552" s="38">
        <f t="shared" si="926"/>
        <v>0</v>
      </c>
      <c r="EW552" s="38">
        <f t="shared" si="927"/>
        <v>0</v>
      </c>
      <c r="EX552" s="38">
        <f t="shared" si="928"/>
        <v>0</v>
      </c>
      <c r="EZ552" s="38">
        <f t="shared" si="929"/>
        <v>0</v>
      </c>
      <c r="FA552" s="38">
        <f t="shared" si="930"/>
        <v>0</v>
      </c>
      <c r="FB552" s="1">
        <f t="shared" si="931"/>
        <v>0</v>
      </c>
      <c r="FC552" s="1">
        <f t="shared" si="932"/>
        <v>0</v>
      </c>
      <c r="FD552" s="1">
        <f t="shared" si="933"/>
        <v>0</v>
      </c>
      <c r="FE552" s="1">
        <f t="shared" si="934"/>
        <v>0</v>
      </c>
      <c r="FF552" s="1">
        <f t="shared" si="935"/>
        <v>0</v>
      </c>
      <c r="FG552" s="1">
        <f t="shared" si="936"/>
        <v>0</v>
      </c>
      <c r="FH552" s="1">
        <f t="shared" si="937"/>
        <v>0</v>
      </c>
      <c r="FI552" s="1">
        <f t="shared" si="938"/>
        <v>0</v>
      </c>
      <c r="FJ552" s="1">
        <f t="shared" si="939"/>
        <v>0</v>
      </c>
      <c r="FK552" s="1">
        <f t="shared" si="940"/>
        <v>0</v>
      </c>
      <c r="FL552" s="1">
        <f t="shared" si="941"/>
        <v>0</v>
      </c>
      <c r="FM552" s="1">
        <f t="shared" si="942"/>
        <v>0</v>
      </c>
      <c r="FN552" s="1">
        <f t="shared" si="943"/>
        <v>0</v>
      </c>
      <c r="FO552" s="1">
        <f t="shared" si="944"/>
        <v>0</v>
      </c>
      <c r="FP552" s="1">
        <f t="shared" si="945"/>
        <v>0</v>
      </c>
      <c r="FQ552" s="1">
        <f t="shared" si="946"/>
        <v>0</v>
      </c>
      <c r="FS552" s="1">
        <f t="shared" si="947"/>
        <v>0</v>
      </c>
      <c r="FT552" s="1">
        <f t="shared" si="948"/>
        <v>0</v>
      </c>
      <c r="FU552" s="38">
        <f t="shared" si="949"/>
        <v>0</v>
      </c>
      <c r="FV552" s="38">
        <f t="shared" si="950"/>
        <v>0</v>
      </c>
      <c r="FW552" s="38">
        <f t="shared" si="951"/>
        <v>0</v>
      </c>
      <c r="FX552" s="38">
        <f t="shared" si="952"/>
        <v>0</v>
      </c>
      <c r="FY552" s="38">
        <f t="shared" si="953"/>
        <v>0</v>
      </c>
      <c r="FZ552" s="38">
        <f t="shared" si="954"/>
        <v>0</v>
      </c>
      <c r="GA552" s="38">
        <f t="shared" si="955"/>
        <v>0</v>
      </c>
      <c r="GB552" s="38">
        <f t="shared" si="956"/>
        <v>0</v>
      </c>
      <c r="GC552" s="38">
        <f t="shared" si="957"/>
        <v>0</v>
      </c>
      <c r="GD552" s="38">
        <f t="shared" si="958"/>
        <v>0</v>
      </c>
      <c r="GE552" s="38">
        <f t="shared" si="959"/>
        <v>0</v>
      </c>
      <c r="GF552" s="38">
        <f t="shared" si="960"/>
        <v>0</v>
      </c>
      <c r="GG552" s="38">
        <f t="shared" si="961"/>
        <v>0</v>
      </c>
      <c r="GH552" s="38">
        <f t="shared" si="962"/>
        <v>0</v>
      </c>
      <c r="GI552" s="38">
        <f t="shared" si="963"/>
        <v>0</v>
      </c>
      <c r="GJ552" s="38">
        <f t="shared" si="964"/>
        <v>0</v>
      </c>
      <c r="GL552" s="38">
        <f t="shared" si="965"/>
        <v>0</v>
      </c>
      <c r="GM552" s="38">
        <f t="shared" si="966"/>
        <v>0</v>
      </c>
      <c r="GN552" s="1" t="s">
        <v>2</v>
      </c>
      <c r="GO552" s="1">
        <f t="shared" si="889"/>
        <v>20.83</v>
      </c>
      <c r="GP552" s="1">
        <f t="shared" si="890"/>
        <v>0.7</v>
      </c>
      <c r="GQ552" s="41">
        <f t="shared" si="891"/>
        <v>145.80999999999997</v>
      </c>
      <c r="GR552" s="41">
        <f t="shared" si="892"/>
        <v>2265.5666513279998</v>
      </c>
      <c r="GS552" s="14">
        <f t="shared" si="893"/>
        <v>108.76460160000001</v>
      </c>
      <c r="GT552" s="1">
        <f t="shared" si="967"/>
        <v>0</v>
      </c>
      <c r="GU552" s="1">
        <f t="shared" si="968"/>
        <v>0</v>
      </c>
      <c r="GV552" s="1">
        <f t="shared" si="969"/>
        <v>145.80999999999997</v>
      </c>
      <c r="GW552" s="37">
        <f t="shared" si="894"/>
        <v>0</v>
      </c>
      <c r="GX552" s="37"/>
      <c r="GY552" s="37"/>
      <c r="GZ552" s="37"/>
      <c r="HB552" s="1">
        <f t="shared" si="970"/>
        <v>0</v>
      </c>
      <c r="HC552" s="1">
        <f t="shared" si="971"/>
        <v>0</v>
      </c>
      <c r="HD552" s="37" t="s">
        <v>2</v>
      </c>
      <c r="HE552" s="1" t="s">
        <v>113</v>
      </c>
      <c r="HF552" s="1" t="s">
        <v>129</v>
      </c>
      <c r="HI552" s="1" t="s">
        <v>96</v>
      </c>
      <c r="HJ552" s="37" t="s">
        <v>2</v>
      </c>
      <c r="JH552" s="58" t="s">
        <v>2</v>
      </c>
    </row>
    <row r="553" spans="1:268" ht="16.25" customHeight="1" x14ac:dyDescent="0.2">
      <c r="A553" s="15" t="s">
        <v>1299</v>
      </c>
      <c r="B553" s="1" t="s">
        <v>69</v>
      </c>
      <c r="F553" s="1" t="s">
        <v>131</v>
      </c>
      <c r="I553" s="1">
        <v>0</v>
      </c>
      <c r="AD553" s="1">
        <v>0</v>
      </c>
      <c r="AY553" s="14">
        <f>6.42+107.76</f>
        <v>114.18</v>
      </c>
      <c r="AZ553" s="13">
        <f>(0.13*6.42+0.17*107.76)/AY553</f>
        <v>0.1677509196006306</v>
      </c>
      <c r="BG553" s="13">
        <f>(0.19*6.42+0.25*107.76)/AY553</f>
        <v>0.24662637940094587</v>
      </c>
      <c r="BT553" s="1">
        <v>0</v>
      </c>
      <c r="CO553" s="1">
        <v>0</v>
      </c>
      <c r="DJ553" s="1" t="s">
        <v>96</v>
      </c>
      <c r="DL553" s="1">
        <f t="shared" si="887"/>
        <v>0.24662637940094587</v>
      </c>
      <c r="DM553" s="1">
        <f t="shared" si="888"/>
        <v>0</v>
      </c>
      <c r="DN553" s="1" t="s">
        <v>182</v>
      </c>
      <c r="DO553" s="1" t="s">
        <v>2</v>
      </c>
      <c r="DP553" s="38">
        <f t="shared" si="895"/>
        <v>0.19153800000000004</v>
      </c>
      <c r="DQ553" s="38">
        <f t="shared" si="896"/>
        <v>0</v>
      </c>
      <c r="DR553" s="38">
        <f t="shared" si="897"/>
        <v>0</v>
      </c>
      <c r="DS553" s="38">
        <f t="shared" si="898"/>
        <v>0</v>
      </c>
      <c r="DT553" s="38">
        <f t="shared" si="899"/>
        <v>0</v>
      </c>
      <c r="DU553" s="38">
        <f t="shared" si="900"/>
        <v>0</v>
      </c>
      <c r="DV553" s="38">
        <f t="shared" si="901"/>
        <v>0</v>
      </c>
      <c r="DW553" s="38">
        <f t="shared" si="902"/>
        <v>0.28159800000000001</v>
      </c>
      <c r="DX553" s="38">
        <f t="shared" si="903"/>
        <v>0</v>
      </c>
      <c r="DY553" s="38">
        <f t="shared" si="904"/>
        <v>0</v>
      </c>
      <c r="DZ553" s="38">
        <f t="shared" si="905"/>
        <v>0</v>
      </c>
      <c r="EA553" s="38">
        <f t="shared" si="906"/>
        <v>0</v>
      </c>
      <c r="EB553" s="38">
        <f t="shared" si="907"/>
        <v>0</v>
      </c>
      <c r="EC553" s="38">
        <f t="shared" si="908"/>
        <v>0</v>
      </c>
      <c r="ED553" s="38">
        <f t="shared" si="909"/>
        <v>0</v>
      </c>
      <c r="EE553" s="38">
        <f t="shared" si="910"/>
        <v>0</v>
      </c>
      <c r="EG553" s="38">
        <f t="shared" si="911"/>
        <v>0</v>
      </c>
      <c r="EH553" s="38">
        <f t="shared" si="912"/>
        <v>0</v>
      </c>
      <c r="EI553" s="38">
        <f t="shared" si="913"/>
        <v>1249.9034374080002</v>
      </c>
      <c r="EJ553" s="38">
        <f t="shared" si="914"/>
        <v>0</v>
      </c>
      <c r="EK553" s="38">
        <f t="shared" si="915"/>
        <v>0</v>
      </c>
      <c r="EL553" s="38">
        <f t="shared" si="916"/>
        <v>0</v>
      </c>
      <c r="EM553" s="38">
        <f t="shared" si="917"/>
        <v>0</v>
      </c>
      <c r="EN553" s="38">
        <f t="shared" si="918"/>
        <v>0</v>
      </c>
      <c r="EO553" s="38">
        <f t="shared" si="919"/>
        <v>0</v>
      </c>
      <c r="EP553" s="38">
        <f t="shared" si="920"/>
        <v>3692.8761720000002</v>
      </c>
      <c r="EQ553" s="38">
        <f t="shared" si="921"/>
        <v>0</v>
      </c>
      <c r="ER553" s="38">
        <f t="shared" si="922"/>
        <v>0</v>
      </c>
      <c r="ES553" s="38">
        <f t="shared" si="923"/>
        <v>0</v>
      </c>
      <c r="ET553" s="38">
        <f t="shared" si="924"/>
        <v>0</v>
      </c>
      <c r="EU553" s="38">
        <f t="shared" si="925"/>
        <v>0</v>
      </c>
      <c r="EV553" s="38">
        <f t="shared" si="926"/>
        <v>0</v>
      </c>
      <c r="EW553" s="38">
        <f t="shared" si="927"/>
        <v>0</v>
      </c>
      <c r="EX553" s="38">
        <f t="shared" si="928"/>
        <v>0</v>
      </c>
      <c r="EZ553" s="38">
        <f t="shared" si="929"/>
        <v>0</v>
      </c>
      <c r="FA553" s="38">
        <f t="shared" si="930"/>
        <v>0</v>
      </c>
      <c r="FB553" s="1">
        <f t="shared" si="931"/>
        <v>0</v>
      </c>
      <c r="FC553" s="1">
        <f t="shared" si="932"/>
        <v>0</v>
      </c>
      <c r="FD553" s="1">
        <f t="shared" si="933"/>
        <v>0</v>
      </c>
      <c r="FE553" s="1">
        <f t="shared" si="934"/>
        <v>0</v>
      </c>
      <c r="FF553" s="1">
        <f t="shared" si="935"/>
        <v>0</v>
      </c>
      <c r="FG553" s="1">
        <f t="shared" si="936"/>
        <v>0</v>
      </c>
      <c r="FH553" s="1">
        <f t="shared" si="937"/>
        <v>0</v>
      </c>
      <c r="FI553" s="1">
        <f t="shared" si="938"/>
        <v>0</v>
      </c>
      <c r="FJ553" s="1">
        <f t="shared" si="939"/>
        <v>0</v>
      </c>
      <c r="FK553" s="1">
        <f t="shared" si="940"/>
        <v>0</v>
      </c>
      <c r="FL553" s="1">
        <f t="shared" si="941"/>
        <v>0</v>
      </c>
      <c r="FM553" s="1">
        <f t="shared" si="942"/>
        <v>0</v>
      </c>
      <c r="FN553" s="1">
        <f t="shared" si="943"/>
        <v>0</v>
      </c>
      <c r="FO553" s="1">
        <f t="shared" si="944"/>
        <v>0</v>
      </c>
      <c r="FP553" s="1">
        <f t="shared" si="945"/>
        <v>0</v>
      </c>
      <c r="FQ553" s="1">
        <f t="shared" si="946"/>
        <v>0</v>
      </c>
      <c r="FS553" s="1">
        <f t="shared" si="947"/>
        <v>0</v>
      </c>
      <c r="FT553" s="1">
        <f t="shared" si="948"/>
        <v>0</v>
      </c>
      <c r="FU553" s="38">
        <f t="shared" si="949"/>
        <v>0</v>
      </c>
      <c r="FV553" s="38">
        <f t="shared" si="950"/>
        <v>0</v>
      </c>
      <c r="FW553" s="38">
        <f t="shared" si="951"/>
        <v>0</v>
      </c>
      <c r="FX553" s="38">
        <f t="shared" si="952"/>
        <v>0</v>
      </c>
      <c r="FY553" s="38">
        <f t="shared" si="953"/>
        <v>0</v>
      </c>
      <c r="FZ553" s="38">
        <f t="shared" si="954"/>
        <v>0</v>
      </c>
      <c r="GA553" s="38">
        <f t="shared" si="955"/>
        <v>0</v>
      </c>
      <c r="GB553" s="38">
        <f t="shared" si="956"/>
        <v>0</v>
      </c>
      <c r="GC553" s="38">
        <f t="shared" si="957"/>
        <v>0</v>
      </c>
      <c r="GD553" s="38">
        <f t="shared" si="958"/>
        <v>0</v>
      </c>
      <c r="GE553" s="38">
        <f t="shared" si="959"/>
        <v>0</v>
      </c>
      <c r="GF553" s="38">
        <f t="shared" si="960"/>
        <v>0</v>
      </c>
      <c r="GG553" s="38">
        <f t="shared" si="961"/>
        <v>0</v>
      </c>
      <c r="GH553" s="38">
        <f t="shared" si="962"/>
        <v>0</v>
      </c>
      <c r="GI553" s="38">
        <f t="shared" si="963"/>
        <v>0</v>
      </c>
      <c r="GJ553" s="38">
        <f t="shared" si="964"/>
        <v>0</v>
      </c>
      <c r="GL553" s="38">
        <f t="shared" si="965"/>
        <v>0</v>
      </c>
      <c r="GM553" s="38">
        <f t="shared" si="966"/>
        <v>0</v>
      </c>
      <c r="GN553" s="1" t="s">
        <v>2</v>
      </c>
      <c r="GO553" s="14">
        <f t="shared" si="889"/>
        <v>114.18</v>
      </c>
      <c r="GP553" s="13">
        <f t="shared" si="890"/>
        <v>0.24662637940094587</v>
      </c>
      <c r="GQ553" s="41">
        <f t="shared" si="891"/>
        <v>281.59800000000001</v>
      </c>
      <c r="GR553" s="41">
        <f t="shared" si="892"/>
        <v>4942.7796094080004</v>
      </c>
      <c r="GS553" s="14">
        <f t="shared" si="893"/>
        <v>43.289364244245931</v>
      </c>
      <c r="GT553" s="1">
        <f t="shared" si="967"/>
        <v>0</v>
      </c>
      <c r="GU553" s="1">
        <f t="shared" si="968"/>
        <v>0</v>
      </c>
      <c r="GV553" s="1">
        <f t="shared" si="969"/>
        <v>281.59800000000001</v>
      </c>
      <c r="GW553" s="37">
        <f t="shared" si="894"/>
        <v>0</v>
      </c>
      <c r="GX553" s="37"/>
      <c r="GY553" s="37"/>
      <c r="GZ553" s="37"/>
      <c r="HB553" s="1">
        <f t="shared" si="970"/>
        <v>0</v>
      </c>
      <c r="HC553" s="1">
        <f t="shared" si="971"/>
        <v>0</v>
      </c>
      <c r="HD553" s="37" t="s">
        <v>2</v>
      </c>
      <c r="HE553" s="1" t="s">
        <v>113</v>
      </c>
      <c r="HF553" s="1" t="s">
        <v>129</v>
      </c>
      <c r="HH553" s="1" t="s">
        <v>1276</v>
      </c>
      <c r="HI553" s="1" t="s">
        <v>96</v>
      </c>
      <c r="HJ553" s="37" t="s">
        <v>2</v>
      </c>
      <c r="JH553" s="58" t="s">
        <v>2</v>
      </c>
    </row>
    <row r="554" spans="1:268" ht="16.25" customHeight="1" x14ac:dyDescent="0.2">
      <c r="A554" s="15" t="s">
        <v>1086</v>
      </c>
      <c r="B554" s="1" t="s">
        <v>71</v>
      </c>
      <c r="F554" s="1" t="s">
        <v>1045</v>
      </c>
      <c r="I554" s="1">
        <f>3.903+0.361</f>
        <v>4.2640000000000002</v>
      </c>
      <c r="J554" s="13">
        <f>(0.6*3.903+0.4*0.361)/I554</f>
        <v>0.58306754221388368</v>
      </c>
      <c r="K554" s="1">
        <v>0.14000000000000001</v>
      </c>
      <c r="Q554" s="1">
        <f>(0.6*3.903+0.6*0.361)/I554</f>
        <v>0.6</v>
      </c>
      <c r="R554" s="1">
        <v>0.01</v>
      </c>
      <c r="S554" s="13">
        <f>0.35*0.51</f>
        <v>0.17849999999999999</v>
      </c>
      <c r="T554" s="13">
        <f>0.5*0.51</f>
        <v>0.255</v>
      </c>
      <c r="U554" s="13">
        <f>0.15*0.51</f>
        <v>7.6499999999999999E-2</v>
      </c>
      <c r="AD554" s="1">
        <v>1.5269999999999999</v>
      </c>
      <c r="AE554" s="1">
        <v>0.5</v>
      </c>
      <c r="AF554" s="1">
        <v>0.14000000000000001</v>
      </c>
      <c r="AL554" s="1">
        <v>0.6</v>
      </c>
      <c r="AM554" s="1">
        <v>0.01</v>
      </c>
      <c r="AN554" s="13">
        <f>0.35*0.51</f>
        <v>0.17849999999999999</v>
      </c>
      <c r="AO554" s="13">
        <f>0.5*0.51</f>
        <v>0.255</v>
      </c>
      <c r="AP554" s="13">
        <f>0.15*0.51</f>
        <v>7.6499999999999999E-2</v>
      </c>
      <c r="AY554" s="1">
        <v>4.2999999999999997E-2</v>
      </c>
      <c r="AZ554" s="1">
        <v>0.2</v>
      </c>
      <c r="BA554" s="1">
        <v>0.14000000000000001</v>
      </c>
      <c r="BG554" s="13">
        <v>0.4</v>
      </c>
      <c r="BH554" s="1">
        <v>0.01</v>
      </c>
      <c r="BI554" s="13">
        <f>0.35*0.51</f>
        <v>0.17849999999999999</v>
      </c>
      <c r="BJ554" s="13">
        <f>0.5*0.51</f>
        <v>0.255</v>
      </c>
      <c r="BK554" s="13">
        <f>0.15*0.51</f>
        <v>7.6499999999999999E-2</v>
      </c>
      <c r="BL554" s="13"/>
      <c r="BM554" s="13"/>
      <c r="BT554" s="1">
        <f>1.8+0.361</f>
        <v>2.161</v>
      </c>
      <c r="BU554" s="13">
        <f>(0.6*1.8+0.4*0.361)/BT554</f>
        <v>0.56658954187875987</v>
      </c>
      <c r="BV554" s="1">
        <v>0.14000000000000001</v>
      </c>
      <c r="CB554" s="13">
        <f>(0.7*1.8+0.6*0.361)/BT554</f>
        <v>0.68329477093937985</v>
      </c>
      <c r="CC554" s="1">
        <v>0.01</v>
      </c>
      <c r="CD554" s="13">
        <f>0.35*0.51</f>
        <v>0.17849999999999999</v>
      </c>
      <c r="CE554" s="13">
        <f>0.5*0.51</f>
        <v>0.255</v>
      </c>
      <c r="CF554" s="13">
        <f>0.15*0.51</f>
        <v>7.6499999999999999E-2</v>
      </c>
      <c r="CG554" s="13"/>
      <c r="CH554" s="13"/>
      <c r="CO554" s="1">
        <v>1.2889999999999999</v>
      </c>
      <c r="CP554" s="1">
        <v>0.5</v>
      </c>
      <c r="CQ554" s="1">
        <v>0.14000000000000001</v>
      </c>
      <c r="CW554" s="1">
        <v>0.6</v>
      </c>
      <c r="CX554" s="1">
        <v>0.01</v>
      </c>
      <c r="CY554" s="13">
        <f>0.35*0.51</f>
        <v>0.17849999999999999</v>
      </c>
      <c r="CZ554" s="13">
        <f>0.5*0.51</f>
        <v>0.255</v>
      </c>
      <c r="DA554" s="13">
        <f>0.15*0.51</f>
        <v>7.6499999999999999E-2</v>
      </c>
      <c r="DB554" s="13"/>
      <c r="DC554" s="13"/>
      <c r="DJ554" s="1" t="s">
        <v>96</v>
      </c>
      <c r="DK554" s="1" t="s">
        <v>163</v>
      </c>
      <c r="DL554" s="1">
        <f t="shared" si="887"/>
        <v>0.5985258827562564</v>
      </c>
      <c r="DM554" s="1">
        <f t="shared" si="888"/>
        <v>0.01</v>
      </c>
      <c r="DN554" s="1" t="s">
        <v>1087</v>
      </c>
      <c r="DO554" s="1" t="s">
        <v>2</v>
      </c>
      <c r="DP554" s="38">
        <f t="shared" si="895"/>
        <v>3.2583000000000001E-2</v>
      </c>
      <c r="DQ554" s="38">
        <f t="shared" si="896"/>
        <v>0.81676000000000004</v>
      </c>
      <c r="DR554" s="38">
        <f t="shared" si="897"/>
        <v>0</v>
      </c>
      <c r="DS554" s="38">
        <f t="shared" si="898"/>
        <v>0</v>
      </c>
      <c r="DT554" s="38">
        <f t="shared" si="899"/>
        <v>0</v>
      </c>
      <c r="DU554" s="38">
        <f t="shared" si="900"/>
        <v>0</v>
      </c>
      <c r="DV554" s="38">
        <f t="shared" si="901"/>
        <v>0</v>
      </c>
      <c r="DW554" s="38">
        <f t="shared" si="902"/>
        <v>3.4917999999999998E-2</v>
      </c>
      <c r="DX554" s="38">
        <f t="shared" si="903"/>
        <v>5.8339999999999998E-4</v>
      </c>
      <c r="DY554" s="38">
        <f t="shared" si="904"/>
        <v>1.041369</v>
      </c>
      <c r="DZ554" s="38">
        <f t="shared" si="905"/>
        <v>1.4876699999999998</v>
      </c>
      <c r="EA554" s="38">
        <f t="shared" si="906"/>
        <v>0.446301</v>
      </c>
      <c r="EB554" s="38">
        <f t="shared" si="907"/>
        <v>0</v>
      </c>
      <c r="EC554" s="38">
        <f t="shared" si="908"/>
        <v>0</v>
      </c>
      <c r="ED554" s="38">
        <f t="shared" si="909"/>
        <v>0</v>
      </c>
      <c r="EE554" s="38">
        <f t="shared" si="910"/>
        <v>0</v>
      </c>
      <c r="EG554" s="38">
        <f t="shared" si="911"/>
        <v>0</v>
      </c>
      <c r="EH554" s="38">
        <f t="shared" si="912"/>
        <v>0</v>
      </c>
      <c r="EI554" s="38">
        <f t="shared" si="913"/>
        <v>212.62414612800001</v>
      </c>
      <c r="EJ554" s="38">
        <f t="shared" si="914"/>
        <v>33.405746623794208</v>
      </c>
      <c r="EK554" s="38">
        <f t="shared" si="915"/>
        <v>0</v>
      </c>
      <c r="EL554" s="38">
        <f t="shared" si="916"/>
        <v>0</v>
      </c>
      <c r="EM554" s="38">
        <f t="shared" si="917"/>
        <v>0</v>
      </c>
      <c r="EN554" s="38">
        <f t="shared" si="918"/>
        <v>0</v>
      </c>
      <c r="EO554" s="38">
        <f t="shared" si="919"/>
        <v>0</v>
      </c>
      <c r="EP554" s="38">
        <f t="shared" si="920"/>
        <v>457.91465199999999</v>
      </c>
      <c r="EQ554" s="38">
        <f t="shared" si="921"/>
        <v>42.366230301599991</v>
      </c>
      <c r="ER554" s="38">
        <f t="shared" si="922"/>
        <v>29.555458570418001</v>
      </c>
      <c r="ES554" s="38">
        <f t="shared" si="923"/>
        <v>49.57767903858521</v>
      </c>
      <c r="ET554" s="38">
        <f t="shared" si="924"/>
        <v>31.934199848874602</v>
      </c>
      <c r="EU554" s="38">
        <f t="shared" si="925"/>
        <v>0</v>
      </c>
      <c r="EV554" s="38">
        <f t="shared" si="926"/>
        <v>0</v>
      </c>
      <c r="EW554" s="38">
        <f t="shared" si="927"/>
        <v>0</v>
      </c>
      <c r="EX554" s="38">
        <f t="shared" si="928"/>
        <v>0</v>
      </c>
      <c r="EZ554" s="38">
        <f t="shared" si="929"/>
        <v>0</v>
      </c>
      <c r="FA554" s="38">
        <f t="shared" si="930"/>
        <v>0</v>
      </c>
      <c r="FB554" s="1">
        <f t="shared" si="931"/>
        <v>1.8689000000000001E-2</v>
      </c>
      <c r="FC554" s="1">
        <f t="shared" si="932"/>
        <v>0.48300000000000004</v>
      </c>
      <c r="FD554" s="1">
        <f t="shared" si="933"/>
        <v>0</v>
      </c>
      <c r="FE554" s="1">
        <f t="shared" si="934"/>
        <v>0</v>
      </c>
      <c r="FF554" s="1">
        <f t="shared" si="935"/>
        <v>0</v>
      </c>
      <c r="FG554" s="1">
        <f t="shared" si="936"/>
        <v>0</v>
      </c>
      <c r="FH554" s="1">
        <f t="shared" si="937"/>
        <v>0</v>
      </c>
      <c r="FI554" s="1">
        <f t="shared" si="938"/>
        <v>2.2499999999999999E-2</v>
      </c>
      <c r="FJ554" s="1">
        <f t="shared" si="939"/>
        <v>3.4500000000000004E-4</v>
      </c>
      <c r="FK554" s="1">
        <f t="shared" si="940"/>
        <v>0.61582499999999996</v>
      </c>
      <c r="FL554" s="1">
        <f t="shared" si="941"/>
        <v>0.87975000000000003</v>
      </c>
      <c r="FM554" s="1">
        <f t="shared" si="942"/>
        <v>0.26392499999999997</v>
      </c>
      <c r="FN554" s="1">
        <f t="shared" si="943"/>
        <v>0</v>
      </c>
      <c r="FO554" s="1">
        <f t="shared" si="944"/>
        <v>0</v>
      </c>
      <c r="FP554" s="1">
        <f t="shared" si="945"/>
        <v>0</v>
      </c>
      <c r="FQ554" s="1">
        <f t="shared" si="946"/>
        <v>0</v>
      </c>
      <c r="FS554" s="1">
        <f t="shared" si="947"/>
        <v>0</v>
      </c>
      <c r="FT554" s="1">
        <f t="shared" si="948"/>
        <v>0</v>
      </c>
      <c r="FU554" s="38">
        <f t="shared" si="949"/>
        <v>121.957237424</v>
      </c>
      <c r="FV554" s="38">
        <f t="shared" si="950"/>
        <v>19.75485530546624</v>
      </c>
      <c r="FW554" s="38">
        <f t="shared" si="951"/>
        <v>0</v>
      </c>
      <c r="FX554" s="38">
        <f t="shared" si="952"/>
        <v>0</v>
      </c>
      <c r="FY554" s="38">
        <f t="shared" si="953"/>
        <v>0</v>
      </c>
      <c r="FZ554" s="38">
        <f t="shared" si="954"/>
        <v>0</v>
      </c>
      <c r="GA554" s="38">
        <f t="shared" si="955"/>
        <v>0</v>
      </c>
      <c r="GB554" s="38">
        <f t="shared" si="956"/>
        <v>295.065</v>
      </c>
      <c r="GC554" s="38">
        <f t="shared" si="957"/>
        <v>25.05373578</v>
      </c>
      <c r="GD554" s="38">
        <f t="shared" si="958"/>
        <v>17.4779451607717</v>
      </c>
      <c r="GE554" s="38">
        <f t="shared" si="959"/>
        <v>29.31830522508039</v>
      </c>
      <c r="GF554" s="38">
        <f t="shared" si="960"/>
        <v>18.884639951768488</v>
      </c>
      <c r="GG554" s="38">
        <f t="shared" si="961"/>
        <v>0</v>
      </c>
      <c r="GH554" s="38">
        <f t="shared" si="962"/>
        <v>0</v>
      </c>
      <c r="GI554" s="38">
        <f t="shared" si="963"/>
        <v>0</v>
      </c>
      <c r="GJ554" s="38">
        <f t="shared" si="964"/>
        <v>0</v>
      </c>
      <c r="GL554" s="38">
        <f t="shared" si="965"/>
        <v>0</v>
      </c>
      <c r="GM554" s="38">
        <f t="shared" si="966"/>
        <v>0</v>
      </c>
      <c r="GN554" s="1" t="s">
        <v>2</v>
      </c>
      <c r="GO554" s="1">
        <f t="shared" si="889"/>
        <v>5.8340000000000005</v>
      </c>
      <c r="GP554" s="13">
        <f t="shared" si="890"/>
        <v>0.5985258827562564</v>
      </c>
      <c r="GQ554" s="41">
        <f t="shared" si="891"/>
        <v>34.917999999999999</v>
      </c>
      <c r="GR554" s="41">
        <f t="shared" si="892"/>
        <v>857.37811251127198</v>
      </c>
      <c r="GS554" s="14">
        <f t="shared" si="893"/>
        <v>146.96230930943983</v>
      </c>
      <c r="GT554" s="1">
        <f t="shared" si="967"/>
        <v>25.584</v>
      </c>
      <c r="GU554" s="1">
        <f t="shared" si="968"/>
        <v>9.161999999999999</v>
      </c>
      <c r="GV554" s="1">
        <f t="shared" si="969"/>
        <v>0.17199999999999999</v>
      </c>
      <c r="GW554" s="37">
        <f t="shared" si="894"/>
        <v>3.45</v>
      </c>
      <c r="GX554" s="44">
        <f>(BT554*CB554+CO554*CW554)/GW554</f>
        <v>0.65217391304347827</v>
      </c>
      <c r="GY554" s="41">
        <f>1000*GW554*GX554/100</f>
        <v>22.5</v>
      </c>
      <c r="GZ554" s="41">
        <f>SUM(FU554:GM554)</f>
        <v>527.51171884708685</v>
      </c>
      <c r="HA554" s="14">
        <f>GZ554/GW554</f>
        <v>152.90194749190923</v>
      </c>
      <c r="HB554" s="1">
        <f t="shared" si="970"/>
        <v>14.765999999999998</v>
      </c>
      <c r="HC554" s="1">
        <f t="shared" si="971"/>
        <v>7.734</v>
      </c>
      <c r="HD554" s="37" t="s">
        <v>2</v>
      </c>
      <c r="HE554" s="1" t="s">
        <v>113</v>
      </c>
      <c r="HF554" s="1" t="s">
        <v>129</v>
      </c>
      <c r="HI554" s="1" t="s">
        <v>96</v>
      </c>
      <c r="HJ554" s="37" t="s">
        <v>2</v>
      </c>
      <c r="JH554" s="58" t="s">
        <v>2</v>
      </c>
    </row>
    <row r="555" spans="1:268" ht="16.25" customHeight="1" x14ac:dyDescent="0.2">
      <c r="A555" s="15" t="s">
        <v>1175</v>
      </c>
      <c r="B555" s="1" t="s">
        <v>69</v>
      </c>
      <c r="F555" s="1" t="s">
        <v>1176</v>
      </c>
      <c r="I555" s="1">
        <v>0</v>
      </c>
      <c r="AD555" s="1">
        <v>225.4</v>
      </c>
      <c r="AK555" s="1">
        <v>0.17599999999999999</v>
      </c>
      <c r="AL555" s="1">
        <v>3.0000000000000001E-3</v>
      </c>
      <c r="AY555" s="1">
        <v>86.5</v>
      </c>
      <c r="BG555" s="2">
        <v>0.1</v>
      </c>
      <c r="BH555" s="1">
        <v>3.0000000000000001E-3</v>
      </c>
      <c r="BT555" s="1">
        <v>0</v>
      </c>
      <c r="CO555" s="1">
        <v>0</v>
      </c>
      <c r="DJ555" s="1" t="s">
        <v>96</v>
      </c>
      <c r="DK555" s="1" t="s">
        <v>96</v>
      </c>
      <c r="DL555" s="1">
        <f t="shared" si="887"/>
        <v>2.9901250400769481E-2</v>
      </c>
      <c r="DM555" s="1">
        <f t="shared" si="888"/>
        <v>8.3199743507534479E-4</v>
      </c>
      <c r="DN555" s="1" t="s">
        <v>1106</v>
      </c>
      <c r="DO555" s="1" t="s">
        <v>2</v>
      </c>
      <c r="DP555" s="38">
        <f t="shared" si="895"/>
        <v>0</v>
      </c>
      <c r="DQ555" s="38">
        <f t="shared" si="896"/>
        <v>0</v>
      </c>
      <c r="DR555" s="38">
        <f t="shared" si="897"/>
        <v>0</v>
      </c>
      <c r="DS555" s="38">
        <f t="shared" si="898"/>
        <v>0</v>
      </c>
      <c r="DT555" s="38">
        <f t="shared" si="899"/>
        <v>0</v>
      </c>
      <c r="DU555" s="38">
        <f t="shared" si="900"/>
        <v>0</v>
      </c>
      <c r="DV555" s="38">
        <f t="shared" si="901"/>
        <v>0.396704</v>
      </c>
      <c r="DW555" s="38">
        <f t="shared" si="902"/>
        <v>9.3261999999999998E-2</v>
      </c>
      <c r="DX555" s="38">
        <f t="shared" si="903"/>
        <v>2.5950000000000001E-3</v>
      </c>
      <c r="DY555" s="38">
        <f t="shared" si="904"/>
        <v>0</v>
      </c>
      <c r="DZ555" s="38">
        <f t="shared" si="905"/>
        <v>0</v>
      </c>
      <c r="EA555" s="38">
        <f t="shared" si="906"/>
        <v>0</v>
      </c>
      <c r="EB555" s="38">
        <f t="shared" si="907"/>
        <v>0</v>
      </c>
      <c r="EC555" s="38">
        <f t="shared" si="908"/>
        <v>0</v>
      </c>
      <c r="ED555" s="38">
        <f t="shared" si="909"/>
        <v>0</v>
      </c>
      <c r="EE555" s="38">
        <f t="shared" si="910"/>
        <v>0</v>
      </c>
      <c r="EG555" s="38">
        <f t="shared" si="911"/>
        <v>0</v>
      </c>
      <c r="EH555" s="38">
        <f t="shared" si="912"/>
        <v>0</v>
      </c>
      <c r="EI555" s="38">
        <f t="shared" si="913"/>
        <v>0</v>
      </c>
      <c r="EJ555" s="38">
        <f t="shared" si="914"/>
        <v>0</v>
      </c>
      <c r="EK555" s="38">
        <f t="shared" si="915"/>
        <v>0</v>
      </c>
      <c r="EL555" s="38">
        <f t="shared" si="916"/>
        <v>0</v>
      </c>
      <c r="EM555" s="38">
        <f t="shared" si="917"/>
        <v>0</v>
      </c>
      <c r="EN555" s="38">
        <f t="shared" si="918"/>
        <v>0</v>
      </c>
      <c r="EO555" s="38">
        <f t="shared" si="919"/>
        <v>1160.5592181567999</v>
      </c>
      <c r="EP555" s="38">
        <f t="shared" si="920"/>
        <v>1223.0378679999999</v>
      </c>
      <c r="EQ555" s="38">
        <f t="shared" si="921"/>
        <v>188.44766477999997</v>
      </c>
      <c r="ER555" s="38">
        <f t="shared" si="922"/>
        <v>0</v>
      </c>
      <c r="ES555" s="38">
        <f t="shared" si="923"/>
        <v>0</v>
      </c>
      <c r="ET555" s="38">
        <f t="shared" si="924"/>
        <v>0</v>
      </c>
      <c r="EU555" s="38">
        <f t="shared" si="925"/>
        <v>0</v>
      </c>
      <c r="EV555" s="38">
        <f t="shared" si="926"/>
        <v>0</v>
      </c>
      <c r="EW555" s="38">
        <f t="shared" si="927"/>
        <v>0</v>
      </c>
      <c r="EX555" s="38">
        <f t="shared" si="928"/>
        <v>0</v>
      </c>
      <c r="EZ555" s="38">
        <f t="shared" si="929"/>
        <v>0</v>
      </c>
      <c r="FA555" s="38">
        <f t="shared" si="930"/>
        <v>0</v>
      </c>
      <c r="FB555" s="1">
        <f t="shared" si="931"/>
        <v>0</v>
      </c>
      <c r="FC555" s="1">
        <f t="shared" si="932"/>
        <v>0</v>
      </c>
      <c r="FD555" s="1">
        <f t="shared" si="933"/>
        <v>0</v>
      </c>
      <c r="FE555" s="1">
        <f t="shared" si="934"/>
        <v>0</v>
      </c>
      <c r="FF555" s="1">
        <f t="shared" si="935"/>
        <v>0</v>
      </c>
      <c r="FG555" s="1">
        <f t="shared" si="936"/>
        <v>0</v>
      </c>
      <c r="FH555" s="1">
        <f t="shared" si="937"/>
        <v>0</v>
      </c>
      <c r="FI555" s="1">
        <f t="shared" si="938"/>
        <v>0</v>
      </c>
      <c r="FJ555" s="1">
        <f t="shared" si="939"/>
        <v>0</v>
      </c>
      <c r="FK555" s="1">
        <f t="shared" si="940"/>
        <v>0</v>
      </c>
      <c r="FL555" s="1">
        <f t="shared" si="941"/>
        <v>0</v>
      </c>
      <c r="FM555" s="1">
        <f t="shared" si="942"/>
        <v>0</v>
      </c>
      <c r="FN555" s="1">
        <f t="shared" si="943"/>
        <v>0</v>
      </c>
      <c r="FO555" s="1">
        <f t="shared" si="944"/>
        <v>0</v>
      </c>
      <c r="FP555" s="1">
        <f t="shared" si="945"/>
        <v>0</v>
      </c>
      <c r="FQ555" s="1">
        <f t="shared" si="946"/>
        <v>0</v>
      </c>
      <c r="FS555" s="1">
        <f t="shared" si="947"/>
        <v>0</v>
      </c>
      <c r="FT555" s="1">
        <f t="shared" si="948"/>
        <v>0</v>
      </c>
      <c r="FU555" s="38">
        <f t="shared" si="949"/>
        <v>0</v>
      </c>
      <c r="FV555" s="38">
        <f t="shared" si="950"/>
        <v>0</v>
      </c>
      <c r="FW555" s="38">
        <f t="shared" si="951"/>
        <v>0</v>
      </c>
      <c r="FX555" s="38">
        <f t="shared" si="952"/>
        <v>0</v>
      </c>
      <c r="FY555" s="38">
        <f t="shared" si="953"/>
        <v>0</v>
      </c>
      <c r="FZ555" s="38">
        <f t="shared" si="954"/>
        <v>0</v>
      </c>
      <c r="GA555" s="38">
        <f t="shared" si="955"/>
        <v>0</v>
      </c>
      <c r="GB555" s="38">
        <f t="shared" si="956"/>
        <v>0</v>
      </c>
      <c r="GC555" s="38">
        <f t="shared" si="957"/>
        <v>0</v>
      </c>
      <c r="GD555" s="38">
        <f t="shared" si="958"/>
        <v>0</v>
      </c>
      <c r="GE555" s="38">
        <f t="shared" si="959"/>
        <v>0</v>
      </c>
      <c r="GF555" s="38">
        <f t="shared" si="960"/>
        <v>0</v>
      </c>
      <c r="GG555" s="38">
        <f t="shared" si="961"/>
        <v>0</v>
      </c>
      <c r="GH555" s="38">
        <f t="shared" si="962"/>
        <v>0</v>
      </c>
      <c r="GI555" s="38">
        <f t="shared" si="963"/>
        <v>0</v>
      </c>
      <c r="GJ555" s="38">
        <f t="shared" si="964"/>
        <v>0</v>
      </c>
      <c r="GL555" s="38">
        <f t="shared" si="965"/>
        <v>0</v>
      </c>
      <c r="GM555" s="38">
        <f t="shared" si="966"/>
        <v>0</v>
      </c>
      <c r="GN555" s="1" t="s">
        <v>2</v>
      </c>
      <c r="GO555" s="1">
        <f t="shared" si="889"/>
        <v>311.89999999999998</v>
      </c>
      <c r="GP555" s="2">
        <f t="shared" si="890"/>
        <v>2.9901250400769481E-2</v>
      </c>
      <c r="GQ555" s="41">
        <f t="shared" si="891"/>
        <v>93.262</v>
      </c>
      <c r="GR555" s="41">
        <f t="shared" si="892"/>
        <v>2572.0447509367996</v>
      </c>
      <c r="GS555" s="14">
        <f t="shared" si="893"/>
        <v>8.2463762453889053</v>
      </c>
      <c r="GT555" s="1">
        <f t="shared" si="967"/>
        <v>0</v>
      </c>
      <c r="GU555" s="1">
        <f t="shared" si="968"/>
        <v>6.7620000000000005</v>
      </c>
      <c r="GV555" s="1">
        <f t="shared" si="969"/>
        <v>86.5</v>
      </c>
      <c r="GW555" s="37">
        <f t="shared" si="894"/>
        <v>0</v>
      </c>
      <c r="GX555" s="37"/>
      <c r="GY555" s="37"/>
      <c r="GZ555" s="37"/>
      <c r="HB555" s="1">
        <f t="shared" si="970"/>
        <v>0</v>
      </c>
      <c r="HC555" s="1">
        <f t="shared" si="971"/>
        <v>0</v>
      </c>
      <c r="HD555" s="37" t="s">
        <v>2</v>
      </c>
      <c r="HE555" s="1" t="s">
        <v>113</v>
      </c>
      <c r="HF555" s="1" t="s">
        <v>129</v>
      </c>
      <c r="HI555" s="1" t="s">
        <v>96</v>
      </c>
      <c r="HJ555" s="37" t="s">
        <v>2</v>
      </c>
      <c r="JH555" s="58" t="s">
        <v>2</v>
      </c>
    </row>
    <row r="556" spans="1:268" ht="16.25" customHeight="1" x14ac:dyDescent="0.2">
      <c r="A556" s="15" t="s">
        <v>1177</v>
      </c>
      <c r="B556" s="1" t="s">
        <v>69</v>
      </c>
      <c r="F556" s="1" t="s">
        <v>1176</v>
      </c>
      <c r="I556" s="1">
        <v>0</v>
      </c>
      <c r="AD556" s="1">
        <v>0</v>
      </c>
      <c r="AY556" s="1">
        <v>185.7</v>
      </c>
      <c r="BG556" s="1">
        <v>0.17599999999999999</v>
      </c>
      <c r="BT556" s="1">
        <v>0</v>
      </c>
      <c r="CO556" s="1">
        <v>0</v>
      </c>
      <c r="DJ556" s="1" t="s">
        <v>96</v>
      </c>
      <c r="DL556" s="1">
        <f t="shared" si="887"/>
        <v>0.17600000000000002</v>
      </c>
      <c r="DM556" s="1">
        <f t="shared" si="888"/>
        <v>0</v>
      </c>
      <c r="DN556" s="1" t="s">
        <v>1106</v>
      </c>
      <c r="DO556" s="1" t="s">
        <v>2</v>
      </c>
      <c r="DP556" s="38">
        <f t="shared" si="895"/>
        <v>0</v>
      </c>
      <c r="DQ556" s="38">
        <f t="shared" si="896"/>
        <v>0</v>
      </c>
      <c r="DR556" s="38">
        <f t="shared" si="897"/>
        <v>0</v>
      </c>
      <c r="DS556" s="38">
        <f t="shared" si="898"/>
        <v>0</v>
      </c>
      <c r="DT556" s="38">
        <f t="shared" si="899"/>
        <v>0</v>
      </c>
      <c r="DU556" s="38">
        <f t="shared" si="900"/>
        <v>0</v>
      </c>
      <c r="DV556" s="38">
        <f t="shared" si="901"/>
        <v>0</v>
      </c>
      <c r="DW556" s="38">
        <f t="shared" si="902"/>
        <v>0.32683200000000001</v>
      </c>
      <c r="DX556" s="38">
        <f t="shared" si="903"/>
        <v>0</v>
      </c>
      <c r="DY556" s="38">
        <f t="shared" si="904"/>
        <v>0</v>
      </c>
      <c r="DZ556" s="38">
        <f t="shared" si="905"/>
        <v>0</v>
      </c>
      <c r="EA556" s="38">
        <f t="shared" si="906"/>
        <v>0</v>
      </c>
      <c r="EB556" s="38">
        <f t="shared" si="907"/>
        <v>0</v>
      </c>
      <c r="EC556" s="38">
        <f t="shared" si="908"/>
        <v>0</v>
      </c>
      <c r="ED556" s="38">
        <f t="shared" si="909"/>
        <v>0</v>
      </c>
      <c r="EE556" s="38">
        <f t="shared" si="910"/>
        <v>0</v>
      </c>
      <c r="EG556" s="38">
        <f t="shared" si="911"/>
        <v>0</v>
      </c>
      <c r="EH556" s="38">
        <f t="shared" si="912"/>
        <v>0</v>
      </c>
      <c r="EI556" s="38">
        <f t="shared" si="913"/>
        <v>0</v>
      </c>
      <c r="EJ556" s="38">
        <f t="shared" si="914"/>
        <v>0</v>
      </c>
      <c r="EK556" s="38">
        <f t="shared" si="915"/>
        <v>0</v>
      </c>
      <c r="EL556" s="38">
        <f t="shared" si="916"/>
        <v>0</v>
      </c>
      <c r="EM556" s="38">
        <f t="shared" si="917"/>
        <v>0</v>
      </c>
      <c r="EN556" s="38">
        <f t="shared" si="918"/>
        <v>0</v>
      </c>
      <c r="EO556" s="38">
        <f t="shared" si="919"/>
        <v>0</v>
      </c>
      <c r="EP556" s="38">
        <f t="shared" si="920"/>
        <v>4286.0748480000002</v>
      </c>
      <c r="EQ556" s="38">
        <f t="shared" si="921"/>
        <v>0</v>
      </c>
      <c r="ER556" s="38">
        <f t="shared" si="922"/>
        <v>0</v>
      </c>
      <c r="ES556" s="38">
        <f t="shared" si="923"/>
        <v>0</v>
      </c>
      <c r="ET556" s="38">
        <f t="shared" si="924"/>
        <v>0</v>
      </c>
      <c r="EU556" s="38">
        <f t="shared" si="925"/>
        <v>0</v>
      </c>
      <c r="EV556" s="38">
        <f t="shared" si="926"/>
        <v>0</v>
      </c>
      <c r="EW556" s="38">
        <f t="shared" si="927"/>
        <v>0</v>
      </c>
      <c r="EX556" s="38">
        <f t="shared" si="928"/>
        <v>0</v>
      </c>
      <c r="EZ556" s="38">
        <f t="shared" si="929"/>
        <v>0</v>
      </c>
      <c r="FA556" s="38">
        <f t="shared" si="930"/>
        <v>0</v>
      </c>
      <c r="FB556" s="1">
        <f t="shared" si="931"/>
        <v>0</v>
      </c>
      <c r="FC556" s="1">
        <f t="shared" si="932"/>
        <v>0</v>
      </c>
      <c r="FD556" s="1">
        <f t="shared" si="933"/>
        <v>0</v>
      </c>
      <c r="FE556" s="1">
        <f t="shared" si="934"/>
        <v>0</v>
      </c>
      <c r="FF556" s="1">
        <f t="shared" si="935"/>
        <v>0</v>
      </c>
      <c r="FG556" s="1">
        <f t="shared" si="936"/>
        <v>0</v>
      </c>
      <c r="FH556" s="1">
        <f t="shared" si="937"/>
        <v>0</v>
      </c>
      <c r="FI556" s="1">
        <f t="shared" si="938"/>
        <v>0</v>
      </c>
      <c r="FJ556" s="1">
        <f t="shared" si="939"/>
        <v>0</v>
      </c>
      <c r="FK556" s="1">
        <f t="shared" si="940"/>
        <v>0</v>
      </c>
      <c r="FL556" s="1">
        <f t="shared" si="941"/>
        <v>0</v>
      </c>
      <c r="FM556" s="1">
        <f t="shared" si="942"/>
        <v>0</v>
      </c>
      <c r="FN556" s="1">
        <f t="shared" si="943"/>
        <v>0</v>
      </c>
      <c r="FO556" s="1">
        <f t="shared" si="944"/>
        <v>0</v>
      </c>
      <c r="FP556" s="1">
        <f t="shared" si="945"/>
        <v>0</v>
      </c>
      <c r="FQ556" s="1">
        <f t="shared" si="946"/>
        <v>0</v>
      </c>
      <c r="FS556" s="1">
        <f t="shared" si="947"/>
        <v>0</v>
      </c>
      <c r="FT556" s="1">
        <f t="shared" si="948"/>
        <v>0</v>
      </c>
      <c r="FU556" s="38">
        <f t="shared" si="949"/>
        <v>0</v>
      </c>
      <c r="FV556" s="38">
        <f t="shared" si="950"/>
        <v>0</v>
      </c>
      <c r="FW556" s="38">
        <f t="shared" si="951"/>
        <v>0</v>
      </c>
      <c r="FX556" s="38">
        <f t="shared" si="952"/>
        <v>0</v>
      </c>
      <c r="FY556" s="38">
        <f t="shared" si="953"/>
        <v>0</v>
      </c>
      <c r="FZ556" s="38">
        <f t="shared" si="954"/>
        <v>0</v>
      </c>
      <c r="GA556" s="38">
        <f t="shared" si="955"/>
        <v>0</v>
      </c>
      <c r="GB556" s="38">
        <f t="shared" si="956"/>
        <v>0</v>
      </c>
      <c r="GC556" s="38">
        <f t="shared" si="957"/>
        <v>0</v>
      </c>
      <c r="GD556" s="38">
        <f t="shared" si="958"/>
        <v>0</v>
      </c>
      <c r="GE556" s="38">
        <f t="shared" si="959"/>
        <v>0</v>
      </c>
      <c r="GF556" s="38">
        <f t="shared" si="960"/>
        <v>0</v>
      </c>
      <c r="GG556" s="38">
        <f t="shared" si="961"/>
        <v>0</v>
      </c>
      <c r="GH556" s="38">
        <f t="shared" si="962"/>
        <v>0</v>
      </c>
      <c r="GI556" s="38">
        <f t="shared" si="963"/>
        <v>0</v>
      </c>
      <c r="GJ556" s="38">
        <f t="shared" si="964"/>
        <v>0</v>
      </c>
      <c r="GL556" s="38">
        <f t="shared" si="965"/>
        <v>0</v>
      </c>
      <c r="GM556" s="38">
        <f t="shared" si="966"/>
        <v>0</v>
      </c>
      <c r="GN556" s="1" t="s">
        <v>2</v>
      </c>
      <c r="GO556" s="1">
        <f t="shared" si="889"/>
        <v>185.7</v>
      </c>
      <c r="GP556" s="13">
        <f t="shared" si="890"/>
        <v>0.17600000000000002</v>
      </c>
      <c r="GQ556" s="41">
        <f t="shared" si="891"/>
        <v>326.83200000000005</v>
      </c>
      <c r="GR556" s="41">
        <f t="shared" si="892"/>
        <v>4286.0748480000002</v>
      </c>
      <c r="GS556" s="14">
        <f t="shared" si="893"/>
        <v>23.080640000000002</v>
      </c>
      <c r="GT556" s="1">
        <f t="shared" si="967"/>
        <v>0</v>
      </c>
      <c r="GU556" s="1">
        <f t="shared" si="968"/>
        <v>0</v>
      </c>
      <c r="GV556" s="1">
        <f t="shared" si="969"/>
        <v>326.83199999999999</v>
      </c>
      <c r="GW556" s="37">
        <f t="shared" si="894"/>
        <v>0</v>
      </c>
      <c r="GX556" s="37"/>
      <c r="GY556" s="37"/>
      <c r="GZ556" s="37"/>
      <c r="HB556" s="1">
        <f t="shared" si="970"/>
        <v>0</v>
      </c>
      <c r="HC556" s="1">
        <f t="shared" si="971"/>
        <v>0</v>
      </c>
      <c r="HD556" s="37" t="s">
        <v>2</v>
      </c>
      <c r="HE556" s="1" t="s">
        <v>113</v>
      </c>
      <c r="HF556" s="1" t="s">
        <v>129</v>
      </c>
      <c r="HI556" s="1" t="s">
        <v>96</v>
      </c>
      <c r="HJ556" s="37" t="s">
        <v>2</v>
      </c>
      <c r="JH556" s="58" t="s">
        <v>2</v>
      </c>
    </row>
    <row r="557" spans="1:268" ht="16.25" customHeight="1" x14ac:dyDescent="0.2">
      <c r="A557" s="15" t="s">
        <v>1178</v>
      </c>
      <c r="B557" s="1" t="s">
        <v>69</v>
      </c>
      <c r="F557" s="1" t="s">
        <v>1176</v>
      </c>
      <c r="I557" s="1">
        <v>28.3</v>
      </c>
      <c r="Q557" s="1">
        <v>0.188</v>
      </c>
      <c r="R557" s="1">
        <v>6.0000000000000001E-3</v>
      </c>
      <c r="AD557" s="1">
        <v>23.3</v>
      </c>
      <c r="AK557" s="1">
        <v>0.183</v>
      </c>
      <c r="AL557" s="1">
        <v>6.0000000000000001E-3</v>
      </c>
      <c r="AY557" s="1">
        <v>6.8</v>
      </c>
      <c r="BG557" s="1">
        <v>0.183</v>
      </c>
      <c r="BH557" s="1">
        <v>7.0000000000000001E-3</v>
      </c>
      <c r="BT557" s="1">
        <v>0</v>
      </c>
      <c r="CO557" s="1">
        <v>0</v>
      </c>
      <c r="DJ557" s="1" t="s">
        <v>96</v>
      </c>
      <c r="DK557" s="1" t="s">
        <v>96</v>
      </c>
      <c r="DL557" s="1">
        <f t="shared" si="887"/>
        <v>0.11480479452054795</v>
      </c>
      <c r="DM557" s="1">
        <f t="shared" si="888"/>
        <v>3.7226027397260276E-3</v>
      </c>
      <c r="DN557" s="1" t="s">
        <v>1106</v>
      </c>
      <c r="DO557" s="1" t="s">
        <v>2</v>
      </c>
      <c r="DP557" s="38">
        <f t="shared" si="895"/>
        <v>0</v>
      </c>
      <c r="DQ557" s="38">
        <f t="shared" si="896"/>
        <v>0</v>
      </c>
      <c r="DR557" s="38">
        <f t="shared" si="897"/>
        <v>0</v>
      </c>
      <c r="DS557" s="38">
        <f t="shared" si="898"/>
        <v>0</v>
      </c>
      <c r="DT557" s="38">
        <f t="shared" si="899"/>
        <v>0</v>
      </c>
      <c r="DU557" s="38">
        <f t="shared" si="900"/>
        <v>0</v>
      </c>
      <c r="DV557" s="38">
        <f t="shared" si="901"/>
        <v>4.2639000000000003E-2</v>
      </c>
      <c r="DW557" s="38">
        <f t="shared" si="902"/>
        <v>6.7045999999999994E-2</v>
      </c>
      <c r="DX557" s="38">
        <f t="shared" si="903"/>
        <v>2.1740000000000002E-3</v>
      </c>
      <c r="DY557" s="38">
        <f t="shared" si="904"/>
        <v>0</v>
      </c>
      <c r="DZ557" s="38">
        <f t="shared" si="905"/>
        <v>0</v>
      </c>
      <c r="EA557" s="38">
        <f t="shared" si="906"/>
        <v>0</v>
      </c>
      <c r="EB557" s="38">
        <f t="shared" si="907"/>
        <v>0</v>
      </c>
      <c r="EC557" s="38">
        <f t="shared" si="908"/>
        <v>0</v>
      </c>
      <c r="ED557" s="38">
        <f t="shared" si="909"/>
        <v>0</v>
      </c>
      <c r="EE557" s="38">
        <f t="shared" si="910"/>
        <v>0</v>
      </c>
      <c r="EG557" s="38">
        <f t="shared" si="911"/>
        <v>0</v>
      </c>
      <c r="EH557" s="38">
        <f t="shared" si="912"/>
        <v>0</v>
      </c>
      <c r="EI557" s="38">
        <f t="shared" si="913"/>
        <v>0</v>
      </c>
      <c r="EJ557" s="38">
        <f t="shared" si="914"/>
        <v>0</v>
      </c>
      <c r="EK557" s="38">
        <f t="shared" si="915"/>
        <v>0</v>
      </c>
      <c r="EL557" s="38">
        <f t="shared" si="916"/>
        <v>0</v>
      </c>
      <c r="EM557" s="38">
        <f t="shared" si="917"/>
        <v>0</v>
      </c>
      <c r="EN557" s="38">
        <f t="shared" si="918"/>
        <v>0</v>
      </c>
      <c r="EO557" s="38">
        <f t="shared" si="919"/>
        <v>124.7405735838</v>
      </c>
      <c r="EP557" s="38">
        <f t="shared" si="920"/>
        <v>879.24124399999994</v>
      </c>
      <c r="EQ557" s="38">
        <f t="shared" si="921"/>
        <v>157.87484517599998</v>
      </c>
      <c r="ER557" s="38">
        <f t="shared" si="922"/>
        <v>0</v>
      </c>
      <c r="ES557" s="38">
        <f t="shared" si="923"/>
        <v>0</v>
      </c>
      <c r="ET557" s="38">
        <f t="shared" si="924"/>
        <v>0</v>
      </c>
      <c r="EU557" s="38">
        <f t="shared" si="925"/>
        <v>0</v>
      </c>
      <c r="EV557" s="38">
        <f t="shared" si="926"/>
        <v>0</v>
      </c>
      <c r="EW557" s="38">
        <f t="shared" si="927"/>
        <v>0</v>
      </c>
      <c r="EX557" s="38">
        <f t="shared" si="928"/>
        <v>0</v>
      </c>
      <c r="EZ557" s="38">
        <f t="shared" si="929"/>
        <v>0</v>
      </c>
      <c r="FA557" s="38">
        <f t="shared" si="930"/>
        <v>0</v>
      </c>
      <c r="FB557" s="1">
        <f t="shared" si="931"/>
        <v>0</v>
      </c>
      <c r="FC557" s="1">
        <f t="shared" si="932"/>
        <v>0</v>
      </c>
      <c r="FD557" s="1">
        <f t="shared" si="933"/>
        <v>0</v>
      </c>
      <c r="FE557" s="1">
        <f t="shared" si="934"/>
        <v>0</v>
      </c>
      <c r="FF557" s="1">
        <f t="shared" si="935"/>
        <v>0</v>
      </c>
      <c r="FG557" s="1">
        <f t="shared" si="936"/>
        <v>0</v>
      </c>
      <c r="FH557" s="1">
        <f t="shared" si="937"/>
        <v>0</v>
      </c>
      <c r="FI557" s="1">
        <f t="shared" si="938"/>
        <v>0</v>
      </c>
      <c r="FJ557" s="1">
        <f t="shared" si="939"/>
        <v>0</v>
      </c>
      <c r="FK557" s="1">
        <f t="shared" si="940"/>
        <v>0</v>
      </c>
      <c r="FL557" s="1">
        <f t="shared" si="941"/>
        <v>0</v>
      </c>
      <c r="FM557" s="1">
        <f t="shared" si="942"/>
        <v>0</v>
      </c>
      <c r="FN557" s="1">
        <f t="shared" si="943"/>
        <v>0</v>
      </c>
      <c r="FO557" s="1">
        <f t="shared" si="944"/>
        <v>0</v>
      </c>
      <c r="FP557" s="1">
        <f t="shared" si="945"/>
        <v>0</v>
      </c>
      <c r="FQ557" s="1">
        <f t="shared" si="946"/>
        <v>0</v>
      </c>
      <c r="FS557" s="1">
        <f t="shared" si="947"/>
        <v>0</v>
      </c>
      <c r="FT557" s="1">
        <f t="shared" si="948"/>
        <v>0</v>
      </c>
      <c r="FU557" s="38">
        <f t="shared" si="949"/>
        <v>0</v>
      </c>
      <c r="FV557" s="38">
        <f t="shared" si="950"/>
        <v>0</v>
      </c>
      <c r="FW557" s="38">
        <f t="shared" si="951"/>
        <v>0</v>
      </c>
      <c r="FX557" s="38">
        <f t="shared" si="952"/>
        <v>0</v>
      </c>
      <c r="FY557" s="38">
        <f t="shared" si="953"/>
        <v>0</v>
      </c>
      <c r="FZ557" s="38">
        <f t="shared" si="954"/>
        <v>0</v>
      </c>
      <c r="GA557" s="38">
        <f t="shared" si="955"/>
        <v>0</v>
      </c>
      <c r="GB557" s="38">
        <f t="shared" si="956"/>
        <v>0</v>
      </c>
      <c r="GC557" s="38">
        <f t="shared" si="957"/>
        <v>0</v>
      </c>
      <c r="GD557" s="38">
        <f t="shared" si="958"/>
        <v>0</v>
      </c>
      <c r="GE557" s="38">
        <f t="shared" si="959"/>
        <v>0</v>
      </c>
      <c r="GF557" s="38">
        <f t="shared" si="960"/>
        <v>0</v>
      </c>
      <c r="GG557" s="38">
        <f t="shared" si="961"/>
        <v>0</v>
      </c>
      <c r="GH557" s="38">
        <f t="shared" si="962"/>
        <v>0</v>
      </c>
      <c r="GI557" s="38">
        <f t="shared" si="963"/>
        <v>0</v>
      </c>
      <c r="GJ557" s="38">
        <f t="shared" si="964"/>
        <v>0</v>
      </c>
      <c r="GL557" s="38">
        <f t="shared" si="965"/>
        <v>0</v>
      </c>
      <c r="GM557" s="38">
        <f t="shared" si="966"/>
        <v>0</v>
      </c>
      <c r="GN557" s="1" t="s">
        <v>2</v>
      </c>
      <c r="GO557" s="1">
        <f t="shared" si="889"/>
        <v>58.4</v>
      </c>
      <c r="GP557" s="13">
        <f t="shared" si="890"/>
        <v>0.11480479452054795</v>
      </c>
      <c r="GQ557" s="41">
        <f t="shared" si="891"/>
        <v>67.046000000000006</v>
      </c>
      <c r="GR557" s="41">
        <f t="shared" si="892"/>
        <v>1161.8566627598</v>
      </c>
      <c r="GS557" s="14">
        <f t="shared" si="893"/>
        <v>19.894805869174657</v>
      </c>
      <c r="GT557" s="1">
        <f t="shared" si="967"/>
        <v>53.204000000000008</v>
      </c>
      <c r="GU557" s="1">
        <f t="shared" si="968"/>
        <v>1.3980000000000001</v>
      </c>
      <c r="GV557" s="1">
        <f t="shared" si="969"/>
        <v>12.443999999999999</v>
      </c>
      <c r="GW557" s="37">
        <f t="shared" si="894"/>
        <v>0</v>
      </c>
      <c r="GX557" s="37"/>
      <c r="GY557" s="37"/>
      <c r="GZ557" s="37"/>
      <c r="HB557" s="1">
        <f t="shared" si="970"/>
        <v>0</v>
      </c>
      <c r="HC557" s="1">
        <f t="shared" si="971"/>
        <v>0</v>
      </c>
      <c r="HD557" s="37" t="s">
        <v>2</v>
      </c>
      <c r="HE557" s="1" t="s">
        <v>113</v>
      </c>
      <c r="HF557" s="1" t="s">
        <v>129</v>
      </c>
      <c r="HI557" s="1" t="s">
        <v>96</v>
      </c>
      <c r="HJ557" s="37" t="s">
        <v>2</v>
      </c>
      <c r="JH557" s="58" t="s">
        <v>2</v>
      </c>
    </row>
    <row r="558" spans="1:268" ht="16.25" customHeight="1" x14ac:dyDescent="0.2">
      <c r="A558" s="15" t="s">
        <v>1037</v>
      </c>
      <c r="B558" s="1" t="s">
        <v>69</v>
      </c>
      <c r="F558" s="1" t="s">
        <v>1038</v>
      </c>
      <c r="I558" s="1">
        <v>13.8</v>
      </c>
      <c r="J558" s="1">
        <v>0.34</v>
      </c>
      <c r="Q558" s="1">
        <v>2.4900000000000002</v>
      </c>
      <c r="R558" s="1">
        <v>0.21</v>
      </c>
      <c r="S558" s="1">
        <v>0.16</v>
      </c>
      <c r="T558" s="1">
        <v>0.19</v>
      </c>
      <c r="AD558" s="1">
        <v>23.4</v>
      </c>
      <c r="AE558" s="1">
        <v>0.36</v>
      </c>
      <c r="AL558" s="1">
        <v>2.72</v>
      </c>
      <c r="AM558" s="1">
        <v>0.19</v>
      </c>
      <c r="AN558" s="1">
        <v>0.41</v>
      </c>
      <c r="AO558" s="1">
        <v>0.28000000000000003</v>
      </c>
      <c r="AY558" s="1">
        <v>21</v>
      </c>
      <c r="AZ558" s="1">
        <v>0.3</v>
      </c>
      <c r="BG558" s="1">
        <v>2.6</v>
      </c>
      <c r="BH558" s="1">
        <v>0.2</v>
      </c>
      <c r="BI558" s="1">
        <v>0.3</v>
      </c>
      <c r="BJ558" s="1">
        <v>0.3</v>
      </c>
      <c r="BT558" s="1">
        <v>0</v>
      </c>
      <c r="CO558" s="1">
        <v>0</v>
      </c>
      <c r="DJ558" s="1" t="s">
        <v>96</v>
      </c>
      <c r="DK558" s="1" t="s">
        <v>96</v>
      </c>
      <c r="DL558" s="1">
        <f t="shared" si="887"/>
        <v>2.6221649484536083</v>
      </c>
      <c r="DM558" s="1">
        <f t="shared" si="888"/>
        <v>0.19835051546391752</v>
      </c>
      <c r="DN558" s="1" t="s">
        <v>73</v>
      </c>
      <c r="DO558" s="1" t="s">
        <v>2</v>
      </c>
      <c r="DP558" s="38">
        <f t="shared" si="895"/>
        <v>0.19416</v>
      </c>
      <c r="DQ558" s="38">
        <f t="shared" si="896"/>
        <v>0</v>
      </c>
      <c r="DR558" s="38">
        <f t="shared" si="897"/>
        <v>0</v>
      </c>
      <c r="DS558" s="38">
        <f t="shared" si="898"/>
        <v>0</v>
      </c>
      <c r="DT558" s="38">
        <f t="shared" si="899"/>
        <v>0</v>
      </c>
      <c r="DU558" s="38">
        <f t="shared" si="900"/>
        <v>0</v>
      </c>
      <c r="DV558" s="38">
        <f t="shared" si="901"/>
        <v>0</v>
      </c>
      <c r="DW558" s="38">
        <f t="shared" si="902"/>
        <v>1.5261000000000002</v>
      </c>
      <c r="DX558" s="38">
        <f t="shared" si="903"/>
        <v>0.11544</v>
      </c>
      <c r="DY558" s="38">
        <f t="shared" si="904"/>
        <v>18.102</v>
      </c>
      <c r="DZ558" s="38">
        <f t="shared" si="905"/>
        <v>15.474</v>
      </c>
      <c r="EA558" s="38">
        <f t="shared" si="906"/>
        <v>0</v>
      </c>
      <c r="EB558" s="38">
        <f t="shared" si="907"/>
        <v>0</v>
      </c>
      <c r="EC558" s="38">
        <f t="shared" si="908"/>
        <v>0</v>
      </c>
      <c r="ED558" s="38">
        <f t="shared" si="909"/>
        <v>0</v>
      </c>
      <c r="EE558" s="38">
        <f t="shared" si="910"/>
        <v>0</v>
      </c>
      <c r="EG558" s="38">
        <f t="shared" si="911"/>
        <v>0</v>
      </c>
      <c r="EH558" s="38">
        <f t="shared" si="912"/>
        <v>0</v>
      </c>
      <c r="EI558" s="38">
        <f t="shared" si="913"/>
        <v>1267.01360256</v>
      </c>
      <c r="EJ558" s="38">
        <f t="shared" si="914"/>
        <v>0</v>
      </c>
      <c r="EK558" s="38">
        <f t="shared" si="915"/>
        <v>0</v>
      </c>
      <c r="EL558" s="38">
        <f t="shared" si="916"/>
        <v>0</v>
      </c>
      <c r="EM558" s="38">
        <f t="shared" si="917"/>
        <v>0</v>
      </c>
      <c r="EN558" s="38">
        <f t="shared" si="918"/>
        <v>0</v>
      </c>
      <c r="EO558" s="38">
        <f t="shared" si="919"/>
        <v>0</v>
      </c>
      <c r="EP558" s="38">
        <f t="shared" si="920"/>
        <v>20013.275400000002</v>
      </c>
      <c r="EQ558" s="38">
        <f t="shared" si="921"/>
        <v>8383.1978505599982</v>
      </c>
      <c r="ER558" s="38">
        <f t="shared" si="922"/>
        <v>513.75920643086806</v>
      </c>
      <c r="ES558" s="38">
        <f t="shared" si="923"/>
        <v>515.68224501607722</v>
      </c>
      <c r="ET558" s="38">
        <f t="shared" si="924"/>
        <v>0</v>
      </c>
      <c r="EU558" s="38">
        <f t="shared" si="925"/>
        <v>0</v>
      </c>
      <c r="EV558" s="38">
        <f t="shared" si="926"/>
        <v>0</v>
      </c>
      <c r="EW558" s="38">
        <f t="shared" si="927"/>
        <v>0</v>
      </c>
      <c r="EX558" s="38">
        <f t="shared" si="928"/>
        <v>0</v>
      </c>
      <c r="EZ558" s="38">
        <f t="shared" si="929"/>
        <v>0</v>
      </c>
      <c r="FA558" s="38">
        <f t="shared" si="930"/>
        <v>0</v>
      </c>
      <c r="FB558" s="1">
        <f t="shared" si="931"/>
        <v>0</v>
      </c>
      <c r="FC558" s="1">
        <f t="shared" si="932"/>
        <v>0</v>
      </c>
      <c r="FD558" s="1">
        <f t="shared" si="933"/>
        <v>0</v>
      </c>
      <c r="FE558" s="1">
        <f t="shared" si="934"/>
        <v>0</v>
      </c>
      <c r="FF558" s="1">
        <f t="shared" si="935"/>
        <v>0</v>
      </c>
      <c r="FG558" s="1">
        <f t="shared" si="936"/>
        <v>0</v>
      </c>
      <c r="FH558" s="1">
        <f t="shared" si="937"/>
        <v>0</v>
      </c>
      <c r="FI558" s="1">
        <f t="shared" si="938"/>
        <v>0</v>
      </c>
      <c r="FJ558" s="1">
        <f t="shared" si="939"/>
        <v>0</v>
      </c>
      <c r="FK558" s="1">
        <f t="shared" si="940"/>
        <v>0</v>
      </c>
      <c r="FL558" s="1">
        <f t="shared" si="941"/>
        <v>0</v>
      </c>
      <c r="FM558" s="1">
        <f t="shared" si="942"/>
        <v>0</v>
      </c>
      <c r="FN558" s="1">
        <f t="shared" si="943"/>
        <v>0</v>
      </c>
      <c r="FO558" s="1">
        <f t="shared" si="944"/>
        <v>0</v>
      </c>
      <c r="FP558" s="1">
        <f t="shared" si="945"/>
        <v>0</v>
      </c>
      <c r="FQ558" s="1">
        <f t="shared" si="946"/>
        <v>0</v>
      </c>
      <c r="FS558" s="1">
        <f t="shared" si="947"/>
        <v>0</v>
      </c>
      <c r="FT558" s="1">
        <f t="shared" si="948"/>
        <v>0</v>
      </c>
      <c r="FU558" s="38">
        <f t="shared" si="949"/>
        <v>0</v>
      </c>
      <c r="FV558" s="38">
        <f t="shared" si="950"/>
        <v>0</v>
      </c>
      <c r="FW558" s="38">
        <f t="shared" si="951"/>
        <v>0</v>
      </c>
      <c r="FX558" s="38">
        <f t="shared" si="952"/>
        <v>0</v>
      </c>
      <c r="FY558" s="38">
        <f t="shared" si="953"/>
        <v>0</v>
      </c>
      <c r="FZ558" s="38">
        <f t="shared" si="954"/>
        <v>0</v>
      </c>
      <c r="GA558" s="38">
        <f t="shared" si="955"/>
        <v>0</v>
      </c>
      <c r="GB558" s="38">
        <f t="shared" si="956"/>
        <v>0</v>
      </c>
      <c r="GC558" s="38">
        <f t="shared" si="957"/>
        <v>0</v>
      </c>
      <c r="GD558" s="38">
        <f t="shared" si="958"/>
        <v>0</v>
      </c>
      <c r="GE558" s="38">
        <f t="shared" si="959"/>
        <v>0</v>
      </c>
      <c r="GF558" s="38">
        <f t="shared" si="960"/>
        <v>0</v>
      </c>
      <c r="GG558" s="38">
        <f t="shared" si="961"/>
        <v>0</v>
      </c>
      <c r="GH558" s="38">
        <f t="shared" si="962"/>
        <v>0</v>
      </c>
      <c r="GI558" s="38">
        <f t="shared" si="963"/>
        <v>0</v>
      </c>
      <c r="GJ558" s="38">
        <f t="shared" si="964"/>
        <v>0</v>
      </c>
      <c r="GL558" s="38">
        <f t="shared" si="965"/>
        <v>0</v>
      </c>
      <c r="GM558" s="38">
        <f t="shared" si="966"/>
        <v>0</v>
      </c>
      <c r="GN558" s="1" t="s">
        <v>2</v>
      </c>
      <c r="GO558" s="1">
        <f t="shared" si="889"/>
        <v>58.2</v>
      </c>
      <c r="GP558" s="13">
        <f t="shared" si="890"/>
        <v>2.6221649484536083</v>
      </c>
      <c r="GQ558" s="43">
        <f t="shared" si="891"/>
        <v>1526.1</v>
      </c>
      <c r="GR558" s="41">
        <f t="shared" si="892"/>
        <v>30692.928304566944</v>
      </c>
      <c r="GS558" s="14">
        <f t="shared" si="893"/>
        <v>527.36990214032551</v>
      </c>
      <c r="GT558" s="1">
        <f t="shared" si="967"/>
        <v>343.62</v>
      </c>
      <c r="GU558" s="1">
        <f t="shared" si="968"/>
        <v>636.48</v>
      </c>
      <c r="GV558" s="1">
        <f t="shared" si="969"/>
        <v>546</v>
      </c>
      <c r="GW558" s="37">
        <f t="shared" si="894"/>
        <v>0</v>
      </c>
      <c r="GX558" s="37"/>
      <c r="GY558" s="37"/>
      <c r="GZ558" s="37"/>
      <c r="HB558" s="1">
        <f t="shared" si="970"/>
        <v>0</v>
      </c>
      <c r="HC558" s="1">
        <f t="shared" si="971"/>
        <v>0</v>
      </c>
      <c r="HD558" s="37" t="s">
        <v>2</v>
      </c>
      <c r="HE558" s="1" t="s">
        <v>113</v>
      </c>
      <c r="HF558" s="1" t="s">
        <v>129</v>
      </c>
      <c r="HI558" s="1" t="s">
        <v>96</v>
      </c>
      <c r="HJ558" s="37" t="s">
        <v>2</v>
      </c>
      <c r="JH558" s="58" t="s">
        <v>2</v>
      </c>
    </row>
    <row r="559" spans="1:268" ht="16.25" customHeight="1" x14ac:dyDescent="0.2">
      <c r="A559" s="15" t="s">
        <v>1039</v>
      </c>
      <c r="B559" s="1" t="s">
        <v>69</v>
      </c>
      <c r="F559" s="1" t="s">
        <v>1040</v>
      </c>
      <c r="I559" s="1">
        <v>1.1240000000000001</v>
      </c>
      <c r="J559" s="1">
        <v>0.28999999999999998</v>
      </c>
      <c r="K559" s="2">
        <v>0.02</v>
      </c>
      <c r="Q559" s="1">
        <v>1.74</v>
      </c>
      <c r="R559" s="1">
        <v>0.06</v>
      </c>
      <c r="S559" s="1">
        <v>3.2000000000000001E-2</v>
      </c>
      <c r="T559" s="1">
        <v>3.7999999999999999E-2</v>
      </c>
      <c r="AD559" s="1">
        <v>19.199000000000002</v>
      </c>
      <c r="AE559" s="1">
        <v>0.12</v>
      </c>
      <c r="AF559" s="1">
        <v>2.8000000000000001E-2</v>
      </c>
      <c r="AL559" s="1">
        <v>0.51</v>
      </c>
      <c r="AM559" s="1">
        <v>0.02</v>
      </c>
      <c r="AN559" s="1">
        <v>3.5000000000000003E-2</v>
      </c>
      <c r="AO559" s="1">
        <v>4.4999999999999998E-2</v>
      </c>
      <c r="AY559" s="1">
        <v>35.93</v>
      </c>
      <c r="AZ559" s="1">
        <v>0.14000000000000001</v>
      </c>
      <c r="BA559" s="1">
        <v>0.01</v>
      </c>
      <c r="BG559" s="13">
        <v>0.7</v>
      </c>
      <c r="BH559" s="1">
        <v>0.02</v>
      </c>
      <c r="BI559" s="1">
        <v>0.01</v>
      </c>
      <c r="BJ559" s="1">
        <v>0.02</v>
      </c>
      <c r="BT559" s="1">
        <v>0</v>
      </c>
      <c r="CO559" s="1">
        <v>0</v>
      </c>
      <c r="DJ559" s="1" t="s">
        <v>96</v>
      </c>
      <c r="DK559" s="1" t="s">
        <v>96</v>
      </c>
      <c r="DL559" s="1">
        <f t="shared" si="887"/>
        <v>0.65593390574724908</v>
      </c>
      <c r="DM559" s="1">
        <f t="shared" si="888"/>
        <v>2.0799246262421561E-2</v>
      </c>
      <c r="DN559" s="1" t="s">
        <v>67</v>
      </c>
      <c r="DO559" s="1" t="s">
        <v>2</v>
      </c>
      <c r="DP559" s="38">
        <f t="shared" si="895"/>
        <v>7.6600399999999999E-2</v>
      </c>
      <c r="DQ559" s="38">
        <f t="shared" si="896"/>
        <v>0.91935200000000017</v>
      </c>
      <c r="DR559" s="38">
        <f t="shared" si="897"/>
        <v>0</v>
      </c>
      <c r="DS559" s="38">
        <f t="shared" si="898"/>
        <v>0</v>
      </c>
      <c r="DT559" s="38">
        <f t="shared" si="899"/>
        <v>0</v>
      </c>
      <c r="DU559" s="38">
        <f t="shared" si="900"/>
        <v>0</v>
      </c>
      <c r="DV559" s="38">
        <f t="shared" si="901"/>
        <v>0</v>
      </c>
      <c r="DW559" s="38">
        <f t="shared" si="902"/>
        <v>0.36898250000000005</v>
      </c>
      <c r="DX559" s="38">
        <f t="shared" si="903"/>
        <v>1.1700200000000001E-2</v>
      </c>
      <c r="DY559" s="38">
        <f t="shared" si="904"/>
        <v>1.0672330000000001</v>
      </c>
      <c r="DZ559" s="38">
        <f t="shared" si="905"/>
        <v>1.625267</v>
      </c>
      <c r="EA559" s="38">
        <f t="shared" si="906"/>
        <v>0</v>
      </c>
      <c r="EB559" s="38">
        <f t="shared" si="907"/>
        <v>0</v>
      </c>
      <c r="EC559" s="38">
        <f t="shared" si="908"/>
        <v>0</v>
      </c>
      <c r="ED559" s="38">
        <f t="shared" si="909"/>
        <v>0</v>
      </c>
      <c r="EE559" s="38">
        <f t="shared" si="910"/>
        <v>0</v>
      </c>
      <c r="EG559" s="38">
        <f t="shared" si="911"/>
        <v>0</v>
      </c>
      <c r="EH559" s="38">
        <f t="shared" si="912"/>
        <v>0</v>
      </c>
      <c r="EI559" s="38">
        <f t="shared" si="913"/>
        <v>499.8647958464</v>
      </c>
      <c r="EJ559" s="38">
        <f t="shared" si="914"/>
        <v>37.601792411575566</v>
      </c>
      <c r="EK559" s="38">
        <f t="shared" si="915"/>
        <v>0</v>
      </c>
      <c r="EL559" s="38">
        <f t="shared" si="916"/>
        <v>0</v>
      </c>
      <c r="EM559" s="38">
        <f t="shared" si="917"/>
        <v>0</v>
      </c>
      <c r="EN559" s="38">
        <f t="shared" si="918"/>
        <v>0</v>
      </c>
      <c r="EO559" s="38">
        <f t="shared" si="919"/>
        <v>0</v>
      </c>
      <c r="EP559" s="38">
        <f t="shared" si="920"/>
        <v>4838.8365050000002</v>
      </c>
      <c r="EQ559" s="38">
        <f t="shared" si="921"/>
        <v>849.66295470479997</v>
      </c>
      <c r="ER559" s="38">
        <f t="shared" si="922"/>
        <v>30.289513819292601</v>
      </c>
      <c r="ES559" s="38">
        <f t="shared" si="923"/>
        <v>54.163198611254025</v>
      </c>
      <c r="ET559" s="38">
        <f t="shared" si="924"/>
        <v>0</v>
      </c>
      <c r="EU559" s="38">
        <f t="shared" si="925"/>
        <v>0</v>
      </c>
      <c r="EV559" s="38">
        <f t="shared" si="926"/>
        <v>0</v>
      </c>
      <c r="EW559" s="38">
        <f t="shared" si="927"/>
        <v>0</v>
      </c>
      <c r="EX559" s="38">
        <f t="shared" si="928"/>
        <v>0</v>
      </c>
      <c r="EZ559" s="38">
        <f t="shared" si="929"/>
        <v>0</v>
      </c>
      <c r="FA559" s="38">
        <f t="shared" si="930"/>
        <v>0</v>
      </c>
      <c r="FB559" s="1">
        <f t="shared" si="931"/>
        <v>0</v>
      </c>
      <c r="FC559" s="1">
        <f t="shared" si="932"/>
        <v>0</v>
      </c>
      <c r="FD559" s="1">
        <f t="shared" si="933"/>
        <v>0</v>
      </c>
      <c r="FE559" s="1">
        <f t="shared" si="934"/>
        <v>0</v>
      </c>
      <c r="FF559" s="1">
        <f t="shared" si="935"/>
        <v>0</v>
      </c>
      <c r="FG559" s="1">
        <f t="shared" si="936"/>
        <v>0</v>
      </c>
      <c r="FH559" s="1">
        <f t="shared" si="937"/>
        <v>0</v>
      </c>
      <c r="FI559" s="1">
        <f t="shared" si="938"/>
        <v>0</v>
      </c>
      <c r="FJ559" s="1">
        <f t="shared" si="939"/>
        <v>0</v>
      </c>
      <c r="FK559" s="1">
        <f t="shared" si="940"/>
        <v>0</v>
      </c>
      <c r="FL559" s="1">
        <f t="shared" si="941"/>
        <v>0</v>
      </c>
      <c r="FM559" s="1">
        <f t="shared" si="942"/>
        <v>0</v>
      </c>
      <c r="FN559" s="1">
        <f t="shared" si="943"/>
        <v>0</v>
      </c>
      <c r="FO559" s="1">
        <f t="shared" si="944"/>
        <v>0</v>
      </c>
      <c r="FP559" s="1">
        <f t="shared" si="945"/>
        <v>0</v>
      </c>
      <c r="FQ559" s="1">
        <f t="shared" si="946"/>
        <v>0</v>
      </c>
      <c r="FS559" s="1">
        <f t="shared" si="947"/>
        <v>0</v>
      </c>
      <c r="FT559" s="1">
        <f t="shared" si="948"/>
        <v>0</v>
      </c>
      <c r="FU559" s="38">
        <f t="shared" si="949"/>
        <v>0</v>
      </c>
      <c r="FV559" s="38">
        <f t="shared" si="950"/>
        <v>0</v>
      </c>
      <c r="FW559" s="38">
        <f t="shared" si="951"/>
        <v>0</v>
      </c>
      <c r="FX559" s="38">
        <f t="shared" si="952"/>
        <v>0</v>
      </c>
      <c r="FY559" s="38">
        <f t="shared" si="953"/>
        <v>0</v>
      </c>
      <c r="FZ559" s="38">
        <f t="shared" si="954"/>
        <v>0</v>
      </c>
      <c r="GA559" s="38">
        <f t="shared" si="955"/>
        <v>0</v>
      </c>
      <c r="GB559" s="38">
        <f t="shared" si="956"/>
        <v>0</v>
      </c>
      <c r="GC559" s="38">
        <f t="shared" si="957"/>
        <v>0</v>
      </c>
      <c r="GD559" s="38">
        <f t="shared" si="958"/>
        <v>0</v>
      </c>
      <c r="GE559" s="38">
        <f t="shared" si="959"/>
        <v>0</v>
      </c>
      <c r="GF559" s="38">
        <f t="shared" si="960"/>
        <v>0</v>
      </c>
      <c r="GG559" s="38">
        <f t="shared" si="961"/>
        <v>0</v>
      </c>
      <c r="GH559" s="38">
        <f t="shared" si="962"/>
        <v>0</v>
      </c>
      <c r="GI559" s="38">
        <f t="shared" si="963"/>
        <v>0</v>
      </c>
      <c r="GJ559" s="38">
        <f t="shared" si="964"/>
        <v>0</v>
      </c>
      <c r="GL559" s="38">
        <f t="shared" si="965"/>
        <v>0</v>
      </c>
      <c r="GM559" s="38">
        <f t="shared" si="966"/>
        <v>0</v>
      </c>
      <c r="GN559" s="1" t="s">
        <v>2</v>
      </c>
      <c r="GO559" s="13">
        <f t="shared" si="889"/>
        <v>56.253</v>
      </c>
      <c r="GP559" s="13">
        <f t="shared" si="890"/>
        <v>0.65593390574724908</v>
      </c>
      <c r="GQ559" s="41">
        <f t="shared" si="891"/>
        <v>368.98250000000002</v>
      </c>
      <c r="GR559" s="41">
        <f t="shared" si="892"/>
        <v>6310.4187603933224</v>
      </c>
      <c r="GS559" s="14">
        <f t="shared" si="893"/>
        <v>112.17923951421831</v>
      </c>
      <c r="GT559" s="1">
        <f t="shared" si="967"/>
        <v>19.557600000000001</v>
      </c>
      <c r="GU559" s="1">
        <f t="shared" si="968"/>
        <v>97.914900000000017</v>
      </c>
      <c r="GV559" s="1">
        <f t="shared" si="969"/>
        <v>251.51</v>
      </c>
      <c r="GW559" s="37">
        <f t="shared" si="894"/>
        <v>0</v>
      </c>
      <c r="GX559" s="37"/>
      <c r="GY559" s="37"/>
      <c r="GZ559" s="37"/>
      <c r="HB559" s="1">
        <f t="shared" si="970"/>
        <v>0</v>
      </c>
      <c r="HC559" s="1">
        <f t="shared" si="971"/>
        <v>0</v>
      </c>
      <c r="HD559" s="37" t="s">
        <v>2</v>
      </c>
      <c r="HE559" s="1" t="s">
        <v>113</v>
      </c>
      <c r="HF559" s="1" t="s">
        <v>129</v>
      </c>
      <c r="HI559" s="1" t="s">
        <v>96</v>
      </c>
      <c r="HJ559" s="37" t="s">
        <v>2</v>
      </c>
      <c r="JH559" s="58" t="s">
        <v>2</v>
      </c>
    </row>
    <row r="560" spans="1:268" ht="16.25" customHeight="1" x14ac:dyDescent="0.2">
      <c r="A560" s="15" t="s">
        <v>1044</v>
      </c>
      <c r="B560" s="1" t="s">
        <v>69</v>
      </c>
      <c r="F560" s="1" t="s">
        <v>1045</v>
      </c>
      <c r="I560" s="1">
        <v>1.8680000000000001</v>
      </c>
      <c r="J560" s="1">
        <v>2.4</v>
      </c>
      <c r="K560" s="1">
        <v>0.3</v>
      </c>
      <c r="Q560" s="1">
        <v>2.6</v>
      </c>
      <c r="R560" s="1">
        <v>0.1</v>
      </c>
      <c r="S560" s="1">
        <v>0.64</v>
      </c>
      <c r="T560" s="1">
        <v>0.43</v>
      </c>
      <c r="AD560" s="1">
        <f>0.82+1.293</f>
        <v>2.113</v>
      </c>
      <c r="AE560" s="14">
        <f>(1.8*0.82+4.2*1.293)/AD560</f>
        <v>3.2686228111689539</v>
      </c>
      <c r="AF560" s="14">
        <f>(0.2*0.82+0.5*1.293)/AD560</f>
        <v>0.38357785139611927</v>
      </c>
      <c r="AL560" s="14">
        <f>(2.4*0.82+5.2*1.293)/AD560</f>
        <v>4.1133932796971129</v>
      </c>
      <c r="AM560" s="14">
        <f>(0.1*0.82+0.1*1.293)/AD560</f>
        <v>9.9999999999999992E-2</v>
      </c>
      <c r="AN560" s="1">
        <v>0.64</v>
      </c>
      <c r="AO560" s="1">
        <v>0.43</v>
      </c>
      <c r="AY560" s="1">
        <f>0.023+0.29</f>
        <v>0.313</v>
      </c>
      <c r="AZ560" s="14">
        <f>(0.9*0.023+1.4*0.29)/AY560</f>
        <v>1.3632587859424918</v>
      </c>
      <c r="BA560" s="14">
        <f>(0.1*0.023+0.2*0.29)/AY560</f>
        <v>0.19265175718849839</v>
      </c>
      <c r="BG560" s="14">
        <f>(1*0.023+1.7*0.29)/AY560</f>
        <v>1.6485623003194885</v>
      </c>
      <c r="BH560" s="1">
        <v>0.1</v>
      </c>
      <c r="BI560" s="1">
        <v>0.64</v>
      </c>
      <c r="BJ560" s="1">
        <v>0.43</v>
      </c>
      <c r="BT560" s="1">
        <v>1.7110000000000001</v>
      </c>
      <c r="BU560" s="1">
        <v>2.1</v>
      </c>
      <c r="BV560" s="1">
        <v>0.2</v>
      </c>
      <c r="CB560" s="1">
        <v>2.1</v>
      </c>
      <c r="CC560" s="1">
        <v>0.1</v>
      </c>
      <c r="CD560" s="1">
        <v>0.64</v>
      </c>
      <c r="CE560" s="1">
        <v>0.43</v>
      </c>
      <c r="CO560" s="1">
        <f>0.833+1.544</f>
        <v>2.3769999999999998</v>
      </c>
      <c r="CP560" s="14">
        <f>(1.3*0.833+3*1.544)/CO560</f>
        <v>2.4042490534286918</v>
      </c>
      <c r="CQ560" s="14">
        <f>(0.1*0.833+0.4*1.544)/CO560</f>
        <v>0.294867480016828</v>
      </c>
      <c r="CW560" s="14">
        <f>(1.7*0.833+3.7*1.544)/CO560</f>
        <v>2.9991165334455201</v>
      </c>
      <c r="CX560" s="14">
        <f>(0.1*0.833+0.1*1.544)/CO560</f>
        <v>0.10000000000000002</v>
      </c>
      <c r="CY560" s="1">
        <v>0.64</v>
      </c>
      <c r="CZ560" s="1">
        <v>0.43</v>
      </c>
      <c r="DJ560" s="1" t="s">
        <v>96</v>
      </c>
      <c r="DK560" s="1" t="s">
        <v>96</v>
      </c>
      <c r="DL560" s="1">
        <f t="shared" si="887"/>
        <v>3.2753609687936662</v>
      </c>
      <c r="DM560" s="1">
        <f t="shared" si="888"/>
        <v>0.1</v>
      </c>
      <c r="DN560" s="1" t="s">
        <v>73</v>
      </c>
      <c r="DO560" s="1" t="s">
        <v>2</v>
      </c>
      <c r="DP560" s="38">
        <f t="shared" si="895"/>
        <v>0.11816499999999999</v>
      </c>
      <c r="DQ560" s="38">
        <f t="shared" si="896"/>
        <v>1.4312</v>
      </c>
      <c r="DR560" s="38">
        <f t="shared" si="897"/>
        <v>0</v>
      </c>
      <c r="DS560" s="38">
        <f t="shared" si="898"/>
        <v>0</v>
      </c>
      <c r="DT560" s="38">
        <f t="shared" si="899"/>
        <v>0</v>
      </c>
      <c r="DU560" s="38">
        <f t="shared" si="900"/>
        <v>0</v>
      </c>
      <c r="DV560" s="38">
        <f t="shared" si="901"/>
        <v>0</v>
      </c>
      <c r="DW560" s="38">
        <f t="shared" si="902"/>
        <v>0.14064400000000002</v>
      </c>
      <c r="DX560" s="38">
        <f t="shared" si="903"/>
        <v>4.2940000000000001E-3</v>
      </c>
      <c r="DY560" s="38">
        <f t="shared" si="904"/>
        <v>2.7481599999999999</v>
      </c>
      <c r="DZ560" s="38">
        <f t="shared" si="905"/>
        <v>1.84642</v>
      </c>
      <c r="EA560" s="38">
        <f t="shared" si="906"/>
        <v>0</v>
      </c>
      <c r="EB560" s="38">
        <f t="shared" si="907"/>
        <v>0</v>
      </c>
      <c r="EC560" s="38">
        <f t="shared" si="908"/>
        <v>0</v>
      </c>
      <c r="ED560" s="38">
        <f t="shared" si="909"/>
        <v>0</v>
      </c>
      <c r="EE560" s="38">
        <f t="shared" si="910"/>
        <v>0</v>
      </c>
      <c r="EG560" s="38">
        <f t="shared" si="911"/>
        <v>0</v>
      </c>
      <c r="EH560" s="38">
        <f t="shared" si="912"/>
        <v>0</v>
      </c>
      <c r="EI560" s="38">
        <f t="shared" si="913"/>
        <v>771.09941463999996</v>
      </c>
      <c r="EJ560" s="38">
        <f t="shared" si="914"/>
        <v>58.53654019292604</v>
      </c>
      <c r="EK560" s="38">
        <f t="shared" si="915"/>
        <v>0</v>
      </c>
      <c r="EL560" s="38">
        <f t="shared" si="916"/>
        <v>0</v>
      </c>
      <c r="EM560" s="38">
        <f t="shared" si="917"/>
        <v>0</v>
      </c>
      <c r="EN560" s="38">
        <f t="shared" si="918"/>
        <v>0</v>
      </c>
      <c r="EO560" s="38">
        <f t="shared" si="919"/>
        <v>0</v>
      </c>
      <c r="EP560" s="38">
        <f t="shared" si="920"/>
        <v>1844.4054160000003</v>
      </c>
      <c r="EQ560" s="38">
        <f t="shared" si="921"/>
        <v>311.82823605599998</v>
      </c>
      <c r="ER560" s="38">
        <f t="shared" si="922"/>
        <v>77.996492141479095</v>
      </c>
      <c r="ES560" s="38">
        <f t="shared" si="923"/>
        <v>61.533282334405143</v>
      </c>
      <c r="ET560" s="38">
        <f t="shared" si="924"/>
        <v>0</v>
      </c>
      <c r="EU560" s="38">
        <f t="shared" si="925"/>
        <v>0</v>
      </c>
      <c r="EV560" s="38">
        <f t="shared" si="926"/>
        <v>0</v>
      </c>
      <c r="EW560" s="38">
        <f t="shared" si="927"/>
        <v>0</v>
      </c>
      <c r="EX560" s="38">
        <f t="shared" si="928"/>
        <v>0</v>
      </c>
      <c r="EZ560" s="38">
        <f t="shared" si="929"/>
        <v>0</v>
      </c>
      <c r="FA560" s="38">
        <f t="shared" si="930"/>
        <v>0</v>
      </c>
      <c r="FB560" s="1">
        <f t="shared" si="931"/>
        <v>9.3079999999999996E-2</v>
      </c>
      <c r="FC560" s="1">
        <f t="shared" si="932"/>
        <v>1.0431000000000001</v>
      </c>
      <c r="FD560" s="1">
        <f t="shared" si="933"/>
        <v>0</v>
      </c>
      <c r="FE560" s="1">
        <f t="shared" si="934"/>
        <v>0</v>
      </c>
      <c r="FF560" s="1">
        <f t="shared" si="935"/>
        <v>0</v>
      </c>
      <c r="FG560" s="1">
        <f t="shared" si="936"/>
        <v>0</v>
      </c>
      <c r="FH560" s="1">
        <f t="shared" si="937"/>
        <v>0</v>
      </c>
      <c r="FI560" s="1">
        <f t="shared" si="938"/>
        <v>0.10722000000000001</v>
      </c>
      <c r="FJ560" s="1">
        <f t="shared" si="939"/>
        <v>4.0880000000000005E-3</v>
      </c>
      <c r="FK560" s="1">
        <f t="shared" si="940"/>
        <v>2.61632</v>
      </c>
      <c r="FL560" s="1">
        <f t="shared" si="941"/>
        <v>1.7578399999999998</v>
      </c>
      <c r="FM560" s="1">
        <f t="shared" si="942"/>
        <v>0</v>
      </c>
      <c r="FN560" s="1">
        <f t="shared" si="943"/>
        <v>0</v>
      </c>
      <c r="FO560" s="1">
        <f t="shared" si="944"/>
        <v>0</v>
      </c>
      <c r="FP560" s="1">
        <f t="shared" si="945"/>
        <v>0</v>
      </c>
      <c r="FQ560" s="1">
        <f t="shared" si="946"/>
        <v>0</v>
      </c>
      <c r="FS560" s="1">
        <f t="shared" si="947"/>
        <v>0</v>
      </c>
      <c r="FT560" s="1">
        <f t="shared" si="948"/>
        <v>0</v>
      </c>
      <c r="FU560" s="38">
        <f t="shared" si="949"/>
        <v>607.40433727999994</v>
      </c>
      <c r="FV560" s="38">
        <f t="shared" si="950"/>
        <v>42.663125401929257</v>
      </c>
      <c r="FW560" s="38">
        <f t="shared" si="951"/>
        <v>0</v>
      </c>
      <c r="FX560" s="38">
        <f t="shared" si="952"/>
        <v>0</v>
      </c>
      <c r="FY560" s="38">
        <f t="shared" si="953"/>
        <v>0</v>
      </c>
      <c r="FZ560" s="38">
        <f t="shared" si="954"/>
        <v>0</v>
      </c>
      <c r="GA560" s="38">
        <f t="shared" si="955"/>
        <v>0</v>
      </c>
      <c r="GB560" s="38">
        <f t="shared" si="956"/>
        <v>1406.0830800000001</v>
      </c>
      <c r="GC560" s="38">
        <f t="shared" si="957"/>
        <v>296.86861411199999</v>
      </c>
      <c r="GD560" s="38">
        <f t="shared" si="958"/>
        <v>74.254694893890658</v>
      </c>
      <c r="GE560" s="38">
        <f t="shared" si="959"/>
        <v>58.581289749196145</v>
      </c>
      <c r="GF560" s="38">
        <f t="shared" si="960"/>
        <v>0</v>
      </c>
      <c r="GG560" s="38">
        <f t="shared" si="961"/>
        <v>0</v>
      </c>
      <c r="GH560" s="38">
        <f t="shared" si="962"/>
        <v>0</v>
      </c>
      <c r="GI560" s="38">
        <f t="shared" si="963"/>
        <v>0</v>
      </c>
      <c r="GJ560" s="38">
        <f t="shared" si="964"/>
        <v>0</v>
      </c>
      <c r="GL560" s="38">
        <f t="shared" si="965"/>
        <v>0</v>
      </c>
      <c r="GM560" s="38">
        <f t="shared" si="966"/>
        <v>0</v>
      </c>
      <c r="GN560" s="1" t="s">
        <v>2</v>
      </c>
      <c r="GO560" s="1">
        <f t="shared" si="889"/>
        <v>4.2939999999999996</v>
      </c>
      <c r="GP560" s="13">
        <f t="shared" si="890"/>
        <v>3.2753609687936662</v>
      </c>
      <c r="GQ560" s="41">
        <f t="shared" si="891"/>
        <v>140.64400000000003</v>
      </c>
      <c r="GR560" s="41">
        <f t="shared" si="892"/>
        <v>3125.3993813648103</v>
      </c>
      <c r="GS560" s="14">
        <f t="shared" si="893"/>
        <v>727.85267381574533</v>
      </c>
      <c r="GT560" s="1">
        <f t="shared" si="967"/>
        <v>48.568000000000012</v>
      </c>
      <c r="GU560" s="1">
        <f t="shared" si="968"/>
        <v>86.915999999999983</v>
      </c>
      <c r="GV560" s="1">
        <f t="shared" si="969"/>
        <v>5.1599999999999993</v>
      </c>
      <c r="GW560" s="37">
        <f t="shared" si="894"/>
        <v>4.0880000000000001</v>
      </c>
      <c r="GX560" s="44">
        <f>(BT560*CB560+CO560*CW560)/GW560</f>
        <v>2.6227984344422701</v>
      </c>
      <c r="GY560" s="41">
        <f>1000*GW560*GX560/100</f>
        <v>107.22</v>
      </c>
      <c r="GZ560" s="41">
        <f>SUM(FU560:GM560)</f>
        <v>2485.8551414370163</v>
      </c>
      <c r="HA560" s="14">
        <f>GZ560/GW560</f>
        <v>608.08589565484738</v>
      </c>
      <c r="HB560" s="1">
        <f t="shared" si="970"/>
        <v>35.931000000000004</v>
      </c>
      <c r="HC560" s="1">
        <f t="shared" si="971"/>
        <v>71.289000000000001</v>
      </c>
      <c r="HD560" s="37" t="s">
        <v>2</v>
      </c>
      <c r="HE560" s="1" t="s">
        <v>113</v>
      </c>
      <c r="HF560" s="1" t="s">
        <v>129</v>
      </c>
      <c r="HI560" s="1" t="s">
        <v>96</v>
      </c>
      <c r="HJ560" s="37" t="s">
        <v>2</v>
      </c>
      <c r="JH560" s="58" t="s">
        <v>2</v>
      </c>
    </row>
    <row r="561" spans="1:268" ht="16.25" customHeight="1" x14ac:dyDescent="0.2">
      <c r="A561" s="15" t="s">
        <v>1020</v>
      </c>
      <c r="B561" s="1" t="s">
        <v>64</v>
      </c>
      <c r="F561" s="1" t="s">
        <v>1021</v>
      </c>
      <c r="I561" s="1">
        <v>0</v>
      </c>
      <c r="AD561" s="1">
        <v>5.65</v>
      </c>
      <c r="AE561" s="13">
        <v>0.2</v>
      </c>
      <c r="AL561" s="1">
        <v>1.01</v>
      </c>
      <c r="AM561" s="1">
        <v>7.0000000000000007E-2</v>
      </c>
      <c r="AN561" s="1">
        <v>0.03</v>
      </c>
      <c r="AO561" s="1">
        <v>0.6</v>
      </c>
      <c r="AY561" s="1">
        <v>0.36</v>
      </c>
      <c r="AZ561" s="13">
        <v>0.2</v>
      </c>
      <c r="BG561" s="1">
        <v>0.84</v>
      </c>
      <c r="BH561" s="1">
        <v>7.0000000000000007E-2</v>
      </c>
      <c r="BI561" s="1">
        <v>0.03</v>
      </c>
      <c r="BJ561" s="1">
        <v>0.6</v>
      </c>
      <c r="BT561" s="1">
        <v>0</v>
      </c>
      <c r="CO561" s="1">
        <v>0</v>
      </c>
      <c r="DJ561" s="1" t="s">
        <v>96</v>
      </c>
      <c r="DL561" s="1">
        <f t="shared" si="887"/>
        <v>0.99981697171381034</v>
      </c>
      <c r="DM561" s="1">
        <f t="shared" si="888"/>
        <v>7.0000000000000007E-2</v>
      </c>
      <c r="DN561" s="1" t="s">
        <v>1022</v>
      </c>
      <c r="DO561" s="1" t="s">
        <v>2</v>
      </c>
      <c r="DP561" s="38">
        <f t="shared" si="895"/>
        <v>1.2020000000000001E-2</v>
      </c>
      <c r="DQ561" s="38">
        <f t="shared" si="896"/>
        <v>0</v>
      </c>
      <c r="DR561" s="38">
        <f t="shared" si="897"/>
        <v>0</v>
      </c>
      <c r="DS561" s="38">
        <f t="shared" si="898"/>
        <v>0</v>
      </c>
      <c r="DT561" s="38">
        <f t="shared" si="899"/>
        <v>0</v>
      </c>
      <c r="DU561" s="38">
        <f t="shared" si="900"/>
        <v>0</v>
      </c>
      <c r="DV561" s="38">
        <f t="shared" si="901"/>
        <v>0</v>
      </c>
      <c r="DW561" s="38">
        <f t="shared" si="902"/>
        <v>6.0089000000000004E-2</v>
      </c>
      <c r="DX561" s="38">
        <f t="shared" si="903"/>
        <v>4.2070000000000007E-3</v>
      </c>
      <c r="DY561" s="38">
        <f t="shared" si="904"/>
        <v>0.18030000000000002</v>
      </c>
      <c r="DZ561" s="38">
        <f t="shared" si="905"/>
        <v>3.6060000000000003</v>
      </c>
      <c r="EA561" s="38">
        <f t="shared" si="906"/>
        <v>0</v>
      </c>
      <c r="EB561" s="38">
        <f t="shared" si="907"/>
        <v>0</v>
      </c>
      <c r="EC561" s="38">
        <f t="shared" si="908"/>
        <v>0</v>
      </c>
      <c r="ED561" s="38">
        <f t="shared" si="909"/>
        <v>0</v>
      </c>
      <c r="EE561" s="38">
        <f t="shared" si="910"/>
        <v>0</v>
      </c>
      <c r="EG561" s="38">
        <f t="shared" si="911"/>
        <v>0</v>
      </c>
      <c r="EH561" s="38">
        <f t="shared" si="912"/>
        <v>0</v>
      </c>
      <c r="EI561" s="38">
        <f t="shared" si="913"/>
        <v>78.437904320000001</v>
      </c>
      <c r="EJ561" s="38">
        <f t="shared" si="914"/>
        <v>0</v>
      </c>
      <c r="EK561" s="38">
        <f t="shared" si="915"/>
        <v>0</v>
      </c>
      <c r="EL561" s="38">
        <f t="shared" si="916"/>
        <v>0</v>
      </c>
      <c r="EM561" s="38">
        <f t="shared" si="917"/>
        <v>0</v>
      </c>
      <c r="EN561" s="38">
        <f t="shared" si="918"/>
        <v>0</v>
      </c>
      <c r="EO561" s="38">
        <f t="shared" si="919"/>
        <v>0</v>
      </c>
      <c r="EP561" s="38">
        <f t="shared" si="920"/>
        <v>788.00714600000003</v>
      </c>
      <c r="EQ561" s="38">
        <f t="shared" si="921"/>
        <v>305.51033746799999</v>
      </c>
      <c r="ER561" s="38">
        <f t="shared" si="922"/>
        <v>5.1171574919614136</v>
      </c>
      <c r="ES561" s="38">
        <f t="shared" si="923"/>
        <v>120.17255884244375</v>
      </c>
      <c r="ET561" s="38">
        <f t="shared" si="924"/>
        <v>0</v>
      </c>
      <c r="EU561" s="38">
        <f t="shared" si="925"/>
        <v>0</v>
      </c>
      <c r="EV561" s="38">
        <f t="shared" si="926"/>
        <v>0</v>
      </c>
      <c r="EW561" s="38">
        <f t="shared" si="927"/>
        <v>0</v>
      </c>
      <c r="EX561" s="38">
        <f t="shared" si="928"/>
        <v>0</v>
      </c>
      <c r="EZ561" s="38">
        <f t="shared" si="929"/>
        <v>0</v>
      </c>
      <c r="FA561" s="38">
        <f t="shared" si="930"/>
        <v>0</v>
      </c>
      <c r="FB561" s="1">
        <f t="shared" si="931"/>
        <v>0</v>
      </c>
      <c r="FC561" s="1">
        <f t="shared" si="932"/>
        <v>0</v>
      </c>
      <c r="FD561" s="1">
        <f t="shared" si="933"/>
        <v>0</v>
      </c>
      <c r="FE561" s="1">
        <f t="shared" si="934"/>
        <v>0</v>
      </c>
      <c r="FF561" s="1">
        <f t="shared" si="935"/>
        <v>0</v>
      </c>
      <c r="FG561" s="1">
        <f t="shared" si="936"/>
        <v>0</v>
      </c>
      <c r="FH561" s="1">
        <f t="shared" si="937"/>
        <v>0</v>
      </c>
      <c r="FI561" s="1">
        <f t="shared" si="938"/>
        <v>0</v>
      </c>
      <c r="FJ561" s="1">
        <f t="shared" si="939"/>
        <v>0</v>
      </c>
      <c r="FK561" s="1">
        <f t="shared" si="940"/>
        <v>0</v>
      </c>
      <c r="FL561" s="1">
        <f t="shared" si="941"/>
        <v>0</v>
      </c>
      <c r="FM561" s="1">
        <f t="shared" si="942"/>
        <v>0</v>
      </c>
      <c r="FN561" s="1">
        <f t="shared" si="943"/>
        <v>0</v>
      </c>
      <c r="FO561" s="1">
        <f t="shared" si="944"/>
        <v>0</v>
      </c>
      <c r="FP561" s="1">
        <f t="shared" si="945"/>
        <v>0</v>
      </c>
      <c r="FQ561" s="1">
        <f t="shared" si="946"/>
        <v>0</v>
      </c>
      <c r="FS561" s="1">
        <f t="shared" si="947"/>
        <v>0</v>
      </c>
      <c r="FT561" s="1">
        <f t="shared" si="948"/>
        <v>0</v>
      </c>
      <c r="FU561" s="38">
        <f t="shared" si="949"/>
        <v>0</v>
      </c>
      <c r="FV561" s="38">
        <f t="shared" si="950"/>
        <v>0</v>
      </c>
      <c r="FW561" s="38">
        <f t="shared" si="951"/>
        <v>0</v>
      </c>
      <c r="FX561" s="38">
        <f t="shared" si="952"/>
        <v>0</v>
      </c>
      <c r="FY561" s="38">
        <f t="shared" si="953"/>
        <v>0</v>
      </c>
      <c r="FZ561" s="38">
        <f t="shared" si="954"/>
        <v>0</v>
      </c>
      <c r="GA561" s="38">
        <f t="shared" si="955"/>
        <v>0</v>
      </c>
      <c r="GB561" s="38">
        <f t="shared" si="956"/>
        <v>0</v>
      </c>
      <c r="GC561" s="38">
        <f t="shared" si="957"/>
        <v>0</v>
      </c>
      <c r="GD561" s="38">
        <f t="shared" si="958"/>
        <v>0</v>
      </c>
      <c r="GE561" s="38">
        <f t="shared" si="959"/>
        <v>0</v>
      </c>
      <c r="GF561" s="38">
        <f t="shared" si="960"/>
        <v>0</v>
      </c>
      <c r="GG561" s="38">
        <f t="shared" si="961"/>
        <v>0</v>
      </c>
      <c r="GH561" s="38">
        <f t="shared" si="962"/>
        <v>0</v>
      </c>
      <c r="GI561" s="38">
        <f t="shared" si="963"/>
        <v>0</v>
      </c>
      <c r="GJ561" s="38">
        <f t="shared" si="964"/>
        <v>0</v>
      </c>
      <c r="GL561" s="38">
        <f t="shared" si="965"/>
        <v>0</v>
      </c>
      <c r="GM561" s="38">
        <f t="shared" si="966"/>
        <v>0</v>
      </c>
      <c r="GN561" s="1" t="s">
        <v>2</v>
      </c>
      <c r="GO561" s="1">
        <f t="shared" si="889"/>
        <v>6.0100000000000007</v>
      </c>
      <c r="GP561" s="13">
        <f t="shared" si="890"/>
        <v>0.99981697171381034</v>
      </c>
      <c r="GQ561" s="41">
        <f t="shared" si="891"/>
        <v>60.089000000000013</v>
      </c>
      <c r="GR561" s="41">
        <f t="shared" si="892"/>
        <v>1297.2451041224053</v>
      </c>
      <c r="GS561" s="14">
        <f t="shared" si="893"/>
        <v>215.84777106861983</v>
      </c>
      <c r="GT561" s="1">
        <f t="shared" si="967"/>
        <v>0</v>
      </c>
      <c r="GU561" s="1">
        <f t="shared" si="968"/>
        <v>57.064999999999998</v>
      </c>
      <c r="GV561" s="1">
        <f t="shared" si="969"/>
        <v>3.0239999999999996</v>
      </c>
      <c r="GW561" s="37">
        <f t="shared" si="894"/>
        <v>0</v>
      </c>
      <c r="GX561" s="37"/>
      <c r="GY561" s="37"/>
      <c r="GZ561" s="37"/>
      <c r="HB561" s="1">
        <f t="shared" si="970"/>
        <v>0</v>
      </c>
      <c r="HC561" s="1">
        <f t="shared" si="971"/>
        <v>0</v>
      </c>
      <c r="HD561" s="37" t="s">
        <v>2</v>
      </c>
      <c r="HE561" s="1" t="s">
        <v>113</v>
      </c>
      <c r="HF561" s="1" t="s">
        <v>129</v>
      </c>
      <c r="HI561" s="1" t="s">
        <v>96</v>
      </c>
      <c r="HJ561" s="37" t="s">
        <v>2</v>
      </c>
      <c r="JH561" s="58" t="s">
        <v>2</v>
      </c>
    </row>
    <row r="562" spans="1:268" ht="16.25" customHeight="1" x14ac:dyDescent="0.2">
      <c r="A562" s="15" t="s">
        <v>1068</v>
      </c>
      <c r="B562" s="1" t="s">
        <v>69</v>
      </c>
      <c r="F562" s="1" t="s">
        <v>131</v>
      </c>
      <c r="I562" s="1">
        <v>0</v>
      </c>
      <c r="AD562" s="1">
        <v>0</v>
      </c>
      <c r="AY562" s="13">
        <f>0.43*0.9072</f>
        <v>0.390096</v>
      </c>
      <c r="AZ562" s="1">
        <v>0.3</v>
      </c>
      <c r="BB562" s="14">
        <f>0.13*31.1/0.9072</f>
        <v>4.4565696649029984</v>
      </c>
      <c r="BG562" s="1">
        <v>0.3</v>
      </c>
      <c r="BT562" s="1">
        <v>0</v>
      </c>
      <c r="CO562" s="1">
        <v>0</v>
      </c>
      <c r="DJ562" s="1" t="s">
        <v>163</v>
      </c>
      <c r="DL562" s="1">
        <f t="shared" si="887"/>
        <v>0.3</v>
      </c>
      <c r="DM562" s="1">
        <f t="shared" si="888"/>
        <v>0</v>
      </c>
      <c r="DN562" s="1" t="s">
        <v>1069</v>
      </c>
      <c r="DO562" s="1" t="s">
        <v>2</v>
      </c>
      <c r="DP562" s="38">
        <f t="shared" si="895"/>
        <v>1.1702879999999998E-3</v>
      </c>
      <c r="DQ562" s="38">
        <f t="shared" si="896"/>
        <v>0</v>
      </c>
      <c r="DR562" s="38">
        <f t="shared" si="897"/>
        <v>1.7384900000000001</v>
      </c>
      <c r="DS562" s="38">
        <f t="shared" si="898"/>
        <v>0</v>
      </c>
      <c r="DT562" s="38">
        <f t="shared" si="899"/>
        <v>0</v>
      </c>
      <c r="DU562" s="38">
        <f t="shared" si="900"/>
        <v>0</v>
      </c>
      <c r="DV562" s="38">
        <f t="shared" si="901"/>
        <v>0</v>
      </c>
      <c r="DW562" s="38">
        <f t="shared" si="902"/>
        <v>1.1702879999999998E-3</v>
      </c>
      <c r="DX562" s="38">
        <f t="shared" si="903"/>
        <v>0</v>
      </c>
      <c r="DY562" s="38">
        <f t="shared" si="904"/>
        <v>0</v>
      </c>
      <c r="DZ562" s="38">
        <f t="shared" si="905"/>
        <v>0</v>
      </c>
      <c r="EA562" s="38">
        <f t="shared" si="906"/>
        <v>0</v>
      </c>
      <c r="EB562" s="38">
        <f t="shared" si="907"/>
        <v>0</v>
      </c>
      <c r="EC562" s="38">
        <f t="shared" si="908"/>
        <v>0</v>
      </c>
      <c r="ED562" s="38">
        <f t="shared" si="909"/>
        <v>0</v>
      </c>
      <c r="EE562" s="38">
        <f t="shared" si="910"/>
        <v>0</v>
      </c>
      <c r="EG562" s="38">
        <f t="shared" si="911"/>
        <v>0</v>
      </c>
      <c r="EH562" s="38">
        <f t="shared" si="912"/>
        <v>0</v>
      </c>
      <c r="EI562" s="38">
        <f t="shared" si="913"/>
        <v>7.6368500974079989</v>
      </c>
      <c r="EJ562" s="38">
        <f t="shared" si="914"/>
        <v>0</v>
      </c>
      <c r="EK562" s="38">
        <f t="shared" si="915"/>
        <v>0.8804249999999999</v>
      </c>
      <c r="EL562" s="38">
        <f t="shared" si="916"/>
        <v>0</v>
      </c>
      <c r="EM562" s="38">
        <f t="shared" si="917"/>
        <v>0</v>
      </c>
      <c r="EN562" s="38">
        <f t="shared" si="918"/>
        <v>0</v>
      </c>
      <c r="EO562" s="38">
        <f t="shared" si="919"/>
        <v>0</v>
      </c>
      <c r="EP562" s="38">
        <f t="shared" si="920"/>
        <v>15.347156831999998</v>
      </c>
      <c r="EQ562" s="38">
        <f t="shared" si="921"/>
        <v>0</v>
      </c>
      <c r="ER562" s="38">
        <f t="shared" si="922"/>
        <v>0</v>
      </c>
      <c r="ES562" s="38">
        <f t="shared" si="923"/>
        <v>0</v>
      </c>
      <c r="ET562" s="38">
        <f t="shared" si="924"/>
        <v>0</v>
      </c>
      <c r="EU562" s="38">
        <f t="shared" si="925"/>
        <v>0</v>
      </c>
      <c r="EV562" s="38">
        <f t="shared" si="926"/>
        <v>0</v>
      </c>
      <c r="EW562" s="38">
        <f t="shared" si="927"/>
        <v>0</v>
      </c>
      <c r="EX562" s="38">
        <f t="shared" si="928"/>
        <v>0</v>
      </c>
      <c r="EZ562" s="38">
        <f t="shared" si="929"/>
        <v>0</v>
      </c>
      <c r="FA562" s="38">
        <f t="shared" si="930"/>
        <v>0</v>
      </c>
      <c r="FB562" s="1">
        <f t="shared" si="931"/>
        <v>0</v>
      </c>
      <c r="FC562" s="1">
        <f t="shared" si="932"/>
        <v>0</v>
      </c>
      <c r="FD562" s="1">
        <f t="shared" si="933"/>
        <v>0</v>
      </c>
      <c r="FE562" s="1">
        <f t="shared" si="934"/>
        <v>0</v>
      </c>
      <c r="FF562" s="1">
        <f t="shared" si="935"/>
        <v>0</v>
      </c>
      <c r="FG562" s="1">
        <f t="shared" si="936"/>
        <v>0</v>
      </c>
      <c r="FH562" s="1">
        <f t="shared" si="937"/>
        <v>0</v>
      </c>
      <c r="FI562" s="1">
        <f t="shared" si="938"/>
        <v>0</v>
      </c>
      <c r="FJ562" s="1">
        <f t="shared" si="939"/>
        <v>0</v>
      </c>
      <c r="FK562" s="1">
        <f t="shared" si="940"/>
        <v>0</v>
      </c>
      <c r="FL562" s="1">
        <f t="shared" si="941"/>
        <v>0</v>
      </c>
      <c r="FM562" s="1">
        <f t="shared" si="942"/>
        <v>0</v>
      </c>
      <c r="FN562" s="1">
        <f t="shared" si="943"/>
        <v>0</v>
      </c>
      <c r="FO562" s="1">
        <f t="shared" si="944"/>
        <v>0</v>
      </c>
      <c r="FP562" s="1">
        <f t="shared" si="945"/>
        <v>0</v>
      </c>
      <c r="FQ562" s="1">
        <f t="shared" si="946"/>
        <v>0</v>
      </c>
      <c r="FS562" s="1">
        <f t="shared" si="947"/>
        <v>0</v>
      </c>
      <c r="FT562" s="1">
        <f t="shared" si="948"/>
        <v>0</v>
      </c>
      <c r="FU562" s="38">
        <f t="shared" si="949"/>
        <v>0</v>
      </c>
      <c r="FV562" s="38">
        <f t="shared" si="950"/>
        <v>0</v>
      </c>
      <c r="FW562" s="38">
        <f t="shared" si="951"/>
        <v>0</v>
      </c>
      <c r="FX562" s="38">
        <f t="shared" si="952"/>
        <v>0</v>
      </c>
      <c r="FY562" s="38">
        <f t="shared" si="953"/>
        <v>0</v>
      </c>
      <c r="FZ562" s="38">
        <f t="shared" si="954"/>
        <v>0</v>
      </c>
      <c r="GA562" s="38">
        <f t="shared" si="955"/>
        <v>0</v>
      </c>
      <c r="GB562" s="38">
        <f t="shared" si="956"/>
        <v>0</v>
      </c>
      <c r="GC562" s="38">
        <f t="shared" si="957"/>
        <v>0</v>
      </c>
      <c r="GD562" s="38">
        <f t="shared" si="958"/>
        <v>0</v>
      </c>
      <c r="GE562" s="38">
        <f t="shared" si="959"/>
        <v>0</v>
      </c>
      <c r="GF562" s="38">
        <f t="shared" si="960"/>
        <v>0</v>
      </c>
      <c r="GG562" s="38">
        <f t="shared" si="961"/>
        <v>0</v>
      </c>
      <c r="GH562" s="38">
        <f t="shared" si="962"/>
        <v>0</v>
      </c>
      <c r="GI562" s="38">
        <f t="shared" si="963"/>
        <v>0</v>
      </c>
      <c r="GJ562" s="38">
        <f t="shared" si="964"/>
        <v>0</v>
      </c>
      <c r="GL562" s="38">
        <f t="shared" si="965"/>
        <v>0</v>
      </c>
      <c r="GM562" s="38">
        <f t="shared" si="966"/>
        <v>0</v>
      </c>
      <c r="GN562" s="1" t="s">
        <v>2</v>
      </c>
      <c r="GO562" s="2">
        <f t="shared" si="889"/>
        <v>0.390096</v>
      </c>
      <c r="GP562" s="1">
        <f t="shared" si="890"/>
        <v>0.3</v>
      </c>
      <c r="GQ562" s="41">
        <f t="shared" si="891"/>
        <v>1.170288</v>
      </c>
      <c r="GR562" s="41">
        <f t="shared" si="892"/>
        <v>23.864431929407999</v>
      </c>
      <c r="GS562" s="14">
        <f t="shared" si="893"/>
        <v>61.17579244444444</v>
      </c>
      <c r="GT562" s="1">
        <f t="shared" si="967"/>
        <v>0</v>
      </c>
      <c r="GU562" s="1">
        <f t="shared" si="968"/>
        <v>0</v>
      </c>
      <c r="GV562" s="1">
        <f t="shared" si="969"/>
        <v>1.170288</v>
      </c>
      <c r="GW562" s="37">
        <f t="shared" si="894"/>
        <v>0</v>
      </c>
      <c r="GX562" s="37"/>
      <c r="GY562" s="37"/>
      <c r="GZ562" s="37"/>
      <c r="HB562" s="1">
        <f t="shared" si="970"/>
        <v>0</v>
      </c>
      <c r="HC562" s="1">
        <f t="shared" si="971"/>
        <v>0</v>
      </c>
      <c r="HD562" s="37" t="s">
        <v>2</v>
      </c>
      <c r="HE562" s="1" t="s">
        <v>113</v>
      </c>
      <c r="HF562" s="1" t="s">
        <v>129</v>
      </c>
      <c r="HG562" s="1" t="s">
        <v>1360</v>
      </c>
      <c r="HI562" s="1" t="s">
        <v>163</v>
      </c>
      <c r="HJ562" s="37" t="s">
        <v>2</v>
      </c>
      <c r="JH562" s="58" t="s">
        <v>2</v>
      </c>
    </row>
    <row r="563" spans="1:268" ht="16.25" customHeight="1" x14ac:dyDescent="0.2">
      <c r="A563" s="15" t="s">
        <v>1073</v>
      </c>
      <c r="B563" s="1" t="s">
        <v>69</v>
      </c>
      <c r="F563" s="1" t="s">
        <v>131</v>
      </c>
      <c r="I563" s="1">
        <v>0</v>
      </c>
      <c r="AD563" s="1">
        <v>0</v>
      </c>
      <c r="AY563" s="1">
        <v>8.0000000000000002E-3</v>
      </c>
      <c r="AZ563" s="1">
        <v>0.88</v>
      </c>
      <c r="BG563" s="1">
        <v>1.57</v>
      </c>
      <c r="BT563" s="1">
        <v>0</v>
      </c>
      <c r="CO563" s="1">
        <v>0</v>
      </c>
      <c r="DJ563" s="1" t="s">
        <v>163</v>
      </c>
      <c r="DL563" s="1">
        <f t="shared" si="887"/>
        <v>1.57</v>
      </c>
      <c r="DM563" s="1">
        <f t="shared" si="888"/>
        <v>0</v>
      </c>
      <c r="DN563" s="1" t="s">
        <v>1069</v>
      </c>
      <c r="DO563" s="1" t="s">
        <v>2</v>
      </c>
      <c r="DP563" s="38">
        <f t="shared" si="895"/>
        <v>7.0400000000000004E-5</v>
      </c>
      <c r="DQ563" s="38">
        <f t="shared" si="896"/>
        <v>0</v>
      </c>
      <c r="DR563" s="38">
        <f t="shared" si="897"/>
        <v>0</v>
      </c>
      <c r="DS563" s="38">
        <f t="shared" si="898"/>
        <v>0</v>
      </c>
      <c r="DT563" s="38">
        <f t="shared" si="899"/>
        <v>0</v>
      </c>
      <c r="DU563" s="38">
        <f t="shared" si="900"/>
        <v>0</v>
      </c>
      <c r="DV563" s="38">
        <f t="shared" si="901"/>
        <v>0</v>
      </c>
      <c r="DW563" s="38">
        <f t="shared" si="902"/>
        <v>1.2559999999999999E-4</v>
      </c>
      <c r="DX563" s="38">
        <f t="shared" si="903"/>
        <v>0</v>
      </c>
      <c r="DY563" s="38">
        <f t="shared" si="904"/>
        <v>0</v>
      </c>
      <c r="DZ563" s="38">
        <f t="shared" si="905"/>
        <v>0</v>
      </c>
      <c r="EA563" s="38">
        <f t="shared" si="906"/>
        <v>0</v>
      </c>
      <c r="EB563" s="38">
        <f t="shared" si="907"/>
        <v>0</v>
      </c>
      <c r="EC563" s="38">
        <f t="shared" si="908"/>
        <v>0</v>
      </c>
      <c r="ED563" s="38">
        <f t="shared" si="909"/>
        <v>0</v>
      </c>
      <c r="EE563" s="38">
        <f t="shared" si="910"/>
        <v>0</v>
      </c>
      <c r="EG563" s="38">
        <f t="shared" si="911"/>
        <v>0</v>
      </c>
      <c r="EH563" s="38">
        <f t="shared" si="912"/>
        <v>0</v>
      </c>
      <c r="EI563" s="38">
        <f t="shared" si="913"/>
        <v>0.45940336640000001</v>
      </c>
      <c r="EJ563" s="38">
        <f t="shared" si="914"/>
        <v>0</v>
      </c>
      <c r="EK563" s="38">
        <f t="shared" si="915"/>
        <v>0</v>
      </c>
      <c r="EL563" s="38">
        <f t="shared" si="916"/>
        <v>0</v>
      </c>
      <c r="EM563" s="38">
        <f t="shared" si="917"/>
        <v>0</v>
      </c>
      <c r="EN563" s="38">
        <f t="shared" si="918"/>
        <v>0</v>
      </c>
      <c r="EO563" s="38">
        <f t="shared" si="919"/>
        <v>0</v>
      </c>
      <c r="EP563" s="38">
        <f t="shared" si="920"/>
        <v>1.6471183999999999</v>
      </c>
      <c r="EQ563" s="38">
        <f t="shared" si="921"/>
        <v>0</v>
      </c>
      <c r="ER563" s="38">
        <f t="shared" si="922"/>
        <v>0</v>
      </c>
      <c r="ES563" s="38">
        <f t="shared" si="923"/>
        <v>0</v>
      </c>
      <c r="ET563" s="38">
        <f t="shared" si="924"/>
        <v>0</v>
      </c>
      <c r="EU563" s="38">
        <f t="shared" si="925"/>
        <v>0</v>
      </c>
      <c r="EV563" s="38">
        <f t="shared" si="926"/>
        <v>0</v>
      </c>
      <c r="EW563" s="38">
        <f t="shared" si="927"/>
        <v>0</v>
      </c>
      <c r="EX563" s="38">
        <f t="shared" si="928"/>
        <v>0</v>
      </c>
      <c r="EZ563" s="38">
        <f t="shared" si="929"/>
        <v>0</v>
      </c>
      <c r="FA563" s="38">
        <f t="shared" si="930"/>
        <v>0</v>
      </c>
      <c r="FB563" s="1">
        <f t="shared" si="931"/>
        <v>0</v>
      </c>
      <c r="FC563" s="1">
        <f t="shared" si="932"/>
        <v>0</v>
      </c>
      <c r="FD563" s="1">
        <f t="shared" si="933"/>
        <v>0</v>
      </c>
      <c r="FE563" s="1">
        <f t="shared" si="934"/>
        <v>0</v>
      </c>
      <c r="FF563" s="1">
        <f t="shared" si="935"/>
        <v>0</v>
      </c>
      <c r="FG563" s="1">
        <f t="shared" si="936"/>
        <v>0</v>
      </c>
      <c r="FH563" s="1">
        <f t="shared" si="937"/>
        <v>0</v>
      </c>
      <c r="FI563" s="1">
        <f t="shared" si="938"/>
        <v>0</v>
      </c>
      <c r="FJ563" s="1">
        <f t="shared" si="939"/>
        <v>0</v>
      </c>
      <c r="FK563" s="1">
        <f t="shared" si="940"/>
        <v>0</v>
      </c>
      <c r="FL563" s="1">
        <f t="shared" si="941"/>
        <v>0</v>
      </c>
      <c r="FM563" s="1">
        <f t="shared" si="942"/>
        <v>0</v>
      </c>
      <c r="FN563" s="1">
        <f t="shared" si="943"/>
        <v>0</v>
      </c>
      <c r="FO563" s="1">
        <f t="shared" si="944"/>
        <v>0</v>
      </c>
      <c r="FP563" s="1">
        <f t="shared" si="945"/>
        <v>0</v>
      </c>
      <c r="FQ563" s="1">
        <f t="shared" si="946"/>
        <v>0</v>
      </c>
      <c r="FS563" s="1">
        <f t="shared" si="947"/>
        <v>0</v>
      </c>
      <c r="FT563" s="1">
        <f t="shared" si="948"/>
        <v>0</v>
      </c>
      <c r="FU563" s="38">
        <f t="shared" si="949"/>
        <v>0</v>
      </c>
      <c r="FV563" s="38">
        <f t="shared" si="950"/>
        <v>0</v>
      </c>
      <c r="FW563" s="38">
        <f t="shared" si="951"/>
        <v>0</v>
      </c>
      <c r="FX563" s="38">
        <f t="shared" si="952"/>
        <v>0</v>
      </c>
      <c r="FY563" s="38">
        <f t="shared" si="953"/>
        <v>0</v>
      </c>
      <c r="FZ563" s="38">
        <f t="shared" si="954"/>
        <v>0</v>
      </c>
      <c r="GA563" s="38">
        <f t="shared" si="955"/>
        <v>0</v>
      </c>
      <c r="GB563" s="38">
        <f t="shared" si="956"/>
        <v>0</v>
      </c>
      <c r="GC563" s="38">
        <f t="shared" si="957"/>
        <v>0</v>
      </c>
      <c r="GD563" s="38">
        <f t="shared" si="958"/>
        <v>0</v>
      </c>
      <c r="GE563" s="38">
        <f t="shared" si="959"/>
        <v>0</v>
      </c>
      <c r="GF563" s="38">
        <f t="shared" si="960"/>
        <v>0</v>
      </c>
      <c r="GG563" s="38">
        <f t="shared" si="961"/>
        <v>0</v>
      </c>
      <c r="GH563" s="38">
        <f t="shared" si="962"/>
        <v>0</v>
      </c>
      <c r="GI563" s="38">
        <f t="shared" si="963"/>
        <v>0</v>
      </c>
      <c r="GJ563" s="38">
        <f t="shared" si="964"/>
        <v>0</v>
      </c>
      <c r="GL563" s="38">
        <f t="shared" si="965"/>
        <v>0</v>
      </c>
      <c r="GM563" s="38">
        <f t="shared" si="966"/>
        <v>0</v>
      </c>
      <c r="GN563" s="1" t="s">
        <v>2</v>
      </c>
      <c r="GO563" s="1">
        <f t="shared" si="889"/>
        <v>8.0000000000000002E-3</v>
      </c>
      <c r="GP563" s="1">
        <f t="shared" si="890"/>
        <v>1.57</v>
      </c>
      <c r="GQ563" s="41">
        <f t="shared" si="891"/>
        <v>0.12560000000000002</v>
      </c>
      <c r="GR563" s="41">
        <f t="shared" si="892"/>
        <v>2.1065217663999998</v>
      </c>
      <c r="GS563" s="14">
        <f t="shared" si="893"/>
        <v>263.31522079999996</v>
      </c>
      <c r="GT563" s="1">
        <f t="shared" si="967"/>
        <v>0</v>
      </c>
      <c r="GU563" s="1">
        <f t="shared" si="968"/>
        <v>0</v>
      </c>
      <c r="GV563" s="1">
        <f t="shared" si="969"/>
        <v>0.12560000000000002</v>
      </c>
      <c r="GW563" s="37">
        <f t="shared" si="894"/>
        <v>0</v>
      </c>
      <c r="GX563" s="37"/>
      <c r="GY563" s="37"/>
      <c r="GZ563" s="37"/>
      <c r="HB563" s="1">
        <f t="shared" si="970"/>
        <v>0</v>
      </c>
      <c r="HC563" s="1">
        <f t="shared" si="971"/>
        <v>0</v>
      </c>
      <c r="HD563" s="37" t="s">
        <v>2</v>
      </c>
      <c r="HE563" s="1" t="s">
        <v>113</v>
      </c>
      <c r="HF563" s="1" t="s">
        <v>129</v>
      </c>
      <c r="HG563" s="1" t="s">
        <v>1360</v>
      </c>
      <c r="HI563" s="1" t="s">
        <v>163</v>
      </c>
      <c r="HJ563" s="37" t="s">
        <v>2</v>
      </c>
      <c r="JH563" s="58" t="s">
        <v>2</v>
      </c>
    </row>
    <row r="564" spans="1:268" ht="16.25" customHeight="1" x14ac:dyDescent="0.2">
      <c r="A564" s="15" t="s">
        <v>1077</v>
      </c>
      <c r="B564" s="1" t="s">
        <v>69</v>
      </c>
      <c r="F564" s="1" t="s">
        <v>131</v>
      </c>
      <c r="I564" s="1">
        <v>0</v>
      </c>
      <c r="AD564" s="1">
        <v>0</v>
      </c>
      <c r="AY564" s="13">
        <f>0.56*0.9072</f>
        <v>0.50803200000000004</v>
      </c>
      <c r="AZ564" s="1">
        <v>0.35</v>
      </c>
      <c r="BG564" s="1">
        <v>0.34</v>
      </c>
      <c r="BH564" s="1">
        <v>0.15</v>
      </c>
      <c r="BT564" s="1">
        <v>0</v>
      </c>
      <c r="CO564" s="1">
        <v>0</v>
      </c>
      <c r="DJ564" s="1" t="s">
        <v>163</v>
      </c>
      <c r="DK564" s="1" t="s">
        <v>163</v>
      </c>
      <c r="DL564" s="1">
        <f t="shared" si="887"/>
        <v>0.34</v>
      </c>
      <c r="DM564" s="1">
        <f t="shared" si="888"/>
        <v>0.15</v>
      </c>
      <c r="DN564" s="1" t="s">
        <v>1069</v>
      </c>
      <c r="DO564" s="1" t="s">
        <v>2</v>
      </c>
      <c r="DP564" s="38">
        <f t="shared" si="895"/>
        <v>1.7781120000000001E-3</v>
      </c>
      <c r="DQ564" s="38">
        <f t="shared" si="896"/>
        <v>0</v>
      </c>
      <c r="DR564" s="38">
        <f t="shared" si="897"/>
        <v>0</v>
      </c>
      <c r="DS564" s="38">
        <f t="shared" si="898"/>
        <v>0</v>
      </c>
      <c r="DT564" s="38">
        <f t="shared" si="899"/>
        <v>0</v>
      </c>
      <c r="DU564" s="38">
        <f t="shared" si="900"/>
        <v>0</v>
      </c>
      <c r="DV564" s="38">
        <f t="shared" si="901"/>
        <v>0</v>
      </c>
      <c r="DW564" s="38">
        <f t="shared" si="902"/>
        <v>1.7273088000000004E-3</v>
      </c>
      <c r="DX564" s="38">
        <f t="shared" si="903"/>
        <v>7.6204799999999998E-4</v>
      </c>
      <c r="DY564" s="38">
        <f t="shared" si="904"/>
        <v>0</v>
      </c>
      <c r="DZ564" s="38">
        <f t="shared" si="905"/>
        <v>0</v>
      </c>
      <c r="EA564" s="38">
        <f t="shared" si="906"/>
        <v>0</v>
      </c>
      <c r="EB564" s="38">
        <f t="shared" si="907"/>
        <v>0</v>
      </c>
      <c r="EC564" s="38">
        <f t="shared" si="908"/>
        <v>0</v>
      </c>
      <c r="ED564" s="38">
        <f t="shared" si="909"/>
        <v>0</v>
      </c>
      <c r="EE564" s="38">
        <f t="shared" si="910"/>
        <v>0</v>
      </c>
      <c r="EG564" s="38">
        <f t="shared" si="911"/>
        <v>0</v>
      </c>
      <c r="EH564" s="38">
        <f t="shared" si="912"/>
        <v>0</v>
      </c>
      <c r="EI564" s="38">
        <f t="shared" si="913"/>
        <v>11.603276116992001</v>
      </c>
      <c r="EJ564" s="38">
        <f t="shared" si="914"/>
        <v>0</v>
      </c>
      <c r="EK564" s="38">
        <f t="shared" si="915"/>
        <v>0</v>
      </c>
      <c r="EL564" s="38">
        <f t="shared" si="916"/>
        <v>0</v>
      </c>
      <c r="EM564" s="38">
        <f t="shared" si="917"/>
        <v>0</v>
      </c>
      <c r="EN564" s="38">
        <f t="shared" si="918"/>
        <v>0</v>
      </c>
      <c r="EO564" s="38">
        <f t="shared" si="919"/>
        <v>0</v>
      </c>
      <c r="EP564" s="38">
        <f t="shared" si="920"/>
        <v>22.651927603200004</v>
      </c>
      <c r="EQ564" s="38">
        <f t="shared" si="921"/>
        <v>55.339563025151989</v>
      </c>
      <c r="ER564" s="38">
        <f t="shared" si="922"/>
        <v>0</v>
      </c>
      <c r="ES564" s="38">
        <f t="shared" si="923"/>
        <v>0</v>
      </c>
      <c r="ET564" s="38">
        <f t="shared" si="924"/>
        <v>0</v>
      </c>
      <c r="EU564" s="38">
        <f t="shared" si="925"/>
        <v>0</v>
      </c>
      <c r="EV564" s="38">
        <f t="shared" si="926"/>
        <v>0</v>
      </c>
      <c r="EW564" s="38">
        <f t="shared" si="927"/>
        <v>0</v>
      </c>
      <c r="EX564" s="38">
        <f t="shared" si="928"/>
        <v>0</v>
      </c>
      <c r="EZ564" s="38">
        <f t="shared" si="929"/>
        <v>0</v>
      </c>
      <c r="FA564" s="38">
        <f t="shared" si="930"/>
        <v>0</v>
      </c>
      <c r="FB564" s="1">
        <f t="shared" si="931"/>
        <v>0</v>
      </c>
      <c r="FC564" s="1">
        <f t="shared" si="932"/>
        <v>0</v>
      </c>
      <c r="FD564" s="1">
        <f t="shared" si="933"/>
        <v>0</v>
      </c>
      <c r="FE564" s="1">
        <f t="shared" si="934"/>
        <v>0</v>
      </c>
      <c r="FF564" s="1">
        <f t="shared" si="935"/>
        <v>0</v>
      </c>
      <c r="FG564" s="1">
        <f t="shared" si="936"/>
        <v>0</v>
      </c>
      <c r="FH564" s="1">
        <f t="shared" si="937"/>
        <v>0</v>
      </c>
      <c r="FI564" s="1">
        <f t="shared" si="938"/>
        <v>0</v>
      </c>
      <c r="FJ564" s="1">
        <f t="shared" si="939"/>
        <v>0</v>
      </c>
      <c r="FK564" s="1">
        <f t="shared" si="940"/>
        <v>0</v>
      </c>
      <c r="FL564" s="1">
        <f t="shared" si="941"/>
        <v>0</v>
      </c>
      <c r="FM564" s="1">
        <f t="shared" si="942"/>
        <v>0</v>
      </c>
      <c r="FN564" s="1">
        <f t="shared" si="943"/>
        <v>0</v>
      </c>
      <c r="FO564" s="1">
        <f t="shared" si="944"/>
        <v>0</v>
      </c>
      <c r="FP564" s="1">
        <f t="shared" si="945"/>
        <v>0</v>
      </c>
      <c r="FQ564" s="1">
        <f t="shared" si="946"/>
        <v>0</v>
      </c>
      <c r="FS564" s="1">
        <f t="shared" si="947"/>
        <v>0</v>
      </c>
      <c r="FT564" s="1">
        <f t="shared" si="948"/>
        <v>0</v>
      </c>
      <c r="FU564" s="38">
        <f t="shared" si="949"/>
        <v>0</v>
      </c>
      <c r="FV564" s="38">
        <f t="shared" si="950"/>
        <v>0</v>
      </c>
      <c r="FW564" s="38">
        <f t="shared" si="951"/>
        <v>0</v>
      </c>
      <c r="FX564" s="38">
        <f t="shared" si="952"/>
        <v>0</v>
      </c>
      <c r="FY564" s="38">
        <f t="shared" si="953"/>
        <v>0</v>
      </c>
      <c r="FZ564" s="38">
        <f t="shared" si="954"/>
        <v>0</v>
      </c>
      <c r="GA564" s="38">
        <f t="shared" si="955"/>
        <v>0</v>
      </c>
      <c r="GB564" s="38">
        <f t="shared" si="956"/>
        <v>0</v>
      </c>
      <c r="GC564" s="38">
        <f t="shared" si="957"/>
        <v>0</v>
      </c>
      <c r="GD564" s="38">
        <f t="shared" si="958"/>
        <v>0</v>
      </c>
      <c r="GE564" s="38">
        <f t="shared" si="959"/>
        <v>0</v>
      </c>
      <c r="GF564" s="38">
        <f t="shared" si="960"/>
        <v>0</v>
      </c>
      <c r="GG564" s="38">
        <f t="shared" si="961"/>
        <v>0</v>
      </c>
      <c r="GH564" s="38">
        <f t="shared" si="962"/>
        <v>0</v>
      </c>
      <c r="GI564" s="38">
        <f t="shared" si="963"/>
        <v>0</v>
      </c>
      <c r="GJ564" s="38">
        <f t="shared" si="964"/>
        <v>0</v>
      </c>
      <c r="GL564" s="38">
        <f t="shared" si="965"/>
        <v>0</v>
      </c>
      <c r="GM564" s="38">
        <f t="shared" si="966"/>
        <v>0</v>
      </c>
      <c r="GN564" s="1" t="s">
        <v>2</v>
      </c>
      <c r="GO564" s="2">
        <f t="shared" si="889"/>
        <v>0.50803200000000004</v>
      </c>
      <c r="GP564" s="1">
        <f t="shared" si="890"/>
        <v>0.34</v>
      </c>
      <c r="GQ564" s="41">
        <f t="shared" si="891"/>
        <v>1.7273088000000001</v>
      </c>
      <c r="GR564" s="41">
        <f t="shared" si="892"/>
        <v>89.594766745344003</v>
      </c>
      <c r="GS564" s="14">
        <f t="shared" si="893"/>
        <v>176.35654199999999</v>
      </c>
      <c r="GT564" s="1">
        <f t="shared" si="967"/>
        <v>0</v>
      </c>
      <c r="GU564" s="1">
        <f t="shared" si="968"/>
        <v>0</v>
      </c>
      <c r="GV564" s="1">
        <f t="shared" si="969"/>
        <v>1.7273088000000003</v>
      </c>
      <c r="GW564" s="37">
        <f t="shared" si="894"/>
        <v>0</v>
      </c>
      <c r="GX564" s="37"/>
      <c r="GY564" s="37"/>
      <c r="GZ564" s="37"/>
      <c r="HB564" s="1">
        <f t="shared" si="970"/>
        <v>0</v>
      </c>
      <c r="HC564" s="1">
        <f t="shared" si="971"/>
        <v>0</v>
      </c>
      <c r="HD564" s="37" t="s">
        <v>2</v>
      </c>
      <c r="HE564" s="1" t="s">
        <v>113</v>
      </c>
      <c r="HF564" s="1" t="s">
        <v>129</v>
      </c>
      <c r="HG564" s="1" t="s">
        <v>1360</v>
      </c>
      <c r="HI564" s="1" t="s">
        <v>163</v>
      </c>
      <c r="HJ564" s="37" t="s">
        <v>2</v>
      </c>
      <c r="JH564" s="58" t="s">
        <v>2</v>
      </c>
    </row>
    <row r="565" spans="1:268" ht="16.25" customHeight="1" x14ac:dyDescent="0.2">
      <c r="A565" s="15" t="s">
        <v>1048</v>
      </c>
      <c r="B565" s="1" t="s">
        <v>69</v>
      </c>
      <c r="F565" s="1" t="s">
        <v>189</v>
      </c>
      <c r="I565" s="1">
        <v>0</v>
      </c>
      <c r="AD565" s="1">
        <v>0</v>
      </c>
      <c r="AY565" s="12">
        <f>772+330+4.54</f>
        <v>1106.54</v>
      </c>
      <c r="AZ565" s="13">
        <f>(0.46*772+0.86*330+1.89*4.54)/AY565</f>
        <v>0.58515787951633025</v>
      </c>
      <c r="BA565" s="1">
        <v>4.4999999999999998E-2</v>
      </c>
      <c r="BG565" s="13">
        <f>(0.12*772+0.19*330+0.36*4.54)/AY565</f>
        <v>0.14186057440309432</v>
      </c>
      <c r="BH565" s="1">
        <v>8.0000000000000002E-3</v>
      </c>
      <c r="BI565" s="1">
        <v>5.5E-2</v>
      </c>
      <c r="BJ565" s="1">
        <v>0.157</v>
      </c>
      <c r="BT565" s="1">
        <v>0</v>
      </c>
      <c r="CO565" s="1">
        <v>0</v>
      </c>
      <c r="DJ565" s="1" t="s">
        <v>163</v>
      </c>
      <c r="DK565" s="1" t="s">
        <v>163</v>
      </c>
      <c r="DL565" s="1">
        <f t="shared" si="887"/>
        <v>0.14186057440309432</v>
      </c>
      <c r="DM565" s="1">
        <f t="shared" si="888"/>
        <v>8.0000000000000002E-3</v>
      </c>
      <c r="DN565" s="1" t="s">
        <v>1049</v>
      </c>
      <c r="DO565" s="1" t="s">
        <v>2</v>
      </c>
      <c r="DP565" s="38">
        <f t="shared" si="895"/>
        <v>6.4750060000000005</v>
      </c>
      <c r="DQ565" s="38">
        <f t="shared" si="896"/>
        <v>49.7943</v>
      </c>
      <c r="DR565" s="38">
        <f t="shared" si="897"/>
        <v>0</v>
      </c>
      <c r="DS565" s="38">
        <f t="shared" si="898"/>
        <v>0</v>
      </c>
      <c r="DT565" s="38">
        <f t="shared" si="899"/>
        <v>0</v>
      </c>
      <c r="DU565" s="38">
        <f t="shared" si="900"/>
        <v>0</v>
      </c>
      <c r="DV565" s="38">
        <f t="shared" si="901"/>
        <v>0</v>
      </c>
      <c r="DW565" s="38">
        <f t="shared" si="902"/>
        <v>1.569744</v>
      </c>
      <c r="DX565" s="38">
        <f t="shared" si="903"/>
        <v>8.852320000000001E-2</v>
      </c>
      <c r="DY565" s="38">
        <f t="shared" si="904"/>
        <v>60.859699999999997</v>
      </c>
      <c r="DZ565" s="38">
        <f t="shared" si="905"/>
        <v>173.72677999999999</v>
      </c>
      <c r="EA565" s="38">
        <f t="shared" si="906"/>
        <v>0</v>
      </c>
      <c r="EB565" s="38">
        <f t="shared" si="907"/>
        <v>0</v>
      </c>
      <c r="EC565" s="38">
        <f t="shared" si="908"/>
        <v>0</v>
      </c>
      <c r="ED565" s="38">
        <f t="shared" si="909"/>
        <v>0</v>
      </c>
      <c r="EE565" s="38">
        <f t="shared" si="910"/>
        <v>0</v>
      </c>
      <c r="EG565" s="38">
        <f t="shared" si="911"/>
        <v>0</v>
      </c>
      <c r="EH565" s="38">
        <f t="shared" si="912"/>
        <v>0</v>
      </c>
      <c r="EI565" s="38">
        <f t="shared" si="913"/>
        <v>42253.402753696006</v>
      </c>
      <c r="EJ565" s="38">
        <f t="shared" si="914"/>
        <v>2036.6028810289388</v>
      </c>
      <c r="EK565" s="38">
        <f t="shared" si="915"/>
        <v>0</v>
      </c>
      <c r="EL565" s="38">
        <f t="shared" si="916"/>
        <v>0</v>
      </c>
      <c r="EM565" s="38">
        <f t="shared" si="917"/>
        <v>0</v>
      </c>
      <c r="EN565" s="38">
        <f t="shared" si="918"/>
        <v>0</v>
      </c>
      <c r="EO565" s="38">
        <f t="shared" si="919"/>
        <v>0</v>
      </c>
      <c r="EP565" s="38">
        <f t="shared" si="920"/>
        <v>20585.622815999999</v>
      </c>
      <c r="EQ565" s="38">
        <f t="shared" si="921"/>
        <v>6428.5126469567995</v>
      </c>
      <c r="ER565" s="38">
        <f t="shared" si="922"/>
        <v>1727.2804759485525</v>
      </c>
      <c r="ES565" s="38">
        <f t="shared" si="923"/>
        <v>5789.5706300771708</v>
      </c>
      <c r="ET565" s="38">
        <f t="shared" si="924"/>
        <v>0</v>
      </c>
      <c r="EU565" s="38">
        <f t="shared" si="925"/>
        <v>0</v>
      </c>
      <c r="EV565" s="38">
        <f t="shared" si="926"/>
        <v>0</v>
      </c>
      <c r="EW565" s="38">
        <f t="shared" si="927"/>
        <v>0</v>
      </c>
      <c r="EX565" s="38">
        <f t="shared" si="928"/>
        <v>0</v>
      </c>
      <c r="EZ565" s="38">
        <f t="shared" si="929"/>
        <v>0</v>
      </c>
      <c r="FA565" s="38">
        <f t="shared" si="930"/>
        <v>0</v>
      </c>
      <c r="FB565" s="1">
        <f t="shared" si="931"/>
        <v>0</v>
      </c>
      <c r="FC565" s="1">
        <f t="shared" si="932"/>
        <v>0</v>
      </c>
      <c r="FD565" s="1">
        <f t="shared" si="933"/>
        <v>0</v>
      </c>
      <c r="FE565" s="1">
        <f t="shared" si="934"/>
        <v>0</v>
      </c>
      <c r="FF565" s="1">
        <f t="shared" si="935"/>
        <v>0</v>
      </c>
      <c r="FG565" s="1">
        <f t="shared" si="936"/>
        <v>0</v>
      </c>
      <c r="FH565" s="1">
        <f t="shared" si="937"/>
        <v>0</v>
      </c>
      <c r="FI565" s="1">
        <f t="shared" si="938"/>
        <v>0</v>
      </c>
      <c r="FJ565" s="1">
        <f t="shared" si="939"/>
        <v>0</v>
      </c>
      <c r="FK565" s="1">
        <f t="shared" si="940"/>
        <v>0</v>
      </c>
      <c r="FL565" s="1">
        <f t="shared" si="941"/>
        <v>0</v>
      </c>
      <c r="FM565" s="1">
        <f t="shared" si="942"/>
        <v>0</v>
      </c>
      <c r="FN565" s="1">
        <f t="shared" si="943"/>
        <v>0</v>
      </c>
      <c r="FO565" s="1">
        <f t="shared" si="944"/>
        <v>0</v>
      </c>
      <c r="FP565" s="1">
        <f t="shared" si="945"/>
        <v>0</v>
      </c>
      <c r="FQ565" s="1">
        <f t="shared" si="946"/>
        <v>0</v>
      </c>
      <c r="FS565" s="1">
        <f t="shared" si="947"/>
        <v>0</v>
      </c>
      <c r="FT565" s="1">
        <f t="shared" si="948"/>
        <v>0</v>
      </c>
      <c r="FU565" s="38">
        <f t="shared" si="949"/>
        <v>0</v>
      </c>
      <c r="FV565" s="38">
        <f t="shared" si="950"/>
        <v>0</v>
      </c>
      <c r="FW565" s="38">
        <f t="shared" si="951"/>
        <v>0</v>
      </c>
      <c r="FX565" s="38">
        <f t="shared" si="952"/>
        <v>0</v>
      </c>
      <c r="FY565" s="38">
        <f t="shared" si="953"/>
        <v>0</v>
      </c>
      <c r="FZ565" s="38">
        <f t="shared" si="954"/>
        <v>0</v>
      </c>
      <c r="GA565" s="38">
        <f t="shared" si="955"/>
        <v>0</v>
      </c>
      <c r="GB565" s="38">
        <f t="shared" si="956"/>
        <v>0</v>
      </c>
      <c r="GC565" s="38">
        <f t="shared" si="957"/>
        <v>0</v>
      </c>
      <c r="GD565" s="38">
        <f t="shared" si="958"/>
        <v>0</v>
      </c>
      <c r="GE565" s="38">
        <f t="shared" si="959"/>
        <v>0</v>
      </c>
      <c r="GF565" s="38">
        <f t="shared" si="960"/>
        <v>0</v>
      </c>
      <c r="GG565" s="38">
        <f t="shared" si="961"/>
        <v>0</v>
      </c>
      <c r="GH565" s="38">
        <f t="shared" si="962"/>
        <v>0</v>
      </c>
      <c r="GI565" s="38">
        <f t="shared" si="963"/>
        <v>0</v>
      </c>
      <c r="GJ565" s="38">
        <f t="shared" si="964"/>
        <v>0</v>
      </c>
      <c r="GL565" s="38">
        <f t="shared" si="965"/>
        <v>0</v>
      </c>
      <c r="GM565" s="38">
        <f t="shared" si="966"/>
        <v>0</v>
      </c>
      <c r="GN565" s="1" t="s">
        <v>2</v>
      </c>
      <c r="GO565" s="4">
        <f t="shared" si="889"/>
        <v>1106.54</v>
      </c>
      <c r="GP565" s="13">
        <f t="shared" si="890"/>
        <v>0.14186057440309432</v>
      </c>
      <c r="GQ565" s="43">
        <f t="shared" si="891"/>
        <v>1569.7439999999999</v>
      </c>
      <c r="GR565" s="41">
        <f t="shared" si="892"/>
        <v>78820.992203707472</v>
      </c>
      <c r="GS565" s="14">
        <f t="shared" si="893"/>
        <v>71.231941189389872</v>
      </c>
      <c r="GT565" s="1">
        <f t="shared" si="967"/>
        <v>0</v>
      </c>
      <c r="GU565" s="1">
        <f t="shared" si="968"/>
        <v>0</v>
      </c>
      <c r="GV565" s="1">
        <f t="shared" si="969"/>
        <v>1569.7439999999999</v>
      </c>
      <c r="GW565" s="37">
        <f t="shared" si="894"/>
        <v>0</v>
      </c>
      <c r="GX565" s="37"/>
      <c r="GY565" s="37"/>
      <c r="GZ565" s="37"/>
      <c r="HB565" s="1">
        <f t="shared" si="970"/>
        <v>0</v>
      </c>
      <c r="HC565" s="1">
        <f t="shared" si="971"/>
        <v>0</v>
      </c>
      <c r="HD565" s="37" t="s">
        <v>2</v>
      </c>
      <c r="HE565" s="1" t="s">
        <v>113</v>
      </c>
      <c r="HF565" s="1" t="s">
        <v>129</v>
      </c>
      <c r="HG565" s="1" t="s">
        <v>1043</v>
      </c>
      <c r="HI565" s="1" t="s">
        <v>163</v>
      </c>
      <c r="HJ565" s="37" t="s">
        <v>2</v>
      </c>
      <c r="JH565" s="58" t="s">
        <v>2</v>
      </c>
    </row>
    <row r="566" spans="1:268" ht="16.25" customHeight="1" x14ac:dyDescent="0.2">
      <c r="A566" s="15" t="s">
        <v>1055</v>
      </c>
      <c r="B566" s="1" t="s">
        <v>69</v>
      </c>
      <c r="F566" s="1" t="s">
        <v>131</v>
      </c>
      <c r="G566" s="30"/>
      <c r="I566" s="1">
        <v>0</v>
      </c>
      <c r="AD566" s="1">
        <v>0</v>
      </c>
      <c r="AY566" s="17">
        <f>272*0.9072</f>
        <v>246.75839999999999</v>
      </c>
      <c r="AZ566" s="1">
        <v>0.25</v>
      </c>
      <c r="BG566" s="13">
        <f>(1/4.3)*AZ566</f>
        <v>5.8139534883720929E-2</v>
      </c>
      <c r="BT566" s="1">
        <v>0</v>
      </c>
      <c r="CO566" s="1">
        <v>0</v>
      </c>
      <c r="DJ566" s="1" t="s">
        <v>163</v>
      </c>
      <c r="DL566" s="1">
        <f t="shared" si="887"/>
        <v>5.8139534883720929E-2</v>
      </c>
      <c r="DM566" s="1">
        <f t="shared" si="888"/>
        <v>0</v>
      </c>
      <c r="DN566" s="1" t="s">
        <v>1056</v>
      </c>
      <c r="DO566" s="1" t="s">
        <v>2</v>
      </c>
      <c r="DP566" s="38">
        <f t="shared" si="895"/>
        <v>0.616896</v>
      </c>
      <c r="DQ566" s="38">
        <f t="shared" si="896"/>
        <v>0</v>
      </c>
      <c r="DR566" s="38">
        <f t="shared" si="897"/>
        <v>0</v>
      </c>
      <c r="DS566" s="38">
        <f t="shared" si="898"/>
        <v>0</v>
      </c>
      <c r="DT566" s="38">
        <f t="shared" si="899"/>
        <v>0</v>
      </c>
      <c r="DU566" s="38">
        <f t="shared" si="900"/>
        <v>0</v>
      </c>
      <c r="DV566" s="38">
        <f t="shared" si="901"/>
        <v>0</v>
      </c>
      <c r="DW566" s="38">
        <f t="shared" si="902"/>
        <v>0.14346418604651162</v>
      </c>
      <c r="DX566" s="38">
        <f t="shared" si="903"/>
        <v>0</v>
      </c>
      <c r="DY566" s="38">
        <f t="shared" si="904"/>
        <v>0</v>
      </c>
      <c r="DZ566" s="38">
        <f t="shared" si="905"/>
        <v>0</v>
      </c>
      <c r="EA566" s="38">
        <f t="shared" si="906"/>
        <v>0</v>
      </c>
      <c r="EB566" s="38">
        <f t="shared" si="907"/>
        <v>0</v>
      </c>
      <c r="EC566" s="38">
        <f t="shared" si="908"/>
        <v>0</v>
      </c>
      <c r="ED566" s="38">
        <f t="shared" si="909"/>
        <v>0</v>
      </c>
      <c r="EE566" s="38">
        <f t="shared" si="910"/>
        <v>0</v>
      </c>
      <c r="EG566" s="38">
        <f t="shared" si="911"/>
        <v>0</v>
      </c>
      <c r="EH566" s="38">
        <f t="shared" si="912"/>
        <v>0</v>
      </c>
      <c r="EI566" s="38">
        <f t="shared" si="913"/>
        <v>4025.6264079359999</v>
      </c>
      <c r="EJ566" s="38">
        <f t="shared" si="914"/>
        <v>0</v>
      </c>
      <c r="EK566" s="38">
        <f t="shared" si="915"/>
        <v>0</v>
      </c>
      <c r="EL566" s="38">
        <f t="shared" si="916"/>
        <v>0</v>
      </c>
      <c r="EM566" s="38">
        <f t="shared" si="917"/>
        <v>0</v>
      </c>
      <c r="EN566" s="38">
        <f t="shared" si="918"/>
        <v>0</v>
      </c>
      <c r="EO566" s="38">
        <f t="shared" si="919"/>
        <v>0</v>
      </c>
      <c r="EP566" s="38">
        <f t="shared" si="920"/>
        <v>1881.3893358139535</v>
      </c>
      <c r="EQ566" s="38">
        <f t="shared" si="921"/>
        <v>0</v>
      </c>
      <c r="ER566" s="38">
        <f t="shared" si="922"/>
        <v>0</v>
      </c>
      <c r="ES566" s="38">
        <f t="shared" si="923"/>
        <v>0</v>
      </c>
      <c r="ET566" s="38">
        <f t="shared" si="924"/>
        <v>0</v>
      </c>
      <c r="EU566" s="38">
        <f t="shared" si="925"/>
        <v>0</v>
      </c>
      <c r="EV566" s="38">
        <f t="shared" si="926"/>
        <v>0</v>
      </c>
      <c r="EW566" s="38">
        <f t="shared" si="927"/>
        <v>0</v>
      </c>
      <c r="EX566" s="38">
        <f t="shared" si="928"/>
        <v>0</v>
      </c>
      <c r="EZ566" s="38">
        <f t="shared" si="929"/>
        <v>0</v>
      </c>
      <c r="FA566" s="38">
        <f t="shared" si="930"/>
        <v>0</v>
      </c>
      <c r="FB566" s="1">
        <f t="shared" si="931"/>
        <v>0</v>
      </c>
      <c r="FC566" s="1">
        <f t="shared" si="932"/>
        <v>0</v>
      </c>
      <c r="FD566" s="1">
        <f t="shared" si="933"/>
        <v>0</v>
      </c>
      <c r="FE566" s="1">
        <f t="shared" si="934"/>
        <v>0</v>
      </c>
      <c r="FF566" s="1">
        <f t="shared" si="935"/>
        <v>0</v>
      </c>
      <c r="FG566" s="1">
        <f t="shared" si="936"/>
        <v>0</v>
      </c>
      <c r="FH566" s="1">
        <f t="shared" si="937"/>
        <v>0</v>
      </c>
      <c r="FI566" s="1">
        <f t="shared" si="938"/>
        <v>0</v>
      </c>
      <c r="FJ566" s="1">
        <f t="shared" si="939"/>
        <v>0</v>
      </c>
      <c r="FK566" s="1">
        <f t="shared" si="940"/>
        <v>0</v>
      </c>
      <c r="FL566" s="1">
        <f t="shared" si="941"/>
        <v>0</v>
      </c>
      <c r="FM566" s="1">
        <f t="shared" si="942"/>
        <v>0</v>
      </c>
      <c r="FN566" s="1">
        <f t="shared" si="943"/>
        <v>0</v>
      </c>
      <c r="FO566" s="1">
        <f t="shared" si="944"/>
        <v>0</v>
      </c>
      <c r="FP566" s="1">
        <f t="shared" si="945"/>
        <v>0</v>
      </c>
      <c r="FQ566" s="1">
        <f t="shared" si="946"/>
        <v>0</v>
      </c>
      <c r="FS566" s="1">
        <f t="shared" si="947"/>
        <v>0</v>
      </c>
      <c r="FT566" s="1">
        <f t="shared" si="948"/>
        <v>0</v>
      </c>
      <c r="FU566" s="38">
        <f t="shared" si="949"/>
        <v>0</v>
      </c>
      <c r="FV566" s="38">
        <f t="shared" si="950"/>
        <v>0</v>
      </c>
      <c r="FW566" s="38">
        <f t="shared" si="951"/>
        <v>0</v>
      </c>
      <c r="FX566" s="38">
        <f t="shared" si="952"/>
        <v>0</v>
      </c>
      <c r="FY566" s="38">
        <f t="shared" si="953"/>
        <v>0</v>
      </c>
      <c r="FZ566" s="38">
        <f t="shared" si="954"/>
        <v>0</v>
      </c>
      <c r="GA566" s="38">
        <f t="shared" si="955"/>
        <v>0</v>
      </c>
      <c r="GB566" s="38">
        <f t="shared" si="956"/>
        <v>0</v>
      </c>
      <c r="GC566" s="38">
        <f t="shared" si="957"/>
        <v>0</v>
      </c>
      <c r="GD566" s="38">
        <f t="shared" si="958"/>
        <v>0</v>
      </c>
      <c r="GE566" s="38">
        <f t="shared" si="959"/>
        <v>0</v>
      </c>
      <c r="GF566" s="38">
        <f t="shared" si="960"/>
        <v>0</v>
      </c>
      <c r="GG566" s="38">
        <f t="shared" si="961"/>
        <v>0</v>
      </c>
      <c r="GH566" s="38">
        <f t="shared" si="962"/>
        <v>0</v>
      </c>
      <c r="GI566" s="38">
        <f t="shared" si="963"/>
        <v>0</v>
      </c>
      <c r="GJ566" s="38">
        <f t="shared" si="964"/>
        <v>0</v>
      </c>
      <c r="GL566" s="38">
        <f t="shared" si="965"/>
        <v>0</v>
      </c>
      <c r="GM566" s="38">
        <f t="shared" si="966"/>
        <v>0</v>
      </c>
      <c r="GN566" s="1" t="s">
        <v>2</v>
      </c>
      <c r="GO566" s="14">
        <f t="shared" si="889"/>
        <v>246.75839999999999</v>
      </c>
      <c r="GP566" s="2">
        <f t="shared" si="890"/>
        <v>5.8139534883720929E-2</v>
      </c>
      <c r="GQ566" s="41">
        <f t="shared" si="891"/>
        <v>143.46418604651163</v>
      </c>
      <c r="GR566" s="41">
        <f t="shared" si="892"/>
        <v>5907.0157437499529</v>
      </c>
      <c r="GS566" s="14">
        <f t="shared" si="893"/>
        <v>23.93845860465116</v>
      </c>
      <c r="GT566" s="1">
        <f t="shared" si="967"/>
        <v>0</v>
      </c>
      <c r="GU566" s="1">
        <f t="shared" si="968"/>
        <v>0</v>
      </c>
      <c r="GV566" s="1">
        <f t="shared" si="969"/>
        <v>143.46418604651163</v>
      </c>
      <c r="GW566" s="37">
        <f t="shared" si="894"/>
        <v>0</v>
      </c>
      <c r="GX566" s="37"/>
      <c r="GY566" s="37"/>
      <c r="GZ566" s="37"/>
      <c r="HB566" s="1">
        <f t="shared" si="970"/>
        <v>0</v>
      </c>
      <c r="HC566" s="1">
        <f t="shared" si="971"/>
        <v>0</v>
      </c>
      <c r="HD566" s="37" t="s">
        <v>2</v>
      </c>
      <c r="HE566" s="1" t="s">
        <v>113</v>
      </c>
      <c r="HF566" s="1" t="s">
        <v>129</v>
      </c>
      <c r="HG566" s="1" t="s">
        <v>1043</v>
      </c>
      <c r="HI566" s="1" t="s">
        <v>163</v>
      </c>
      <c r="HJ566" s="37" t="s">
        <v>2</v>
      </c>
      <c r="JH566" s="58" t="s">
        <v>2</v>
      </c>
    </row>
    <row r="567" spans="1:268" ht="16.25" customHeight="1" x14ac:dyDescent="0.2">
      <c r="A567" s="15" t="s">
        <v>1067</v>
      </c>
      <c r="B567" s="1" t="s">
        <v>69</v>
      </c>
      <c r="F567" s="1" t="s">
        <v>131</v>
      </c>
      <c r="G567" s="30"/>
      <c r="I567" s="1">
        <v>0</v>
      </c>
      <c r="AD567" s="1">
        <v>0</v>
      </c>
      <c r="AY567" s="17">
        <f>38*0.9072</f>
        <v>34.473599999999998</v>
      </c>
      <c r="AZ567" s="1">
        <v>0.28999999999999998</v>
      </c>
      <c r="BG567" s="13">
        <v>0.1</v>
      </c>
      <c r="BT567" s="1">
        <v>0</v>
      </c>
      <c r="CO567" s="1">
        <v>0</v>
      </c>
      <c r="DJ567" s="1" t="s">
        <v>163</v>
      </c>
      <c r="DL567" s="1">
        <f t="shared" si="887"/>
        <v>0.1</v>
      </c>
      <c r="DM567" s="1">
        <f t="shared" si="888"/>
        <v>0</v>
      </c>
      <c r="DN567" s="1" t="s">
        <v>1056</v>
      </c>
      <c r="DO567" s="1" t="s">
        <v>2</v>
      </c>
      <c r="DP567" s="38">
        <f t="shared" si="895"/>
        <v>9.9973439999999983E-2</v>
      </c>
      <c r="DQ567" s="38">
        <f t="shared" si="896"/>
        <v>0</v>
      </c>
      <c r="DR567" s="38">
        <f t="shared" si="897"/>
        <v>0</v>
      </c>
      <c r="DS567" s="38">
        <f t="shared" si="898"/>
        <v>0</v>
      </c>
      <c r="DT567" s="38">
        <f t="shared" si="899"/>
        <v>0</v>
      </c>
      <c r="DU567" s="38">
        <f t="shared" si="900"/>
        <v>0</v>
      </c>
      <c r="DV567" s="38">
        <f t="shared" si="901"/>
        <v>0</v>
      </c>
      <c r="DW567" s="38">
        <f t="shared" si="902"/>
        <v>3.44736E-2</v>
      </c>
      <c r="DX567" s="38">
        <f t="shared" si="903"/>
        <v>0</v>
      </c>
      <c r="DY567" s="38">
        <f t="shared" si="904"/>
        <v>0</v>
      </c>
      <c r="DZ567" s="38">
        <f t="shared" si="905"/>
        <v>0</v>
      </c>
      <c r="EA567" s="38">
        <f t="shared" si="906"/>
        <v>0</v>
      </c>
      <c r="EB567" s="38">
        <f t="shared" si="907"/>
        <v>0</v>
      </c>
      <c r="EC567" s="38">
        <f t="shared" si="908"/>
        <v>0</v>
      </c>
      <c r="ED567" s="38">
        <f t="shared" si="909"/>
        <v>0</v>
      </c>
      <c r="EE567" s="38">
        <f t="shared" si="910"/>
        <v>0</v>
      </c>
      <c r="EG567" s="38">
        <f t="shared" si="911"/>
        <v>0</v>
      </c>
      <c r="EH567" s="38">
        <f t="shared" si="912"/>
        <v>0</v>
      </c>
      <c r="EI567" s="38">
        <f t="shared" si="913"/>
        <v>652.38827963903987</v>
      </c>
      <c r="EJ567" s="38">
        <f t="shared" si="914"/>
        <v>0</v>
      </c>
      <c r="EK567" s="38">
        <f t="shared" si="915"/>
        <v>0</v>
      </c>
      <c r="EL567" s="38">
        <f t="shared" si="916"/>
        <v>0</v>
      </c>
      <c r="EM567" s="38">
        <f t="shared" si="917"/>
        <v>0</v>
      </c>
      <c r="EN567" s="38">
        <f t="shared" si="918"/>
        <v>0</v>
      </c>
      <c r="EO567" s="38">
        <f t="shared" si="919"/>
        <v>0</v>
      </c>
      <c r="EP567" s="38">
        <f t="shared" si="920"/>
        <v>452.08679039999998</v>
      </c>
      <c r="EQ567" s="38">
        <f t="shared" si="921"/>
        <v>0</v>
      </c>
      <c r="ER567" s="38">
        <f t="shared" si="922"/>
        <v>0</v>
      </c>
      <c r="ES567" s="38">
        <f t="shared" si="923"/>
        <v>0</v>
      </c>
      <c r="ET567" s="38">
        <f t="shared" si="924"/>
        <v>0</v>
      </c>
      <c r="EU567" s="38">
        <f t="shared" si="925"/>
        <v>0</v>
      </c>
      <c r="EV567" s="38">
        <f t="shared" si="926"/>
        <v>0</v>
      </c>
      <c r="EW567" s="38">
        <f t="shared" si="927"/>
        <v>0</v>
      </c>
      <c r="EX567" s="38">
        <f t="shared" si="928"/>
        <v>0</v>
      </c>
      <c r="EZ567" s="38">
        <f t="shared" si="929"/>
        <v>0</v>
      </c>
      <c r="FA567" s="38">
        <f t="shared" si="930"/>
        <v>0</v>
      </c>
      <c r="FB567" s="1">
        <f t="shared" si="931"/>
        <v>0</v>
      </c>
      <c r="FC567" s="1">
        <f t="shared" si="932"/>
        <v>0</v>
      </c>
      <c r="FD567" s="1">
        <f t="shared" si="933"/>
        <v>0</v>
      </c>
      <c r="FE567" s="1">
        <f t="shared" si="934"/>
        <v>0</v>
      </c>
      <c r="FF567" s="1">
        <f t="shared" si="935"/>
        <v>0</v>
      </c>
      <c r="FG567" s="1">
        <f t="shared" si="936"/>
        <v>0</v>
      </c>
      <c r="FH567" s="1">
        <f t="shared" si="937"/>
        <v>0</v>
      </c>
      <c r="FI567" s="1">
        <f t="shared" si="938"/>
        <v>0</v>
      </c>
      <c r="FJ567" s="1">
        <f t="shared" si="939"/>
        <v>0</v>
      </c>
      <c r="FK567" s="1">
        <f t="shared" si="940"/>
        <v>0</v>
      </c>
      <c r="FL567" s="1">
        <f t="shared" si="941"/>
        <v>0</v>
      </c>
      <c r="FM567" s="1">
        <f t="shared" si="942"/>
        <v>0</v>
      </c>
      <c r="FN567" s="1">
        <f t="shared" si="943"/>
        <v>0</v>
      </c>
      <c r="FO567" s="1">
        <f t="shared" si="944"/>
        <v>0</v>
      </c>
      <c r="FP567" s="1">
        <f t="shared" si="945"/>
        <v>0</v>
      </c>
      <c r="FQ567" s="1">
        <f t="shared" si="946"/>
        <v>0</v>
      </c>
      <c r="FS567" s="1">
        <f t="shared" si="947"/>
        <v>0</v>
      </c>
      <c r="FT567" s="1">
        <f t="shared" si="948"/>
        <v>0</v>
      </c>
      <c r="FU567" s="38">
        <f t="shared" si="949"/>
        <v>0</v>
      </c>
      <c r="FV567" s="38">
        <f t="shared" si="950"/>
        <v>0</v>
      </c>
      <c r="FW567" s="38">
        <f t="shared" si="951"/>
        <v>0</v>
      </c>
      <c r="FX567" s="38">
        <f t="shared" si="952"/>
        <v>0</v>
      </c>
      <c r="FY567" s="38">
        <f t="shared" si="953"/>
        <v>0</v>
      </c>
      <c r="FZ567" s="38">
        <f t="shared" si="954"/>
        <v>0</v>
      </c>
      <c r="GA567" s="38">
        <f t="shared" si="955"/>
        <v>0</v>
      </c>
      <c r="GB567" s="38">
        <f t="shared" si="956"/>
        <v>0</v>
      </c>
      <c r="GC567" s="38">
        <f t="shared" si="957"/>
        <v>0</v>
      </c>
      <c r="GD567" s="38">
        <f t="shared" si="958"/>
        <v>0</v>
      </c>
      <c r="GE567" s="38">
        <f t="shared" si="959"/>
        <v>0</v>
      </c>
      <c r="GF567" s="38">
        <f t="shared" si="960"/>
        <v>0</v>
      </c>
      <c r="GG567" s="38">
        <f t="shared" si="961"/>
        <v>0</v>
      </c>
      <c r="GH567" s="38">
        <f t="shared" si="962"/>
        <v>0</v>
      </c>
      <c r="GI567" s="38">
        <f t="shared" si="963"/>
        <v>0</v>
      </c>
      <c r="GJ567" s="38">
        <f t="shared" si="964"/>
        <v>0</v>
      </c>
      <c r="GL567" s="38">
        <f t="shared" si="965"/>
        <v>0</v>
      </c>
      <c r="GM567" s="38">
        <f t="shared" si="966"/>
        <v>0</v>
      </c>
      <c r="GN567" s="1" t="s">
        <v>2</v>
      </c>
      <c r="GO567" s="13">
        <f t="shared" si="889"/>
        <v>34.473599999999998</v>
      </c>
      <c r="GP567" s="1">
        <f t="shared" si="890"/>
        <v>0.1</v>
      </c>
      <c r="GQ567" s="41">
        <f t="shared" si="891"/>
        <v>34.473600000000005</v>
      </c>
      <c r="GR567" s="41">
        <f t="shared" si="892"/>
        <v>1104.4750700390398</v>
      </c>
      <c r="GS567" s="14">
        <f t="shared" si="893"/>
        <v>32.038286399999997</v>
      </c>
      <c r="GT567" s="1">
        <f t="shared" si="967"/>
        <v>0</v>
      </c>
      <c r="GU567" s="1">
        <f t="shared" si="968"/>
        <v>0</v>
      </c>
      <c r="GV567" s="1">
        <f t="shared" si="969"/>
        <v>34.473599999999998</v>
      </c>
      <c r="GW567" s="37">
        <f t="shared" si="894"/>
        <v>0</v>
      </c>
      <c r="GX567" s="37"/>
      <c r="GY567" s="37"/>
      <c r="GZ567" s="37"/>
      <c r="HB567" s="1">
        <f t="shared" si="970"/>
        <v>0</v>
      </c>
      <c r="HC567" s="1">
        <f t="shared" si="971"/>
        <v>0</v>
      </c>
      <c r="HD567" s="37" t="s">
        <v>2</v>
      </c>
      <c r="HE567" s="1" t="s">
        <v>113</v>
      </c>
      <c r="HF567" s="1" t="s">
        <v>129</v>
      </c>
      <c r="HG567" s="1" t="s">
        <v>1043</v>
      </c>
      <c r="HI567" s="1" t="s">
        <v>163</v>
      </c>
      <c r="HJ567" s="37" t="s">
        <v>2</v>
      </c>
      <c r="JH567" s="58" t="s">
        <v>2</v>
      </c>
    </row>
    <row r="568" spans="1:268" ht="16.25" customHeight="1" x14ac:dyDescent="0.2">
      <c r="A568" s="15" t="s">
        <v>1072</v>
      </c>
      <c r="B568" s="1" t="s">
        <v>69</v>
      </c>
      <c r="F568" s="1" t="s">
        <v>131</v>
      </c>
      <c r="G568" s="30"/>
      <c r="I568" s="1">
        <v>0</v>
      </c>
      <c r="AD568" s="1">
        <v>0</v>
      </c>
      <c r="AY568" s="17">
        <f>364*0.9072</f>
        <v>330.2208</v>
      </c>
      <c r="AZ568" s="1">
        <v>0.84</v>
      </c>
      <c r="BG568" s="1">
        <v>0.19</v>
      </c>
      <c r="BT568" s="1">
        <v>0</v>
      </c>
      <c r="CO568" s="1">
        <v>0</v>
      </c>
      <c r="DJ568" s="1" t="s">
        <v>163</v>
      </c>
      <c r="DL568" s="1">
        <f t="shared" si="887"/>
        <v>0.19</v>
      </c>
      <c r="DM568" s="1">
        <f t="shared" si="888"/>
        <v>0</v>
      </c>
      <c r="DN568" s="1" t="s">
        <v>1056</v>
      </c>
      <c r="DO568" s="1" t="s">
        <v>2</v>
      </c>
      <c r="DP568" s="38">
        <f t="shared" si="895"/>
        <v>2.7738547200000001</v>
      </c>
      <c r="DQ568" s="38">
        <f t="shared" si="896"/>
        <v>0</v>
      </c>
      <c r="DR568" s="38">
        <f t="shared" si="897"/>
        <v>0</v>
      </c>
      <c r="DS568" s="38">
        <f t="shared" si="898"/>
        <v>0</v>
      </c>
      <c r="DT568" s="38">
        <f t="shared" si="899"/>
        <v>0</v>
      </c>
      <c r="DU568" s="38">
        <f t="shared" si="900"/>
        <v>0</v>
      </c>
      <c r="DV568" s="38">
        <f t="shared" si="901"/>
        <v>0</v>
      </c>
      <c r="DW568" s="38">
        <f t="shared" si="902"/>
        <v>0.62741952000000001</v>
      </c>
      <c r="DX568" s="38">
        <f t="shared" si="903"/>
        <v>0</v>
      </c>
      <c r="DY568" s="38">
        <f t="shared" si="904"/>
        <v>0</v>
      </c>
      <c r="DZ568" s="38">
        <f t="shared" si="905"/>
        <v>0</v>
      </c>
      <c r="EA568" s="38">
        <f t="shared" si="906"/>
        <v>0</v>
      </c>
      <c r="EB568" s="38">
        <f t="shared" si="907"/>
        <v>0</v>
      </c>
      <c r="EC568" s="38">
        <f t="shared" si="908"/>
        <v>0</v>
      </c>
      <c r="ED568" s="38">
        <f t="shared" si="909"/>
        <v>0</v>
      </c>
      <c r="EE568" s="38">
        <f t="shared" si="910"/>
        <v>0</v>
      </c>
      <c r="EG568" s="38">
        <f t="shared" si="911"/>
        <v>0</v>
      </c>
      <c r="EH568" s="38">
        <f t="shared" si="912"/>
        <v>0</v>
      </c>
      <c r="EI568" s="38">
        <f t="shared" si="913"/>
        <v>18101.110742507521</v>
      </c>
      <c r="EJ568" s="38">
        <f t="shared" si="914"/>
        <v>0</v>
      </c>
      <c r="EK568" s="38">
        <f t="shared" si="915"/>
        <v>0</v>
      </c>
      <c r="EL568" s="38">
        <f t="shared" si="916"/>
        <v>0</v>
      </c>
      <c r="EM568" s="38">
        <f t="shared" si="917"/>
        <v>0</v>
      </c>
      <c r="EN568" s="38">
        <f t="shared" si="918"/>
        <v>0</v>
      </c>
      <c r="EO568" s="38">
        <f t="shared" si="919"/>
        <v>0</v>
      </c>
      <c r="EP568" s="38">
        <f t="shared" si="920"/>
        <v>8227.9795852799998</v>
      </c>
      <c r="EQ568" s="38">
        <f t="shared" si="921"/>
        <v>0</v>
      </c>
      <c r="ER568" s="38">
        <f t="shared" si="922"/>
        <v>0</v>
      </c>
      <c r="ES568" s="38">
        <f t="shared" si="923"/>
        <v>0</v>
      </c>
      <c r="ET568" s="38">
        <f t="shared" si="924"/>
        <v>0</v>
      </c>
      <c r="EU568" s="38">
        <f t="shared" si="925"/>
        <v>0</v>
      </c>
      <c r="EV568" s="38">
        <f t="shared" si="926"/>
        <v>0</v>
      </c>
      <c r="EW568" s="38">
        <f t="shared" si="927"/>
        <v>0</v>
      </c>
      <c r="EX568" s="38">
        <f t="shared" si="928"/>
        <v>0</v>
      </c>
      <c r="EZ568" s="38">
        <f t="shared" si="929"/>
        <v>0</v>
      </c>
      <c r="FA568" s="38">
        <f t="shared" si="930"/>
        <v>0</v>
      </c>
      <c r="FB568" s="1">
        <f t="shared" si="931"/>
        <v>0</v>
      </c>
      <c r="FC568" s="1">
        <f t="shared" si="932"/>
        <v>0</v>
      </c>
      <c r="FD568" s="1">
        <f t="shared" si="933"/>
        <v>0</v>
      </c>
      <c r="FE568" s="1">
        <f t="shared" si="934"/>
        <v>0</v>
      </c>
      <c r="FF568" s="1">
        <f t="shared" si="935"/>
        <v>0</v>
      </c>
      <c r="FG568" s="1">
        <f t="shared" si="936"/>
        <v>0</v>
      </c>
      <c r="FH568" s="1">
        <f t="shared" si="937"/>
        <v>0</v>
      </c>
      <c r="FI568" s="1">
        <f t="shared" si="938"/>
        <v>0</v>
      </c>
      <c r="FJ568" s="1">
        <f t="shared" si="939"/>
        <v>0</v>
      </c>
      <c r="FK568" s="1">
        <f t="shared" si="940"/>
        <v>0</v>
      </c>
      <c r="FL568" s="1">
        <f t="shared" si="941"/>
        <v>0</v>
      </c>
      <c r="FM568" s="1">
        <f t="shared" si="942"/>
        <v>0</v>
      </c>
      <c r="FN568" s="1">
        <f t="shared" si="943"/>
        <v>0</v>
      </c>
      <c r="FO568" s="1">
        <f t="shared" si="944"/>
        <v>0</v>
      </c>
      <c r="FP568" s="1">
        <f t="shared" si="945"/>
        <v>0</v>
      </c>
      <c r="FQ568" s="1">
        <f t="shared" si="946"/>
        <v>0</v>
      </c>
      <c r="FS568" s="1">
        <f t="shared" si="947"/>
        <v>0</v>
      </c>
      <c r="FT568" s="1">
        <f t="shared" si="948"/>
        <v>0</v>
      </c>
      <c r="FU568" s="38">
        <f t="shared" si="949"/>
        <v>0</v>
      </c>
      <c r="FV568" s="38">
        <f t="shared" si="950"/>
        <v>0</v>
      </c>
      <c r="FW568" s="38">
        <f t="shared" si="951"/>
        <v>0</v>
      </c>
      <c r="FX568" s="38">
        <f t="shared" si="952"/>
        <v>0</v>
      </c>
      <c r="FY568" s="38">
        <f t="shared" si="953"/>
        <v>0</v>
      </c>
      <c r="FZ568" s="38">
        <f t="shared" si="954"/>
        <v>0</v>
      </c>
      <c r="GA568" s="38">
        <f t="shared" si="955"/>
        <v>0</v>
      </c>
      <c r="GB568" s="38">
        <f t="shared" si="956"/>
        <v>0</v>
      </c>
      <c r="GC568" s="38">
        <f t="shared" si="957"/>
        <v>0</v>
      </c>
      <c r="GD568" s="38">
        <f t="shared" si="958"/>
        <v>0</v>
      </c>
      <c r="GE568" s="38">
        <f t="shared" si="959"/>
        <v>0</v>
      </c>
      <c r="GF568" s="38">
        <f t="shared" si="960"/>
        <v>0</v>
      </c>
      <c r="GG568" s="38">
        <f t="shared" si="961"/>
        <v>0</v>
      </c>
      <c r="GH568" s="38">
        <f t="shared" si="962"/>
        <v>0</v>
      </c>
      <c r="GI568" s="38">
        <f t="shared" si="963"/>
        <v>0</v>
      </c>
      <c r="GJ568" s="38">
        <f t="shared" si="964"/>
        <v>0</v>
      </c>
      <c r="GL568" s="38">
        <f t="shared" si="965"/>
        <v>0</v>
      </c>
      <c r="GM568" s="38">
        <f t="shared" si="966"/>
        <v>0</v>
      </c>
      <c r="GN568" s="1" t="s">
        <v>2</v>
      </c>
      <c r="GO568" s="14">
        <f t="shared" si="889"/>
        <v>330.2208</v>
      </c>
      <c r="GP568" s="1">
        <f t="shared" si="890"/>
        <v>0.19</v>
      </c>
      <c r="GQ568" s="41">
        <f t="shared" si="891"/>
        <v>627.41951999999992</v>
      </c>
      <c r="GR568" s="41">
        <f t="shared" si="892"/>
        <v>26329.090327787519</v>
      </c>
      <c r="GS568" s="14">
        <f t="shared" si="893"/>
        <v>79.731774399999992</v>
      </c>
      <c r="GT568" s="1">
        <f t="shared" si="967"/>
        <v>0</v>
      </c>
      <c r="GU568" s="1">
        <f t="shared" si="968"/>
        <v>0</v>
      </c>
      <c r="GV568" s="1">
        <f t="shared" si="969"/>
        <v>627.41951999999992</v>
      </c>
      <c r="GW568" s="37">
        <f t="shared" si="894"/>
        <v>0</v>
      </c>
      <c r="GX568" s="37"/>
      <c r="GY568" s="37"/>
      <c r="GZ568" s="37"/>
      <c r="HB568" s="1">
        <f t="shared" si="970"/>
        <v>0</v>
      </c>
      <c r="HC568" s="1">
        <f t="shared" si="971"/>
        <v>0</v>
      </c>
      <c r="HD568" s="37" t="s">
        <v>2</v>
      </c>
      <c r="HE568" s="1" t="s">
        <v>113</v>
      </c>
      <c r="HF568" s="1" t="s">
        <v>129</v>
      </c>
      <c r="HG568" s="1" t="s">
        <v>1043</v>
      </c>
      <c r="HI568" s="1" t="s">
        <v>163</v>
      </c>
      <c r="HJ568" s="37" t="s">
        <v>2</v>
      </c>
      <c r="JH568" s="58" t="s">
        <v>2</v>
      </c>
    </row>
    <row r="569" spans="1:268" s="75" customFormat="1" ht="16.25" customHeight="1" x14ac:dyDescent="0.2">
      <c r="A569" s="74" t="s">
        <v>1074</v>
      </c>
      <c r="B569" s="75" t="s">
        <v>69</v>
      </c>
      <c r="F569" s="75" t="s">
        <v>189</v>
      </c>
      <c r="I569" s="75">
        <v>0</v>
      </c>
      <c r="AD569" s="75">
        <v>0</v>
      </c>
      <c r="AY569" s="75">
        <v>4.54</v>
      </c>
      <c r="AZ569" s="75">
        <v>1.89</v>
      </c>
      <c r="BG569" s="75">
        <v>0.36</v>
      </c>
      <c r="BT569" s="75">
        <v>0</v>
      </c>
      <c r="CO569" s="75">
        <v>0</v>
      </c>
      <c r="DJ569" s="75" t="s">
        <v>163</v>
      </c>
      <c r="DL569" s="75">
        <f t="shared" si="887"/>
        <v>0.36</v>
      </c>
      <c r="DM569" s="75">
        <f t="shared" si="888"/>
        <v>0</v>
      </c>
      <c r="DN569" s="75" t="s">
        <v>1075</v>
      </c>
      <c r="DO569" s="75" t="s">
        <v>2</v>
      </c>
      <c r="DP569" s="38">
        <f t="shared" si="895"/>
        <v>8.5806000000000007E-2</v>
      </c>
      <c r="DQ569" s="38">
        <f t="shared" si="896"/>
        <v>0</v>
      </c>
      <c r="DR569" s="38">
        <f t="shared" si="897"/>
        <v>0</v>
      </c>
      <c r="DS569" s="38">
        <f t="shared" si="898"/>
        <v>0</v>
      </c>
      <c r="DT569" s="38">
        <f t="shared" si="899"/>
        <v>0</v>
      </c>
      <c r="DU569" s="38">
        <f t="shared" si="900"/>
        <v>0</v>
      </c>
      <c r="DV569" s="38">
        <f t="shared" si="901"/>
        <v>0</v>
      </c>
      <c r="DW569" s="38">
        <f t="shared" si="902"/>
        <v>1.6343999999999997E-2</v>
      </c>
      <c r="DX569" s="38">
        <f t="shared" si="903"/>
        <v>0</v>
      </c>
      <c r="DY569" s="38">
        <f t="shared" si="904"/>
        <v>0</v>
      </c>
      <c r="DZ569" s="38">
        <f t="shared" si="905"/>
        <v>0</v>
      </c>
      <c r="EA569" s="38">
        <f t="shared" si="906"/>
        <v>0</v>
      </c>
      <c r="EB569" s="38">
        <f t="shared" si="907"/>
        <v>0</v>
      </c>
      <c r="EC569" s="38">
        <f t="shared" si="908"/>
        <v>0</v>
      </c>
      <c r="ED569" s="38">
        <f t="shared" si="909"/>
        <v>0</v>
      </c>
      <c r="EE569" s="38">
        <f t="shared" si="910"/>
        <v>0</v>
      </c>
      <c r="EG569" s="38">
        <f t="shared" si="911"/>
        <v>0</v>
      </c>
      <c r="EH569" s="38">
        <f t="shared" si="912"/>
        <v>0</v>
      </c>
      <c r="EI569" s="38">
        <f t="shared" si="913"/>
        <v>559.93700649600009</v>
      </c>
      <c r="EJ569" s="38">
        <f t="shared" si="914"/>
        <v>0</v>
      </c>
      <c r="EK569" s="38">
        <f t="shared" si="915"/>
        <v>0</v>
      </c>
      <c r="EL569" s="38">
        <f t="shared" si="916"/>
        <v>0</v>
      </c>
      <c r="EM569" s="38">
        <f t="shared" si="917"/>
        <v>0</v>
      </c>
      <c r="EN569" s="38">
        <f t="shared" si="918"/>
        <v>0</v>
      </c>
      <c r="EO569" s="38">
        <f t="shared" si="919"/>
        <v>0</v>
      </c>
      <c r="EP569" s="38">
        <f t="shared" si="920"/>
        <v>214.33521599999997</v>
      </c>
      <c r="EQ569" s="38">
        <f t="shared" si="921"/>
        <v>0</v>
      </c>
      <c r="ER569" s="38">
        <f t="shared" si="922"/>
        <v>0</v>
      </c>
      <c r="ES569" s="38">
        <f t="shared" si="923"/>
        <v>0</v>
      </c>
      <c r="ET569" s="38">
        <f t="shared" si="924"/>
        <v>0</v>
      </c>
      <c r="EU569" s="38">
        <f t="shared" si="925"/>
        <v>0</v>
      </c>
      <c r="EV569" s="38">
        <f t="shared" si="926"/>
        <v>0</v>
      </c>
      <c r="EW569" s="38">
        <f t="shared" si="927"/>
        <v>0</v>
      </c>
      <c r="EX569" s="38">
        <f t="shared" si="928"/>
        <v>0</v>
      </c>
      <c r="EZ569" s="38">
        <f t="shared" si="929"/>
        <v>0</v>
      </c>
      <c r="FA569" s="38">
        <f t="shared" si="930"/>
        <v>0</v>
      </c>
      <c r="FB569" s="75">
        <f t="shared" si="931"/>
        <v>0</v>
      </c>
      <c r="FC569" s="75">
        <f t="shared" si="932"/>
        <v>0</v>
      </c>
      <c r="FD569" s="75">
        <f t="shared" si="933"/>
        <v>0</v>
      </c>
      <c r="FE569" s="75">
        <f t="shared" si="934"/>
        <v>0</v>
      </c>
      <c r="FF569" s="75">
        <f t="shared" si="935"/>
        <v>0</v>
      </c>
      <c r="FG569" s="75">
        <f t="shared" si="936"/>
        <v>0</v>
      </c>
      <c r="FH569" s="75">
        <f t="shared" si="937"/>
        <v>0</v>
      </c>
      <c r="FI569" s="75">
        <f t="shared" si="938"/>
        <v>0</v>
      </c>
      <c r="FJ569" s="75">
        <f t="shared" si="939"/>
        <v>0</v>
      </c>
      <c r="FK569" s="75">
        <f t="shared" si="940"/>
        <v>0</v>
      </c>
      <c r="FL569" s="75">
        <f t="shared" si="941"/>
        <v>0</v>
      </c>
      <c r="FM569" s="75">
        <f t="shared" si="942"/>
        <v>0</v>
      </c>
      <c r="FN569" s="75">
        <f t="shared" si="943"/>
        <v>0</v>
      </c>
      <c r="FO569" s="75">
        <f t="shared" si="944"/>
        <v>0</v>
      </c>
      <c r="FP569" s="75">
        <f t="shared" si="945"/>
        <v>0</v>
      </c>
      <c r="FQ569" s="75">
        <f t="shared" si="946"/>
        <v>0</v>
      </c>
      <c r="FS569" s="75">
        <f t="shared" si="947"/>
        <v>0</v>
      </c>
      <c r="FT569" s="75">
        <f t="shared" si="948"/>
        <v>0</v>
      </c>
      <c r="FU569" s="38">
        <f t="shared" si="949"/>
        <v>0</v>
      </c>
      <c r="FV569" s="38">
        <f t="shared" si="950"/>
        <v>0</v>
      </c>
      <c r="FW569" s="38">
        <f t="shared" si="951"/>
        <v>0</v>
      </c>
      <c r="FX569" s="38">
        <f t="shared" si="952"/>
        <v>0</v>
      </c>
      <c r="FY569" s="38">
        <f t="shared" si="953"/>
        <v>0</v>
      </c>
      <c r="FZ569" s="38">
        <f t="shared" si="954"/>
        <v>0</v>
      </c>
      <c r="GA569" s="38">
        <f t="shared" si="955"/>
        <v>0</v>
      </c>
      <c r="GB569" s="38">
        <f t="shared" si="956"/>
        <v>0</v>
      </c>
      <c r="GC569" s="38">
        <f t="shared" si="957"/>
        <v>0</v>
      </c>
      <c r="GD569" s="38">
        <f t="shared" si="958"/>
        <v>0</v>
      </c>
      <c r="GE569" s="38">
        <f t="shared" si="959"/>
        <v>0</v>
      </c>
      <c r="GF569" s="38">
        <f t="shared" si="960"/>
        <v>0</v>
      </c>
      <c r="GG569" s="38">
        <f t="shared" si="961"/>
        <v>0</v>
      </c>
      <c r="GH569" s="38">
        <f t="shared" si="962"/>
        <v>0</v>
      </c>
      <c r="GI569" s="38">
        <f t="shared" si="963"/>
        <v>0</v>
      </c>
      <c r="GJ569" s="38">
        <f t="shared" si="964"/>
        <v>0</v>
      </c>
      <c r="GL569" s="38">
        <f t="shared" si="965"/>
        <v>0</v>
      </c>
      <c r="GM569" s="38">
        <f t="shared" si="966"/>
        <v>0</v>
      </c>
      <c r="GN569" s="75" t="s">
        <v>2</v>
      </c>
      <c r="GO569" s="75">
        <f t="shared" si="889"/>
        <v>4.54</v>
      </c>
      <c r="GP569" s="75">
        <f t="shared" si="890"/>
        <v>0.36</v>
      </c>
      <c r="GQ569" s="41">
        <f t="shared" si="891"/>
        <v>16.343999999999998</v>
      </c>
      <c r="GR569" s="41">
        <f t="shared" si="892"/>
        <v>774.27222249600004</v>
      </c>
      <c r="GS569" s="14">
        <f t="shared" si="893"/>
        <v>170.54454240000001</v>
      </c>
      <c r="GT569" s="75">
        <f t="shared" si="967"/>
        <v>0</v>
      </c>
      <c r="GU569" s="75">
        <f t="shared" si="968"/>
        <v>0</v>
      </c>
      <c r="GV569" s="75">
        <f t="shared" si="969"/>
        <v>16.343999999999998</v>
      </c>
      <c r="GW569" s="76">
        <f t="shared" si="894"/>
        <v>0</v>
      </c>
      <c r="GX569" s="76"/>
      <c r="GY569" s="76"/>
      <c r="GZ569" s="76"/>
      <c r="HB569" s="75">
        <f t="shared" si="970"/>
        <v>0</v>
      </c>
      <c r="HC569" s="75">
        <f t="shared" si="971"/>
        <v>0</v>
      </c>
      <c r="HD569" s="76" t="s">
        <v>2</v>
      </c>
      <c r="HE569" s="75" t="s">
        <v>113</v>
      </c>
      <c r="HF569" s="75" t="s">
        <v>129</v>
      </c>
      <c r="HG569" s="75" t="s">
        <v>1043</v>
      </c>
      <c r="HI569" s="75" t="s">
        <v>163</v>
      </c>
      <c r="HJ569" s="76" t="s">
        <v>2</v>
      </c>
      <c r="JH569" s="76" t="s">
        <v>2</v>
      </c>
    </row>
    <row r="570" spans="1:268" ht="16.25" customHeight="1" x14ac:dyDescent="0.2">
      <c r="A570" s="15" t="s">
        <v>994</v>
      </c>
      <c r="F570" s="1" t="s">
        <v>131</v>
      </c>
      <c r="I570" s="1">
        <v>0</v>
      </c>
      <c r="AD570" s="1">
        <v>0</v>
      </c>
      <c r="AY570" s="1">
        <v>3.8</v>
      </c>
      <c r="AZ570" s="1">
        <v>0.81</v>
      </c>
      <c r="BG570" s="1">
        <v>1.03</v>
      </c>
      <c r="DJ570" s="1" t="s">
        <v>163</v>
      </c>
      <c r="DL570" s="1">
        <f t="shared" si="887"/>
        <v>1.03</v>
      </c>
      <c r="DM570" s="1">
        <f t="shared" si="888"/>
        <v>0</v>
      </c>
      <c r="DN570" s="1" t="s">
        <v>993</v>
      </c>
      <c r="DO570" s="1" t="s">
        <v>2</v>
      </c>
      <c r="DP570" s="38">
        <f t="shared" si="895"/>
        <v>3.0779999999999998E-2</v>
      </c>
      <c r="DQ570" s="38">
        <f t="shared" si="896"/>
        <v>0</v>
      </c>
      <c r="DR570" s="38">
        <f t="shared" si="897"/>
        <v>0</v>
      </c>
      <c r="DS570" s="38">
        <f t="shared" si="898"/>
        <v>0</v>
      </c>
      <c r="DT570" s="38">
        <f t="shared" si="899"/>
        <v>0</v>
      </c>
      <c r="DU570" s="38">
        <f t="shared" si="900"/>
        <v>0</v>
      </c>
      <c r="DV570" s="38">
        <f t="shared" si="901"/>
        <v>0</v>
      </c>
      <c r="DW570" s="38">
        <f t="shared" si="902"/>
        <v>3.9139999999999994E-2</v>
      </c>
      <c r="DX570" s="38">
        <f t="shared" si="903"/>
        <v>0</v>
      </c>
      <c r="DY570" s="38">
        <f t="shared" si="904"/>
        <v>0</v>
      </c>
      <c r="DZ570" s="38">
        <f t="shared" si="905"/>
        <v>0</v>
      </c>
      <c r="EA570" s="38">
        <f t="shared" si="906"/>
        <v>0</v>
      </c>
      <c r="EB570" s="38">
        <f t="shared" si="907"/>
        <v>0</v>
      </c>
      <c r="EC570" s="38">
        <f t="shared" si="908"/>
        <v>0</v>
      </c>
      <c r="ED570" s="38">
        <f t="shared" si="909"/>
        <v>0</v>
      </c>
      <c r="EE570" s="38">
        <f t="shared" si="910"/>
        <v>0</v>
      </c>
      <c r="EG570" s="38">
        <f t="shared" si="911"/>
        <v>0</v>
      </c>
      <c r="EH570" s="38">
        <f t="shared" si="912"/>
        <v>0</v>
      </c>
      <c r="EI570" s="38">
        <f t="shared" si="913"/>
        <v>200.85846047999999</v>
      </c>
      <c r="EJ570" s="38">
        <f t="shared" si="914"/>
        <v>0</v>
      </c>
      <c r="EK570" s="38">
        <f t="shared" si="915"/>
        <v>0</v>
      </c>
      <c r="EL570" s="38">
        <f t="shared" si="916"/>
        <v>0</v>
      </c>
      <c r="EM570" s="38">
        <f t="shared" si="917"/>
        <v>0</v>
      </c>
      <c r="EN570" s="38">
        <f t="shared" si="918"/>
        <v>0</v>
      </c>
      <c r="EO570" s="38">
        <f t="shared" si="919"/>
        <v>0</v>
      </c>
      <c r="EP570" s="38">
        <f t="shared" si="920"/>
        <v>513.28195999999991</v>
      </c>
      <c r="EQ570" s="38">
        <f t="shared" si="921"/>
        <v>0</v>
      </c>
      <c r="ER570" s="38">
        <f t="shared" si="922"/>
        <v>0</v>
      </c>
      <c r="ES570" s="38">
        <f t="shared" si="923"/>
        <v>0</v>
      </c>
      <c r="ET570" s="38">
        <f t="shared" si="924"/>
        <v>0</v>
      </c>
      <c r="EU570" s="38">
        <f t="shared" si="925"/>
        <v>0</v>
      </c>
      <c r="EV570" s="38">
        <f t="shared" si="926"/>
        <v>0</v>
      </c>
      <c r="EW570" s="38">
        <f t="shared" si="927"/>
        <v>0</v>
      </c>
      <c r="EX570" s="38">
        <f t="shared" si="928"/>
        <v>0</v>
      </c>
      <c r="EZ570" s="38">
        <f t="shared" si="929"/>
        <v>0</v>
      </c>
      <c r="FA570" s="38">
        <f t="shared" si="930"/>
        <v>0</v>
      </c>
      <c r="FB570" s="1">
        <f t="shared" si="931"/>
        <v>0</v>
      </c>
      <c r="FC570" s="1">
        <f t="shared" si="932"/>
        <v>0</v>
      </c>
      <c r="FD570" s="1">
        <f t="shared" si="933"/>
        <v>0</v>
      </c>
      <c r="FE570" s="1">
        <f t="shared" si="934"/>
        <v>0</v>
      </c>
      <c r="FF570" s="1">
        <f t="shared" si="935"/>
        <v>0</v>
      </c>
      <c r="FG570" s="1">
        <f t="shared" si="936"/>
        <v>0</v>
      </c>
      <c r="FH570" s="1">
        <f t="shared" si="937"/>
        <v>0</v>
      </c>
      <c r="FI570" s="1">
        <f t="shared" si="938"/>
        <v>0</v>
      </c>
      <c r="FJ570" s="1">
        <f t="shared" si="939"/>
        <v>0</v>
      </c>
      <c r="FK570" s="1">
        <f t="shared" si="940"/>
        <v>0</v>
      </c>
      <c r="FL570" s="1">
        <f t="shared" si="941"/>
        <v>0</v>
      </c>
      <c r="FM570" s="1">
        <f t="shared" si="942"/>
        <v>0</v>
      </c>
      <c r="FN570" s="1">
        <f t="shared" si="943"/>
        <v>0</v>
      </c>
      <c r="FO570" s="1">
        <f t="shared" si="944"/>
        <v>0</v>
      </c>
      <c r="FP570" s="1">
        <f t="shared" si="945"/>
        <v>0</v>
      </c>
      <c r="FQ570" s="1">
        <f t="shared" si="946"/>
        <v>0</v>
      </c>
      <c r="FS570" s="1">
        <f t="shared" si="947"/>
        <v>0</v>
      </c>
      <c r="FT570" s="1">
        <f t="shared" si="948"/>
        <v>0</v>
      </c>
      <c r="FU570" s="38">
        <f t="shared" si="949"/>
        <v>0</v>
      </c>
      <c r="FV570" s="38">
        <f t="shared" si="950"/>
        <v>0</v>
      </c>
      <c r="FW570" s="38">
        <f t="shared" si="951"/>
        <v>0</v>
      </c>
      <c r="FX570" s="38">
        <f t="shared" si="952"/>
        <v>0</v>
      </c>
      <c r="FY570" s="38">
        <f t="shared" si="953"/>
        <v>0</v>
      </c>
      <c r="FZ570" s="38">
        <f t="shared" si="954"/>
        <v>0</v>
      </c>
      <c r="GA570" s="38">
        <f t="shared" si="955"/>
        <v>0</v>
      </c>
      <c r="GB570" s="38">
        <f t="shared" si="956"/>
        <v>0</v>
      </c>
      <c r="GC570" s="38">
        <f t="shared" si="957"/>
        <v>0</v>
      </c>
      <c r="GD570" s="38">
        <f t="shared" si="958"/>
        <v>0</v>
      </c>
      <c r="GE570" s="38">
        <f t="shared" si="959"/>
        <v>0</v>
      </c>
      <c r="GF570" s="38">
        <f t="shared" si="960"/>
        <v>0</v>
      </c>
      <c r="GG570" s="38">
        <f t="shared" si="961"/>
        <v>0</v>
      </c>
      <c r="GH570" s="38">
        <f t="shared" si="962"/>
        <v>0</v>
      </c>
      <c r="GI570" s="38">
        <f t="shared" si="963"/>
        <v>0</v>
      </c>
      <c r="GJ570" s="38">
        <f t="shared" si="964"/>
        <v>0</v>
      </c>
      <c r="GL570" s="38">
        <f t="shared" si="965"/>
        <v>0</v>
      </c>
      <c r="GM570" s="38">
        <f t="shared" si="966"/>
        <v>0</v>
      </c>
      <c r="GN570" s="1" t="s">
        <v>2</v>
      </c>
      <c r="GO570" s="1">
        <f t="shared" si="889"/>
        <v>3.8</v>
      </c>
      <c r="GP570" s="1">
        <f t="shared" si="890"/>
        <v>1.03</v>
      </c>
      <c r="GQ570" s="41">
        <f t="shared" si="891"/>
        <v>39.14</v>
      </c>
      <c r="GR570" s="41">
        <f t="shared" si="892"/>
        <v>714.14042047999988</v>
      </c>
      <c r="GS570" s="14">
        <f t="shared" si="893"/>
        <v>187.93168959999997</v>
      </c>
      <c r="GT570" s="1">
        <f t="shared" si="967"/>
        <v>0</v>
      </c>
      <c r="GU570" s="1">
        <f t="shared" si="968"/>
        <v>0</v>
      </c>
      <c r="GV570" s="1">
        <f t="shared" si="969"/>
        <v>39.139999999999993</v>
      </c>
      <c r="GW570" s="37">
        <f t="shared" si="894"/>
        <v>0</v>
      </c>
      <c r="GX570" s="37"/>
      <c r="GY570" s="37"/>
      <c r="GZ570" s="37"/>
      <c r="HB570" s="1">
        <f t="shared" si="970"/>
        <v>0</v>
      </c>
      <c r="HC570" s="1">
        <f t="shared" si="971"/>
        <v>0</v>
      </c>
      <c r="HD570" s="37" t="s">
        <v>2</v>
      </c>
      <c r="HE570" s="1" t="s">
        <v>113</v>
      </c>
      <c r="HF570" s="1" t="s">
        <v>129</v>
      </c>
      <c r="HG570" s="1" t="s">
        <v>995</v>
      </c>
      <c r="HI570" s="1" t="s">
        <v>163</v>
      </c>
      <c r="HJ570" s="37" t="s">
        <v>2</v>
      </c>
      <c r="JH570" s="58" t="s">
        <v>2</v>
      </c>
    </row>
    <row r="571" spans="1:268" ht="16.25" customHeight="1" x14ac:dyDescent="0.2">
      <c r="A571" s="15" t="s">
        <v>999</v>
      </c>
      <c r="F571" s="1" t="s">
        <v>131</v>
      </c>
      <c r="I571" s="1">
        <v>0</v>
      </c>
      <c r="AD571" s="1">
        <v>0</v>
      </c>
      <c r="AY571" s="1">
        <v>90</v>
      </c>
      <c r="AZ571" s="1">
        <v>0.16</v>
      </c>
      <c r="BG571" s="1">
        <v>0.45</v>
      </c>
      <c r="DJ571" s="1" t="s">
        <v>163</v>
      </c>
      <c r="DL571" s="1">
        <f t="shared" si="887"/>
        <v>0.45</v>
      </c>
      <c r="DM571" s="1">
        <f t="shared" si="888"/>
        <v>0</v>
      </c>
      <c r="DN571" s="1" t="s">
        <v>993</v>
      </c>
      <c r="DO571" s="1" t="s">
        <v>2</v>
      </c>
      <c r="DP571" s="38">
        <f t="shared" si="895"/>
        <v>0.14400000000000002</v>
      </c>
      <c r="DQ571" s="38">
        <f t="shared" si="896"/>
        <v>0</v>
      </c>
      <c r="DR571" s="38">
        <f t="shared" si="897"/>
        <v>0</v>
      </c>
      <c r="DS571" s="38">
        <f t="shared" si="898"/>
        <v>0</v>
      </c>
      <c r="DT571" s="38">
        <f t="shared" si="899"/>
        <v>0</v>
      </c>
      <c r="DU571" s="38">
        <f t="shared" si="900"/>
        <v>0</v>
      </c>
      <c r="DV571" s="38">
        <f t="shared" si="901"/>
        <v>0</v>
      </c>
      <c r="DW571" s="38">
        <f t="shared" si="902"/>
        <v>0.40500000000000003</v>
      </c>
      <c r="DX571" s="38">
        <f t="shared" si="903"/>
        <v>0</v>
      </c>
      <c r="DY571" s="38">
        <f t="shared" si="904"/>
        <v>0</v>
      </c>
      <c r="DZ571" s="38">
        <f t="shared" si="905"/>
        <v>0</v>
      </c>
      <c r="EA571" s="38">
        <f t="shared" si="906"/>
        <v>0</v>
      </c>
      <c r="EB571" s="38">
        <f t="shared" si="907"/>
        <v>0</v>
      </c>
      <c r="EC571" s="38">
        <f t="shared" si="908"/>
        <v>0</v>
      </c>
      <c r="ED571" s="38">
        <f t="shared" si="909"/>
        <v>0</v>
      </c>
      <c r="EE571" s="38">
        <f t="shared" si="910"/>
        <v>0</v>
      </c>
      <c r="EG571" s="38">
        <f t="shared" si="911"/>
        <v>0</v>
      </c>
      <c r="EH571" s="38">
        <f t="shared" si="912"/>
        <v>0</v>
      </c>
      <c r="EI571" s="38">
        <f t="shared" si="913"/>
        <v>939.68870400000014</v>
      </c>
      <c r="EJ571" s="38">
        <f t="shared" si="914"/>
        <v>0</v>
      </c>
      <c r="EK571" s="38">
        <f t="shared" si="915"/>
        <v>0</v>
      </c>
      <c r="EL571" s="38">
        <f t="shared" si="916"/>
        <v>0</v>
      </c>
      <c r="EM571" s="38">
        <f t="shared" si="917"/>
        <v>0</v>
      </c>
      <c r="EN571" s="38">
        <f t="shared" si="918"/>
        <v>0</v>
      </c>
      <c r="EO571" s="38">
        <f t="shared" si="919"/>
        <v>0</v>
      </c>
      <c r="EP571" s="38">
        <f t="shared" si="920"/>
        <v>5311.17</v>
      </c>
      <c r="EQ571" s="38">
        <f t="shared" si="921"/>
        <v>0</v>
      </c>
      <c r="ER571" s="38">
        <f t="shared" si="922"/>
        <v>0</v>
      </c>
      <c r="ES571" s="38">
        <f t="shared" si="923"/>
        <v>0</v>
      </c>
      <c r="ET571" s="38">
        <f t="shared" si="924"/>
        <v>0</v>
      </c>
      <c r="EU571" s="38">
        <f t="shared" si="925"/>
        <v>0</v>
      </c>
      <c r="EV571" s="38">
        <f t="shared" si="926"/>
        <v>0</v>
      </c>
      <c r="EW571" s="38">
        <f t="shared" si="927"/>
        <v>0</v>
      </c>
      <c r="EX571" s="38">
        <f t="shared" si="928"/>
        <v>0</v>
      </c>
      <c r="EZ571" s="38">
        <f t="shared" si="929"/>
        <v>0</v>
      </c>
      <c r="FA571" s="38">
        <f t="shared" si="930"/>
        <v>0</v>
      </c>
      <c r="FB571" s="1">
        <f t="shared" si="931"/>
        <v>0</v>
      </c>
      <c r="FC571" s="1">
        <f t="shared" si="932"/>
        <v>0</v>
      </c>
      <c r="FD571" s="1">
        <f t="shared" si="933"/>
        <v>0</v>
      </c>
      <c r="FE571" s="1">
        <f t="shared" si="934"/>
        <v>0</v>
      </c>
      <c r="FF571" s="1">
        <f t="shared" si="935"/>
        <v>0</v>
      </c>
      <c r="FG571" s="1">
        <f t="shared" si="936"/>
        <v>0</v>
      </c>
      <c r="FH571" s="1">
        <f t="shared" si="937"/>
        <v>0</v>
      </c>
      <c r="FI571" s="1">
        <f t="shared" si="938"/>
        <v>0</v>
      </c>
      <c r="FJ571" s="1">
        <f t="shared" si="939"/>
        <v>0</v>
      </c>
      <c r="FK571" s="1">
        <f t="shared" si="940"/>
        <v>0</v>
      </c>
      <c r="FL571" s="1">
        <f t="shared" si="941"/>
        <v>0</v>
      </c>
      <c r="FM571" s="1">
        <f t="shared" si="942"/>
        <v>0</v>
      </c>
      <c r="FN571" s="1">
        <f t="shared" si="943"/>
        <v>0</v>
      </c>
      <c r="FO571" s="1">
        <f t="shared" si="944"/>
        <v>0</v>
      </c>
      <c r="FP571" s="1">
        <f t="shared" si="945"/>
        <v>0</v>
      </c>
      <c r="FQ571" s="1">
        <f t="shared" si="946"/>
        <v>0</v>
      </c>
      <c r="FS571" s="1">
        <f t="shared" si="947"/>
        <v>0</v>
      </c>
      <c r="FT571" s="1">
        <f t="shared" si="948"/>
        <v>0</v>
      </c>
      <c r="FU571" s="38">
        <f t="shared" si="949"/>
        <v>0</v>
      </c>
      <c r="FV571" s="38">
        <f t="shared" si="950"/>
        <v>0</v>
      </c>
      <c r="FW571" s="38">
        <f t="shared" si="951"/>
        <v>0</v>
      </c>
      <c r="FX571" s="38">
        <f t="shared" si="952"/>
        <v>0</v>
      </c>
      <c r="FY571" s="38">
        <f t="shared" si="953"/>
        <v>0</v>
      </c>
      <c r="FZ571" s="38">
        <f t="shared" si="954"/>
        <v>0</v>
      </c>
      <c r="GA571" s="38">
        <f t="shared" si="955"/>
        <v>0</v>
      </c>
      <c r="GB571" s="38">
        <f t="shared" si="956"/>
        <v>0</v>
      </c>
      <c r="GC571" s="38">
        <f t="shared" si="957"/>
        <v>0</v>
      </c>
      <c r="GD571" s="38">
        <f t="shared" si="958"/>
        <v>0</v>
      </c>
      <c r="GE571" s="38">
        <f t="shared" si="959"/>
        <v>0</v>
      </c>
      <c r="GF571" s="38">
        <f t="shared" si="960"/>
        <v>0</v>
      </c>
      <c r="GG571" s="38">
        <f t="shared" si="961"/>
        <v>0</v>
      </c>
      <c r="GH571" s="38">
        <f t="shared" si="962"/>
        <v>0</v>
      </c>
      <c r="GI571" s="38">
        <f t="shared" si="963"/>
        <v>0</v>
      </c>
      <c r="GJ571" s="38">
        <f t="shared" si="964"/>
        <v>0</v>
      </c>
      <c r="GL571" s="38">
        <f t="shared" si="965"/>
        <v>0</v>
      </c>
      <c r="GM571" s="38">
        <f t="shared" si="966"/>
        <v>0</v>
      </c>
      <c r="GN571" s="1" t="s">
        <v>2</v>
      </c>
      <c r="GO571" s="1">
        <f t="shared" si="889"/>
        <v>90</v>
      </c>
      <c r="GP571" s="1">
        <f t="shared" si="890"/>
        <v>0.45</v>
      </c>
      <c r="GQ571" s="41">
        <f t="shared" si="891"/>
        <v>405</v>
      </c>
      <c r="GR571" s="41">
        <f t="shared" si="892"/>
        <v>6250.8587040000002</v>
      </c>
      <c r="GS571" s="14">
        <f t="shared" si="893"/>
        <v>69.453985599999996</v>
      </c>
      <c r="GT571" s="1">
        <f t="shared" si="967"/>
        <v>0</v>
      </c>
      <c r="GU571" s="1">
        <f t="shared" si="968"/>
        <v>0</v>
      </c>
      <c r="GV571" s="1">
        <f t="shared" si="969"/>
        <v>405</v>
      </c>
      <c r="GW571" s="37">
        <f t="shared" si="894"/>
        <v>0</v>
      </c>
      <c r="GX571" s="37"/>
      <c r="GY571" s="37"/>
      <c r="GZ571" s="37"/>
      <c r="HB571" s="1">
        <f t="shared" si="970"/>
        <v>0</v>
      </c>
      <c r="HC571" s="1">
        <f t="shared" si="971"/>
        <v>0</v>
      </c>
      <c r="HD571" s="37" t="s">
        <v>2</v>
      </c>
      <c r="HE571" s="1" t="s">
        <v>113</v>
      </c>
      <c r="HF571" s="1" t="s">
        <v>129</v>
      </c>
      <c r="HG571" s="1" t="s">
        <v>995</v>
      </c>
      <c r="HI571" s="1" t="s">
        <v>163</v>
      </c>
      <c r="HJ571" s="37" t="s">
        <v>2</v>
      </c>
      <c r="JH571" s="58" t="s">
        <v>2</v>
      </c>
    </row>
    <row r="572" spans="1:268" ht="16.25" customHeight="1" x14ac:dyDescent="0.2">
      <c r="A572" s="15" t="s">
        <v>1000</v>
      </c>
      <c r="F572" s="1" t="s">
        <v>131</v>
      </c>
      <c r="I572" s="1">
        <v>0</v>
      </c>
      <c r="AD572" s="1">
        <v>0</v>
      </c>
      <c r="AY572" s="1">
        <v>6.7</v>
      </c>
      <c r="AZ572" s="1">
        <v>0.22</v>
      </c>
      <c r="BG572" s="1">
        <v>0.23</v>
      </c>
      <c r="DJ572" s="1" t="s">
        <v>163</v>
      </c>
      <c r="DL572" s="1">
        <f t="shared" si="887"/>
        <v>0.23</v>
      </c>
      <c r="DM572" s="1">
        <f t="shared" si="888"/>
        <v>0</v>
      </c>
      <c r="DN572" s="1" t="s">
        <v>993</v>
      </c>
      <c r="DO572" s="1" t="s">
        <v>2</v>
      </c>
      <c r="DP572" s="38">
        <f t="shared" si="895"/>
        <v>1.474E-2</v>
      </c>
      <c r="DQ572" s="38">
        <f t="shared" si="896"/>
        <v>0</v>
      </c>
      <c r="DR572" s="38">
        <f t="shared" si="897"/>
        <v>0</v>
      </c>
      <c r="DS572" s="38">
        <f t="shared" si="898"/>
        <v>0</v>
      </c>
      <c r="DT572" s="38">
        <f t="shared" si="899"/>
        <v>0</v>
      </c>
      <c r="DU572" s="38">
        <f t="shared" si="900"/>
        <v>0</v>
      </c>
      <c r="DV572" s="38">
        <f t="shared" si="901"/>
        <v>0</v>
      </c>
      <c r="DW572" s="38">
        <f t="shared" si="902"/>
        <v>1.5410000000000002E-2</v>
      </c>
      <c r="DX572" s="38">
        <f t="shared" si="903"/>
        <v>0</v>
      </c>
      <c r="DY572" s="38">
        <f t="shared" si="904"/>
        <v>0</v>
      </c>
      <c r="DZ572" s="38">
        <f t="shared" si="905"/>
        <v>0</v>
      </c>
      <c r="EA572" s="38">
        <f t="shared" si="906"/>
        <v>0</v>
      </c>
      <c r="EB572" s="38">
        <f t="shared" si="907"/>
        <v>0</v>
      </c>
      <c r="EC572" s="38">
        <f t="shared" si="908"/>
        <v>0</v>
      </c>
      <c r="ED572" s="38">
        <f t="shared" si="909"/>
        <v>0</v>
      </c>
      <c r="EE572" s="38">
        <f t="shared" si="910"/>
        <v>0</v>
      </c>
      <c r="EG572" s="38">
        <f t="shared" si="911"/>
        <v>0</v>
      </c>
      <c r="EH572" s="38">
        <f t="shared" si="912"/>
        <v>0</v>
      </c>
      <c r="EI572" s="38">
        <f t="shared" si="913"/>
        <v>96.187579839999998</v>
      </c>
      <c r="EJ572" s="38">
        <f t="shared" si="914"/>
        <v>0</v>
      </c>
      <c r="EK572" s="38">
        <f t="shared" si="915"/>
        <v>0</v>
      </c>
      <c r="EL572" s="38">
        <f t="shared" si="916"/>
        <v>0</v>
      </c>
      <c r="EM572" s="38">
        <f t="shared" si="917"/>
        <v>0</v>
      </c>
      <c r="EN572" s="38">
        <f t="shared" si="918"/>
        <v>0</v>
      </c>
      <c r="EO572" s="38">
        <f t="shared" si="919"/>
        <v>0</v>
      </c>
      <c r="EP572" s="38">
        <f t="shared" si="920"/>
        <v>202.08674000000002</v>
      </c>
      <c r="EQ572" s="38">
        <f t="shared" si="921"/>
        <v>0</v>
      </c>
      <c r="ER572" s="38">
        <f t="shared" si="922"/>
        <v>0</v>
      </c>
      <c r="ES572" s="38">
        <f t="shared" si="923"/>
        <v>0</v>
      </c>
      <c r="ET572" s="38">
        <f t="shared" si="924"/>
        <v>0</v>
      </c>
      <c r="EU572" s="38">
        <f t="shared" si="925"/>
        <v>0</v>
      </c>
      <c r="EV572" s="38">
        <f t="shared" si="926"/>
        <v>0</v>
      </c>
      <c r="EW572" s="38">
        <f t="shared" si="927"/>
        <v>0</v>
      </c>
      <c r="EX572" s="38">
        <f t="shared" si="928"/>
        <v>0</v>
      </c>
      <c r="EZ572" s="38">
        <f t="shared" si="929"/>
        <v>0</v>
      </c>
      <c r="FA572" s="38">
        <f t="shared" si="930"/>
        <v>0</v>
      </c>
      <c r="FB572" s="1">
        <f t="shared" si="931"/>
        <v>0</v>
      </c>
      <c r="FC572" s="1">
        <f t="shared" si="932"/>
        <v>0</v>
      </c>
      <c r="FD572" s="1">
        <f t="shared" si="933"/>
        <v>0</v>
      </c>
      <c r="FE572" s="1">
        <f t="shared" si="934"/>
        <v>0</v>
      </c>
      <c r="FF572" s="1">
        <f t="shared" si="935"/>
        <v>0</v>
      </c>
      <c r="FG572" s="1">
        <f t="shared" si="936"/>
        <v>0</v>
      </c>
      <c r="FH572" s="1">
        <f t="shared" si="937"/>
        <v>0</v>
      </c>
      <c r="FI572" s="1">
        <f t="shared" si="938"/>
        <v>0</v>
      </c>
      <c r="FJ572" s="1">
        <f t="shared" si="939"/>
        <v>0</v>
      </c>
      <c r="FK572" s="1">
        <f t="shared" si="940"/>
        <v>0</v>
      </c>
      <c r="FL572" s="1">
        <f t="shared" si="941"/>
        <v>0</v>
      </c>
      <c r="FM572" s="1">
        <f t="shared" si="942"/>
        <v>0</v>
      </c>
      <c r="FN572" s="1">
        <f t="shared" si="943"/>
        <v>0</v>
      </c>
      <c r="FO572" s="1">
        <f t="shared" si="944"/>
        <v>0</v>
      </c>
      <c r="FP572" s="1">
        <f t="shared" si="945"/>
        <v>0</v>
      </c>
      <c r="FQ572" s="1">
        <f t="shared" si="946"/>
        <v>0</v>
      </c>
      <c r="FS572" s="1">
        <f t="shared" si="947"/>
        <v>0</v>
      </c>
      <c r="FT572" s="1">
        <f t="shared" si="948"/>
        <v>0</v>
      </c>
      <c r="FU572" s="38">
        <f t="shared" si="949"/>
        <v>0</v>
      </c>
      <c r="FV572" s="38">
        <f t="shared" si="950"/>
        <v>0</v>
      </c>
      <c r="FW572" s="38">
        <f t="shared" si="951"/>
        <v>0</v>
      </c>
      <c r="FX572" s="38">
        <f t="shared" si="952"/>
        <v>0</v>
      </c>
      <c r="FY572" s="38">
        <f t="shared" si="953"/>
        <v>0</v>
      </c>
      <c r="FZ572" s="38">
        <f t="shared" si="954"/>
        <v>0</v>
      </c>
      <c r="GA572" s="38">
        <f t="shared" si="955"/>
        <v>0</v>
      </c>
      <c r="GB572" s="38">
        <f t="shared" si="956"/>
        <v>0</v>
      </c>
      <c r="GC572" s="38">
        <f t="shared" si="957"/>
        <v>0</v>
      </c>
      <c r="GD572" s="38">
        <f t="shared" si="958"/>
        <v>0</v>
      </c>
      <c r="GE572" s="38">
        <f t="shared" si="959"/>
        <v>0</v>
      </c>
      <c r="GF572" s="38">
        <f t="shared" si="960"/>
        <v>0</v>
      </c>
      <c r="GG572" s="38">
        <f t="shared" si="961"/>
        <v>0</v>
      </c>
      <c r="GH572" s="38">
        <f t="shared" si="962"/>
        <v>0</v>
      </c>
      <c r="GI572" s="38">
        <f t="shared" si="963"/>
        <v>0</v>
      </c>
      <c r="GJ572" s="38">
        <f t="shared" si="964"/>
        <v>0</v>
      </c>
      <c r="GL572" s="38">
        <f t="shared" si="965"/>
        <v>0</v>
      </c>
      <c r="GM572" s="38">
        <f t="shared" si="966"/>
        <v>0</v>
      </c>
      <c r="GN572" s="1" t="s">
        <v>2</v>
      </c>
      <c r="GO572" s="1">
        <f t="shared" si="889"/>
        <v>6.7</v>
      </c>
      <c r="GP572" s="1">
        <f t="shared" si="890"/>
        <v>0.23</v>
      </c>
      <c r="GQ572" s="41">
        <f t="shared" si="891"/>
        <v>15.41</v>
      </c>
      <c r="GR572" s="41">
        <f t="shared" si="892"/>
        <v>298.27431984000003</v>
      </c>
      <c r="GS572" s="14">
        <f t="shared" si="893"/>
        <v>44.518555200000002</v>
      </c>
      <c r="GT572" s="1">
        <f t="shared" si="967"/>
        <v>0</v>
      </c>
      <c r="GU572" s="1">
        <f t="shared" si="968"/>
        <v>0</v>
      </c>
      <c r="GV572" s="1">
        <f t="shared" si="969"/>
        <v>15.410000000000002</v>
      </c>
      <c r="GW572" s="37">
        <f t="shared" si="894"/>
        <v>0</v>
      </c>
      <c r="GX572" s="37"/>
      <c r="GY572" s="37"/>
      <c r="GZ572" s="37"/>
      <c r="HB572" s="1">
        <f t="shared" si="970"/>
        <v>0</v>
      </c>
      <c r="HC572" s="1">
        <f t="shared" si="971"/>
        <v>0</v>
      </c>
      <c r="HD572" s="37" t="s">
        <v>2</v>
      </c>
      <c r="HE572" s="1" t="s">
        <v>113</v>
      </c>
      <c r="HF572" s="1" t="s">
        <v>129</v>
      </c>
      <c r="HG572" s="1" t="s">
        <v>995</v>
      </c>
      <c r="HI572" s="1" t="s">
        <v>163</v>
      </c>
      <c r="HJ572" s="37" t="s">
        <v>2</v>
      </c>
      <c r="JH572" s="58" t="s">
        <v>2</v>
      </c>
    </row>
    <row r="573" spans="1:268" ht="16.25" customHeight="1" x14ac:dyDescent="0.2">
      <c r="A573" s="15" t="s">
        <v>1001</v>
      </c>
      <c r="F573" s="1" t="s">
        <v>131</v>
      </c>
      <c r="I573" s="1">
        <v>0</v>
      </c>
      <c r="AD573" s="1">
        <v>0</v>
      </c>
      <c r="AY573" s="1">
        <v>34</v>
      </c>
      <c r="AZ573" s="1">
        <v>0.14000000000000001</v>
      </c>
      <c r="BG573" s="1">
        <v>0.17</v>
      </c>
      <c r="DJ573" s="1" t="s">
        <v>163</v>
      </c>
      <c r="DL573" s="1">
        <f t="shared" si="887"/>
        <v>0.17</v>
      </c>
      <c r="DM573" s="1">
        <f t="shared" si="888"/>
        <v>0</v>
      </c>
      <c r="DN573" s="1" t="s">
        <v>993</v>
      </c>
      <c r="DO573" s="1" t="s">
        <v>2</v>
      </c>
      <c r="DP573" s="38">
        <f t="shared" si="895"/>
        <v>4.7600000000000003E-2</v>
      </c>
      <c r="DQ573" s="38">
        <f t="shared" si="896"/>
        <v>0</v>
      </c>
      <c r="DR573" s="38">
        <f t="shared" si="897"/>
        <v>0</v>
      </c>
      <c r="DS573" s="38">
        <f t="shared" si="898"/>
        <v>0</v>
      </c>
      <c r="DT573" s="38">
        <f t="shared" si="899"/>
        <v>0</v>
      </c>
      <c r="DU573" s="38">
        <f t="shared" si="900"/>
        <v>0</v>
      </c>
      <c r="DV573" s="38">
        <f t="shared" si="901"/>
        <v>0</v>
      </c>
      <c r="DW573" s="38">
        <f t="shared" si="902"/>
        <v>5.7800000000000004E-2</v>
      </c>
      <c r="DX573" s="38">
        <f t="shared" si="903"/>
        <v>0</v>
      </c>
      <c r="DY573" s="38">
        <f t="shared" si="904"/>
        <v>0</v>
      </c>
      <c r="DZ573" s="38">
        <f t="shared" si="905"/>
        <v>0</v>
      </c>
      <c r="EA573" s="38">
        <f t="shared" si="906"/>
        <v>0</v>
      </c>
      <c r="EB573" s="38">
        <f t="shared" si="907"/>
        <v>0</v>
      </c>
      <c r="EC573" s="38">
        <f t="shared" si="908"/>
        <v>0</v>
      </c>
      <c r="ED573" s="38">
        <f t="shared" si="909"/>
        <v>0</v>
      </c>
      <c r="EE573" s="38">
        <f t="shared" si="910"/>
        <v>0</v>
      </c>
      <c r="EG573" s="38">
        <f t="shared" si="911"/>
        <v>0</v>
      </c>
      <c r="EH573" s="38">
        <f t="shared" si="912"/>
        <v>0</v>
      </c>
      <c r="EI573" s="38">
        <f t="shared" si="913"/>
        <v>310.61932160000003</v>
      </c>
      <c r="EJ573" s="38">
        <f t="shared" si="914"/>
        <v>0</v>
      </c>
      <c r="EK573" s="38">
        <f t="shared" si="915"/>
        <v>0</v>
      </c>
      <c r="EL573" s="38">
        <f t="shared" si="916"/>
        <v>0</v>
      </c>
      <c r="EM573" s="38">
        <f t="shared" si="917"/>
        <v>0</v>
      </c>
      <c r="EN573" s="38">
        <f t="shared" si="918"/>
        <v>0</v>
      </c>
      <c r="EO573" s="38">
        <f t="shared" si="919"/>
        <v>0</v>
      </c>
      <c r="EP573" s="38">
        <f t="shared" si="920"/>
        <v>757.9892000000001</v>
      </c>
      <c r="EQ573" s="38">
        <f t="shared" si="921"/>
        <v>0</v>
      </c>
      <c r="ER573" s="38">
        <f t="shared" si="922"/>
        <v>0</v>
      </c>
      <c r="ES573" s="38">
        <f t="shared" si="923"/>
        <v>0</v>
      </c>
      <c r="ET573" s="38">
        <f t="shared" si="924"/>
        <v>0</v>
      </c>
      <c r="EU573" s="38">
        <f t="shared" si="925"/>
        <v>0</v>
      </c>
      <c r="EV573" s="38">
        <f t="shared" si="926"/>
        <v>0</v>
      </c>
      <c r="EW573" s="38">
        <f t="shared" si="927"/>
        <v>0</v>
      </c>
      <c r="EX573" s="38">
        <f t="shared" si="928"/>
        <v>0</v>
      </c>
      <c r="EZ573" s="38">
        <f t="shared" si="929"/>
        <v>0</v>
      </c>
      <c r="FA573" s="38">
        <f t="shared" si="930"/>
        <v>0</v>
      </c>
      <c r="FB573" s="1">
        <f t="shared" si="931"/>
        <v>0</v>
      </c>
      <c r="FC573" s="1">
        <f t="shared" si="932"/>
        <v>0</v>
      </c>
      <c r="FD573" s="1">
        <f t="shared" si="933"/>
        <v>0</v>
      </c>
      <c r="FE573" s="1">
        <f t="shared" si="934"/>
        <v>0</v>
      </c>
      <c r="FF573" s="1">
        <f t="shared" si="935"/>
        <v>0</v>
      </c>
      <c r="FG573" s="1">
        <f t="shared" si="936"/>
        <v>0</v>
      </c>
      <c r="FH573" s="1">
        <f t="shared" si="937"/>
        <v>0</v>
      </c>
      <c r="FI573" s="1">
        <f t="shared" si="938"/>
        <v>0</v>
      </c>
      <c r="FJ573" s="1">
        <f t="shared" si="939"/>
        <v>0</v>
      </c>
      <c r="FK573" s="1">
        <f t="shared" si="940"/>
        <v>0</v>
      </c>
      <c r="FL573" s="1">
        <f t="shared" si="941"/>
        <v>0</v>
      </c>
      <c r="FM573" s="1">
        <f t="shared" si="942"/>
        <v>0</v>
      </c>
      <c r="FN573" s="1">
        <f t="shared" si="943"/>
        <v>0</v>
      </c>
      <c r="FO573" s="1">
        <f t="shared" si="944"/>
        <v>0</v>
      </c>
      <c r="FP573" s="1">
        <f t="shared" si="945"/>
        <v>0</v>
      </c>
      <c r="FQ573" s="1">
        <f t="shared" si="946"/>
        <v>0</v>
      </c>
      <c r="FS573" s="1">
        <f t="shared" si="947"/>
        <v>0</v>
      </c>
      <c r="FT573" s="1">
        <f t="shared" si="948"/>
        <v>0</v>
      </c>
      <c r="FU573" s="38">
        <f t="shared" si="949"/>
        <v>0</v>
      </c>
      <c r="FV573" s="38">
        <f t="shared" si="950"/>
        <v>0</v>
      </c>
      <c r="FW573" s="38">
        <f t="shared" si="951"/>
        <v>0</v>
      </c>
      <c r="FX573" s="38">
        <f t="shared" si="952"/>
        <v>0</v>
      </c>
      <c r="FY573" s="38">
        <f t="shared" si="953"/>
        <v>0</v>
      </c>
      <c r="FZ573" s="38">
        <f t="shared" si="954"/>
        <v>0</v>
      </c>
      <c r="GA573" s="38">
        <f t="shared" si="955"/>
        <v>0</v>
      </c>
      <c r="GB573" s="38">
        <f t="shared" si="956"/>
        <v>0</v>
      </c>
      <c r="GC573" s="38">
        <f t="shared" si="957"/>
        <v>0</v>
      </c>
      <c r="GD573" s="38">
        <f t="shared" si="958"/>
        <v>0</v>
      </c>
      <c r="GE573" s="38">
        <f t="shared" si="959"/>
        <v>0</v>
      </c>
      <c r="GF573" s="38">
        <f t="shared" si="960"/>
        <v>0</v>
      </c>
      <c r="GG573" s="38">
        <f t="shared" si="961"/>
        <v>0</v>
      </c>
      <c r="GH573" s="38">
        <f t="shared" si="962"/>
        <v>0</v>
      </c>
      <c r="GI573" s="38">
        <f t="shared" si="963"/>
        <v>0</v>
      </c>
      <c r="GJ573" s="38">
        <f t="shared" si="964"/>
        <v>0</v>
      </c>
      <c r="GL573" s="38">
        <f t="shared" si="965"/>
        <v>0</v>
      </c>
      <c r="GM573" s="38">
        <f t="shared" si="966"/>
        <v>0</v>
      </c>
      <c r="GN573" s="1" t="s">
        <v>2</v>
      </c>
      <c r="GO573" s="1">
        <f t="shared" si="889"/>
        <v>34</v>
      </c>
      <c r="GP573" s="1">
        <f t="shared" si="890"/>
        <v>0.17</v>
      </c>
      <c r="GQ573" s="41">
        <f t="shared" si="891"/>
        <v>57.8</v>
      </c>
      <c r="GR573" s="41">
        <f t="shared" si="892"/>
        <v>1068.6085216000001</v>
      </c>
      <c r="GS573" s="14">
        <f t="shared" si="893"/>
        <v>31.429662400000005</v>
      </c>
      <c r="GT573" s="1">
        <f t="shared" si="967"/>
        <v>0</v>
      </c>
      <c r="GU573" s="1">
        <f t="shared" si="968"/>
        <v>0</v>
      </c>
      <c r="GV573" s="1">
        <f t="shared" si="969"/>
        <v>57.8</v>
      </c>
      <c r="GW573" s="37">
        <f t="shared" si="894"/>
        <v>0</v>
      </c>
      <c r="GX573" s="37"/>
      <c r="GY573" s="37"/>
      <c r="GZ573" s="37"/>
      <c r="HB573" s="1">
        <f t="shared" si="970"/>
        <v>0</v>
      </c>
      <c r="HC573" s="1">
        <f t="shared" si="971"/>
        <v>0</v>
      </c>
      <c r="HD573" s="37" t="s">
        <v>2</v>
      </c>
      <c r="HE573" s="1" t="s">
        <v>113</v>
      </c>
      <c r="HF573" s="1" t="s">
        <v>129</v>
      </c>
      <c r="HG573" s="1" t="s">
        <v>995</v>
      </c>
      <c r="HI573" s="1" t="s">
        <v>163</v>
      </c>
      <c r="HJ573" s="37" t="s">
        <v>2</v>
      </c>
      <c r="JH573" s="58" t="s">
        <v>2</v>
      </c>
    </row>
    <row r="574" spans="1:268" ht="16.25" customHeight="1" x14ac:dyDescent="0.2">
      <c r="A574" s="15" t="s">
        <v>1005</v>
      </c>
      <c r="F574" s="1" t="s">
        <v>131</v>
      </c>
      <c r="I574" s="1">
        <v>0</v>
      </c>
      <c r="AD574" s="1">
        <v>0</v>
      </c>
      <c r="AY574" s="1">
        <v>3</v>
      </c>
      <c r="AZ574" s="1">
        <v>0.6</v>
      </c>
      <c r="BG574" s="1">
        <v>1</v>
      </c>
      <c r="DJ574" s="1" t="s">
        <v>163</v>
      </c>
      <c r="DL574" s="1">
        <f t="shared" si="887"/>
        <v>1</v>
      </c>
      <c r="DM574" s="1">
        <f t="shared" si="888"/>
        <v>0</v>
      </c>
      <c r="DN574" s="1" t="s">
        <v>993</v>
      </c>
      <c r="DO574" s="1" t="s">
        <v>2</v>
      </c>
      <c r="DP574" s="38">
        <f t="shared" si="895"/>
        <v>1.7999999999999999E-2</v>
      </c>
      <c r="DQ574" s="38">
        <f t="shared" si="896"/>
        <v>0</v>
      </c>
      <c r="DR574" s="38">
        <f t="shared" si="897"/>
        <v>0</v>
      </c>
      <c r="DS574" s="38">
        <f t="shared" si="898"/>
        <v>0</v>
      </c>
      <c r="DT574" s="38">
        <f t="shared" si="899"/>
        <v>0</v>
      </c>
      <c r="DU574" s="38">
        <f t="shared" si="900"/>
        <v>0</v>
      </c>
      <c r="DV574" s="38">
        <f t="shared" si="901"/>
        <v>0</v>
      </c>
      <c r="DW574" s="38">
        <f t="shared" si="902"/>
        <v>0.03</v>
      </c>
      <c r="DX574" s="38">
        <f t="shared" si="903"/>
        <v>0</v>
      </c>
      <c r="DY574" s="38">
        <f t="shared" si="904"/>
        <v>0</v>
      </c>
      <c r="DZ574" s="38">
        <f t="shared" si="905"/>
        <v>0</v>
      </c>
      <c r="EA574" s="38">
        <f t="shared" si="906"/>
        <v>0</v>
      </c>
      <c r="EB574" s="38">
        <f t="shared" si="907"/>
        <v>0</v>
      </c>
      <c r="EC574" s="38">
        <f t="shared" si="908"/>
        <v>0</v>
      </c>
      <c r="ED574" s="38">
        <f t="shared" si="909"/>
        <v>0</v>
      </c>
      <c r="EE574" s="38">
        <f t="shared" si="910"/>
        <v>0</v>
      </c>
      <c r="EG574" s="38">
        <f t="shared" si="911"/>
        <v>0</v>
      </c>
      <c r="EH574" s="38">
        <f t="shared" si="912"/>
        <v>0</v>
      </c>
      <c r="EI574" s="38">
        <f t="shared" si="913"/>
        <v>117.46108799999999</v>
      </c>
      <c r="EJ574" s="38">
        <f t="shared" si="914"/>
        <v>0</v>
      </c>
      <c r="EK574" s="38">
        <f t="shared" si="915"/>
        <v>0</v>
      </c>
      <c r="EL574" s="38">
        <f t="shared" si="916"/>
        <v>0</v>
      </c>
      <c r="EM574" s="38">
        <f t="shared" si="917"/>
        <v>0</v>
      </c>
      <c r="EN574" s="38">
        <f t="shared" si="918"/>
        <v>0</v>
      </c>
      <c r="EO574" s="38">
        <f t="shared" si="919"/>
        <v>0</v>
      </c>
      <c r="EP574" s="38">
        <f t="shared" si="920"/>
        <v>393.41999999999996</v>
      </c>
      <c r="EQ574" s="38">
        <f t="shared" si="921"/>
        <v>0</v>
      </c>
      <c r="ER574" s="38">
        <f t="shared" si="922"/>
        <v>0</v>
      </c>
      <c r="ES574" s="38">
        <f t="shared" si="923"/>
        <v>0</v>
      </c>
      <c r="ET574" s="38">
        <f t="shared" si="924"/>
        <v>0</v>
      </c>
      <c r="EU574" s="38">
        <f t="shared" si="925"/>
        <v>0</v>
      </c>
      <c r="EV574" s="38">
        <f t="shared" si="926"/>
        <v>0</v>
      </c>
      <c r="EW574" s="38">
        <f t="shared" si="927"/>
        <v>0</v>
      </c>
      <c r="EX574" s="38">
        <f t="shared" si="928"/>
        <v>0</v>
      </c>
      <c r="EZ574" s="38">
        <f t="shared" si="929"/>
        <v>0</v>
      </c>
      <c r="FA574" s="38">
        <f t="shared" si="930"/>
        <v>0</v>
      </c>
      <c r="FB574" s="1">
        <f t="shared" si="931"/>
        <v>0</v>
      </c>
      <c r="FC574" s="1">
        <f t="shared" si="932"/>
        <v>0</v>
      </c>
      <c r="FD574" s="1">
        <f t="shared" si="933"/>
        <v>0</v>
      </c>
      <c r="FE574" s="1">
        <f t="shared" si="934"/>
        <v>0</v>
      </c>
      <c r="FF574" s="1">
        <f t="shared" si="935"/>
        <v>0</v>
      </c>
      <c r="FG574" s="1">
        <f t="shared" si="936"/>
        <v>0</v>
      </c>
      <c r="FH574" s="1">
        <f t="shared" si="937"/>
        <v>0</v>
      </c>
      <c r="FI574" s="1">
        <f t="shared" si="938"/>
        <v>0</v>
      </c>
      <c r="FJ574" s="1">
        <f t="shared" si="939"/>
        <v>0</v>
      </c>
      <c r="FK574" s="1">
        <f t="shared" si="940"/>
        <v>0</v>
      </c>
      <c r="FL574" s="1">
        <f t="shared" si="941"/>
        <v>0</v>
      </c>
      <c r="FM574" s="1">
        <f t="shared" si="942"/>
        <v>0</v>
      </c>
      <c r="FN574" s="1">
        <f t="shared" si="943"/>
        <v>0</v>
      </c>
      <c r="FO574" s="1">
        <f t="shared" si="944"/>
        <v>0</v>
      </c>
      <c r="FP574" s="1">
        <f t="shared" si="945"/>
        <v>0</v>
      </c>
      <c r="FQ574" s="1">
        <f t="shared" si="946"/>
        <v>0</v>
      </c>
      <c r="FS574" s="1">
        <f t="shared" si="947"/>
        <v>0</v>
      </c>
      <c r="FT574" s="1">
        <f t="shared" si="948"/>
        <v>0</v>
      </c>
      <c r="FU574" s="38">
        <f t="shared" si="949"/>
        <v>0</v>
      </c>
      <c r="FV574" s="38">
        <f t="shared" si="950"/>
        <v>0</v>
      </c>
      <c r="FW574" s="38">
        <f t="shared" si="951"/>
        <v>0</v>
      </c>
      <c r="FX574" s="38">
        <f t="shared" si="952"/>
        <v>0</v>
      </c>
      <c r="FY574" s="38">
        <f t="shared" si="953"/>
        <v>0</v>
      </c>
      <c r="FZ574" s="38">
        <f t="shared" si="954"/>
        <v>0</v>
      </c>
      <c r="GA574" s="38">
        <f t="shared" si="955"/>
        <v>0</v>
      </c>
      <c r="GB574" s="38">
        <f t="shared" si="956"/>
        <v>0</v>
      </c>
      <c r="GC574" s="38">
        <f t="shared" si="957"/>
        <v>0</v>
      </c>
      <c r="GD574" s="38">
        <f t="shared" si="958"/>
        <v>0</v>
      </c>
      <c r="GE574" s="38">
        <f t="shared" si="959"/>
        <v>0</v>
      </c>
      <c r="GF574" s="38">
        <f t="shared" si="960"/>
        <v>0</v>
      </c>
      <c r="GG574" s="38">
        <f t="shared" si="961"/>
        <v>0</v>
      </c>
      <c r="GH574" s="38">
        <f t="shared" si="962"/>
        <v>0</v>
      </c>
      <c r="GI574" s="38">
        <f t="shared" si="963"/>
        <v>0</v>
      </c>
      <c r="GJ574" s="38">
        <f t="shared" si="964"/>
        <v>0</v>
      </c>
      <c r="GL574" s="38">
        <f t="shared" si="965"/>
        <v>0</v>
      </c>
      <c r="GM574" s="38">
        <f t="shared" si="966"/>
        <v>0</v>
      </c>
      <c r="GN574" s="1" t="s">
        <v>2</v>
      </c>
      <c r="GO574" s="1">
        <f t="shared" si="889"/>
        <v>3</v>
      </c>
      <c r="GP574" s="1">
        <f t="shared" si="890"/>
        <v>1</v>
      </c>
      <c r="GQ574" s="41">
        <f t="shared" si="891"/>
        <v>30</v>
      </c>
      <c r="GR574" s="41">
        <f t="shared" si="892"/>
        <v>510.88108799999998</v>
      </c>
      <c r="GS574" s="14">
        <f t="shared" si="893"/>
        <v>170.29369599999998</v>
      </c>
      <c r="GT574" s="1">
        <f t="shared" si="967"/>
        <v>0</v>
      </c>
      <c r="GU574" s="1">
        <f t="shared" si="968"/>
        <v>0</v>
      </c>
      <c r="GV574" s="1">
        <f t="shared" si="969"/>
        <v>30</v>
      </c>
      <c r="GW574" s="37">
        <f t="shared" si="894"/>
        <v>0</v>
      </c>
      <c r="GX574" s="37"/>
      <c r="GY574" s="37"/>
      <c r="GZ574" s="37"/>
      <c r="HB574" s="1">
        <f t="shared" si="970"/>
        <v>0</v>
      </c>
      <c r="HC574" s="1">
        <f t="shared" si="971"/>
        <v>0</v>
      </c>
      <c r="HD574" s="37" t="s">
        <v>2</v>
      </c>
      <c r="HE574" s="1" t="s">
        <v>113</v>
      </c>
      <c r="HF574" s="1" t="s">
        <v>129</v>
      </c>
      <c r="HG574" s="1" t="s">
        <v>995</v>
      </c>
      <c r="HI574" s="1" t="s">
        <v>163</v>
      </c>
      <c r="HJ574" s="37" t="s">
        <v>2</v>
      </c>
      <c r="JH574" s="58" t="s">
        <v>2</v>
      </c>
    </row>
    <row r="575" spans="1:268" ht="16.25" customHeight="1" x14ac:dyDescent="0.2">
      <c r="A575" s="15" t="s">
        <v>1080</v>
      </c>
      <c r="B575" s="1" t="s">
        <v>69</v>
      </c>
      <c r="F575" s="1" t="s">
        <v>131</v>
      </c>
      <c r="I575" s="1">
        <v>0</v>
      </c>
      <c r="AD575" s="1">
        <v>0</v>
      </c>
      <c r="AY575" s="17">
        <f>22*0.9072</f>
        <v>19.958400000000001</v>
      </c>
      <c r="AZ575" s="1">
        <v>0.24</v>
      </c>
      <c r="BG575" s="1">
        <v>0.42</v>
      </c>
      <c r="BH575" s="1">
        <v>0.02</v>
      </c>
      <c r="BT575" s="1">
        <v>0</v>
      </c>
      <c r="CO575" s="1">
        <v>0</v>
      </c>
      <c r="DJ575" s="1" t="s">
        <v>163</v>
      </c>
      <c r="DK575" s="1" t="s">
        <v>163</v>
      </c>
      <c r="DL575" s="1">
        <f t="shared" si="887"/>
        <v>0.42</v>
      </c>
      <c r="DM575" s="1">
        <f t="shared" si="888"/>
        <v>0.02</v>
      </c>
      <c r="DN575" s="1" t="s">
        <v>1069</v>
      </c>
      <c r="DO575" s="1" t="s">
        <v>2</v>
      </c>
      <c r="DP575" s="38">
        <f t="shared" si="895"/>
        <v>4.7900160000000004E-2</v>
      </c>
      <c r="DQ575" s="38">
        <f t="shared" si="896"/>
        <v>0</v>
      </c>
      <c r="DR575" s="38">
        <f t="shared" si="897"/>
        <v>0</v>
      </c>
      <c r="DS575" s="38">
        <f t="shared" si="898"/>
        <v>0</v>
      </c>
      <c r="DT575" s="38">
        <f t="shared" si="899"/>
        <v>0</v>
      </c>
      <c r="DU575" s="38">
        <f t="shared" si="900"/>
        <v>0</v>
      </c>
      <c r="DV575" s="38">
        <f t="shared" si="901"/>
        <v>0</v>
      </c>
      <c r="DW575" s="38">
        <f t="shared" si="902"/>
        <v>8.3825280000000002E-2</v>
      </c>
      <c r="DX575" s="38">
        <f t="shared" si="903"/>
        <v>3.9916800000000001E-3</v>
      </c>
      <c r="DY575" s="38">
        <f t="shared" si="904"/>
        <v>0</v>
      </c>
      <c r="DZ575" s="38">
        <f t="shared" si="905"/>
        <v>0</v>
      </c>
      <c r="EA575" s="38">
        <f t="shared" si="906"/>
        <v>0</v>
      </c>
      <c r="EB575" s="38">
        <f t="shared" si="907"/>
        <v>0</v>
      </c>
      <c r="EC575" s="38">
        <f t="shared" si="908"/>
        <v>0</v>
      </c>
      <c r="ED575" s="38">
        <f t="shared" si="909"/>
        <v>0</v>
      </c>
      <c r="EE575" s="38">
        <f t="shared" si="910"/>
        <v>0</v>
      </c>
      <c r="EG575" s="38">
        <f t="shared" si="911"/>
        <v>0</v>
      </c>
      <c r="EH575" s="38">
        <f t="shared" si="912"/>
        <v>0</v>
      </c>
      <c r="EI575" s="38">
        <f t="shared" si="913"/>
        <v>312.57805049856</v>
      </c>
      <c r="EJ575" s="38">
        <f t="shared" si="914"/>
        <v>0</v>
      </c>
      <c r="EK575" s="38">
        <f t="shared" si="915"/>
        <v>0</v>
      </c>
      <c r="EL575" s="38">
        <f t="shared" si="916"/>
        <v>0</v>
      </c>
      <c r="EM575" s="38">
        <f t="shared" si="917"/>
        <v>0</v>
      </c>
      <c r="EN575" s="38">
        <f t="shared" si="918"/>
        <v>0</v>
      </c>
      <c r="EO575" s="38">
        <f t="shared" si="919"/>
        <v>0</v>
      </c>
      <c r="EP575" s="38">
        <f t="shared" si="920"/>
        <v>1099.28472192</v>
      </c>
      <c r="EQ575" s="38">
        <f t="shared" si="921"/>
        <v>289.87390156031995</v>
      </c>
      <c r="ER575" s="38">
        <f t="shared" si="922"/>
        <v>0</v>
      </c>
      <c r="ES575" s="38">
        <f t="shared" si="923"/>
        <v>0</v>
      </c>
      <c r="ET575" s="38">
        <f t="shared" si="924"/>
        <v>0</v>
      </c>
      <c r="EU575" s="38">
        <f t="shared" si="925"/>
        <v>0</v>
      </c>
      <c r="EV575" s="38">
        <f t="shared" si="926"/>
        <v>0</v>
      </c>
      <c r="EW575" s="38">
        <f t="shared" si="927"/>
        <v>0</v>
      </c>
      <c r="EX575" s="38">
        <f t="shared" si="928"/>
        <v>0</v>
      </c>
      <c r="EZ575" s="38">
        <f t="shared" si="929"/>
        <v>0</v>
      </c>
      <c r="FA575" s="38">
        <f t="shared" si="930"/>
        <v>0</v>
      </c>
      <c r="FB575" s="1">
        <f t="shared" si="931"/>
        <v>0</v>
      </c>
      <c r="FC575" s="1">
        <f t="shared" si="932"/>
        <v>0</v>
      </c>
      <c r="FD575" s="1">
        <f t="shared" si="933"/>
        <v>0</v>
      </c>
      <c r="FE575" s="1">
        <f t="shared" si="934"/>
        <v>0</v>
      </c>
      <c r="FF575" s="1">
        <f t="shared" si="935"/>
        <v>0</v>
      </c>
      <c r="FG575" s="1">
        <f t="shared" si="936"/>
        <v>0</v>
      </c>
      <c r="FH575" s="1">
        <f t="shared" si="937"/>
        <v>0</v>
      </c>
      <c r="FI575" s="1">
        <f t="shared" si="938"/>
        <v>0</v>
      </c>
      <c r="FJ575" s="1">
        <f t="shared" si="939"/>
        <v>0</v>
      </c>
      <c r="FK575" s="1">
        <f t="shared" si="940"/>
        <v>0</v>
      </c>
      <c r="FL575" s="1">
        <f t="shared" si="941"/>
        <v>0</v>
      </c>
      <c r="FM575" s="1">
        <f t="shared" si="942"/>
        <v>0</v>
      </c>
      <c r="FN575" s="1">
        <f t="shared" si="943"/>
        <v>0</v>
      </c>
      <c r="FO575" s="1">
        <f t="shared" si="944"/>
        <v>0</v>
      </c>
      <c r="FP575" s="1">
        <f t="shared" si="945"/>
        <v>0</v>
      </c>
      <c r="FQ575" s="1">
        <f t="shared" si="946"/>
        <v>0</v>
      </c>
      <c r="FS575" s="1">
        <f t="shared" si="947"/>
        <v>0</v>
      </c>
      <c r="FT575" s="1">
        <f t="shared" si="948"/>
        <v>0</v>
      </c>
      <c r="FU575" s="38">
        <f t="shared" si="949"/>
        <v>0</v>
      </c>
      <c r="FV575" s="38">
        <f t="shared" si="950"/>
        <v>0</v>
      </c>
      <c r="FW575" s="38">
        <f t="shared" si="951"/>
        <v>0</v>
      </c>
      <c r="FX575" s="38">
        <f t="shared" si="952"/>
        <v>0</v>
      </c>
      <c r="FY575" s="38">
        <f t="shared" si="953"/>
        <v>0</v>
      </c>
      <c r="FZ575" s="38">
        <f t="shared" si="954"/>
        <v>0</v>
      </c>
      <c r="GA575" s="38">
        <f t="shared" si="955"/>
        <v>0</v>
      </c>
      <c r="GB575" s="38">
        <f t="shared" si="956"/>
        <v>0</v>
      </c>
      <c r="GC575" s="38">
        <f t="shared" si="957"/>
        <v>0</v>
      </c>
      <c r="GD575" s="38">
        <f t="shared" si="958"/>
        <v>0</v>
      </c>
      <c r="GE575" s="38">
        <f t="shared" si="959"/>
        <v>0</v>
      </c>
      <c r="GF575" s="38">
        <f t="shared" si="960"/>
        <v>0</v>
      </c>
      <c r="GG575" s="38">
        <f t="shared" si="961"/>
        <v>0</v>
      </c>
      <c r="GH575" s="38">
        <f t="shared" si="962"/>
        <v>0</v>
      </c>
      <c r="GI575" s="38">
        <f t="shared" si="963"/>
        <v>0</v>
      </c>
      <c r="GJ575" s="38">
        <f t="shared" si="964"/>
        <v>0</v>
      </c>
      <c r="GL575" s="38">
        <f t="shared" si="965"/>
        <v>0</v>
      </c>
      <c r="GM575" s="38">
        <f t="shared" si="966"/>
        <v>0</v>
      </c>
      <c r="GN575" s="1" t="s">
        <v>2</v>
      </c>
      <c r="GO575" s="13">
        <f t="shared" si="889"/>
        <v>19.958400000000001</v>
      </c>
      <c r="GP575" s="1">
        <f t="shared" si="890"/>
        <v>0.42</v>
      </c>
      <c r="GQ575" s="41">
        <f t="shared" si="891"/>
        <v>83.825280000000006</v>
      </c>
      <c r="GR575" s="41">
        <f t="shared" si="892"/>
        <v>1701.7366739788799</v>
      </c>
      <c r="GS575" s="14">
        <f t="shared" si="893"/>
        <v>85.264183199999991</v>
      </c>
      <c r="GT575" s="1">
        <f t="shared" si="967"/>
        <v>0</v>
      </c>
      <c r="GU575" s="1">
        <f t="shared" si="968"/>
        <v>0</v>
      </c>
      <c r="GV575" s="1">
        <f t="shared" si="969"/>
        <v>83.825280000000006</v>
      </c>
      <c r="GW575" s="37">
        <f t="shared" si="894"/>
        <v>0</v>
      </c>
      <c r="GX575" s="37"/>
      <c r="GY575" s="37"/>
      <c r="GZ575" s="37"/>
      <c r="HB575" s="1">
        <f t="shared" si="970"/>
        <v>0</v>
      </c>
      <c r="HC575" s="1">
        <f t="shared" si="971"/>
        <v>0</v>
      </c>
      <c r="HD575" s="37" t="s">
        <v>2</v>
      </c>
      <c r="HE575" s="1" t="s">
        <v>113</v>
      </c>
      <c r="HF575" s="1" t="s">
        <v>129</v>
      </c>
      <c r="HG575" s="1" t="s">
        <v>1081</v>
      </c>
      <c r="HI575" s="1" t="s">
        <v>163</v>
      </c>
      <c r="HJ575" s="37" t="s">
        <v>2</v>
      </c>
      <c r="JH575" s="58" t="s">
        <v>2</v>
      </c>
    </row>
    <row r="576" spans="1:268" ht="16.25" customHeight="1" x14ac:dyDescent="0.2">
      <c r="A576" s="15" t="s">
        <v>395</v>
      </c>
      <c r="B576" s="1" t="s">
        <v>69</v>
      </c>
      <c r="E576" s="1" t="s">
        <v>65</v>
      </c>
      <c r="F576" s="1" t="s">
        <v>153</v>
      </c>
      <c r="H576" s="1" t="s">
        <v>70</v>
      </c>
      <c r="I576" s="1">
        <v>0</v>
      </c>
      <c r="AD576" s="1">
        <v>0</v>
      </c>
      <c r="AY576" s="2">
        <f>1.6336+1.5302</f>
        <v>3.1638000000000002</v>
      </c>
      <c r="AZ576" s="13">
        <f>(0.512*1.6336+0.621*1.5302)/AY576</f>
        <v>0.56471881914153865</v>
      </c>
      <c r="BG576" s="13">
        <f>(0.151*1.6336+0.247*1.5302)/AY576</f>
        <v>0.19743125355585053</v>
      </c>
      <c r="BT576" s="1">
        <v>0</v>
      </c>
      <c r="CO576" s="1">
        <v>0</v>
      </c>
      <c r="DJ576" s="1" t="s">
        <v>163</v>
      </c>
      <c r="DL576" s="1">
        <f t="shared" si="887"/>
        <v>0.19743125355585053</v>
      </c>
      <c r="DM576" s="1">
        <f t="shared" si="888"/>
        <v>0</v>
      </c>
      <c r="DN576" s="1" t="s">
        <v>396</v>
      </c>
      <c r="DO576" s="1" t="s">
        <v>2</v>
      </c>
      <c r="DP576" s="38">
        <f t="shared" si="895"/>
        <v>1.7866574000000003E-2</v>
      </c>
      <c r="DQ576" s="38">
        <f t="shared" si="896"/>
        <v>0</v>
      </c>
      <c r="DR576" s="38">
        <f t="shared" si="897"/>
        <v>0</v>
      </c>
      <c r="DS576" s="38">
        <f t="shared" si="898"/>
        <v>0</v>
      </c>
      <c r="DT576" s="38">
        <f t="shared" si="899"/>
        <v>0</v>
      </c>
      <c r="DU576" s="38">
        <f t="shared" si="900"/>
        <v>0</v>
      </c>
      <c r="DV576" s="38">
        <f t="shared" si="901"/>
        <v>0</v>
      </c>
      <c r="DW576" s="38">
        <f t="shared" si="902"/>
        <v>6.2463299999999996E-3</v>
      </c>
      <c r="DX576" s="38">
        <f t="shared" si="903"/>
        <v>0</v>
      </c>
      <c r="DY576" s="38">
        <f t="shared" si="904"/>
        <v>0</v>
      </c>
      <c r="DZ576" s="38">
        <f t="shared" si="905"/>
        <v>0</v>
      </c>
      <c r="EA576" s="38">
        <f t="shared" si="906"/>
        <v>0</v>
      </c>
      <c r="EB576" s="38">
        <f t="shared" si="907"/>
        <v>0</v>
      </c>
      <c r="EC576" s="38">
        <f t="shared" si="908"/>
        <v>0</v>
      </c>
      <c r="ED576" s="38">
        <f t="shared" si="909"/>
        <v>0</v>
      </c>
      <c r="EE576" s="38">
        <f t="shared" si="910"/>
        <v>0</v>
      </c>
      <c r="EG576" s="38">
        <f t="shared" si="911"/>
        <v>0</v>
      </c>
      <c r="EH576" s="38">
        <f t="shared" si="912"/>
        <v>0</v>
      </c>
      <c r="EI576" s="38">
        <f t="shared" si="913"/>
        <v>116.59040115958402</v>
      </c>
      <c r="EJ576" s="38">
        <f t="shared" si="914"/>
        <v>0</v>
      </c>
      <c r="EK576" s="38">
        <f t="shared" si="915"/>
        <v>0</v>
      </c>
      <c r="EL576" s="38">
        <f t="shared" si="916"/>
        <v>0</v>
      </c>
      <c r="EM576" s="38">
        <f t="shared" si="917"/>
        <v>0</v>
      </c>
      <c r="EN576" s="38">
        <f t="shared" si="918"/>
        <v>0</v>
      </c>
      <c r="EO576" s="38">
        <f t="shared" si="919"/>
        <v>0</v>
      </c>
      <c r="EP576" s="38">
        <f t="shared" si="920"/>
        <v>81.914371619999997</v>
      </c>
      <c r="EQ576" s="38">
        <f t="shared" si="921"/>
        <v>0</v>
      </c>
      <c r="ER576" s="38">
        <f t="shared" si="922"/>
        <v>0</v>
      </c>
      <c r="ES576" s="38">
        <f t="shared" si="923"/>
        <v>0</v>
      </c>
      <c r="ET576" s="38">
        <f t="shared" si="924"/>
        <v>0</v>
      </c>
      <c r="EU576" s="38">
        <f t="shared" si="925"/>
        <v>0</v>
      </c>
      <c r="EV576" s="38">
        <f t="shared" si="926"/>
        <v>0</v>
      </c>
      <c r="EW576" s="38">
        <f t="shared" si="927"/>
        <v>0</v>
      </c>
      <c r="EX576" s="38">
        <f t="shared" si="928"/>
        <v>0</v>
      </c>
      <c r="EZ576" s="38">
        <f t="shared" si="929"/>
        <v>0</v>
      </c>
      <c r="FA576" s="38">
        <f t="shared" si="930"/>
        <v>0</v>
      </c>
      <c r="FB576" s="1">
        <f t="shared" si="931"/>
        <v>0</v>
      </c>
      <c r="FC576" s="1">
        <f t="shared" si="932"/>
        <v>0</v>
      </c>
      <c r="FD576" s="1">
        <f t="shared" si="933"/>
        <v>0</v>
      </c>
      <c r="FE576" s="1">
        <f t="shared" si="934"/>
        <v>0</v>
      </c>
      <c r="FF576" s="1">
        <f t="shared" si="935"/>
        <v>0</v>
      </c>
      <c r="FG576" s="1">
        <f t="shared" si="936"/>
        <v>0</v>
      </c>
      <c r="FH576" s="1">
        <f t="shared" si="937"/>
        <v>0</v>
      </c>
      <c r="FI576" s="1">
        <f t="shared" si="938"/>
        <v>0</v>
      </c>
      <c r="FJ576" s="1">
        <f t="shared" si="939"/>
        <v>0</v>
      </c>
      <c r="FK576" s="1">
        <f t="shared" si="940"/>
        <v>0</v>
      </c>
      <c r="FL576" s="1">
        <f t="shared" si="941"/>
        <v>0</v>
      </c>
      <c r="FM576" s="1">
        <f t="shared" si="942"/>
        <v>0</v>
      </c>
      <c r="FN576" s="1">
        <f t="shared" si="943"/>
        <v>0</v>
      </c>
      <c r="FO576" s="1">
        <f t="shared" si="944"/>
        <v>0</v>
      </c>
      <c r="FP576" s="1">
        <f t="shared" si="945"/>
        <v>0</v>
      </c>
      <c r="FQ576" s="1">
        <f t="shared" si="946"/>
        <v>0</v>
      </c>
      <c r="FS576" s="1">
        <f t="shared" si="947"/>
        <v>0</v>
      </c>
      <c r="FT576" s="1">
        <f t="shared" si="948"/>
        <v>0</v>
      </c>
      <c r="FU576" s="38">
        <f t="shared" si="949"/>
        <v>0</v>
      </c>
      <c r="FV576" s="38">
        <f t="shared" si="950"/>
        <v>0</v>
      </c>
      <c r="FW576" s="38">
        <f t="shared" si="951"/>
        <v>0</v>
      </c>
      <c r="FX576" s="38">
        <f t="shared" si="952"/>
        <v>0</v>
      </c>
      <c r="FY576" s="38">
        <f t="shared" si="953"/>
        <v>0</v>
      </c>
      <c r="FZ576" s="38">
        <f t="shared" si="954"/>
        <v>0</v>
      </c>
      <c r="GA576" s="38">
        <f t="shared" si="955"/>
        <v>0</v>
      </c>
      <c r="GB576" s="38">
        <f t="shared" si="956"/>
        <v>0</v>
      </c>
      <c r="GC576" s="38">
        <f t="shared" si="957"/>
        <v>0</v>
      </c>
      <c r="GD576" s="38">
        <f t="shared" si="958"/>
        <v>0</v>
      </c>
      <c r="GE576" s="38">
        <f t="shared" si="959"/>
        <v>0</v>
      </c>
      <c r="GF576" s="38">
        <f t="shared" si="960"/>
        <v>0</v>
      </c>
      <c r="GG576" s="38">
        <f t="shared" si="961"/>
        <v>0</v>
      </c>
      <c r="GH576" s="38">
        <f t="shared" si="962"/>
        <v>0</v>
      </c>
      <c r="GI576" s="38">
        <f t="shared" si="963"/>
        <v>0</v>
      </c>
      <c r="GJ576" s="38">
        <f t="shared" si="964"/>
        <v>0</v>
      </c>
      <c r="GL576" s="38">
        <f t="shared" si="965"/>
        <v>0</v>
      </c>
      <c r="GM576" s="38">
        <f t="shared" si="966"/>
        <v>0</v>
      </c>
      <c r="GN576" s="1" t="s">
        <v>2</v>
      </c>
      <c r="GO576" s="2">
        <f t="shared" si="889"/>
        <v>3.1638000000000002</v>
      </c>
      <c r="GP576" s="13">
        <f t="shared" si="890"/>
        <v>0.19743125355585053</v>
      </c>
      <c r="GQ576" s="41">
        <f t="shared" si="891"/>
        <v>6.2463299999999995</v>
      </c>
      <c r="GR576" s="41">
        <f t="shared" si="892"/>
        <v>198.50477277958402</v>
      </c>
      <c r="GS576" s="14">
        <f t="shared" si="893"/>
        <v>62.742516208225553</v>
      </c>
      <c r="GT576" s="1">
        <f t="shared" si="967"/>
        <v>0</v>
      </c>
      <c r="GU576" s="1">
        <f t="shared" si="968"/>
        <v>0</v>
      </c>
      <c r="GV576" s="1">
        <f t="shared" si="969"/>
        <v>6.2463300000000004</v>
      </c>
      <c r="GW576" s="37">
        <f t="shared" si="894"/>
        <v>0</v>
      </c>
      <c r="GX576" s="37"/>
      <c r="GY576" s="37"/>
      <c r="GZ576" s="37"/>
      <c r="HB576" s="1">
        <f t="shared" si="970"/>
        <v>0</v>
      </c>
      <c r="HC576" s="1">
        <f t="shared" si="971"/>
        <v>0</v>
      </c>
      <c r="HD576" s="37" t="s">
        <v>2</v>
      </c>
      <c r="HE576" s="1" t="s">
        <v>113</v>
      </c>
      <c r="HF576" s="1" t="s">
        <v>129</v>
      </c>
      <c r="HI576" s="1" t="s">
        <v>163</v>
      </c>
      <c r="HJ576" s="37" t="s">
        <v>2</v>
      </c>
      <c r="JH576" s="58" t="s">
        <v>2</v>
      </c>
    </row>
    <row r="577" spans="1:268" ht="16.25" customHeight="1" x14ac:dyDescent="0.2">
      <c r="A577" s="15" t="s">
        <v>599</v>
      </c>
      <c r="B577" s="1" t="s">
        <v>69</v>
      </c>
      <c r="F577" s="1" t="s">
        <v>600</v>
      </c>
      <c r="I577" s="1">
        <v>0</v>
      </c>
      <c r="AD577" s="1">
        <v>0</v>
      </c>
      <c r="AY577" s="1">
        <v>35</v>
      </c>
      <c r="AZ577" s="1">
        <v>0.27</v>
      </c>
      <c r="BG577" s="1">
        <v>0.25</v>
      </c>
      <c r="BI577" s="1">
        <v>0.16</v>
      </c>
      <c r="BJ577" s="13">
        <v>0.4</v>
      </c>
      <c r="BT577" s="1">
        <v>0</v>
      </c>
      <c r="CO577" s="1">
        <v>0</v>
      </c>
      <c r="DJ577" s="1" t="s">
        <v>163</v>
      </c>
      <c r="DL577" s="1">
        <f t="shared" si="887"/>
        <v>0.25</v>
      </c>
      <c r="DM577" s="1">
        <f t="shared" si="888"/>
        <v>0</v>
      </c>
      <c r="DN577" s="1" t="s">
        <v>601</v>
      </c>
      <c r="DO577" s="1" t="s">
        <v>2</v>
      </c>
      <c r="DP577" s="38">
        <f t="shared" si="895"/>
        <v>9.4500000000000015E-2</v>
      </c>
      <c r="DQ577" s="38">
        <f t="shared" si="896"/>
        <v>0</v>
      </c>
      <c r="DR577" s="38">
        <f t="shared" si="897"/>
        <v>0</v>
      </c>
      <c r="DS577" s="38">
        <f t="shared" si="898"/>
        <v>0</v>
      </c>
      <c r="DT577" s="38">
        <f t="shared" si="899"/>
        <v>0</v>
      </c>
      <c r="DU577" s="38">
        <f t="shared" si="900"/>
        <v>0</v>
      </c>
      <c r="DV577" s="38">
        <f t="shared" si="901"/>
        <v>0</v>
      </c>
      <c r="DW577" s="38">
        <f t="shared" si="902"/>
        <v>8.7499999999999994E-2</v>
      </c>
      <c r="DX577" s="38">
        <f t="shared" si="903"/>
        <v>0</v>
      </c>
      <c r="DY577" s="38">
        <f t="shared" si="904"/>
        <v>5.6000000000000005</v>
      </c>
      <c r="DZ577" s="38">
        <f t="shared" si="905"/>
        <v>14</v>
      </c>
      <c r="EA577" s="38">
        <f t="shared" si="906"/>
        <v>0</v>
      </c>
      <c r="EB577" s="38">
        <f t="shared" si="907"/>
        <v>0</v>
      </c>
      <c r="EC577" s="38">
        <f t="shared" si="908"/>
        <v>0</v>
      </c>
      <c r="ED577" s="38">
        <f t="shared" si="909"/>
        <v>0</v>
      </c>
      <c r="EE577" s="38">
        <f t="shared" si="910"/>
        <v>0</v>
      </c>
      <c r="EG577" s="38">
        <f t="shared" si="911"/>
        <v>0</v>
      </c>
      <c r="EH577" s="38">
        <f t="shared" si="912"/>
        <v>0</v>
      </c>
      <c r="EI577" s="38">
        <f t="shared" si="913"/>
        <v>616.67071200000009</v>
      </c>
      <c r="EJ577" s="38">
        <f t="shared" si="914"/>
        <v>0</v>
      </c>
      <c r="EK577" s="38">
        <f t="shared" si="915"/>
        <v>0</v>
      </c>
      <c r="EL577" s="38">
        <f t="shared" si="916"/>
        <v>0</v>
      </c>
      <c r="EM577" s="38">
        <f t="shared" si="917"/>
        <v>0</v>
      </c>
      <c r="EN577" s="38">
        <f t="shared" si="918"/>
        <v>0</v>
      </c>
      <c r="EO577" s="38">
        <f t="shared" si="919"/>
        <v>0</v>
      </c>
      <c r="EP577" s="38">
        <f t="shared" si="920"/>
        <v>1147.4749999999999</v>
      </c>
      <c r="EQ577" s="38">
        <f t="shared" si="921"/>
        <v>0</v>
      </c>
      <c r="ER577" s="38">
        <f t="shared" si="922"/>
        <v>158.93556270096462</v>
      </c>
      <c r="ES577" s="38">
        <f t="shared" si="923"/>
        <v>466.56012861736332</v>
      </c>
      <c r="ET577" s="38">
        <f t="shared" si="924"/>
        <v>0</v>
      </c>
      <c r="EU577" s="38">
        <f t="shared" si="925"/>
        <v>0</v>
      </c>
      <c r="EV577" s="38">
        <f t="shared" si="926"/>
        <v>0</v>
      </c>
      <c r="EW577" s="38">
        <f t="shared" si="927"/>
        <v>0</v>
      </c>
      <c r="EX577" s="38">
        <f t="shared" si="928"/>
        <v>0</v>
      </c>
      <c r="EZ577" s="38">
        <f t="shared" si="929"/>
        <v>0</v>
      </c>
      <c r="FA577" s="38">
        <f t="shared" si="930"/>
        <v>0</v>
      </c>
      <c r="FB577" s="1">
        <f t="shared" si="931"/>
        <v>0</v>
      </c>
      <c r="FC577" s="1">
        <f t="shared" si="932"/>
        <v>0</v>
      </c>
      <c r="FD577" s="1">
        <f t="shared" si="933"/>
        <v>0</v>
      </c>
      <c r="FE577" s="1">
        <f t="shared" si="934"/>
        <v>0</v>
      </c>
      <c r="FF577" s="1">
        <f t="shared" si="935"/>
        <v>0</v>
      </c>
      <c r="FG577" s="1">
        <f t="shared" si="936"/>
        <v>0</v>
      </c>
      <c r="FH577" s="1">
        <f t="shared" si="937"/>
        <v>0</v>
      </c>
      <c r="FI577" s="1">
        <f t="shared" si="938"/>
        <v>0</v>
      </c>
      <c r="FJ577" s="1">
        <f t="shared" si="939"/>
        <v>0</v>
      </c>
      <c r="FK577" s="1">
        <f t="shared" si="940"/>
        <v>0</v>
      </c>
      <c r="FL577" s="1">
        <f t="shared" si="941"/>
        <v>0</v>
      </c>
      <c r="FM577" s="1">
        <f t="shared" si="942"/>
        <v>0</v>
      </c>
      <c r="FN577" s="1">
        <f t="shared" si="943"/>
        <v>0</v>
      </c>
      <c r="FO577" s="1">
        <f t="shared" si="944"/>
        <v>0</v>
      </c>
      <c r="FP577" s="1">
        <f t="shared" si="945"/>
        <v>0</v>
      </c>
      <c r="FQ577" s="1">
        <f t="shared" si="946"/>
        <v>0</v>
      </c>
      <c r="FS577" s="1">
        <f t="shared" si="947"/>
        <v>0</v>
      </c>
      <c r="FT577" s="1">
        <f t="shared" si="948"/>
        <v>0</v>
      </c>
      <c r="FU577" s="38">
        <f t="shared" si="949"/>
        <v>0</v>
      </c>
      <c r="FV577" s="38">
        <f t="shared" si="950"/>
        <v>0</v>
      </c>
      <c r="FW577" s="38">
        <f t="shared" si="951"/>
        <v>0</v>
      </c>
      <c r="FX577" s="38">
        <f t="shared" si="952"/>
        <v>0</v>
      </c>
      <c r="FY577" s="38">
        <f t="shared" si="953"/>
        <v>0</v>
      </c>
      <c r="FZ577" s="38">
        <f t="shared" si="954"/>
        <v>0</v>
      </c>
      <c r="GA577" s="38">
        <f t="shared" si="955"/>
        <v>0</v>
      </c>
      <c r="GB577" s="38">
        <f t="shared" si="956"/>
        <v>0</v>
      </c>
      <c r="GC577" s="38">
        <f t="shared" si="957"/>
        <v>0</v>
      </c>
      <c r="GD577" s="38">
        <f t="shared" si="958"/>
        <v>0</v>
      </c>
      <c r="GE577" s="38">
        <f t="shared" si="959"/>
        <v>0</v>
      </c>
      <c r="GF577" s="38">
        <f t="shared" si="960"/>
        <v>0</v>
      </c>
      <c r="GG577" s="38">
        <f t="shared" si="961"/>
        <v>0</v>
      </c>
      <c r="GH577" s="38">
        <f t="shared" si="962"/>
        <v>0</v>
      </c>
      <c r="GI577" s="38">
        <f t="shared" si="963"/>
        <v>0</v>
      </c>
      <c r="GJ577" s="38">
        <f t="shared" si="964"/>
        <v>0</v>
      </c>
      <c r="GL577" s="38">
        <f t="shared" si="965"/>
        <v>0</v>
      </c>
      <c r="GM577" s="38">
        <f t="shared" si="966"/>
        <v>0</v>
      </c>
      <c r="GN577" s="1" t="s">
        <v>2</v>
      </c>
      <c r="GO577" s="1">
        <f t="shared" si="889"/>
        <v>35</v>
      </c>
      <c r="GP577" s="1">
        <f t="shared" si="890"/>
        <v>0.25</v>
      </c>
      <c r="GQ577" s="41">
        <f t="shared" si="891"/>
        <v>87.5</v>
      </c>
      <c r="GR577" s="41">
        <f t="shared" si="892"/>
        <v>2389.6414033183278</v>
      </c>
      <c r="GS577" s="14">
        <f t="shared" si="893"/>
        <v>68.275468666237941</v>
      </c>
      <c r="GT577" s="1">
        <f t="shared" si="967"/>
        <v>0</v>
      </c>
      <c r="GU577" s="1">
        <f t="shared" si="968"/>
        <v>0</v>
      </c>
      <c r="GV577" s="1">
        <f t="shared" si="969"/>
        <v>87.5</v>
      </c>
      <c r="GW577" s="37">
        <f t="shared" si="894"/>
        <v>0</v>
      </c>
      <c r="GX577" s="37"/>
      <c r="GY577" s="37"/>
      <c r="GZ577" s="37"/>
      <c r="HB577" s="1">
        <f t="shared" si="970"/>
        <v>0</v>
      </c>
      <c r="HC577" s="1">
        <f t="shared" si="971"/>
        <v>0</v>
      </c>
      <c r="HD577" s="37" t="s">
        <v>2</v>
      </c>
      <c r="HE577" s="1" t="s">
        <v>113</v>
      </c>
      <c r="HF577" s="1" t="s">
        <v>129</v>
      </c>
      <c r="HI577" s="1" t="s">
        <v>163</v>
      </c>
      <c r="HJ577" s="37" t="s">
        <v>2</v>
      </c>
      <c r="JH577" s="58" t="s">
        <v>2</v>
      </c>
    </row>
    <row r="578" spans="1:268" ht="16.25" customHeight="1" x14ac:dyDescent="0.2">
      <c r="A578" s="15" t="s">
        <v>654</v>
      </c>
      <c r="B578" s="1" t="s">
        <v>69</v>
      </c>
      <c r="F578" s="1" t="s">
        <v>655</v>
      </c>
      <c r="I578" s="1">
        <v>0</v>
      </c>
      <c r="AD578" s="1">
        <v>0</v>
      </c>
      <c r="AY578" s="2">
        <v>0.390235</v>
      </c>
      <c r="BG578" s="1">
        <v>1.35</v>
      </c>
      <c r="BT578" s="1">
        <v>0</v>
      </c>
      <c r="CO578" s="1">
        <v>0</v>
      </c>
      <c r="DJ578" s="1" t="s">
        <v>163</v>
      </c>
      <c r="DL578" s="1">
        <f t="shared" si="887"/>
        <v>1.35</v>
      </c>
      <c r="DM578" s="1">
        <f t="shared" si="888"/>
        <v>0</v>
      </c>
      <c r="DN578" s="1" t="s">
        <v>656</v>
      </c>
      <c r="DO578" s="1" t="s">
        <v>2</v>
      </c>
      <c r="DP578" s="38">
        <f t="shared" si="895"/>
        <v>0</v>
      </c>
      <c r="DQ578" s="38">
        <f t="shared" si="896"/>
        <v>0</v>
      </c>
      <c r="DR578" s="38">
        <f t="shared" si="897"/>
        <v>0</v>
      </c>
      <c r="DS578" s="38">
        <f t="shared" si="898"/>
        <v>0</v>
      </c>
      <c r="DT578" s="38">
        <f t="shared" si="899"/>
        <v>0</v>
      </c>
      <c r="DU578" s="38">
        <f t="shared" si="900"/>
        <v>0</v>
      </c>
      <c r="DV578" s="38">
        <f t="shared" si="901"/>
        <v>0</v>
      </c>
      <c r="DW578" s="38">
        <f t="shared" si="902"/>
        <v>5.2681725000000004E-3</v>
      </c>
      <c r="DX578" s="38">
        <f t="shared" si="903"/>
        <v>0</v>
      </c>
      <c r="DY578" s="38">
        <f t="shared" si="904"/>
        <v>0</v>
      </c>
      <c r="DZ578" s="38">
        <f t="shared" si="905"/>
        <v>0</v>
      </c>
      <c r="EA578" s="38">
        <f t="shared" si="906"/>
        <v>0</v>
      </c>
      <c r="EB578" s="38">
        <f t="shared" si="907"/>
        <v>0</v>
      </c>
      <c r="EC578" s="38">
        <f t="shared" si="908"/>
        <v>0</v>
      </c>
      <c r="ED578" s="38">
        <f t="shared" si="909"/>
        <v>0</v>
      </c>
      <c r="EE578" s="38">
        <f t="shared" si="910"/>
        <v>0</v>
      </c>
      <c r="EG578" s="38">
        <f t="shared" si="911"/>
        <v>0</v>
      </c>
      <c r="EH578" s="38">
        <f t="shared" si="912"/>
        <v>0</v>
      </c>
      <c r="EI578" s="38">
        <f t="shared" si="913"/>
        <v>0</v>
      </c>
      <c r="EJ578" s="38">
        <f t="shared" si="914"/>
        <v>0</v>
      </c>
      <c r="EK578" s="38">
        <f t="shared" si="915"/>
        <v>0</v>
      </c>
      <c r="EL578" s="38">
        <f t="shared" si="916"/>
        <v>0</v>
      </c>
      <c r="EM578" s="38">
        <f t="shared" si="917"/>
        <v>0</v>
      </c>
      <c r="EN578" s="38">
        <f t="shared" si="918"/>
        <v>0</v>
      </c>
      <c r="EO578" s="38">
        <f t="shared" si="919"/>
        <v>0</v>
      </c>
      <c r="EP578" s="38">
        <f t="shared" si="920"/>
        <v>69.086814165000007</v>
      </c>
      <c r="EQ578" s="38">
        <f t="shared" si="921"/>
        <v>0</v>
      </c>
      <c r="ER578" s="38">
        <f t="shared" si="922"/>
        <v>0</v>
      </c>
      <c r="ES578" s="38">
        <f t="shared" si="923"/>
        <v>0</v>
      </c>
      <c r="ET578" s="38">
        <f t="shared" si="924"/>
        <v>0</v>
      </c>
      <c r="EU578" s="38">
        <f t="shared" si="925"/>
        <v>0</v>
      </c>
      <c r="EV578" s="38">
        <f t="shared" si="926"/>
        <v>0</v>
      </c>
      <c r="EW578" s="38">
        <f t="shared" si="927"/>
        <v>0</v>
      </c>
      <c r="EX578" s="38">
        <f t="shared" si="928"/>
        <v>0</v>
      </c>
      <c r="EZ578" s="38">
        <f t="shared" si="929"/>
        <v>0</v>
      </c>
      <c r="FA578" s="38">
        <f t="shared" si="930"/>
        <v>0</v>
      </c>
      <c r="FB578" s="1">
        <f t="shared" si="931"/>
        <v>0</v>
      </c>
      <c r="FC578" s="1">
        <f t="shared" si="932"/>
        <v>0</v>
      </c>
      <c r="FD578" s="1">
        <f t="shared" si="933"/>
        <v>0</v>
      </c>
      <c r="FE578" s="1">
        <f t="shared" si="934"/>
        <v>0</v>
      </c>
      <c r="FF578" s="1">
        <f t="shared" si="935"/>
        <v>0</v>
      </c>
      <c r="FG578" s="1">
        <f t="shared" si="936"/>
        <v>0</v>
      </c>
      <c r="FH578" s="1">
        <f t="shared" si="937"/>
        <v>0</v>
      </c>
      <c r="FI578" s="1">
        <f t="shared" si="938"/>
        <v>0</v>
      </c>
      <c r="FJ578" s="1">
        <f t="shared" si="939"/>
        <v>0</v>
      </c>
      <c r="FK578" s="1">
        <f t="shared" si="940"/>
        <v>0</v>
      </c>
      <c r="FL578" s="1">
        <f t="shared" si="941"/>
        <v>0</v>
      </c>
      <c r="FM578" s="1">
        <f t="shared" si="942"/>
        <v>0</v>
      </c>
      <c r="FN578" s="1">
        <f t="shared" si="943"/>
        <v>0</v>
      </c>
      <c r="FO578" s="1">
        <f t="shared" si="944"/>
        <v>0</v>
      </c>
      <c r="FP578" s="1">
        <f t="shared" si="945"/>
        <v>0</v>
      </c>
      <c r="FQ578" s="1">
        <f t="shared" si="946"/>
        <v>0</v>
      </c>
      <c r="FS578" s="1">
        <f t="shared" si="947"/>
        <v>0</v>
      </c>
      <c r="FT578" s="1">
        <f t="shared" si="948"/>
        <v>0</v>
      </c>
      <c r="FU578" s="38">
        <f t="shared" si="949"/>
        <v>0</v>
      </c>
      <c r="FV578" s="38">
        <f t="shared" si="950"/>
        <v>0</v>
      </c>
      <c r="FW578" s="38">
        <f t="shared" si="951"/>
        <v>0</v>
      </c>
      <c r="FX578" s="38">
        <f t="shared" si="952"/>
        <v>0</v>
      </c>
      <c r="FY578" s="38">
        <f t="shared" si="953"/>
        <v>0</v>
      </c>
      <c r="FZ578" s="38">
        <f t="shared" si="954"/>
        <v>0</v>
      </c>
      <c r="GA578" s="38">
        <f t="shared" si="955"/>
        <v>0</v>
      </c>
      <c r="GB578" s="38">
        <f t="shared" si="956"/>
        <v>0</v>
      </c>
      <c r="GC578" s="38">
        <f t="shared" si="957"/>
        <v>0</v>
      </c>
      <c r="GD578" s="38">
        <f t="shared" si="958"/>
        <v>0</v>
      </c>
      <c r="GE578" s="38">
        <f t="shared" si="959"/>
        <v>0</v>
      </c>
      <c r="GF578" s="38">
        <f t="shared" si="960"/>
        <v>0</v>
      </c>
      <c r="GG578" s="38">
        <f t="shared" si="961"/>
        <v>0</v>
      </c>
      <c r="GH578" s="38">
        <f t="shared" si="962"/>
        <v>0</v>
      </c>
      <c r="GI578" s="38">
        <f t="shared" si="963"/>
        <v>0</v>
      </c>
      <c r="GJ578" s="38">
        <f t="shared" si="964"/>
        <v>0</v>
      </c>
      <c r="GL578" s="38">
        <f t="shared" si="965"/>
        <v>0</v>
      </c>
      <c r="GM578" s="38">
        <f t="shared" si="966"/>
        <v>0</v>
      </c>
      <c r="GN578" s="1" t="s">
        <v>2</v>
      </c>
      <c r="GO578" s="2">
        <f t="shared" si="889"/>
        <v>0.390235</v>
      </c>
      <c r="GP578" s="1">
        <f t="shared" si="890"/>
        <v>1.35</v>
      </c>
      <c r="GQ578" s="41">
        <f t="shared" si="891"/>
        <v>5.2681725000000004</v>
      </c>
      <c r="GR578" s="41">
        <f t="shared" si="892"/>
        <v>69.086814165000007</v>
      </c>
      <c r="GS578" s="14">
        <f t="shared" si="893"/>
        <v>177.03900000000002</v>
      </c>
      <c r="GT578" s="1">
        <f t="shared" si="967"/>
        <v>0</v>
      </c>
      <c r="GU578" s="1">
        <f t="shared" si="968"/>
        <v>0</v>
      </c>
      <c r="GV578" s="1">
        <f t="shared" si="969"/>
        <v>5.2681725000000004</v>
      </c>
      <c r="GW578" s="37">
        <f t="shared" si="894"/>
        <v>0</v>
      </c>
      <c r="GX578" s="37"/>
      <c r="GY578" s="37"/>
      <c r="GZ578" s="37"/>
      <c r="HB578" s="1">
        <f t="shared" si="970"/>
        <v>0</v>
      </c>
      <c r="HC578" s="1">
        <f t="shared" si="971"/>
        <v>0</v>
      </c>
      <c r="HD578" s="37" t="s">
        <v>2</v>
      </c>
      <c r="HE578" s="1" t="s">
        <v>113</v>
      </c>
      <c r="HF578" s="1" t="s">
        <v>129</v>
      </c>
      <c r="HI578" s="1" t="s">
        <v>163</v>
      </c>
      <c r="HJ578" s="37" t="s">
        <v>2</v>
      </c>
      <c r="JH578" s="58" t="s">
        <v>2</v>
      </c>
    </row>
    <row r="579" spans="1:268" ht="16.25" customHeight="1" x14ac:dyDescent="0.2">
      <c r="A579" s="15" t="s">
        <v>699</v>
      </c>
      <c r="B579" s="1" t="s">
        <v>69</v>
      </c>
      <c r="F579" s="1" t="s">
        <v>700</v>
      </c>
      <c r="I579" s="1">
        <v>0</v>
      </c>
      <c r="AD579" s="1">
        <v>0</v>
      </c>
      <c r="AY579" s="1">
        <v>1.4</v>
      </c>
      <c r="AZ579" s="1">
        <v>0.7</v>
      </c>
      <c r="BG579" s="1">
        <v>0.7</v>
      </c>
      <c r="BI579" s="1">
        <v>1</v>
      </c>
      <c r="BJ579" s="1">
        <v>3</v>
      </c>
      <c r="BT579" s="1">
        <v>0</v>
      </c>
      <c r="CO579" s="1">
        <v>0</v>
      </c>
      <c r="DJ579" s="1" t="s">
        <v>163</v>
      </c>
      <c r="DL579" s="1">
        <f t="shared" si="887"/>
        <v>0.7</v>
      </c>
      <c r="DM579" s="1">
        <f t="shared" si="888"/>
        <v>0</v>
      </c>
      <c r="DN579" s="1" t="s">
        <v>701</v>
      </c>
      <c r="DO579" s="1" t="s">
        <v>2</v>
      </c>
      <c r="DP579" s="38">
        <f t="shared" si="895"/>
        <v>9.7999999999999979E-3</v>
      </c>
      <c r="DQ579" s="38">
        <f t="shared" si="896"/>
        <v>0</v>
      </c>
      <c r="DR579" s="38">
        <f t="shared" si="897"/>
        <v>0</v>
      </c>
      <c r="DS579" s="38">
        <f t="shared" si="898"/>
        <v>0</v>
      </c>
      <c r="DT579" s="38">
        <f t="shared" si="899"/>
        <v>0</v>
      </c>
      <c r="DU579" s="38">
        <f t="shared" si="900"/>
        <v>0</v>
      </c>
      <c r="DV579" s="38">
        <f t="shared" si="901"/>
        <v>0</v>
      </c>
      <c r="DW579" s="38">
        <f t="shared" si="902"/>
        <v>9.7999999999999979E-3</v>
      </c>
      <c r="DX579" s="38">
        <f t="shared" si="903"/>
        <v>0</v>
      </c>
      <c r="DY579" s="38">
        <f t="shared" si="904"/>
        <v>1.4</v>
      </c>
      <c r="DZ579" s="38">
        <f t="shared" si="905"/>
        <v>4.1999999999999993</v>
      </c>
      <c r="EA579" s="38">
        <f t="shared" si="906"/>
        <v>0</v>
      </c>
      <c r="EB579" s="38">
        <f t="shared" si="907"/>
        <v>0</v>
      </c>
      <c r="EC579" s="38">
        <f t="shared" si="908"/>
        <v>0</v>
      </c>
      <c r="ED579" s="38">
        <f t="shared" si="909"/>
        <v>0</v>
      </c>
      <c r="EE579" s="38">
        <f t="shared" si="910"/>
        <v>0</v>
      </c>
      <c r="EG579" s="38">
        <f t="shared" si="911"/>
        <v>0</v>
      </c>
      <c r="EH579" s="38">
        <f t="shared" si="912"/>
        <v>0</v>
      </c>
      <c r="EI579" s="38">
        <f t="shared" si="913"/>
        <v>63.951036799999983</v>
      </c>
      <c r="EJ579" s="38">
        <f t="shared" si="914"/>
        <v>0</v>
      </c>
      <c r="EK579" s="38">
        <f t="shared" si="915"/>
        <v>0</v>
      </c>
      <c r="EL579" s="38">
        <f t="shared" si="916"/>
        <v>0</v>
      </c>
      <c r="EM579" s="38">
        <f t="shared" si="917"/>
        <v>0</v>
      </c>
      <c r="EN579" s="38">
        <f t="shared" si="918"/>
        <v>0</v>
      </c>
      <c r="EO579" s="38">
        <f t="shared" si="919"/>
        <v>0</v>
      </c>
      <c r="EP579" s="38">
        <f t="shared" si="920"/>
        <v>128.51719999999997</v>
      </c>
      <c r="EQ579" s="38">
        <f t="shared" si="921"/>
        <v>0</v>
      </c>
      <c r="ER579" s="38">
        <f t="shared" si="922"/>
        <v>39.733890675241149</v>
      </c>
      <c r="ES579" s="38">
        <f t="shared" si="923"/>
        <v>139.96803858520897</v>
      </c>
      <c r="ET579" s="38">
        <f t="shared" si="924"/>
        <v>0</v>
      </c>
      <c r="EU579" s="38">
        <f t="shared" si="925"/>
        <v>0</v>
      </c>
      <c r="EV579" s="38">
        <f t="shared" si="926"/>
        <v>0</v>
      </c>
      <c r="EW579" s="38">
        <f t="shared" si="927"/>
        <v>0</v>
      </c>
      <c r="EX579" s="38">
        <f t="shared" si="928"/>
        <v>0</v>
      </c>
      <c r="EZ579" s="38">
        <f t="shared" si="929"/>
        <v>0</v>
      </c>
      <c r="FA579" s="38">
        <f t="shared" si="930"/>
        <v>0</v>
      </c>
      <c r="FB579" s="1">
        <f t="shared" si="931"/>
        <v>0</v>
      </c>
      <c r="FC579" s="1">
        <f t="shared" si="932"/>
        <v>0</v>
      </c>
      <c r="FD579" s="1">
        <f t="shared" si="933"/>
        <v>0</v>
      </c>
      <c r="FE579" s="1">
        <f t="shared" si="934"/>
        <v>0</v>
      </c>
      <c r="FF579" s="1">
        <f t="shared" si="935"/>
        <v>0</v>
      </c>
      <c r="FG579" s="1">
        <f t="shared" si="936"/>
        <v>0</v>
      </c>
      <c r="FH579" s="1">
        <f t="shared" si="937"/>
        <v>0</v>
      </c>
      <c r="FI579" s="1">
        <f t="shared" si="938"/>
        <v>0</v>
      </c>
      <c r="FJ579" s="1">
        <f t="shared" si="939"/>
        <v>0</v>
      </c>
      <c r="FK579" s="1">
        <f t="shared" si="940"/>
        <v>0</v>
      </c>
      <c r="FL579" s="1">
        <f t="shared" si="941"/>
        <v>0</v>
      </c>
      <c r="FM579" s="1">
        <f t="shared" si="942"/>
        <v>0</v>
      </c>
      <c r="FN579" s="1">
        <f t="shared" si="943"/>
        <v>0</v>
      </c>
      <c r="FO579" s="1">
        <f t="shared" si="944"/>
        <v>0</v>
      </c>
      <c r="FP579" s="1">
        <f t="shared" si="945"/>
        <v>0</v>
      </c>
      <c r="FQ579" s="1">
        <f t="shared" si="946"/>
        <v>0</v>
      </c>
      <c r="FS579" s="1">
        <f t="shared" si="947"/>
        <v>0</v>
      </c>
      <c r="FT579" s="1">
        <f t="shared" si="948"/>
        <v>0</v>
      </c>
      <c r="FU579" s="38">
        <f t="shared" si="949"/>
        <v>0</v>
      </c>
      <c r="FV579" s="38">
        <f t="shared" si="950"/>
        <v>0</v>
      </c>
      <c r="FW579" s="38">
        <f t="shared" si="951"/>
        <v>0</v>
      </c>
      <c r="FX579" s="38">
        <f t="shared" si="952"/>
        <v>0</v>
      </c>
      <c r="FY579" s="38">
        <f t="shared" si="953"/>
        <v>0</v>
      </c>
      <c r="FZ579" s="38">
        <f t="shared" si="954"/>
        <v>0</v>
      </c>
      <c r="GA579" s="38">
        <f t="shared" si="955"/>
        <v>0</v>
      </c>
      <c r="GB579" s="38">
        <f t="shared" si="956"/>
        <v>0</v>
      </c>
      <c r="GC579" s="38">
        <f t="shared" si="957"/>
        <v>0</v>
      </c>
      <c r="GD579" s="38">
        <f t="shared" si="958"/>
        <v>0</v>
      </c>
      <c r="GE579" s="38">
        <f t="shared" si="959"/>
        <v>0</v>
      </c>
      <c r="GF579" s="38">
        <f t="shared" si="960"/>
        <v>0</v>
      </c>
      <c r="GG579" s="38">
        <f t="shared" si="961"/>
        <v>0</v>
      </c>
      <c r="GH579" s="38">
        <f t="shared" si="962"/>
        <v>0</v>
      </c>
      <c r="GI579" s="38">
        <f t="shared" si="963"/>
        <v>0</v>
      </c>
      <c r="GJ579" s="38">
        <f t="shared" si="964"/>
        <v>0</v>
      </c>
      <c r="GL579" s="38">
        <f t="shared" si="965"/>
        <v>0</v>
      </c>
      <c r="GM579" s="38">
        <f t="shared" si="966"/>
        <v>0</v>
      </c>
      <c r="GN579" s="1" t="s">
        <v>2</v>
      </c>
      <c r="GO579" s="1">
        <f t="shared" si="889"/>
        <v>1.4</v>
      </c>
      <c r="GP579" s="1">
        <f t="shared" si="890"/>
        <v>0.7</v>
      </c>
      <c r="GQ579" s="41">
        <f t="shared" si="891"/>
        <v>9.7999999999999989</v>
      </c>
      <c r="GR579" s="41">
        <f t="shared" si="892"/>
        <v>372.17016606045007</v>
      </c>
      <c r="GS579" s="14">
        <f t="shared" si="893"/>
        <v>265.83583290032152</v>
      </c>
      <c r="GT579" s="1">
        <f t="shared" si="967"/>
        <v>0</v>
      </c>
      <c r="GU579" s="1">
        <f t="shared" si="968"/>
        <v>0</v>
      </c>
      <c r="GV579" s="1">
        <f t="shared" si="969"/>
        <v>9.7999999999999989</v>
      </c>
      <c r="GW579" s="37">
        <f t="shared" si="894"/>
        <v>0</v>
      </c>
      <c r="GX579" s="37"/>
      <c r="GY579" s="37"/>
      <c r="GZ579" s="37"/>
      <c r="HB579" s="1">
        <f t="shared" si="970"/>
        <v>0</v>
      </c>
      <c r="HC579" s="1">
        <f t="shared" si="971"/>
        <v>0</v>
      </c>
      <c r="HD579" s="37" t="s">
        <v>2</v>
      </c>
      <c r="HE579" s="1" t="s">
        <v>113</v>
      </c>
      <c r="HF579" s="1" t="s">
        <v>129</v>
      </c>
      <c r="HI579" s="1" t="s">
        <v>163</v>
      </c>
      <c r="HJ579" s="37" t="s">
        <v>2</v>
      </c>
      <c r="JH579" s="58" t="s">
        <v>2</v>
      </c>
    </row>
    <row r="580" spans="1:268" ht="16.25" customHeight="1" x14ac:dyDescent="0.2">
      <c r="A580" s="15" t="s">
        <v>730</v>
      </c>
      <c r="B580" s="1" t="s">
        <v>69</v>
      </c>
      <c r="F580" s="1" t="s">
        <v>731</v>
      </c>
      <c r="I580" s="1">
        <v>0</v>
      </c>
      <c r="AD580" s="1">
        <v>0</v>
      </c>
      <c r="AY580" s="1">
        <v>1.8</v>
      </c>
      <c r="AZ580" s="1">
        <v>0.25</v>
      </c>
      <c r="BG580" s="1">
        <v>0.47</v>
      </c>
      <c r="BT580" s="1">
        <v>0</v>
      </c>
      <c r="CO580" s="1">
        <v>0</v>
      </c>
      <c r="DJ580" s="1" t="s">
        <v>163</v>
      </c>
      <c r="DL580" s="1">
        <f t="shared" si="887"/>
        <v>0.47</v>
      </c>
      <c r="DM580" s="1">
        <f t="shared" si="888"/>
        <v>0</v>
      </c>
      <c r="DN580" s="1" t="s">
        <v>732</v>
      </c>
      <c r="DO580" s="1" t="s">
        <v>2</v>
      </c>
      <c r="DP580" s="38">
        <f t="shared" si="895"/>
        <v>4.5000000000000005E-3</v>
      </c>
      <c r="DQ580" s="38">
        <f t="shared" si="896"/>
        <v>0</v>
      </c>
      <c r="DR580" s="38">
        <f t="shared" si="897"/>
        <v>0</v>
      </c>
      <c r="DS580" s="38">
        <f t="shared" si="898"/>
        <v>0</v>
      </c>
      <c r="DT580" s="38">
        <f t="shared" si="899"/>
        <v>0</v>
      </c>
      <c r="DU580" s="38">
        <f t="shared" si="900"/>
        <v>0</v>
      </c>
      <c r="DV580" s="38">
        <f t="shared" si="901"/>
        <v>0</v>
      </c>
      <c r="DW580" s="38">
        <f t="shared" si="902"/>
        <v>8.4600000000000005E-3</v>
      </c>
      <c r="DX580" s="38">
        <f t="shared" si="903"/>
        <v>0</v>
      </c>
      <c r="DY580" s="38">
        <f t="shared" si="904"/>
        <v>0</v>
      </c>
      <c r="DZ580" s="38">
        <f t="shared" si="905"/>
        <v>0</v>
      </c>
      <c r="EA580" s="38">
        <f t="shared" si="906"/>
        <v>0</v>
      </c>
      <c r="EB580" s="38">
        <f t="shared" si="907"/>
        <v>0</v>
      </c>
      <c r="EC580" s="38">
        <f t="shared" si="908"/>
        <v>0</v>
      </c>
      <c r="ED580" s="38">
        <f t="shared" si="909"/>
        <v>0</v>
      </c>
      <c r="EE580" s="38">
        <f t="shared" si="910"/>
        <v>0</v>
      </c>
      <c r="EG580" s="38">
        <f t="shared" si="911"/>
        <v>0</v>
      </c>
      <c r="EH580" s="38">
        <f t="shared" si="912"/>
        <v>0</v>
      </c>
      <c r="EI580" s="38">
        <f t="shared" si="913"/>
        <v>29.365272000000004</v>
      </c>
      <c r="EJ580" s="38">
        <f t="shared" si="914"/>
        <v>0</v>
      </c>
      <c r="EK580" s="38">
        <f t="shared" si="915"/>
        <v>0</v>
      </c>
      <c r="EL580" s="38">
        <f t="shared" si="916"/>
        <v>0</v>
      </c>
      <c r="EM580" s="38">
        <f t="shared" si="917"/>
        <v>0</v>
      </c>
      <c r="EN580" s="38">
        <f t="shared" si="918"/>
        <v>0</v>
      </c>
      <c r="EO580" s="38">
        <f t="shared" si="919"/>
        <v>0</v>
      </c>
      <c r="EP580" s="38">
        <f t="shared" si="920"/>
        <v>110.94444</v>
      </c>
      <c r="EQ580" s="38">
        <f t="shared" si="921"/>
        <v>0</v>
      </c>
      <c r="ER580" s="38">
        <f t="shared" si="922"/>
        <v>0</v>
      </c>
      <c r="ES580" s="38">
        <f t="shared" si="923"/>
        <v>0</v>
      </c>
      <c r="ET580" s="38">
        <f t="shared" si="924"/>
        <v>0</v>
      </c>
      <c r="EU580" s="38">
        <f t="shared" si="925"/>
        <v>0</v>
      </c>
      <c r="EV580" s="38">
        <f t="shared" si="926"/>
        <v>0</v>
      </c>
      <c r="EW580" s="38">
        <f t="shared" si="927"/>
        <v>0</v>
      </c>
      <c r="EX580" s="38">
        <f t="shared" si="928"/>
        <v>0</v>
      </c>
      <c r="EZ580" s="38">
        <f t="shared" si="929"/>
        <v>0</v>
      </c>
      <c r="FA580" s="38">
        <f t="shared" si="930"/>
        <v>0</v>
      </c>
      <c r="FB580" s="1">
        <f t="shared" si="931"/>
        <v>0</v>
      </c>
      <c r="FC580" s="1">
        <f t="shared" si="932"/>
        <v>0</v>
      </c>
      <c r="FD580" s="1">
        <f t="shared" si="933"/>
        <v>0</v>
      </c>
      <c r="FE580" s="1">
        <f t="shared" si="934"/>
        <v>0</v>
      </c>
      <c r="FF580" s="1">
        <f t="shared" si="935"/>
        <v>0</v>
      </c>
      <c r="FG580" s="1">
        <f t="shared" si="936"/>
        <v>0</v>
      </c>
      <c r="FH580" s="1">
        <f t="shared" si="937"/>
        <v>0</v>
      </c>
      <c r="FI580" s="1">
        <f t="shared" si="938"/>
        <v>0</v>
      </c>
      <c r="FJ580" s="1">
        <f t="shared" si="939"/>
        <v>0</v>
      </c>
      <c r="FK580" s="1">
        <f t="shared" si="940"/>
        <v>0</v>
      </c>
      <c r="FL580" s="1">
        <f t="shared" si="941"/>
        <v>0</v>
      </c>
      <c r="FM580" s="1">
        <f t="shared" si="942"/>
        <v>0</v>
      </c>
      <c r="FN580" s="1">
        <f t="shared" si="943"/>
        <v>0</v>
      </c>
      <c r="FO580" s="1">
        <f t="shared" si="944"/>
        <v>0</v>
      </c>
      <c r="FP580" s="1">
        <f t="shared" si="945"/>
        <v>0</v>
      </c>
      <c r="FQ580" s="1">
        <f t="shared" si="946"/>
        <v>0</v>
      </c>
      <c r="FS580" s="1">
        <f t="shared" si="947"/>
        <v>0</v>
      </c>
      <c r="FT580" s="1">
        <f t="shared" si="948"/>
        <v>0</v>
      </c>
      <c r="FU580" s="38">
        <f t="shared" si="949"/>
        <v>0</v>
      </c>
      <c r="FV580" s="38">
        <f t="shared" si="950"/>
        <v>0</v>
      </c>
      <c r="FW580" s="38">
        <f t="shared" si="951"/>
        <v>0</v>
      </c>
      <c r="FX580" s="38">
        <f t="shared" si="952"/>
        <v>0</v>
      </c>
      <c r="FY580" s="38">
        <f t="shared" si="953"/>
        <v>0</v>
      </c>
      <c r="FZ580" s="38">
        <f t="shared" si="954"/>
        <v>0</v>
      </c>
      <c r="GA580" s="38">
        <f t="shared" si="955"/>
        <v>0</v>
      </c>
      <c r="GB580" s="38">
        <f t="shared" si="956"/>
        <v>0</v>
      </c>
      <c r="GC580" s="38">
        <f t="shared" si="957"/>
        <v>0</v>
      </c>
      <c r="GD580" s="38">
        <f t="shared" si="958"/>
        <v>0</v>
      </c>
      <c r="GE580" s="38">
        <f t="shared" si="959"/>
        <v>0</v>
      </c>
      <c r="GF580" s="38">
        <f t="shared" si="960"/>
        <v>0</v>
      </c>
      <c r="GG580" s="38">
        <f t="shared" si="961"/>
        <v>0</v>
      </c>
      <c r="GH580" s="38">
        <f t="shared" si="962"/>
        <v>0</v>
      </c>
      <c r="GI580" s="38">
        <f t="shared" si="963"/>
        <v>0</v>
      </c>
      <c r="GJ580" s="38">
        <f t="shared" si="964"/>
        <v>0</v>
      </c>
      <c r="GL580" s="38">
        <f t="shared" si="965"/>
        <v>0</v>
      </c>
      <c r="GM580" s="38">
        <f t="shared" si="966"/>
        <v>0</v>
      </c>
      <c r="GN580" s="1" t="s">
        <v>2</v>
      </c>
      <c r="GO580" s="1">
        <f t="shared" si="889"/>
        <v>1.8</v>
      </c>
      <c r="GP580" s="1">
        <f t="shared" si="890"/>
        <v>0.47</v>
      </c>
      <c r="GQ580" s="41">
        <f t="shared" si="891"/>
        <v>8.4600000000000009</v>
      </c>
      <c r="GR580" s="41">
        <f t="shared" si="892"/>
        <v>140.30971199999999</v>
      </c>
      <c r="GS580" s="14">
        <f t="shared" si="893"/>
        <v>77.949839999999995</v>
      </c>
      <c r="GT580" s="1">
        <f t="shared" si="967"/>
        <v>0</v>
      </c>
      <c r="GU580" s="1">
        <f t="shared" si="968"/>
        <v>0</v>
      </c>
      <c r="GV580" s="1">
        <f t="shared" si="969"/>
        <v>8.4600000000000009</v>
      </c>
      <c r="GW580" s="37">
        <f t="shared" si="894"/>
        <v>0</v>
      </c>
      <c r="GX580" s="37"/>
      <c r="GY580" s="37"/>
      <c r="GZ580" s="37"/>
      <c r="HB580" s="1">
        <f t="shared" si="970"/>
        <v>0</v>
      </c>
      <c r="HC580" s="1">
        <f t="shared" si="971"/>
        <v>0</v>
      </c>
      <c r="HD580" s="37" t="s">
        <v>2</v>
      </c>
      <c r="HE580" s="1" t="s">
        <v>113</v>
      </c>
      <c r="HF580" s="1" t="s">
        <v>129</v>
      </c>
      <c r="HI580" s="1" t="s">
        <v>163</v>
      </c>
      <c r="HJ580" s="37" t="s">
        <v>2</v>
      </c>
      <c r="JH580" s="58" t="s">
        <v>2</v>
      </c>
    </row>
    <row r="581" spans="1:268" ht="16.25" customHeight="1" x14ac:dyDescent="0.2">
      <c r="A581" s="15" t="s">
        <v>804</v>
      </c>
      <c r="B581" s="1" t="s">
        <v>69</v>
      </c>
      <c r="F581" s="1" t="s">
        <v>700</v>
      </c>
      <c r="I581" s="1">
        <v>0</v>
      </c>
      <c r="AD581" s="1">
        <v>0</v>
      </c>
      <c r="AY581" s="1">
        <v>1.69</v>
      </c>
      <c r="AZ581" s="1">
        <v>0.48</v>
      </c>
      <c r="BG581" s="1">
        <v>0.55000000000000004</v>
      </c>
      <c r="BT581" s="1">
        <v>0</v>
      </c>
      <c r="CO581" s="1">
        <v>0</v>
      </c>
      <c r="DJ581" s="1" t="s">
        <v>163</v>
      </c>
      <c r="DL581" s="1">
        <f t="shared" ref="DL581:DL631" si="972">(Q581*I581+AL581*AD581+BG581*AY581)/(I581+AD581+AY581)</f>
        <v>0.55000000000000004</v>
      </c>
      <c r="DM581" s="1">
        <f t="shared" ref="DM581:DM631" si="973">(R581*I581+AM581*AD581+BH581*AY581)/(I581+AD581+AY581)</f>
        <v>0</v>
      </c>
      <c r="DN581" s="1" t="s">
        <v>805</v>
      </c>
      <c r="DO581" s="1" t="s">
        <v>2</v>
      </c>
      <c r="DP581" s="38">
        <f t="shared" si="895"/>
        <v>8.1119999999999994E-3</v>
      </c>
      <c r="DQ581" s="38">
        <f t="shared" si="896"/>
        <v>0</v>
      </c>
      <c r="DR581" s="38">
        <f t="shared" si="897"/>
        <v>0</v>
      </c>
      <c r="DS581" s="38">
        <f t="shared" si="898"/>
        <v>0</v>
      </c>
      <c r="DT581" s="38">
        <f t="shared" si="899"/>
        <v>0</v>
      </c>
      <c r="DU581" s="38">
        <f t="shared" si="900"/>
        <v>0</v>
      </c>
      <c r="DV581" s="38">
        <f t="shared" si="901"/>
        <v>0</v>
      </c>
      <c r="DW581" s="38">
        <f t="shared" si="902"/>
        <v>9.2949999999999994E-3</v>
      </c>
      <c r="DX581" s="38">
        <f t="shared" si="903"/>
        <v>0</v>
      </c>
      <c r="DY581" s="38">
        <f t="shared" si="904"/>
        <v>0</v>
      </c>
      <c r="DZ581" s="38">
        <f t="shared" si="905"/>
        <v>0</v>
      </c>
      <c r="EA581" s="38">
        <f t="shared" si="906"/>
        <v>0</v>
      </c>
      <c r="EB581" s="38">
        <f t="shared" si="907"/>
        <v>0</v>
      </c>
      <c r="EC581" s="38">
        <f t="shared" si="908"/>
        <v>0</v>
      </c>
      <c r="ED581" s="38">
        <f t="shared" si="909"/>
        <v>0</v>
      </c>
      <c r="EE581" s="38">
        <f t="shared" si="910"/>
        <v>0</v>
      </c>
      <c r="EG581" s="38">
        <f t="shared" si="911"/>
        <v>0</v>
      </c>
      <c r="EH581" s="38">
        <f t="shared" si="912"/>
        <v>0</v>
      </c>
      <c r="EI581" s="38">
        <f t="shared" si="913"/>
        <v>52.935796991999993</v>
      </c>
      <c r="EJ581" s="38">
        <f t="shared" si="914"/>
        <v>0</v>
      </c>
      <c r="EK581" s="38">
        <f t="shared" si="915"/>
        <v>0</v>
      </c>
      <c r="EL581" s="38">
        <f t="shared" si="916"/>
        <v>0</v>
      </c>
      <c r="EM581" s="38">
        <f t="shared" si="917"/>
        <v>0</v>
      </c>
      <c r="EN581" s="38">
        <f t="shared" si="918"/>
        <v>0</v>
      </c>
      <c r="EO581" s="38">
        <f t="shared" si="919"/>
        <v>0</v>
      </c>
      <c r="EP581" s="38">
        <f t="shared" si="920"/>
        <v>121.89462999999999</v>
      </c>
      <c r="EQ581" s="38">
        <f t="shared" si="921"/>
        <v>0</v>
      </c>
      <c r="ER581" s="38">
        <f t="shared" si="922"/>
        <v>0</v>
      </c>
      <c r="ES581" s="38">
        <f t="shared" si="923"/>
        <v>0</v>
      </c>
      <c r="ET581" s="38">
        <f t="shared" si="924"/>
        <v>0</v>
      </c>
      <c r="EU581" s="38">
        <f t="shared" si="925"/>
        <v>0</v>
      </c>
      <c r="EV581" s="38">
        <f t="shared" si="926"/>
        <v>0</v>
      </c>
      <c r="EW581" s="38">
        <f t="shared" si="927"/>
        <v>0</v>
      </c>
      <c r="EX581" s="38">
        <f t="shared" si="928"/>
        <v>0</v>
      </c>
      <c r="EZ581" s="38">
        <f t="shared" si="929"/>
        <v>0</v>
      </c>
      <c r="FA581" s="38">
        <f t="shared" si="930"/>
        <v>0</v>
      </c>
      <c r="FB581" s="1">
        <f t="shared" si="931"/>
        <v>0</v>
      </c>
      <c r="FC581" s="1">
        <f t="shared" si="932"/>
        <v>0</v>
      </c>
      <c r="FD581" s="1">
        <f t="shared" si="933"/>
        <v>0</v>
      </c>
      <c r="FE581" s="1">
        <f t="shared" si="934"/>
        <v>0</v>
      </c>
      <c r="FF581" s="1">
        <f t="shared" si="935"/>
        <v>0</v>
      </c>
      <c r="FG581" s="1">
        <f t="shared" si="936"/>
        <v>0</v>
      </c>
      <c r="FH581" s="1">
        <f t="shared" si="937"/>
        <v>0</v>
      </c>
      <c r="FI581" s="1">
        <f t="shared" si="938"/>
        <v>0</v>
      </c>
      <c r="FJ581" s="1">
        <f t="shared" si="939"/>
        <v>0</v>
      </c>
      <c r="FK581" s="1">
        <f t="shared" si="940"/>
        <v>0</v>
      </c>
      <c r="FL581" s="1">
        <f t="shared" si="941"/>
        <v>0</v>
      </c>
      <c r="FM581" s="1">
        <f t="shared" si="942"/>
        <v>0</v>
      </c>
      <c r="FN581" s="1">
        <f t="shared" si="943"/>
        <v>0</v>
      </c>
      <c r="FO581" s="1">
        <f t="shared" si="944"/>
        <v>0</v>
      </c>
      <c r="FP581" s="1">
        <f t="shared" si="945"/>
        <v>0</v>
      </c>
      <c r="FQ581" s="1">
        <f t="shared" si="946"/>
        <v>0</v>
      </c>
      <c r="FS581" s="1">
        <f t="shared" si="947"/>
        <v>0</v>
      </c>
      <c r="FT581" s="1">
        <f t="shared" si="948"/>
        <v>0</v>
      </c>
      <c r="FU581" s="38">
        <f t="shared" si="949"/>
        <v>0</v>
      </c>
      <c r="FV581" s="38">
        <f t="shared" si="950"/>
        <v>0</v>
      </c>
      <c r="FW581" s="38">
        <f t="shared" si="951"/>
        <v>0</v>
      </c>
      <c r="FX581" s="38">
        <f t="shared" si="952"/>
        <v>0</v>
      </c>
      <c r="FY581" s="38">
        <f t="shared" si="953"/>
        <v>0</v>
      </c>
      <c r="FZ581" s="38">
        <f t="shared" si="954"/>
        <v>0</v>
      </c>
      <c r="GA581" s="38">
        <f t="shared" si="955"/>
        <v>0</v>
      </c>
      <c r="GB581" s="38">
        <f t="shared" si="956"/>
        <v>0</v>
      </c>
      <c r="GC581" s="38">
        <f t="shared" si="957"/>
        <v>0</v>
      </c>
      <c r="GD581" s="38">
        <f t="shared" si="958"/>
        <v>0</v>
      </c>
      <c r="GE581" s="38">
        <f t="shared" si="959"/>
        <v>0</v>
      </c>
      <c r="GF581" s="38">
        <f t="shared" si="960"/>
        <v>0</v>
      </c>
      <c r="GG581" s="38">
        <f t="shared" si="961"/>
        <v>0</v>
      </c>
      <c r="GH581" s="38">
        <f t="shared" si="962"/>
        <v>0</v>
      </c>
      <c r="GI581" s="38">
        <f t="shared" si="963"/>
        <v>0</v>
      </c>
      <c r="GJ581" s="38">
        <f t="shared" si="964"/>
        <v>0</v>
      </c>
      <c r="GL581" s="38">
        <f t="shared" si="965"/>
        <v>0</v>
      </c>
      <c r="GM581" s="38">
        <f t="shared" si="966"/>
        <v>0</v>
      </c>
      <c r="GN581" s="1" t="s">
        <v>2</v>
      </c>
      <c r="GO581" s="1">
        <f t="shared" ref="GO581:GO631" si="974">I581+AD581+AY581</f>
        <v>1.69</v>
      </c>
      <c r="GP581" s="1">
        <f t="shared" ref="GP581:GP631" si="975">(I581*Q581+AD581*AL581+AY581*BG581)/GO581</f>
        <v>0.55000000000000004</v>
      </c>
      <c r="GQ581" s="41">
        <f t="shared" ref="GQ581:GQ631" si="976">1000*GO581*GP581/100</f>
        <v>9.2950000000000017</v>
      </c>
      <c r="GR581" s="41">
        <f t="shared" ref="GR581:GR631" si="977">SUM(EI581:FA581)</f>
        <v>174.83042699199999</v>
      </c>
      <c r="GS581" s="14">
        <f t="shared" ref="GS581:GS631" si="978">GR581/GO581</f>
        <v>103.4499568</v>
      </c>
      <c r="GT581" s="1">
        <f t="shared" si="967"/>
        <v>0</v>
      </c>
      <c r="GU581" s="1">
        <f t="shared" si="968"/>
        <v>0</v>
      </c>
      <c r="GV581" s="1">
        <f t="shared" si="969"/>
        <v>9.2949999999999999</v>
      </c>
      <c r="GW581" s="37">
        <f t="shared" ref="GW581:GW631" si="979">BT581+CO581</f>
        <v>0</v>
      </c>
      <c r="GX581" s="37"/>
      <c r="GY581" s="37"/>
      <c r="GZ581" s="37"/>
      <c r="HB581" s="1">
        <f t="shared" si="970"/>
        <v>0</v>
      </c>
      <c r="HC581" s="1">
        <f t="shared" si="971"/>
        <v>0</v>
      </c>
      <c r="HD581" s="37" t="s">
        <v>2</v>
      </c>
      <c r="HE581" s="1" t="s">
        <v>113</v>
      </c>
      <c r="HF581" s="1" t="s">
        <v>129</v>
      </c>
      <c r="HI581" s="1" t="s">
        <v>163</v>
      </c>
      <c r="HJ581" s="37" t="s">
        <v>2</v>
      </c>
      <c r="JH581" s="58" t="s">
        <v>2</v>
      </c>
    </row>
    <row r="582" spans="1:268" ht="16.25" customHeight="1" x14ac:dyDescent="0.2">
      <c r="A582" s="15" t="s">
        <v>985</v>
      </c>
      <c r="F582" s="1" t="s">
        <v>986</v>
      </c>
      <c r="I582" s="1">
        <v>0</v>
      </c>
      <c r="AY582" s="14">
        <v>361.91356846301909</v>
      </c>
      <c r="AZ582" s="1">
        <v>0.66</v>
      </c>
      <c r="BA582" s="1">
        <v>0.35</v>
      </c>
      <c r="BG582" s="13">
        <v>1.18</v>
      </c>
      <c r="BH582" s="1">
        <v>3.1E-2</v>
      </c>
      <c r="BI582" s="1">
        <v>0.23</v>
      </c>
      <c r="BJ582" s="1">
        <v>0.11</v>
      </c>
      <c r="BK582" s="1">
        <v>5.0000000000000001E-3</v>
      </c>
      <c r="DJ582" s="1" t="s">
        <v>163</v>
      </c>
      <c r="DK582" s="1" t="s">
        <v>163</v>
      </c>
      <c r="DL582" s="1">
        <f t="shared" si="972"/>
        <v>1.18</v>
      </c>
      <c r="DM582" s="1">
        <f t="shared" si="973"/>
        <v>3.1000000000000003E-2</v>
      </c>
      <c r="DN582" s="1" t="s">
        <v>987</v>
      </c>
      <c r="DO582" s="1" t="s">
        <v>2</v>
      </c>
      <c r="DP582" s="38">
        <f t="shared" si="895"/>
        <v>2.3886295518559262</v>
      </c>
      <c r="DQ582" s="38">
        <f t="shared" si="896"/>
        <v>126.66974896205667</v>
      </c>
      <c r="DR582" s="38">
        <f t="shared" si="897"/>
        <v>0</v>
      </c>
      <c r="DS582" s="38">
        <f t="shared" si="898"/>
        <v>0</v>
      </c>
      <c r="DT582" s="38">
        <f t="shared" si="899"/>
        <v>0</v>
      </c>
      <c r="DU582" s="38">
        <f t="shared" si="900"/>
        <v>0</v>
      </c>
      <c r="DV582" s="38">
        <f t="shared" si="901"/>
        <v>0</v>
      </c>
      <c r="DW582" s="38">
        <f t="shared" si="902"/>
        <v>4.2705801078636254</v>
      </c>
      <c r="DX582" s="38">
        <f t="shared" si="903"/>
        <v>0.11219320622353593</v>
      </c>
      <c r="DY582" s="38">
        <f t="shared" si="904"/>
        <v>83.240120746494398</v>
      </c>
      <c r="DZ582" s="38">
        <f t="shared" si="905"/>
        <v>39.810492530932102</v>
      </c>
      <c r="EA582" s="38">
        <f t="shared" si="906"/>
        <v>1.8095678423150954</v>
      </c>
      <c r="EB582" s="38">
        <f t="shared" si="907"/>
        <v>0</v>
      </c>
      <c r="EC582" s="38">
        <f t="shared" si="908"/>
        <v>0</v>
      </c>
      <c r="ED582" s="38">
        <f t="shared" si="909"/>
        <v>0</v>
      </c>
      <c r="EE582" s="38">
        <f t="shared" si="910"/>
        <v>0</v>
      </c>
      <c r="EG582" s="38">
        <f t="shared" si="911"/>
        <v>0</v>
      </c>
      <c r="EH582" s="38">
        <f t="shared" si="912"/>
        <v>0</v>
      </c>
      <c r="EI582" s="38">
        <f t="shared" si="913"/>
        <v>15587.279221663861</v>
      </c>
      <c r="EJ582" s="38">
        <f t="shared" si="914"/>
        <v>5180.8334623709343</v>
      </c>
      <c r="EK582" s="38">
        <f t="shared" si="915"/>
        <v>0</v>
      </c>
      <c r="EL582" s="38">
        <f t="shared" si="916"/>
        <v>0</v>
      </c>
      <c r="EM582" s="38">
        <f t="shared" si="917"/>
        <v>0</v>
      </c>
      <c r="EN582" s="38">
        <f t="shared" si="918"/>
        <v>0</v>
      </c>
      <c r="EO582" s="38">
        <f t="shared" si="919"/>
        <v>0</v>
      </c>
      <c r="EP582" s="38">
        <f t="shared" si="920"/>
        <v>56004.387534523587</v>
      </c>
      <c r="EQ582" s="38">
        <f t="shared" si="921"/>
        <v>8147.4172319870158</v>
      </c>
      <c r="ER582" s="38">
        <f t="shared" si="922"/>
        <v>2362.4670410964864</v>
      </c>
      <c r="ES582" s="38">
        <f t="shared" si="923"/>
        <v>1326.7134653965904</v>
      </c>
      <c r="ET582" s="38">
        <f t="shared" si="924"/>
        <v>129.48010673645601</v>
      </c>
      <c r="EU582" s="38">
        <f t="shared" si="925"/>
        <v>0</v>
      </c>
      <c r="EV582" s="38">
        <f t="shared" si="926"/>
        <v>0</v>
      </c>
      <c r="EW582" s="38">
        <f t="shared" si="927"/>
        <v>0</v>
      </c>
      <c r="EX582" s="38">
        <f t="shared" si="928"/>
        <v>0</v>
      </c>
      <c r="EZ582" s="38">
        <f t="shared" si="929"/>
        <v>0</v>
      </c>
      <c r="FA582" s="38">
        <f t="shared" si="930"/>
        <v>0</v>
      </c>
      <c r="FB582" s="1">
        <f t="shared" si="931"/>
        <v>0</v>
      </c>
      <c r="FC582" s="1">
        <f t="shared" si="932"/>
        <v>0</v>
      </c>
      <c r="FD582" s="1">
        <f t="shared" si="933"/>
        <v>0</v>
      </c>
      <c r="FE582" s="1">
        <f t="shared" si="934"/>
        <v>0</v>
      </c>
      <c r="FF582" s="1">
        <f t="shared" si="935"/>
        <v>0</v>
      </c>
      <c r="FG582" s="1">
        <f t="shared" si="936"/>
        <v>0</v>
      </c>
      <c r="FH582" s="1">
        <f t="shared" si="937"/>
        <v>0</v>
      </c>
      <c r="FI582" s="1">
        <f t="shared" si="938"/>
        <v>0</v>
      </c>
      <c r="FJ582" s="1">
        <f t="shared" si="939"/>
        <v>0</v>
      </c>
      <c r="FK582" s="1">
        <f t="shared" si="940"/>
        <v>0</v>
      </c>
      <c r="FL582" s="1">
        <f t="shared" si="941"/>
        <v>0</v>
      </c>
      <c r="FM582" s="1">
        <f t="shared" si="942"/>
        <v>0</v>
      </c>
      <c r="FN582" s="1">
        <f t="shared" si="943"/>
        <v>0</v>
      </c>
      <c r="FO582" s="1">
        <f t="shared" si="944"/>
        <v>0</v>
      </c>
      <c r="FP582" s="1">
        <f t="shared" si="945"/>
        <v>0</v>
      </c>
      <c r="FQ582" s="1">
        <f t="shared" si="946"/>
        <v>0</v>
      </c>
      <c r="FS582" s="1">
        <f t="shared" si="947"/>
        <v>0</v>
      </c>
      <c r="FT582" s="1">
        <f t="shared" si="948"/>
        <v>0</v>
      </c>
      <c r="FU582" s="38">
        <f t="shared" si="949"/>
        <v>0</v>
      </c>
      <c r="FV582" s="38">
        <f t="shared" si="950"/>
        <v>0</v>
      </c>
      <c r="FW582" s="38">
        <f t="shared" si="951"/>
        <v>0</v>
      </c>
      <c r="FX582" s="38">
        <f t="shared" si="952"/>
        <v>0</v>
      </c>
      <c r="FY582" s="38">
        <f t="shared" si="953"/>
        <v>0</v>
      </c>
      <c r="FZ582" s="38">
        <f t="shared" si="954"/>
        <v>0</v>
      </c>
      <c r="GA582" s="38">
        <f t="shared" si="955"/>
        <v>0</v>
      </c>
      <c r="GB582" s="38">
        <f t="shared" si="956"/>
        <v>0</v>
      </c>
      <c r="GC582" s="38">
        <f t="shared" si="957"/>
        <v>0</v>
      </c>
      <c r="GD582" s="38">
        <f t="shared" si="958"/>
        <v>0</v>
      </c>
      <c r="GE582" s="38">
        <f t="shared" si="959"/>
        <v>0</v>
      </c>
      <c r="GF582" s="38">
        <f t="shared" si="960"/>
        <v>0</v>
      </c>
      <c r="GG582" s="38">
        <f t="shared" si="961"/>
        <v>0</v>
      </c>
      <c r="GH582" s="38">
        <f t="shared" si="962"/>
        <v>0</v>
      </c>
      <c r="GI582" s="38">
        <f t="shared" si="963"/>
        <v>0</v>
      </c>
      <c r="GJ582" s="38">
        <f t="shared" si="964"/>
        <v>0</v>
      </c>
      <c r="GL582" s="38">
        <f t="shared" si="965"/>
        <v>0</v>
      </c>
      <c r="GM582" s="38">
        <f t="shared" si="966"/>
        <v>0</v>
      </c>
      <c r="GN582" s="1" t="s">
        <v>2</v>
      </c>
      <c r="GO582" s="14">
        <f t="shared" si="974"/>
        <v>361.91356846301909</v>
      </c>
      <c r="GP582" s="1">
        <f t="shared" si="975"/>
        <v>1.18</v>
      </c>
      <c r="GQ582" s="43">
        <f t="shared" si="976"/>
        <v>4270.580107863625</v>
      </c>
      <c r="GR582" s="41">
        <f t="shared" si="977"/>
        <v>88738.578063774941</v>
      </c>
      <c r="GS582" s="14">
        <f t="shared" si="978"/>
        <v>245.19273604643089</v>
      </c>
      <c r="GT582" s="1">
        <f t="shared" si="967"/>
        <v>0</v>
      </c>
      <c r="GU582" s="1">
        <f t="shared" si="968"/>
        <v>0</v>
      </c>
      <c r="GV582" s="1">
        <f t="shared" si="969"/>
        <v>4270.580107863625</v>
      </c>
      <c r="GW582" s="37">
        <f t="shared" si="979"/>
        <v>0</v>
      </c>
      <c r="GX582" s="37"/>
      <c r="GY582" s="37"/>
      <c r="GZ582" s="37"/>
      <c r="HB582" s="1">
        <f t="shared" si="970"/>
        <v>0</v>
      </c>
      <c r="HC582" s="1">
        <f t="shared" si="971"/>
        <v>0</v>
      </c>
      <c r="HD582" s="37" t="s">
        <v>2</v>
      </c>
      <c r="HE582" s="1" t="s">
        <v>113</v>
      </c>
      <c r="HF582" s="1" t="s">
        <v>129</v>
      </c>
      <c r="HI582" s="1" t="s">
        <v>163</v>
      </c>
      <c r="HJ582" s="37" t="s">
        <v>2</v>
      </c>
      <c r="JH582" s="58" t="s">
        <v>2</v>
      </c>
    </row>
    <row r="583" spans="1:268" ht="16.25" customHeight="1" x14ac:dyDescent="0.2">
      <c r="A583" s="15" t="s">
        <v>992</v>
      </c>
      <c r="F583" s="1" t="s">
        <v>131</v>
      </c>
      <c r="I583" s="1">
        <v>0</v>
      </c>
      <c r="AD583" s="1">
        <v>0</v>
      </c>
      <c r="AY583" s="1">
        <v>157</v>
      </c>
      <c r="AZ583" s="1">
        <v>0.14000000000000001</v>
      </c>
      <c r="BG583" s="1">
        <v>0.64</v>
      </c>
      <c r="DJ583" s="1" t="s">
        <v>163</v>
      </c>
      <c r="DL583" s="1">
        <f t="shared" si="972"/>
        <v>0.64</v>
      </c>
      <c r="DM583" s="1">
        <f t="shared" si="973"/>
        <v>0</v>
      </c>
      <c r="DN583" s="1" t="s">
        <v>993</v>
      </c>
      <c r="DO583" s="1" t="s">
        <v>2</v>
      </c>
      <c r="DP583" s="38">
        <f t="shared" si="895"/>
        <v>0.2198</v>
      </c>
      <c r="DQ583" s="38">
        <f t="shared" si="896"/>
        <v>0</v>
      </c>
      <c r="DR583" s="38">
        <f t="shared" si="897"/>
        <v>0</v>
      </c>
      <c r="DS583" s="38">
        <f t="shared" si="898"/>
        <v>0</v>
      </c>
      <c r="DT583" s="38">
        <f t="shared" si="899"/>
        <v>0</v>
      </c>
      <c r="DU583" s="38">
        <f t="shared" si="900"/>
        <v>0</v>
      </c>
      <c r="DV583" s="38">
        <f t="shared" si="901"/>
        <v>0</v>
      </c>
      <c r="DW583" s="38">
        <f t="shared" si="902"/>
        <v>1.0048000000000001</v>
      </c>
      <c r="DX583" s="38">
        <f t="shared" si="903"/>
        <v>0</v>
      </c>
      <c r="DY583" s="38">
        <f t="shared" si="904"/>
        <v>0</v>
      </c>
      <c r="DZ583" s="38">
        <f t="shared" si="905"/>
        <v>0</v>
      </c>
      <c r="EA583" s="38">
        <f t="shared" si="906"/>
        <v>0</v>
      </c>
      <c r="EB583" s="38">
        <f t="shared" si="907"/>
        <v>0</v>
      </c>
      <c r="EC583" s="38">
        <f t="shared" si="908"/>
        <v>0</v>
      </c>
      <c r="ED583" s="38">
        <f t="shared" si="909"/>
        <v>0</v>
      </c>
      <c r="EE583" s="38">
        <f t="shared" si="910"/>
        <v>0</v>
      </c>
      <c r="EG583" s="38">
        <f t="shared" si="911"/>
        <v>0</v>
      </c>
      <c r="EH583" s="38">
        <f t="shared" si="912"/>
        <v>0</v>
      </c>
      <c r="EI583" s="38">
        <f t="shared" si="913"/>
        <v>1434.3303968</v>
      </c>
      <c r="EJ583" s="38">
        <f t="shared" si="914"/>
        <v>0</v>
      </c>
      <c r="EK583" s="38">
        <f t="shared" si="915"/>
        <v>0</v>
      </c>
      <c r="EL583" s="38">
        <f t="shared" si="916"/>
        <v>0</v>
      </c>
      <c r="EM583" s="38">
        <f t="shared" si="917"/>
        <v>0</v>
      </c>
      <c r="EN583" s="38">
        <f t="shared" si="918"/>
        <v>0</v>
      </c>
      <c r="EO583" s="38">
        <f t="shared" si="919"/>
        <v>0</v>
      </c>
      <c r="EP583" s="38">
        <f t="shared" si="920"/>
        <v>13176.947200000002</v>
      </c>
      <c r="EQ583" s="38">
        <f t="shared" si="921"/>
        <v>0</v>
      </c>
      <c r="ER583" s="38">
        <f t="shared" si="922"/>
        <v>0</v>
      </c>
      <c r="ES583" s="38">
        <f t="shared" si="923"/>
        <v>0</v>
      </c>
      <c r="ET583" s="38">
        <f t="shared" si="924"/>
        <v>0</v>
      </c>
      <c r="EU583" s="38">
        <f t="shared" si="925"/>
        <v>0</v>
      </c>
      <c r="EV583" s="38">
        <f t="shared" si="926"/>
        <v>0</v>
      </c>
      <c r="EW583" s="38">
        <f t="shared" si="927"/>
        <v>0</v>
      </c>
      <c r="EX583" s="38">
        <f t="shared" si="928"/>
        <v>0</v>
      </c>
      <c r="EZ583" s="38">
        <f t="shared" si="929"/>
        <v>0</v>
      </c>
      <c r="FA583" s="38">
        <f t="shared" si="930"/>
        <v>0</v>
      </c>
      <c r="FB583" s="1">
        <f t="shared" si="931"/>
        <v>0</v>
      </c>
      <c r="FC583" s="1">
        <f t="shared" si="932"/>
        <v>0</v>
      </c>
      <c r="FD583" s="1">
        <f t="shared" si="933"/>
        <v>0</v>
      </c>
      <c r="FE583" s="1">
        <f t="shared" si="934"/>
        <v>0</v>
      </c>
      <c r="FF583" s="1">
        <f t="shared" si="935"/>
        <v>0</v>
      </c>
      <c r="FG583" s="1">
        <f t="shared" si="936"/>
        <v>0</v>
      </c>
      <c r="FH583" s="1">
        <f t="shared" si="937"/>
        <v>0</v>
      </c>
      <c r="FI583" s="1">
        <f t="shared" si="938"/>
        <v>0</v>
      </c>
      <c r="FJ583" s="1">
        <f t="shared" si="939"/>
        <v>0</v>
      </c>
      <c r="FK583" s="1">
        <f t="shared" si="940"/>
        <v>0</v>
      </c>
      <c r="FL583" s="1">
        <f t="shared" si="941"/>
        <v>0</v>
      </c>
      <c r="FM583" s="1">
        <f t="shared" si="942"/>
        <v>0</v>
      </c>
      <c r="FN583" s="1">
        <f t="shared" si="943"/>
        <v>0</v>
      </c>
      <c r="FO583" s="1">
        <f t="shared" si="944"/>
        <v>0</v>
      </c>
      <c r="FP583" s="1">
        <f t="shared" si="945"/>
        <v>0</v>
      </c>
      <c r="FQ583" s="1">
        <f t="shared" si="946"/>
        <v>0</v>
      </c>
      <c r="FS583" s="1">
        <f t="shared" si="947"/>
        <v>0</v>
      </c>
      <c r="FT583" s="1">
        <f t="shared" si="948"/>
        <v>0</v>
      </c>
      <c r="FU583" s="38">
        <f t="shared" si="949"/>
        <v>0</v>
      </c>
      <c r="FV583" s="38">
        <f t="shared" si="950"/>
        <v>0</v>
      </c>
      <c r="FW583" s="38">
        <f t="shared" si="951"/>
        <v>0</v>
      </c>
      <c r="FX583" s="38">
        <f t="shared" si="952"/>
        <v>0</v>
      </c>
      <c r="FY583" s="38">
        <f t="shared" si="953"/>
        <v>0</v>
      </c>
      <c r="FZ583" s="38">
        <f t="shared" si="954"/>
        <v>0</v>
      </c>
      <c r="GA583" s="38">
        <f t="shared" si="955"/>
        <v>0</v>
      </c>
      <c r="GB583" s="38">
        <f t="shared" si="956"/>
        <v>0</v>
      </c>
      <c r="GC583" s="38">
        <f t="shared" si="957"/>
        <v>0</v>
      </c>
      <c r="GD583" s="38">
        <f t="shared" si="958"/>
        <v>0</v>
      </c>
      <c r="GE583" s="38">
        <f t="shared" si="959"/>
        <v>0</v>
      </c>
      <c r="GF583" s="38">
        <f t="shared" si="960"/>
        <v>0</v>
      </c>
      <c r="GG583" s="38">
        <f t="shared" si="961"/>
        <v>0</v>
      </c>
      <c r="GH583" s="38">
        <f t="shared" si="962"/>
        <v>0</v>
      </c>
      <c r="GI583" s="38">
        <f t="shared" si="963"/>
        <v>0</v>
      </c>
      <c r="GJ583" s="38">
        <f t="shared" si="964"/>
        <v>0</v>
      </c>
      <c r="GL583" s="38">
        <f t="shared" si="965"/>
        <v>0</v>
      </c>
      <c r="GM583" s="38">
        <f t="shared" si="966"/>
        <v>0</v>
      </c>
      <c r="GN583" s="1" t="s">
        <v>2</v>
      </c>
      <c r="GO583" s="1">
        <f t="shared" si="974"/>
        <v>157</v>
      </c>
      <c r="GP583" s="1">
        <f t="shared" si="975"/>
        <v>0.64</v>
      </c>
      <c r="GQ583" s="43">
        <f t="shared" si="976"/>
        <v>1004.8</v>
      </c>
      <c r="GR583" s="41">
        <f t="shared" si="977"/>
        <v>14611.277596800002</v>
      </c>
      <c r="GS583" s="14">
        <f t="shared" si="978"/>
        <v>93.065462400000015</v>
      </c>
      <c r="GT583" s="1">
        <f t="shared" si="967"/>
        <v>0</v>
      </c>
      <c r="GU583" s="1">
        <f t="shared" si="968"/>
        <v>0</v>
      </c>
      <c r="GV583" s="1">
        <f t="shared" si="969"/>
        <v>1004.8</v>
      </c>
      <c r="GW583" s="37">
        <f t="shared" si="979"/>
        <v>0</v>
      </c>
      <c r="GX583" s="37"/>
      <c r="GY583" s="37"/>
      <c r="GZ583" s="37"/>
      <c r="HB583" s="1">
        <f t="shared" si="970"/>
        <v>0</v>
      </c>
      <c r="HC583" s="1">
        <f t="shared" si="971"/>
        <v>0</v>
      </c>
      <c r="HD583" s="37" t="s">
        <v>2</v>
      </c>
      <c r="HE583" s="1" t="s">
        <v>113</v>
      </c>
      <c r="HF583" s="1" t="s">
        <v>129</v>
      </c>
      <c r="HI583" s="1" t="s">
        <v>163</v>
      </c>
      <c r="HJ583" s="37" t="s">
        <v>2</v>
      </c>
      <c r="JH583" s="58" t="s">
        <v>2</v>
      </c>
    </row>
    <row r="584" spans="1:268" ht="16.25" customHeight="1" x14ac:dyDescent="0.2">
      <c r="A584" s="15" t="s">
        <v>996</v>
      </c>
      <c r="F584" s="1" t="s">
        <v>131</v>
      </c>
      <c r="I584" s="1">
        <v>0</v>
      </c>
      <c r="AD584" s="1">
        <v>0</v>
      </c>
      <c r="AY584" s="1">
        <v>96</v>
      </c>
      <c r="AZ584" s="1">
        <v>0.14000000000000001</v>
      </c>
      <c r="BG584" s="1">
        <v>0.35</v>
      </c>
      <c r="DJ584" s="1" t="s">
        <v>163</v>
      </c>
      <c r="DL584" s="1">
        <f t="shared" si="972"/>
        <v>0.34999999999999992</v>
      </c>
      <c r="DM584" s="1">
        <f t="shared" si="973"/>
        <v>0</v>
      </c>
      <c r="DN584" s="1" t="s">
        <v>993</v>
      </c>
      <c r="DO584" s="1" t="s">
        <v>2</v>
      </c>
      <c r="DP584" s="38">
        <f t="shared" si="895"/>
        <v>0.13440000000000002</v>
      </c>
      <c r="DQ584" s="38">
        <f t="shared" si="896"/>
        <v>0</v>
      </c>
      <c r="DR584" s="38">
        <f t="shared" si="897"/>
        <v>0</v>
      </c>
      <c r="DS584" s="38">
        <f t="shared" si="898"/>
        <v>0</v>
      </c>
      <c r="DT584" s="38">
        <f t="shared" si="899"/>
        <v>0</v>
      </c>
      <c r="DU584" s="38">
        <f t="shared" si="900"/>
        <v>0</v>
      </c>
      <c r="DV584" s="38">
        <f t="shared" si="901"/>
        <v>0</v>
      </c>
      <c r="DW584" s="38">
        <f t="shared" si="902"/>
        <v>0.33599999999999997</v>
      </c>
      <c r="DX584" s="38">
        <f t="shared" si="903"/>
        <v>0</v>
      </c>
      <c r="DY584" s="38">
        <f t="shared" si="904"/>
        <v>0</v>
      </c>
      <c r="DZ584" s="38">
        <f t="shared" si="905"/>
        <v>0</v>
      </c>
      <c r="EA584" s="38">
        <f t="shared" si="906"/>
        <v>0</v>
      </c>
      <c r="EB584" s="38">
        <f t="shared" si="907"/>
        <v>0</v>
      </c>
      <c r="EC584" s="38">
        <f t="shared" si="908"/>
        <v>0</v>
      </c>
      <c r="ED584" s="38">
        <f t="shared" si="909"/>
        <v>0</v>
      </c>
      <c r="EE584" s="38">
        <f t="shared" si="910"/>
        <v>0</v>
      </c>
      <c r="EG584" s="38">
        <f t="shared" si="911"/>
        <v>0</v>
      </c>
      <c r="EH584" s="38">
        <f t="shared" si="912"/>
        <v>0</v>
      </c>
      <c r="EI584" s="38">
        <f t="shared" si="913"/>
        <v>877.04279040000017</v>
      </c>
      <c r="EJ584" s="38">
        <f t="shared" si="914"/>
        <v>0</v>
      </c>
      <c r="EK584" s="38">
        <f t="shared" si="915"/>
        <v>0</v>
      </c>
      <c r="EL584" s="38">
        <f t="shared" si="916"/>
        <v>0</v>
      </c>
      <c r="EM584" s="38">
        <f t="shared" si="917"/>
        <v>0</v>
      </c>
      <c r="EN584" s="38">
        <f t="shared" si="918"/>
        <v>0</v>
      </c>
      <c r="EO584" s="38">
        <f t="shared" si="919"/>
        <v>0</v>
      </c>
      <c r="EP584" s="38">
        <f t="shared" si="920"/>
        <v>4406.3039999999992</v>
      </c>
      <c r="EQ584" s="38">
        <f t="shared" si="921"/>
        <v>0</v>
      </c>
      <c r="ER584" s="38">
        <f t="shared" si="922"/>
        <v>0</v>
      </c>
      <c r="ES584" s="38">
        <f t="shared" si="923"/>
        <v>0</v>
      </c>
      <c r="ET584" s="38">
        <f t="shared" si="924"/>
        <v>0</v>
      </c>
      <c r="EU584" s="38">
        <f t="shared" si="925"/>
        <v>0</v>
      </c>
      <c r="EV584" s="38">
        <f t="shared" si="926"/>
        <v>0</v>
      </c>
      <c r="EW584" s="38">
        <f t="shared" si="927"/>
        <v>0</v>
      </c>
      <c r="EX584" s="38">
        <f t="shared" si="928"/>
        <v>0</v>
      </c>
      <c r="EZ584" s="38">
        <f t="shared" si="929"/>
        <v>0</v>
      </c>
      <c r="FA584" s="38">
        <f t="shared" si="930"/>
        <v>0</v>
      </c>
      <c r="FB584" s="1">
        <f t="shared" si="931"/>
        <v>0</v>
      </c>
      <c r="FC584" s="1">
        <f t="shared" si="932"/>
        <v>0</v>
      </c>
      <c r="FD584" s="1">
        <f t="shared" si="933"/>
        <v>0</v>
      </c>
      <c r="FE584" s="1">
        <f t="shared" si="934"/>
        <v>0</v>
      </c>
      <c r="FF584" s="1">
        <f t="shared" si="935"/>
        <v>0</v>
      </c>
      <c r="FG584" s="1">
        <f t="shared" si="936"/>
        <v>0</v>
      </c>
      <c r="FH584" s="1">
        <f t="shared" si="937"/>
        <v>0</v>
      </c>
      <c r="FI584" s="1">
        <f t="shared" si="938"/>
        <v>0</v>
      </c>
      <c r="FJ584" s="1">
        <f t="shared" si="939"/>
        <v>0</v>
      </c>
      <c r="FK584" s="1">
        <f t="shared" si="940"/>
        <v>0</v>
      </c>
      <c r="FL584" s="1">
        <f t="shared" si="941"/>
        <v>0</v>
      </c>
      <c r="FM584" s="1">
        <f t="shared" si="942"/>
        <v>0</v>
      </c>
      <c r="FN584" s="1">
        <f t="shared" si="943"/>
        <v>0</v>
      </c>
      <c r="FO584" s="1">
        <f t="shared" si="944"/>
        <v>0</v>
      </c>
      <c r="FP584" s="1">
        <f t="shared" si="945"/>
        <v>0</v>
      </c>
      <c r="FQ584" s="1">
        <f t="shared" si="946"/>
        <v>0</v>
      </c>
      <c r="FS584" s="1">
        <f t="shared" si="947"/>
        <v>0</v>
      </c>
      <c r="FT584" s="1">
        <f t="shared" si="948"/>
        <v>0</v>
      </c>
      <c r="FU584" s="38">
        <f t="shared" si="949"/>
        <v>0</v>
      </c>
      <c r="FV584" s="38">
        <f t="shared" si="950"/>
        <v>0</v>
      </c>
      <c r="FW584" s="38">
        <f t="shared" si="951"/>
        <v>0</v>
      </c>
      <c r="FX584" s="38">
        <f t="shared" si="952"/>
        <v>0</v>
      </c>
      <c r="FY584" s="38">
        <f t="shared" si="953"/>
        <v>0</v>
      </c>
      <c r="FZ584" s="38">
        <f t="shared" si="954"/>
        <v>0</v>
      </c>
      <c r="GA584" s="38">
        <f t="shared" si="955"/>
        <v>0</v>
      </c>
      <c r="GB584" s="38">
        <f t="shared" si="956"/>
        <v>0</v>
      </c>
      <c r="GC584" s="38">
        <f t="shared" si="957"/>
        <v>0</v>
      </c>
      <c r="GD584" s="38">
        <f t="shared" si="958"/>
        <v>0</v>
      </c>
      <c r="GE584" s="38">
        <f t="shared" si="959"/>
        <v>0</v>
      </c>
      <c r="GF584" s="38">
        <f t="shared" si="960"/>
        <v>0</v>
      </c>
      <c r="GG584" s="38">
        <f t="shared" si="961"/>
        <v>0</v>
      </c>
      <c r="GH584" s="38">
        <f t="shared" si="962"/>
        <v>0</v>
      </c>
      <c r="GI584" s="38">
        <f t="shared" si="963"/>
        <v>0</v>
      </c>
      <c r="GJ584" s="38">
        <f t="shared" si="964"/>
        <v>0</v>
      </c>
      <c r="GL584" s="38">
        <f t="shared" si="965"/>
        <v>0</v>
      </c>
      <c r="GM584" s="38">
        <f t="shared" si="966"/>
        <v>0</v>
      </c>
      <c r="GN584" s="1" t="s">
        <v>2</v>
      </c>
      <c r="GO584" s="1">
        <f t="shared" si="974"/>
        <v>96</v>
      </c>
      <c r="GP584" s="1">
        <f t="shared" si="975"/>
        <v>0.34999999999999992</v>
      </c>
      <c r="GQ584" s="41">
        <f t="shared" si="976"/>
        <v>335.99999999999994</v>
      </c>
      <c r="GR584" s="41">
        <f t="shared" si="977"/>
        <v>5283.346790399999</v>
      </c>
      <c r="GS584" s="14">
        <f t="shared" si="978"/>
        <v>55.034862399999987</v>
      </c>
      <c r="GT584" s="1">
        <f t="shared" si="967"/>
        <v>0</v>
      </c>
      <c r="GU584" s="1">
        <f t="shared" si="968"/>
        <v>0</v>
      </c>
      <c r="GV584" s="1">
        <f t="shared" si="969"/>
        <v>335.99999999999994</v>
      </c>
      <c r="GW584" s="37">
        <f t="shared" si="979"/>
        <v>0</v>
      </c>
      <c r="GX584" s="37"/>
      <c r="GY584" s="37"/>
      <c r="GZ584" s="37"/>
      <c r="HB584" s="1">
        <f t="shared" si="970"/>
        <v>0</v>
      </c>
      <c r="HC584" s="1">
        <f t="shared" si="971"/>
        <v>0</v>
      </c>
      <c r="HD584" s="37" t="s">
        <v>2</v>
      </c>
      <c r="HE584" s="1" t="s">
        <v>113</v>
      </c>
      <c r="HF584" s="1" t="s">
        <v>129</v>
      </c>
      <c r="HI584" s="1" t="s">
        <v>163</v>
      </c>
      <c r="HJ584" s="37" t="s">
        <v>2</v>
      </c>
      <c r="JH584" s="58" t="s">
        <v>2</v>
      </c>
    </row>
    <row r="585" spans="1:268" ht="16.25" customHeight="1" x14ac:dyDescent="0.2">
      <c r="A585" s="15" t="s">
        <v>997</v>
      </c>
      <c r="F585" s="1" t="s">
        <v>131</v>
      </c>
      <c r="I585" s="1">
        <v>0</v>
      </c>
      <c r="AD585" s="1">
        <v>0</v>
      </c>
      <c r="AY585" s="1">
        <v>35</v>
      </c>
      <c r="AZ585" s="1">
        <v>0.3</v>
      </c>
      <c r="BG585" s="1">
        <v>0.6</v>
      </c>
      <c r="DJ585" s="1" t="s">
        <v>163</v>
      </c>
      <c r="DL585" s="1">
        <f t="shared" si="972"/>
        <v>0.6</v>
      </c>
      <c r="DM585" s="1">
        <f t="shared" si="973"/>
        <v>0</v>
      </c>
      <c r="DN585" s="1" t="s">
        <v>993</v>
      </c>
      <c r="DO585" s="1" t="s">
        <v>2</v>
      </c>
      <c r="DP585" s="38">
        <f t="shared" si="895"/>
        <v>0.105</v>
      </c>
      <c r="DQ585" s="38">
        <f t="shared" si="896"/>
        <v>0</v>
      </c>
      <c r="DR585" s="38">
        <f t="shared" si="897"/>
        <v>0</v>
      </c>
      <c r="DS585" s="38">
        <f t="shared" si="898"/>
        <v>0</v>
      </c>
      <c r="DT585" s="38">
        <f t="shared" si="899"/>
        <v>0</v>
      </c>
      <c r="DU585" s="38">
        <f t="shared" si="900"/>
        <v>0</v>
      </c>
      <c r="DV585" s="38">
        <f t="shared" si="901"/>
        <v>0</v>
      </c>
      <c r="DW585" s="38">
        <f t="shared" si="902"/>
        <v>0.21</v>
      </c>
      <c r="DX585" s="38">
        <f t="shared" si="903"/>
        <v>0</v>
      </c>
      <c r="DY585" s="38">
        <f t="shared" si="904"/>
        <v>0</v>
      </c>
      <c r="DZ585" s="38">
        <f t="shared" si="905"/>
        <v>0</v>
      </c>
      <c r="EA585" s="38">
        <f t="shared" si="906"/>
        <v>0</v>
      </c>
      <c r="EB585" s="38">
        <f t="shared" si="907"/>
        <v>0</v>
      </c>
      <c r="EC585" s="38">
        <f t="shared" si="908"/>
        <v>0</v>
      </c>
      <c r="ED585" s="38">
        <f t="shared" si="909"/>
        <v>0</v>
      </c>
      <c r="EE585" s="38">
        <f t="shared" si="910"/>
        <v>0</v>
      </c>
      <c r="EG585" s="38">
        <f t="shared" si="911"/>
        <v>0</v>
      </c>
      <c r="EH585" s="38">
        <f t="shared" si="912"/>
        <v>0</v>
      </c>
      <c r="EI585" s="38">
        <f t="shared" si="913"/>
        <v>685.18967999999995</v>
      </c>
      <c r="EJ585" s="38">
        <f t="shared" si="914"/>
        <v>0</v>
      </c>
      <c r="EK585" s="38">
        <f t="shared" si="915"/>
        <v>0</v>
      </c>
      <c r="EL585" s="38">
        <f t="shared" si="916"/>
        <v>0</v>
      </c>
      <c r="EM585" s="38">
        <f t="shared" si="917"/>
        <v>0</v>
      </c>
      <c r="EN585" s="38">
        <f t="shared" si="918"/>
        <v>0</v>
      </c>
      <c r="EO585" s="38">
        <f t="shared" si="919"/>
        <v>0</v>
      </c>
      <c r="EP585" s="38">
        <f t="shared" si="920"/>
        <v>2753.94</v>
      </c>
      <c r="EQ585" s="38">
        <f t="shared" si="921"/>
        <v>0</v>
      </c>
      <c r="ER585" s="38">
        <f t="shared" si="922"/>
        <v>0</v>
      </c>
      <c r="ES585" s="38">
        <f t="shared" si="923"/>
        <v>0</v>
      </c>
      <c r="ET585" s="38">
        <f t="shared" si="924"/>
        <v>0</v>
      </c>
      <c r="EU585" s="38">
        <f t="shared" si="925"/>
        <v>0</v>
      </c>
      <c r="EV585" s="38">
        <f t="shared" si="926"/>
        <v>0</v>
      </c>
      <c r="EW585" s="38">
        <f t="shared" si="927"/>
        <v>0</v>
      </c>
      <c r="EX585" s="38">
        <f t="shared" si="928"/>
        <v>0</v>
      </c>
      <c r="EZ585" s="38">
        <f t="shared" si="929"/>
        <v>0</v>
      </c>
      <c r="FA585" s="38">
        <f t="shared" si="930"/>
        <v>0</v>
      </c>
      <c r="FB585" s="1">
        <f t="shared" si="931"/>
        <v>0</v>
      </c>
      <c r="FC585" s="1">
        <f t="shared" si="932"/>
        <v>0</v>
      </c>
      <c r="FD585" s="1">
        <f t="shared" si="933"/>
        <v>0</v>
      </c>
      <c r="FE585" s="1">
        <f t="shared" si="934"/>
        <v>0</v>
      </c>
      <c r="FF585" s="1">
        <f t="shared" si="935"/>
        <v>0</v>
      </c>
      <c r="FG585" s="1">
        <f t="shared" si="936"/>
        <v>0</v>
      </c>
      <c r="FH585" s="1">
        <f t="shared" si="937"/>
        <v>0</v>
      </c>
      <c r="FI585" s="1">
        <f t="shared" si="938"/>
        <v>0</v>
      </c>
      <c r="FJ585" s="1">
        <f t="shared" si="939"/>
        <v>0</v>
      </c>
      <c r="FK585" s="1">
        <f t="shared" si="940"/>
        <v>0</v>
      </c>
      <c r="FL585" s="1">
        <f t="shared" si="941"/>
        <v>0</v>
      </c>
      <c r="FM585" s="1">
        <f t="shared" si="942"/>
        <v>0</v>
      </c>
      <c r="FN585" s="1">
        <f t="shared" si="943"/>
        <v>0</v>
      </c>
      <c r="FO585" s="1">
        <f t="shared" si="944"/>
        <v>0</v>
      </c>
      <c r="FP585" s="1">
        <f t="shared" si="945"/>
        <v>0</v>
      </c>
      <c r="FQ585" s="1">
        <f t="shared" si="946"/>
        <v>0</v>
      </c>
      <c r="FS585" s="1">
        <f t="shared" si="947"/>
        <v>0</v>
      </c>
      <c r="FT585" s="1">
        <f t="shared" si="948"/>
        <v>0</v>
      </c>
      <c r="FU585" s="38">
        <f t="shared" si="949"/>
        <v>0</v>
      </c>
      <c r="FV585" s="38">
        <f t="shared" si="950"/>
        <v>0</v>
      </c>
      <c r="FW585" s="38">
        <f t="shared" si="951"/>
        <v>0</v>
      </c>
      <c r="FX585" s="38">
        <f t="shared" si="952"/>
        <v>0</v>
      </c>
      <c r="FY585" s="38">
        <f t="shared" si="953"/>
        <v>0</v>
      </c>
      <c r="FZ585" s="38">
        <f t="shared" si="954"/>
        <v>0</v>
      </c>
      <c r="GA585" s="38">
        <f t="shared" si="955"/>
        <v>0</v>
      </c>
      <c r="GB585" s="38">
        <f t="shared" si="956"/>
        <v>0</v>
      </c>
      <c r="GC585" s="38">
        <f t="shared" si="957"/>
        <v>0</v>
      </c>
      <c r="GD585" s="38">
        <f t="shared" si="958"/>
        <v>0</v>
      </c>
      <c r="GE585" s="38">
        <f t="shared" si="959"/>
        <v>0</v>
      </c>
      <c r="GF585" s="38">
        <f t="shared" si="960"/>
        <v>0</v>
      </c>
      <c r="GG585" s="38">
        <f t="shared" si="961"/>
        <v>0</v>
      </c>
      <c r="GH585" s="38">
        <f t="shared" si="962"/>
        <v>0</v>
      </c>
      <c r="GI585" s="38">
        <f t="shared" si="963"/>
        <v>0</v>
      </c>
      <c r="GJ585" s="38">
        <f t="shared" si="964"/>
        <v>0</v>
      </c>
      <c r="GL585" s="38">
        <f t="shared" si="965"/>
        <v>0</v>
      </c>
      <c r="GM585" s="38">
        <f t="shared" si="966"/>
        <v>0</v>
      </c>
      <c r="GN585" s="1" t="s">
        <v>2</v>
      </c>
      <c r="GO585" s="1">
        <f t="shared" si="974"/>
        <v>35</v>
      </c>
      <c r="GP585" s="1">
        <f t="shared" si="975"/>
        <v>0.6</v>
      </c>
      <c r="GQ585" s="41">
        <f t="shared" si="976"/>
        <v>210</v>
      </c>
      <c r="GR585" s="41">
        <f t="shared" si="977"/>
        <v>3439.12968</v>
      </c>
      <c r="GS585" s="14">
        <f t="shared" si="978"/>
        <v>98.260847999999996</v>
      </c>
      <c r="GT585" s="1">
        <f t="shared" si="967"/>
        <v>0</v>
      </c>
      <c r="GU585" s="1">
        <f t="shared" si="968"/>
        <v>0</v>
      </c>
      <c r="GV585" s="1">
        <f t="shared" si="969"/>
        <v>210</v>
      </c>
      <c r="GW585" s="37">
        <f t="shared" si="979"/>
        <v>0</v>
      </c>
      <c r="GX585" s="37"/>
      <c r="GY585" s="37"/>
      <c r="GZ585" s="37"/>
      <c r="HB585" s="1">
        <f t="shared" si="970"/>
        <v>0</v>
      </c>
      <c r="HC585" s="1">
        <f t="shared" si="971"/>
        <v>0</v>
      </c>
      <c r="HD585" s="37" t="s">
        <v>2</v>
      </c>
      <c r="HE585" s="1" t="s">
        <v>113</v>
      </c>
      <c r="HF585" s="1" t="s">
        <v>129</v>
      </c>
      <c r="HI585" s="1" t="s">
        <v>163</v>
      </c>
      <c r="HJ585" s="37" t="s">
        <v>2</v>
      </c>
      <c r="JH585" s="58" t="s">
        <v>2</v>
      </c>
    </row>
    <row r="586" spans="1:268" ht="16.25" customHeight="1" x14ac:dyDescent="0.2">
      <c r="A586" s="15" t="s">
        <v>998</v>
      </c>
      <c r="F586" s="1" t="s">
        <v>131</v>
      </c>
      <c r="I586" s="1">
        <v>0</v>
      </c>
      <c r="AD586" s="1">
        <v>0</v>
      </c>
      <c r="AY586" s="1">
        <v>8.3000000000000007</v>
      </c>
      <c r="AZ586" s="1">
        <v>0.24</v>
      </c>
      <c r="BG586" s="1">
        <v>0.6</v>
      </c>
      <c r="DJ586" s="1" t="s">
        <v>163</v>
      </c>
      <c r="DL586" s="1">
        <f t="shared" si="972"/>
        <v>0.6</v>
      </c>
      <c r="DM586" s="1">
        <f t="shared" si="973"/>
        <v>0</v>
      </c>
      <c r="DN586" s="1" t="s">
        <v>993</v>
      </c>
      <c r="DO586" s="1" t="s">
        <v>2</v>
      </c>
      <c r="DP586" s="38">
        <f t="shared" si="895"/>
        <v>1.992E-2</v>
      </c>
      <c r="DQ586" s="38">
        <f t="shared" si="896"/>
        <v>0</v>
      </c>
      <c r="DR586" s="38">
        <f t="shared" si="897"/>
        <v>0</v>
      </c>
      <c r="DS586" s="38">
        <f t="shared" si="898"/>
        <v>0</v>
      </c>
      <c r="DT586" s="38">
        <f t="shared" si="899"/>
        <v>0</v>
      </c>
      <c r="DU586" s="38">
        <f t="shared" si="900"/>
        <v>0</v>
      </c>
      <c r="DV586" s="38">
        <f t="shared" si="901"/>
        <v>0</v>
      </c>
      <c r="DW586" s="38">
        <f t="shared" si="902"/>
        <v>4.9800000000000004E-2</v>
      </c>
      <c r="DX586" s="38">
        <f t="shared" si="903"/>
        <v>0</v>
      </c>
      <c r="DY586" s="38">
        <f t="shared" si="904"/>
        <v>0</v>
      </c>
      <c r="DZ586" s="38">
        <f t="shared" si="905"/>
        <v>0</v>
      </c>
      <c r="EA586" s="38">
        <f t="shared" si="906"/>
        <v>0</v>
      </c>
      <c r="EB586" s="38">
        <f t="shared" si="907"/>
        <v>0</v>
      </c>
      <c r="EC586" s="38">
        <f t="shared" si="908"/>
        <v>0</v>
      </c>
      <c r="ED586" s="38">
        <f t="shared" si="909"/>
        <v>0</v>
      </c>
      <c r="EE586" s="38">
        <f t="shared" si="910"/>
        <v>0</v>
      </c>
      <c r="EG586" s="38">
        <f t="shared" si="911"/>
        <v>0</v>
      </c>
      <c r="EH586" s="38">
        <f t="shared" si="912"/>
        <v>0</v>
      </c>
      <c r="EI586" s="38">
        <f t="shared" si="913"/>
        <v>129.99027072000001</v>
      </c>
      <c r="EJ586" s="38">
        <f t="shared" si="914"/>
        <v>0</v>
      </c>
      <c r="EK586" s="38">
        <f t="shared" si="915"/>
        <v>0</v>
      </c>
      <c r="EL586" s="38">
        <f t="shared" si="916"/>
        <v>0</v>
      </c>
      <c r="EM586" s="38">
        <f t="shared" si="917"/>
        <v>0</v>
      </c>
      <c r="EN586" s="38">
        <f t="shared" si="918"/>
        <v>0</v>
      </c>
      <c r="EO586" s="38">
        <f t="shared" si="919"/>
        <v>0</v>
      </c>
      <c r="EP586" s="38">
        <f t="shared" si="920"/>
        <v>653.07720000000006</v>
      </c>
      <c r="EQ586" s="38">
        <f t="shared" si="921"/>
        <v>0</v>
      </c>
      <c r="ER586" s="38">
        <f t="shared" si="922"/>
        <v>0</v>
      </c>
      <c r="ES586" s="38">
        <f t="shared" si="923"/>
        <v>0</v>
      </c>
      <c r="ET586" s="38">
        <f t="shared" si="924"/>
        <v>0</v>
      </c>
      <c r="EU586" s="38">
        <f t="shared" si="925"/>
        <v>0</v>
      </c>
      <c r="EV586" s="38">
        <f t="shared" si="926"/>
        <v>0</v>
      </c>
      <c r="EW586" s="38">
        <f t="shared" si="927"/>
        <v>0</v>
      </c>
      <c r="EX586" s="38">
        <f t="shared" si="928"/>
        <v>0</v>
      </c>
      <c r="EZ586" s="38">
        <f t="shared" si="929"/>
        <v>0</v>
      </c>
      <c r="FA586" s="38">
        <f t="shared" si="930"/>
        <v>0</v>
      </c>
      <c r="FB586" s="1">
        <f t="shared" si="931"/>
        <v>0</v>
      </c>
      <c r="FC586" s="1">
        <f t="shared" si="932"/>
        <v>0</v>
      </c>
      <c r="FD586" s="1">
        <f t="shared" si="933"/>
        <v>0</v>
      </c>
      <c r="FE586" s="1">
        <f t="shared" si="934"/>
        <v>0</v>
      </c>
      <c r="FF586" s="1">
        <f t="shared" si="935"/>
        <v>0</v>
      </c>
      <c r="FG586" s="1">
        <f t="shared" si="936"/>
        <v>0</v>
      </c>
      <c r="FH586" s="1">
        <f t="shared" si="937"/>
        <v>0</v>
      </c>
      <c r="FI586" s="1">
        <f t="shared" si="938"/>
        <v>0</v>
      </c>
      <c r="FJ586" s="1">
        <f t="shared" si="939"/>
        <v>0</v>
      </c>
      <c r="FK586" s="1">
        <f t="shared" si="940"/>
        <v>0</v>
      </c>
      <c r="FL586" s="1">
        <f t="shared" si="941"/>
        <v>0</v>
      </c>
      <c r="FM586" s="1">
        <f t="shared" si="942"/>
        <v>0</v>
      </c>
      <c r="FN586" s="1">
        <f t="shared" si="943"/>
        <v>0</v>
      </c>
      <c r="FO586" s="1">
        <f t="shared" si="944"/>
        <v>0</v>
      </c>
      <c r="FP586" s="1">
        <f t="shared" si="945"/>
        <v>0</v>
      </c>
      <c r="FQ586" s="1">
        <f t="shared" si="946"/>
        <v>0</v>
      </c>
      <c r="FS586" s="1">
        <f t="shared" si="947"/>
        <v>0</v>
      </c>
      <c r="FT586" s="1">
        <f t="shared" si="948"/>
        <v>0</v>
      </c>
      <c r="FU586" s="38">
        <f t="shared" si="949"/>
        <v>0</v>
      </c>
      <c r="FV586" s="38">
        <f t="shared" si="950"/>
        <v>0</v>
      </c>
      <c r="FW586" s="38">
        <f t="shared" si="951"/>
        <v>0</v>
      </c>
      <c r="FX586" s="38">
        <f t="shared" si="952"/>
        <v>0</v>
      </c>
      <c r="FY586" s="38">
        <f t="shared" si="953"/>
        <v>0</v>
      </c>
      <c r="FZ586" s="38">
        <f t="shared" si="954"/>
        <v>0</v>
      </c>
      <c r="GA586" s="38">
        <f t="shared" si="955"/>
        <v>0</v>
      </c>
      <c r="GB586" s="38">
        <f t="shared" si="956"/>
        <v>0</v>
      </c>
      <c r="GC586" s="38">
        <f t="shared" si="957"/>
        <v>0</v>
      </c>
      <c r="GD586" s="38">
        <f t="shared" si="958"/>
        <v>0</v>
      </c>
      <c r="GE586" s="38">
        <f t="shared" si="959"/>
        <v>0</v>
      </c>
      <c r="GF586" s="38">
        <f t="shared" si="960"/>
        <v>0</v>
      </c>
      <c r="GG586" s="38">
        <f t="shared" si="961"/>
        <v>0</v>
      </c>
      <c r="GH586" s="38">
        <f t="shared" si="962"/>
        <v>0</v>
      </c>
      <c r="GI586" s="38">
        <f t="shared" si="963"/>
        <v>0</v>
      </c>
      <c r="GJ586" s="38">
        <f t="shared" si="964"/>
        <v>0</v>
      </c>
      <c r="GL586" s="38">
        <f t="shared" si="965"/>
        <v>0</v>
      </c>
      <c r="GM586" s="38">
        <f t="shared" si="966"/>
        <v>0</v>
      </c>
      <c r="GN586" s="1" t="s">
        <v>2</v>
      </c>
      <c r="GO586" s="1">
        <f t="shared" si="974"/>
        <v>8.3000000000000007</v>
      </c>
      <c r="GP586" s="1">
        <f t="shared" si="975"/>
        <v>0.6</v>
      </c>
      <c r="GQ586" s="41">
        <f t="shared" si="976"/>
        <v>49.8</v>
      </c>
      <c r="GR586" s="41">
        <f t="shared" si="977"/>
        <v>783.06747072000007</v>
      </c>
      <c r="GS586" s="14">
        <f t="shared" si="978"/>
        <v>94.345478400000005</v>
      </c>
      <c r="GT586" s="1">
        <f t="shared" si="967"/>
        <v>0</v>
      </c>
      <c r="GU586" s="1">
        <f t="shared" si="968"/>
        <v>0</v>
      </c>
      <c r="GV586" s="1">
        <f t="shared" si="969"/>
        <v>49.8</v>
      </c>
      <c r="GW586" s="37">
        <f t="shared" si="979"/>
        <v>0</v>
      </c>
      <c r="GX586" s="37"/>
      <c r="GY586" s="37"/>
      <c r="GZ586" s="37"/>
      <c r="HB586" s="1">
        <f t="shared" si="970"/>
        <v>0</v>
      </c>
      <c r="HC586" s="1">
        <f t="shared" si="971"/>
        <v>0</v>
      </c>
      <c r="HD586" s="37" t="s">
        <v>2</v>
      </c>
      <c r="HE586" s="1" t="s">
        <v>113</v>
      </c>
      <c r="HF586" s="1" t="s">
        <v>129</v>
      </c>
      <c r="HI586" s="1" t="s">
        <v>163</v>
      </c>
      <c r="HJ586" s="37" t="s">
        <v>2</v>
      </c>
      <c r="JH586" s="58" t="s">
        <v>2</v>
      </c>
    </row>
    <row r="587" spans="1:268" ht="16.25" customHeight="1" x14ac:dyDescent="0.2">
      <c r="A587" s="15" t="s">
        <v>1002</v>
      </c>
      <c r="F587" s="1" t="s">
        <v>131</v>
      </c>
      <c r="I587" s="1">
        <v>0</v>
      </c>
      <c r="AD587" s="1">
        <v>0</v>
      </c>
      <c r="AY587" s="1">
        <v>8.9</v>
      </c>
      <c r="AZ587" s="1">
        <v>0.63</v>
      </c>
      <c r="BG587" s="1">
        <v>2.2999999999999998</v>
      </c>
      <c r="DJ587" s="1" t="s">
        <v>163</v>
      </c>
      <c r="DL587" s="1">
        <f t="shared" si="972"/>
        <v>2.2999999999999998</v>
      </c>
      <c r="DM587" s="1">
        <f t="shared" si="973"/>
        <v>0</v>
      </c>
      <c r="DN587" s="1" t="s">
        <v>993</v>
      </c>
      <c r="DO587" s="1" t="s">
        <v>2</v>
      </c>
      <c r="DP587" s="38">
        <f t="shared" si="895"/>
        <v>5.6070000000000002E-2</v>
      </c>
      <c r="DQ587" s="38">
        <f t="shared" si="896"/>
        <v>0</v>
      </c>
      <c r="DR587" s="38">
        <f t="shared" si="897"/>
        <v>0</v>
      </c>
      <c r="DS587" s="38">
        <f t="shared" si="898"/>
        <v>0</v>
      </c>
      <c r="DT587" s="38">
        <f t="shared" si="899"/>
        <v>0</v>
      </c>
      <c r="DU587" s="38">
        <f t="shared" si="900"/>
        <v>0</v>
      </c>
      <c r="DV587" s="38">
        <f t="shared" si="901"/>
        <v>0</v>
      </c>
      <c r="DW587" s="38">
        <f t="shared" si="902"/>
        <v>0.20469999999999999</v>
      </c>
      <c r="DX587" s="38">
        <f t="shared" si="903"/>
        <v>0</v>
      </c>
      <c r="DY587" s="38">
        <f t="shared" si="904"/>
        <v>0</v>
      </c>
      <c r="DZ587" s="38">
        <f t="shared" si="905"/>
        <v>0</v>
      </c>
      <c r="EA587" s="38">
        <f t="shared" si="906"/>
        <v>0</v>
      </c>
      <c r="EB587" s="38">
        <f t="shared" si="907"/>
        <v>0</v>
      </c>
      <c r="EC587" s="38">
        <f t="shared" si="908"/>
        <v>0</v>
      </c>
      <c r="ED587" s="38">
        <f t="shared" si="909"/>
        <v>0</v>
      </c>
      <c r="EE587" s="38">
        <f t="shared" si="910"/>
        <v>0</v>
      </c>
      <c r="EG587" s="38">
        <f t="shared" si="911"/>
        <v>0</v>
      </c>
      <c r="EH587" s="38">
        <f t="shared" si="912"/>
        <v>0</v>
      </c>
      <c r="EI587" s="38">
        <f t="shared" si="913"/>
        <v>365.89128912000001</v>
      </c>
      <c r="EJ587" s="38">
        <f t="shared" si="914"/>
        <v>0</v>
      </c>
      <c r="EK587" s="38">
        <f t="shared" si="915"/>
        <v>0</v>
      </c>
      <c r="EL587" s="38">
        <f t="shared" si="916"/>
        <v>0</v>
      </c>
      <c r="EM587" s="38">
        <f t="shared" si="917"/>
        <v>0</v>
      </c>
      <c r="EN587" s="38">
        <f t="shared" si="918"/>
        <v>0</v>
      </c>
      <c r="EO587" s="38">
        <f t="shared" si="919"/>
        <v>0</v>
      </c>
      <c r="EP587" s="38">
        <f t="shared" si="920"/>
        <v>2684.4357999999997</v>
      </c>
      <c r="EQ587" s="38">
        <f t="shared" si="921"/>
        <v>0</v>
      </c>
      <c r="ER587" s="38">
        <f t="shared" si="922"/>
        <v>0</v>
      </c>
      <c r="ES587" s="38">
        <f t="shared" si="923"/>
        <v>0</v>
      </c>
      <c r="ET587" s="38">
        <f t="shared" si="924"/>
        <v>0</v>
      </c>
      <c r="EU587" s="38">
        <f t="shared" si="925"/>
        <v>0</v>
      </c>
      <c r="EV587" s="38">
        <f t="shared" si="926"/>
        <v>0</v>
      </c>
      <c r="EW587" s="38">
        <f t="shared" si="927"/>
        <v>0</v>
      </c>
      <c r="EX587" s="38">
        <f t="shared" si="928"/>
        <v>0</v>
      </c>
      <c r="EZ587" s="38">
        <f t="shared" si="929"/>
        <v>0</v>
      </c>
      <c r="FA587" s="38">
        <f t="shared" si="930"/>
        <v>0</v>
      </c>
      <c r="FB587" s="1">
        <f t="shared" si="931"/>
        <v>0</v>
      </c>
      <c r="FC587" s="1">
        <f t="shared" si="932"/>
        <v>0</v>
      </c>
      <c r="FD587" s="1">
        <f t="shared" si="933"/>
        <v>0</v>
      </c>
      <c r="FE587" s="1">
        <f t="shared" si="934"/>
        <v>0</v>
      </c>
      <c r="FF587" s="1">
        <f t="shared" si="935"/>
        <v>0</v>
      </c>
      <c r="FG587" s="1">
        <f t="shared" si="936"/>
        <v>0</v>
      </c>
      <c r="FH587" s="1">
        <f t="shared" si="937"/>
        <v>0</v>
      </c>
      <c r="FI587" s="1">
        <f t="shared" si="938"/>
        <v>0</v>
      </c>
      <c r="FJ587" s="1">
        <f t="shared" si="939"/>
        <v>0</v>
      </c>
      <c r="FK587" s="1">
        <f t="shared" si="940"/>
        <v>0</v>
      </c>
      <c r="FL587" s="1">
        <f t="shared" si="941"/>
        <v>0</v>
      </c>
      <c r="FM587" s="1">
        <f t="shared" si="942"/>
        <v>0</v>
      </c>
      <c r="FN587" s="1">
        <f t="shared" si="943"/>
        <v>0</v>
      </c>
      <c r="FO587" s="1">
        <f t="shared" si="944"/>
        <v>0</v>
      </c>
      <c r="FP587" s="1">
        <f t="shared" si="945"/>
        <v>0</v>
      </c>
      <c r="FQ587" s="1">
        <f t="shared" si="946"/>
        <v>0</v>
      </c>
      <c r="FS587" s="1">
        <f t="shared" si="947"/>
        <v>0</v>
      </c>
      <c r="FT587" s="1">
        <f t="shared" si="948"/>
        <v>0</v>
      </c>
      <c r="FU587" s="38">
        <f t="shared" si="949"/>
        <v>0</v>
      </c>
      <c r="FV587" s="38">
        <f t="shared" si="950"/>
        <v>0</v>
      </c>
      <c r="FW587" s="38">
        <f t="shared" si="951"/>
        <v>0</v>
      </c>
      <c r="FX587" s="38">
        <f t="shared" si="952"/>
        <v>0</v>
      </c>
      <c r="FY587" s="38">
        <f t="shared" si="953"/>
        <v>0</v>
      </c>
      <c r="FZ587" s="38">
        <f t="shared" si="954"/>
        <v>0</v>
      </c>
      <c r="GA587" s="38">
        <f t="shared" si="955"/>
        <v>0</v>
      </c>
      <c r="GB587" s="38">
        <f t="shared" si="956"/>
        <v>0</v>
      </c>
      <c r="GC587" s="38">
        <f t="shared" si="957"/>
        <v>0</v>
      </c>
      <c r="GD587" s="38">
        <f t="shared" si="958"/>
        <v>0</v>
      </c>
      <c r="GE587" s="38">
        <f t="shared" si="959"/>
        <v>0</v>
      </c>
      <c r="GF587" s="38">
        <f t="shared" si="960"/>
        <v>0</v>
      </c>
      <c r="GG587" s="38">
        <f t="shared" si="961"/>
        <v>0</v>
      </c>
      <c r="GH587" s="38">
        <f t="shared" si="962"/>
        <v>0</v>
      </c>
      <c r="GI587" s="38">
        <f t="shared" si="963"/>
        <v>0</v>
      </c>
      <c r="GJ587" s="38">
        <f t="shared" si="964"/>
        <v>0</v>
      </c>
      <c r="GL587" s="38">
        <f t="shared" si="965"/>
        <v>0</v>
      </c>
      <c r="GM587" s="38">
        <f t="shared" si="966"/>
        <v>0</v>
      </c>
      <c r="GN587" s="1" t="s">
        <v>2</v>
      </c>
      <c r="GO587" s="1">
        <f t="shared" si="974"/>
        <v>8.9</v>
      </c>
      <c r="GP587" s="1">
        <f t="shared" si="975"/>
        <v>2.2999999999999998</v>
      </c>
      <c r="GQ587" s="41">
        <f t="shared" si="976"/>
        <v>204.7</v>
      </c>
      <c r="GR587" s="41">
        <f t="shared" si="977"/>
        <v>3050.32708912</v>
      </c>
      <c r="GS587" s="14">
        <f t="shared" si="978"/>
        <v>342.73338079999996</v>
      </c>
      <c r="GT587" s="1">
        <f t="shared" si="967"/>
        <v>0</v>
      </c>
      <c r="GU587" s="1">
        <f t="shared" si="968"/>
        <v>0</v>
      </c>
      <c r="GV587" s="1">
        <f t="shared" si="969"/>
        <v>204.7</v>
      </c>
      <c r="GW587" s="37">
        <f t="shared" si="979"/>
        <v>0</v>
      </c>
      <c r="GX587" s="37"/>
      <c r="GY587" s="37"/>
      <c r="GZ587" s="37"/>
      <c r="HB587" s="1">
        <f t="shared" si="970"/>
        <v>0</v>
      </c>
      <c r="HC587" s="1">
        <f t="shared" si="971"/>
        <v>0</v>
      </c>
      <c r="HD587" s="37" t="s">
        <v>2</v>
      </c>
      <c r="HE587" s="1" t="s">
        <v>113</v>
      </c>
      <c r="HF587" s="1" t="s">
        <v>129</v>
      </c>
      <c r="HI587" s="1" t="s">
        <v>163</v>
      </c>
      <c r="HJ587" s="37" t="s">
        <v>2</v>
      </c>
      <c r="JH587" s="58" t="s">
        <v>2</v>
      </c>
    </row>
    <row r="588" spans="1:268" ht="16.25" customHeight="1" x14ac:dyDescent="0.2">
      <c r="A588" s="15" t="s">
        <v>1003</v>
      </c>
      <c r="F588" s="1" t="s">
        <v>131</v>
      </c>
      <c r="I588" s="1">
        <v>0</v>
      </c>
      <c r="AD588" s="1">
        <v>0</v>
      </c>
      <c r="AY588" s="1">
        <v>1.2</v>
      </c>
      <c r="AZ588" s="1">
        <v>0.22</v>
      </c>
      <c r="BG588" s="1">
        <v>0.83</v>
      </c>
      <c r="DJ588" s="1" t="s">
        <v>163</v>
      </c>
      <c r="DL588" s="1">
        <f t="shared" si="972"/>
        <v>0.83</v>
      </c>
      <c r="DM588" s="1">
        <f t="shared" si="973"/>
        <v>0</v>
      </c>
      <c r="DN588" s="1" t="s">
        <v>993</v>
      </c>
      <c r="DO588" s="1" t="s">
        <v>2</v>
      </c>
      <c r="DP588" s="38">
        <f t="shared" si="895"/>
        <v>2.64E-3</v>
      </c>
      <c r="DQ588" s="38">
        <f t="shared" si="896"/>
        <v>0</v>
      </c>
      <c r="DR588" s="38">
        <f t="shared" si="897"/>
        <v>0</v>
      </c>
      <c r="DS588" s="38">
        <f t="shared" si="898"/>
        <v>0</v>
      </c>
      <c r="DT588" s="38">
        <f t="shared" si="899"/>
        <v>0</v>
      </c>
      <c r="DU588" s="38">
        <f t="shared" si="900"/>
        <v>0</v>
      </c>
      <c r="DV588" s="38">
        <f t="shared" si="901"/>
        <v>0</v>
      </c>
      <c r="DW588" s="38">
        <f t="shared" si="902"/>
        <v>9.9599999999999984E-3</v>
      </c>
      <c r="DX588" s="38">
        <f t="shared" si="903"/>
        <v>0</v>
      </c>
      <c r="DY588" s="38">
        <f t="shared" si="904"/>
        <v>0</v>
      </c>
      <c r="DZ588" s="38">
        <f t="shared" si="905"/>
        <v>0</v>
      </c>
      <c r="EA588" s="38">
        <f t="shared" si="906"/>
        <v>0</v>
      </c>
      <c r="EB588" s="38">
        <f t="shared" si="907"/>
        <v>0</v>
      </c>
      <c r="EC588" s="38">
        <f t="shared" si="908"/>
        <v>0</v>
      </c>
      <c r="ED588" s="38">
        <f t="shared" si="909"/>
        <v>0</v>
      </c>
      <c r="EE588" s="38">
        <f t="shared" si="910"/>
        <v>0</v>
      </c>
      <c r="EG588" s="38">
        <f t="shared" si="911"/>
        <v>0</v>
      </c>
      <c r="EH588" s="38">
        <f t="shared" si="912"/>
        <v>0</v>
      </c>
      <c r="EI588" s="38">
        <f t="shared" si="913"/>
        <v>17.227626239999999</v>
      </c>
      <c r="EJ588" s="38">
        <f t="shared" si="914"/>
        <v>0</v>
      </c>
      <c r="EK588" s="38">
        <f t="shared" si="915"/>
        <v>0</v>
      </c>
      <c r="EL588" s="38">
        <f t="shared" si="916"/>
        <v>0</v>
      </c>
      <c r="EM588" s="38">
        <f t="shared" si="917"/>
        <v>0</v>
      </c>
      <c r="EN588" s="38">
        <f t="shared" si="918"/>
        <v>0</v>
      </c>
      <c r="EO588" s="38">
        <f t="shared" si="919"/>
        <v>0</v>
      </c>
      <c r="EP588" s="38">
        <f t="shared" si="920"/>
        <v>130.61543999999998</v>
      </c>
      <c r="EQ588" s="38">
        <f t="shared" si="921"/>
        <v>0</v>
      </c>
      <c r="ER588" s="38">
        <f t="shared" si="922"/>
        <v>0</v>
      </c>
      <c r="ES588" s="38">
        <f t="shared" si="923"/>
        <v>0</v>
      </c>
      <c r="ET588" s="38">
        <f t="shared" si="924"/>
        <v>0</v>
      </c>
      <c r="EU588" s="38">
        <f t="shared" si="925"/>
        <v>0</v>
      </c>
      <c r="EV588" s="38">
        <f t="shared" si="926"/>
        <v>0</v>
      </c>
      <c r="EW588" s="38">
        <f t="shared" si="927"/>
        <v>0</v>
      </c>
      <c r="EX588" s="38">
        <f t="shared" si="928"/>
        <v>0</v>
      </c>
      <c r="EZ588" s="38">
        <f t="shared" si="929"/>
        <v>0</v>
      </c>
      <c r="FA588" s="38">
        <f t="shared" si="930"/>
        <v>0</v>
      </c>
      <c r="FB588" s="1">
        <f t="shared" si="931"/>
        <v>0</v>
      </c>
      <c r="FC588" s="1">
        <f t="shared" si="932"/>
        <v>0</v>
      </c>
      <c r="FD588" s="1">
        <f t="shared" si="933"/>
        <v>0</v>
      </c>
      <c r="FE588" s="1">
        <f t="shared" si="934"/>
        <v>0</v>
      </c>
      <c r="FF588" s="1">
        <f t="shared" si="935"/>
        <v>0</v>
      </c>
      <c r="FG588" s="1">
        <f t="shared" si="936"/>
        <v>0</v>
      </c>
      <c r="FH588" s="1">
        <f t="shared" si="937"/>
        <v>0</v>
      </c>
      <c r="FI588" s="1">
        <f t="shared" si="938"/>
        <v>0</v>
      </c>
      <c r="FJ588" s="1">
        <f t="shared" si="939"/>
        <v>0</v>
      </c>
      <c r="FK588" s="1">
        <f t="shared" si="940"/>
        <v>0</v>
      </c>
      <c r="FL588" s="1">
        <f t="shared" si="941"/>
        <v>0</v>
      </c>
      <c r="FM588" s="1">
        <f t="shared" si="942"/>
        <v>0</v>
      </c>
      <c r="FN588" s="1">
        <f t="shared" si="943"/>
        <v>0</v>
      </c>
      <c r="FO588" s="1">
        <f t="shared" si="944"/>
        <v>0</v>
      </c>
      <c r="FP588" s="1">
        <f t="shared" si="945"/>
        <v>0</v>
      </c>
      <c r="FQ588" s="1">
        <f t="shared" si="946"/>
        <v>0</v>
      </c>
      <c r="FS588" s="1">
        <f t="shared" si="947"/>
        <v>0</v>
      </c>
      <c r="FT588" s="1">
        <f t="shared" si="948"/>
        <v>0</v>
      </c>
      <c r="FU588" s="38">
        <f t="shared" si="949"/>
        <v>0</v>
      </c>
      <c r="FV588" s="38">
        <f t="shared" si="950"/>
        <v>0</v>
      </c>
      <c r="FW588" s="38">
        <f t="shared" si="951"/>
        <v>0</v>
      </c>
      <c r="FX588" s="38">
        <f t="shared" si="952"/>
        <v>0</v>
      </c>
      <c r="FY588" s="38">
        <f t="shared" si="953"/>
        <v>0</v>
      </c>
      <c r="FZ588" s="38">
        <f t="shared" si="954"/>
        <v>0</v>
      </c>
      <c r="GA588" s="38">
        <f t="shared" si="955"/>
        <v>0</v>
      </c>
      <c r="GB588" s="38">
        <f t="shared" si="956"/>
        <v>0</v>
      </c>
      <c r="GC588" s="38">
        <f t="shared" si="957"/>
        <v>0</v>
      </c>
      <c r="GD588" s="38">
        <f t="shared" si="958"/>
        <v>0</v>
      </c>
      <c r="GE588" s="38">
        <f t="shared" si="959"/>
        <v>0</v>
      </c>
      <c r="GF588" s="38">
        <f t="shared" si="960"/>
        <v>0</v>
      </c>
      <c r="GG588" s="38">
        <f t="shared" si="961"/>
        <v>0</v>
      </c>
      <c r="GH588" s="38">
        <f t="shared" si="962"/>
        <v>0</v>
      </c>
      <c r="GI588" s="38">
        <f t="shared" si="963"/>
        <v>0</v>
      </c>
      <c r="GJ588" s="38">
        <f t="shared" si="964"/>
        <v>0</v>
      </c>
      <c r="GL588" s="38">
        <f t="shared" si="965"/>
        <v>0</v>
      </c>
      <c r="GM588" s="38">
        <f t="shared" si="966"/>
        <v>0</v>
      </c>
      <c r="GN588" s="1" t="s">
        <v>2</v>
      </c>
      <c r="GO588" s="1">
        <f t="shared" si="974"/>
        <v>1.2</v>
      </c>
      <c r="GP588" s="1">
        <f t="shared" si="975"/>
        <v>0.83</v>
      </c>
      <c r="GQ588" s="41">
        <f t="shared" si="976"/>
        <v>9.9600000000000009</v>
      </c>
      <c r="GR588" s="41">
        <f t="shared" si="977"/>
        <v>147.84306623999998</v>
      </c>
      <c r="GS588" s="14">
        <f t="shared" si="978"/>
        <v>123.20255519999999</v>
      </c>
      <c r="GT588" s="1">
        <f t="shared" si="967"/>
        <v>0</v>
      </c>
      <c r="GU588" s="1">
        <f t="shared" si="968"/>
        <v>0</v>
      </c>
      <c r="GV588" s="1">
        <f t="shared" si="969"/>
        <v>9.9599999999999991</v>
      </c>
      <c r="GW588" s="37">
        <f t="shared" si="979"/>
        <v>0</v>
      </c>
      <c r="GX588" s="37"/>
      <c r="GY588" s="37"/>
      <c r="GZ588" s="37"/>
      <c r="HB588" s="1">
        <f t="shared" si="970"/>
        <v>0</v>
      </c>
      <c r="HC588" s="1">
        <f t="shared" si="971"/>
        <v>0</v>
      </c>
      <c r="HD588" s="37" t="s">
        <v>2</v>
      </c>
      <c r="HE588" s="1" t="s">
        <v>113</v>
      </c>
      <c r="HF588" s="1" t="s">
        <v>129</v>
      </c>
      <c r="HI588" s="1" t="s">
        <v>163</v>
      </c>
      <c r="HJ588" s="37" t="s">
        <v>2</v>
      </c>
      <c r="JH588" s="58" t="s">
        <v>2</v>
      </c>
    </row>
    <row r="589" spans="1:268" ht="16.25" customHeight="1" x14ac:dyDescent="0.2">
      <c r="A589" s="15" t="s">
        <v>1004</v>
      </c>
      <c r="F589" s="1" t="s">
        <v>131</v>
      </c>
      <c r="I589" s="1">
        <v>0</v>
      </c>
      <c r="AD589" s="1">
        <v>0</v>
      </c>
      <c r="AY589" s="1">
        <v>80</v>
      </c>
      <c r="AZ589" s="1">
        <v>0.3</v>
      </c>
      <c r="BG589" s="1">
        <v>0.54</v>
      </c>
      <c r="DJ589" s="1" t="s">
        <v>163</v>
      </c>
      <c r="DL589" s="1">
        <f t="shared" si="972"/>
        <v>0.54</v>
      </c>
      <c r="DM589" s="1">
        <f t="shared" si="973"/>
        <v>0</v>
      </c>
      <c r="DN589" s="1" t="s">
        <v>993</v>
      </c>
      <c r="DO589" s="1" t="s">
        <v>2</v>
      </c>
      <c r="DP589" s="38">
        <f t="shared" si="895"/>
        <v>0.24</v>
      </c>
      <c r="DQ589" s="38">
        <f t="shared" si="896"/>
        <v>0</v>
      </c>
      <c r="DR589" s="38">
        <f t="shared" si="897"/>
        <v>0</v>
      </c>
      <c r="DS589" s="38">
        <f t="shared" si="898"/>
        <v>0</v>
      </c>
      <c r="DT589" s="38">
        <f t="shared" si="899"/>
        <v>0</v>
      </c>
      <c r="DU589" s="38">
        <f t="shared" si="900"/>
        <v>0</v>
      </c>
      <c r="DV589" s="38">
        <f t="shared" si="901"/>
        <v>0</v>
      </c>
      <c r="DW589" s="38">
        <f t="shared" si="902"/>
        <v>0.43200000000000005</v>
      </c>
      <c r="DX589" s="38">
        <f t="shared" si="903"/>
        <v>0</v>
      </c>
      <c r="DY589" s="38">
        <f t="shared" si="904"/>
        <v>0</v>
      </c>
      <c r="DZ589" s="38">
        <f t="shared" si="905"/>
        <v>0</v>
      </c>
      <c r="EA589" s="38">
        <f t="shared" si="906"/>
        <v>0</v>
      </c>
      <c r="EB589" s="38">
        <f t="shared" si="907"/>
        <v>0</v>
      </c>
      <c r="EC589" s="38">
        <f t="shared" si="908"/>
        <v>0</v>
      </c>
      <c r="ED589" s="38">
        <f t="shared" si="909"/>
        <v>0</v>
      </c>
      <c r="EE589" s="38">
        <f t="shared" si="910"/>
        <v>0</v>
      </c>
      <c r="EG589" s="38">
        <f t="shared" si="911"/>
        <v>0</v>
      </c>
      <c r="EH589" s="38">
        <f t="shared" si="912"/>
        <v>0</v>
      </c>
      <c r="EI589" s="38">
        <f t="shared" si="913"/>
        <v>1566.1478399999999</v>
      </c>
      <c r="EJ589" s="38">
        <f t="shared" si="914"/>
        <v>0</v>
      </c>
      <c r="EK589" s="38">
        <f t="shared" si="915"/>
        <v>0</v>
      </c>
      <c r="EL589" s="38">
        <f t="shared" si="916"/>
        <v>0</v>
      </c>
      <c r="EM589" s="38">
        <f t="shared" si="917"/>
        <v>0</v>
      </c>
      <c r="EN589" s="38">
        <f t="shared" si="918"/>
        <v>0</v>
      </c>
      <c r="EO589" s="38">
        <f t="shared" si="919"/>
        <v>0</v>
      </c>
      <c r="EP589" s="38">
        <f t="shared" si="920"/>
        <v>5665.2480000000005</v>
      </c>
      <c r="EQ589" s="38">
        <f t="shared" si="921"/>
        <v>0</v>
      </c>
      <c r="ER589" s="38">
        <f t="shared" si="922"/>
        <v>0</v>
      </c>
      <c r="ES589" s="38">
        <f t="shared" si="923"/>
        <v>0</v>
      </c>
      <c r="ET589" s="38">
        <f t="shared" si="924"/>
        <v>0</v>
      </c>
      <c r="EU589" s="38">
        <f t="shared" si="925"/>
        <v>0</v>
      </c>
      <c r="EV589" s="38">
        <f t="shared" si="926"/>
        <v>0</v>
      </c>
      <c r="EW589" s="38">
        <f t="shared" si="927"/>
        <v>0</v>
      </c>
      <c r="EX589" s="38">
        <f t="shared" si="928"/>
        <v>0</v>
      </c>
      <c r="EZ589" s="38">
        <f t="shared" si="929"/>
        <v>0</v>
      </c>
      <c r="FA589" s="38">
        <f t="shared" si="930"/>
        <v>0</v>
      </c>
      <c r="FB589" s="1">
        <f t="shared" si="931"/>
        <v>0</v>
      </c>
      <c r="FC589" s="1">
        <f t="shared" si="932"/>
        <v>0</v>
      </c>
      <c r="FD589" s="1">
        <f t="shared" si="933"/>
        <v>0</v>
      </c>
      <c r="FE589" s="1">
        <f t="shared" si="934"/>
        <v>0</v>
      </c>
      <c r="FF589" s="1">
        <f t="shared" si="935"/>
        <v>0</v>
      </c>
      <c r="FG589" s="1">
        <f t="shared" si="936"/>
        <v>0</v>
      </c>
      <c r="FH589" s="1">
        <f t="shared" si="937"/>
        <v>0</v>
      </c>
      <c r="FI589" s="1">
        <f t="shared" si="938"/>
        <v>0</v>
      </c>
      <c r="FJ589" s="1">
        <f t="shared" si="939"/>
        <v>0</v>
      </c>
      <c r="FK589" s="1">
        <f t="shared" si="940"/>
        <v>0</v>
      </c>
      <c r="FL589" s="1">
        <f t="shared" si="941"/>
        <v>0</v>
      </c>
      <c r="FM589" s="1">
        <f t="shared" si="942"/>
        <v>0</v>
      </c>
      <c r="FN589" s="1">
        <f t="shared" si="943"/>
        <v>0</v>
      </c>
      <c r="FO589" s="1">
        <f t="shared" si="944"/>
        <v>0</v>
      </c>
      <c r="FP589" s="1">
        <f t="shared" si="945"/>
        <v>0</v>
      </c>
      <c r="FQ589" s="1">
        <f t="shared" si="946"/>
        <v>0</v>
      </c>
      <c r="FS589" s="1">
        <f t="shared" si="947"/>
        <v>0</v>
      </c>
      <c r="FT589" s="1">
        <f t="shared" si="948"/>
        <v>0</v>
      </c>
      <c r="FU589" s="38">
        <f t="shared" si="949"/>
        <v>0</v>
      </c>
      <c r="FV589" s="38">
        <f t="shared" si="950"/>
        <v>0</v>
      </c>
      <c r="FW589" s="38">
        <f t="shared" si="951"/>
        <v>0</v>
      </c>
      <c r="FX589" s="38">
        <f t="shared" si="952"/>
        <v>0</v>
      </c>
      <c r="FY589" s="38">
        <f t="shared" si="953"/>
        <v>0</v>
      </c>
      <c r="FZ589" s="38">
        <f t="shared" si="954"/>
        <v>0</v>
      </c>
      <c r="GA589" s="38">
        <f t="shared" si="955"/>
        <v>0</v>
      </c>
      <c r="GB589" s="38">
        <f t="shared" si="956"/>
        <v>0</v>
      </c>
      <c r="GC589" s="38">
        <f t="shared" si="957"/>
        <v>0</v>
      </c>
      <c r="GD589" s="38">
        <f t="shared" si="958"/>
        <v>0</v>
      </c>
      <c r="GE589" s="38">
        <f t="shared" si="959"/>
        <v>0</v>
      </c>
      <c r="GF589" s="38">
        <f t="shared" si="960"/>
        <v>0</v>
      </c>
      <c r="GG589" s="38">
        <f t="shared" si="961"/>
        <v>0</v>
      </c>
      <c r="GH589" s="38">
        <f t="shared" si="962"/>
        <v>0</v>
      </c>
      <c r="GI589" s="38">
        <f t="shared" si="963"/>
        <v>0</v>
      </c>
      <c r="GJ589" s="38">
        <f t="shared" si="964"/>
        <v>0</v>
      </c>
      <c r="GL589" s="38">
        <f t="shared" si="965"/>
        <v>0</v>
      </c>
      <c r="GM589" s="38">
        <f t="shared" si="966"/>
        <v>0</v>
      </c>
      <c r="GN589" s="1" t="s">
        <v>2</v>
      </c>
      <c r="GO589" s="1">
        <f t="shared" si="974"/>
        <v>80</v>
      </c>
      <c r="GP589" s="1">
        <f t="shared" si="975"/>
        <v>0.54</v>
      </c>
      <c r="GQ589" s="41">
        <f t="shared" si="976"/>
        <v>432</v>
      </c>
      <c r="GR589" s="41">
        <f t="shared" si="977"/>
        <v>7231.3958400000001</v>
      </c>
      <c r="GS589" s="14">
        <f t="shared" si="978"/>
        <v>90.392448000000002</v>
      </c>
      <c r="GT589" s="1">
        <f t="shared" si="967"/>
        <v>0</v>
      </c>
      <c r="GU589" s="1">
        <f t="shared" si="968"/>
        <v>0</v>
      </c>
      <c r="GV589" s="1">
        <f t="shared" si="969"/>
        <v>432</v>
      </c>
      <c r="GW589" s="37">
        <f t="shared" si="979"/>
        <v>0</v>
      </c>
      <c r="GX589" s="37"/>
      <c r="GY589" s="37"/>
      <c r="GZ589" s="37"/>
      <c r="HB589" s="1">
        <f t="shared" si="970"/>
        <v>0</v>
      </c>
      <c r="HC589" s="1">
        <f t="shared" si="971"/>
        <v>0</v>
      </c>
      <c r="HD589" s="37" t="s">
        <v>2</v>
      </c>
      <c r="HE589" s="1" t="s">
        <v>113</v>
      </c>
      <c r="HF589" s="1" t="s">
        <v>129</v>
      </c>
      <c r="HI589" s="1" t="s">
        <v>163</v>
      </c>
      <c r="HJ589" s="37" t="s">
        <v>2</v>
      </c>
      <c r="JH589" s="58" t="s">
        <v>2</v>
      </c>
    </row>
    <row r="590" spans="1:268" ht="16.25" customHeight="1" x14ac:dyDescent="0.2">
      <c r="A590" s="15" t="s">
        <v>918</v>
      </c>
      <c r="B590" s="1" t="s">
        <v>69</v>
      </c>
      <c r="F590" s="1" t="s">
        <v>131</v>
      </c>
      <c r="I590" s="1">
        <v>0</v>
      </c>
      <c r="AD590" s="1">
        <v>0</v>
      </c>
      <c r="AY590" s="1">
        <v>0.02</v>
      </c>
      <c r="AZ590" s="1">
        <v>0.2</v>
      </c>
      <c r="BG590" s="1">
        <v>1.25</v>
      </c>
      <c r="BT590" s="1">
        <v>0</v>
      </c>
      <c r="CO590" s="1">
        <v>0</v>
      </c>
      <c r="DJ590" s="1" t="s">
        <v>163</v>
      </c>
      <c r="DL590" s="1">
        <f t="shared" si="972"/>
        <v>1.25</v>
      </c>
      <c r="DM590" s="1">
        <f t="shared" si="973"/>
        <v>0</v>
      </c>
      <c r="DN590" s="1" t="s">
        <v>919</v>
      </c>
      <c r="DO590" s="1" t="s">
        <v>2</v>
      </c>
      <c r="DP590" s="38">
        <f t="shared" si="895"/>
        <v>4.0000000000000003E-5</v>
      </c>
      <c r="DQ590" s="38">
        <f t="shared" si="896"/>
        <v>0</v>
      </c>
      <c r="DR590" s="38">
        <f t="shared" si="897"/>
        <v>0</v>
      </c>
      <c r="DS590" s="38">
        <f t="shared" si="898"/>
        <v>0</v>
      </c>
      <c r="DT590" s="38">
        <f t="shared" si="899"/>
        <v>0</v>
      </c>
      <c r="DU590" s="38">
        <f t="shared" si="900"/>
        <v>0</v>
      </c>
      <c r="DV590" s="38">
        <f t="shared" si="901"/>
        <v>0</v>
      </c>
      <c r="DW590" s="38">
        <f t="shared" si="902"/>
        <v>2.5000000000000001E-4</v>
      </c>
      <c r="DX590" s="38">
        <f t="shared" si="903"/>
        <v>0</v>
      </c>
      <c r="DY590" s="38">
        <f t="shared" si="904"/>
        <v>0</v>
      </c>
      <c r="DZ590" s="38">
        <f t="shared" si="905"/>
        <v>0</v>
      </c>
      <c r="EA590" s="38">
        <f t="shared" si="906"/>
        <v>0</v>
      </c>
      <c r="EB590" s="38">
        <f t="shared" si="907"/>
        <v>0</v>
      </c>
      <c r="EC590" s="38">
        <f t="shared" si="908"/>
        <v>0</v>
      </c>
      <c r="ED590" s="38">
        <f t="shared" si="909"/>
        <v>0</v>
      </c>
      <c r="EE590" s="38">
        <f t="shared" si="910"/>
        <v>0</v>
      </c>
      <c r="EG590" s="38">
        <f t="shared" si="911"/>
        <v>0</v>
      </c>
      <c r="EH590" s="38">
        <f t="shared" si="912"/>
        <v>0</v>
      </c>
      <c r="EI590" s="38">
        <f t="shared" si="913"/>
        <v>0.26102464000000003</v>
      </c>
      <c r="EJ590" s="38">
        <f t="shared" si="914"/>
        <v>0</v>
      </c>
      <c r="EK590" s="38">
        <f t="shared" si="915"/>
        <v>0</v>
      </c>
      <c r="EL590" s="38">
        <f t="shared" si="916"/>
        <v>0</v>
      </c>
      <c r="EM590" s="38">
        <f t="shared" si="917"/>
        <v>0</v>
      </c>
      <c r="EN590" s="38">
        <f t="shared" si="918"/>
        <v>0</v>
      </c>
      <c r="EO590" s="38">
        <f t="shared" si="919"/>
        <v>0</v>
      </c>
      <c r="EP590" s="38">
        <f t="shared" si="920"/>
        <v>3.2785000000000002</v>
      </c>
      <c r="EQ590" s="38">
        <f t="shared" si="921"/>
        <v>0</v>
      </c>
      <c r="ER590" s="38">
        <f t="shared" si="922"/>
        <v>0</v>
      </c>
      <c r="ES590" s="38">
        <f t="shared" si="923"/>
        <v>0</v>
      </c>
      <c r="ET590" s="38">
        <f t="shared" si="924"/>
        <v>0</v>
      </c>
      <c r="EU590" s="38">
        <f t="shared" si="925"/>
        <v>0</v>
      </c>
      <c r="EV590" s="38">
        <f t="shared" si="926"/>
        <v>0</v>
      </c>
      <c r="EW590" s="38">
        <f t="shared" si="927"/>
        <v>0</v>
      </c>
      <c r="EX590" s="38">
        <f t="shared" si="928"/>
        <v>0</v>
      </c>
      <c r="EZ590" s="38">
        <f t="shared" si="929"/>
        <v>0</v>
      </c>
      <c r="FA590" s="38">
        <f t="shared" si="930"/>
        <v>0</v>
      </c>
      <c r="FB590" s="1">
        <f t="shared" si="931"/>
        <v>0</v>
      </c>
      <c r="FC590" s="1">
        <f t="shared" si="932"/>
        <v>0</v>
      </c>
      <c r="FD590" s="1">
        <f t="shared" si="933"/>
        <v>0</v>
      </c>
      <c r="FE590" s="1">
        <f t="shared" si="934"/>
        <v>0</v>
      </c>
      <c r="FF590" s="1">
        <f t="shared" si="935"/>
        <v>0</v>
      </c>
      <c r="FG590" s="1">
        <f t="shared" si="936"/>
        <v>0</v>
      </c>
      <c r="FH590" s="1">
        <f t="shared" si="937"/>
        <v>0</v>
      </c>
      <c r="FI590" s="1">
        <f t="shared" si="938"/>
        <v>0</v>
      </c>
      <c r="FJ590" s="1">
        <f t="shared" si="939"/>
        <v>0</v>
      </c>
      <c r="FK590" s="1">
        <f t="shared" si="940"/>
        <v>0</v>
      </c>
      <c r="FL590" s="1">
        <f t="shared" si="941"/>
        <v>0</v>
      </c>
      <c r="FM590" s="1">
        <f t="shared" si="942"/>
        <v>0</v>
      </c>
      <c r="FN590" s="1">
        <f t="shared" si="943"/>
        <v>0</v>
      </c>
      <c r="FO590" s="1">
        <f t="shared" si="944"/>
        <v>0</v>
      </c>
      <c r="FP590" s="1">
        <f t="shared" si="945"/>
        <v>0</v>
      </c>
      <c r="FQ590" s="1">
        <f t="shared" si="946"/>
        <v>0</v>
      </c>
      <c r="FS590" s="1">
        <f t="shared" si="947"/>
        <v>0</v>
      </c>
      <c r="FT590" s="1">
        <f t="shared" si="948"/>
        <v>0</v>
      </c>
      <c r="FU590" s="38">
        <f t="shared" si="949"/>
        <v>0</v>
      </c>
      <c r="FV590" s="38">
        <f t="shared" si="950"/>
        <v>0</v>
      </c>
      <c r="FW590" s="38">
        <f t="shared" si="951"/>
        <v>0</v>
      </c>
      <c r="FX590" s="38">
        <f t="shared" si="952"/>
        <v>0</v>
      </c>
      <c r="FY590" s="38">
        <f t="shared" si="953"/>
        <v>0</v>
      </c>
      <c r="FZ590" s="38">
        <f t="shared" si="954"/>
        <v>0</v>
      </c>
      <c r="GA590" s="38">
        <f t="shared" si="955"/>
        <v>0</v>
      </c>
      <c r="GB590" s="38">
        <f t="shared" si="956"/>
        <v>0</v>
      </c>
      <c r="GC590" s="38">
        <f t="shared" si="957"/>
        <v>0</v>
      </c>
      <c r="GD590" s="38">
        <f t="shared" si="958"/>
        <v>0</v>
      </c>
      <c r="GE590" s="38">
        <f t="shared" si="959"/>
        <v>0</v>
      </c>
      <c r="GF590" s="38">
        <f t="shared" si="960"/>
        <v>0</v>
      </c>
      <c r="GG590" s="38">
        <f t="shared" si="961"/>
        <v>0</v>
      </c>
      <c r="GH590" s="38">
        <f t="shared" si="962"/>
        <v>0</v>
      </c>
      <c r="GI590" s="38">
        <f t="shared" si="963"/>
        <v>0</v>
      </c>
      <c r="GJ590" s="38">
        <f t="shared" si="964"/>
        <v>0</v>
      </c>
      <c r="GL590" s="38">
        <f t="shared" si="965"/>
        <v>0</v>
      </c>
      <c r="GM590" s="38">
        <f t="shared" si="966"/>
        <v>0</v>
      </c>
      <c r="GN590" s="1" t="s">
        <v>2</v>
      </c>
      <c r="GO590" s="1">
        <f t="shared" si="974"/>
        <v>0.02</v>
      </c>
      <c r="GP590" s="1">
        <f t="shared" si="975"/>
        <v>1.25</v>
      </c>
      <c r="GQ590" s="41">
        <f t="shared" si="976"/>
        <v>0.25</v>
      </c>
      <c r="GR590" s="41">
        <f t="shared" si="977"/>
        <v>3.5395246400000002</v>
      </c>
      <c r="GS590" s="14">
        <f t="shared" si="978"/>
        <v>176.97623200000001</v>
      </c>
      <c r="GT590" s="1">
        <f t="shared" si="967"/>
        <v>0</v>
      </c>
      <c r="GU590" s="1">
        <f t="shared" si="968"/>
        <v>0</v>
      </c>
      <c r="GV590" s="1">
        <f t="shared" si="969"/>
        <v>0.25</v>
      </c>
      <c r="GW590" s="37">
        <f t="shared" si="979"/>
        <v>0</v>
      </c>
      <c r="GX590" s="37"/>
      <c r="GY590" s="37"/>
      <c r="GZ590" s="37"/>
      <c r="HB590" s="1">
        <f t="shared" si="970"/>
        <v>0</v>
      </c>
      <c r="HC590" s="1">
        <f t="shared" si="971"/>
        <v>0</v>
      </c>
      <c r="HD590" s="37" t="s">
        <v>2</v>
      </c>
      <c r="HE590" s="1" t="s">
        <v>113</v>
      </c>
      <c r="HF590" s="1" t="s">
        <v>129</v>
      </c>
      <c r="HI590" s="1" t="s">
        <v>163</v>
      </c>
      <c r="HJ590" s="37" t="s">
        <v>2</v>
      </c>
      <c r="JH590" s="58" t="s">
        <v>2</v>
      </c>
    </row>
    <row r="591" spans="1:268" ht="16.25" customHeight="1" x14ac:dyDescent="0.2">
      <c r="A591" s="15" t="s">
        <v>941</v>
      </c>
      <c r="B591" s="1" t="s">
        <v>69</v>
      </c>
      <c r="F591" s="1" t="s">
        <v>131</v>
      </c>
      <c r="I591" s="1">
        <v>0</v>
      </c>
      <c r="AD591" s="1">
        <v>0</v>
      </c>
      <c r="AY591" s="1">
        <v>2.5000000000000001E-2</v>
      </c>
      <c r="AZ591" s="1">
        <v>0.3</v>
      </c>
      <c r="BG591" s="1">
        <v>0.94</v>
      </c>
      <c r="BT591" s="1">
        <v>0</v>
      </c>
      <c r="CO591" s="1">
        <v>0</v>
      </c>
      <c r="DJ591" s="1" t="s">
        <v>163</v>
      </c>
      <c r="DL591" s="1">
        <f t="shared" si="972"/>
        <v>0.94</v>
      </c>
      <c r="DM591" s="1">
        <f t="shared" si="973"/>
        <v>0</v>
      </c>
      <c r="DN591" s="1" t="s">
        <v>919</v>
      </c>
      <c r="DO591" s="1" t="s">
        <v>2</v>
      </c>
      <c r="DP591" s="38">
        <f t="shared" si="895"/>
        <v>7.4999999999999993E-5</v>
      </c>
      <c r="DQ591" s="38">
        <f t="shared" si="896"/>
        <v>0</v>
      </c>
      <c r="DR591" s="38">
        <f t="shared" si="897"/>
        <v>0</v>
      </c>
      <c r="DS591" s="38">
        <f t="shared" si="898"/>
        <v>0</v>
      </c>
      <c r="DT591" s="38">
        <f t="shared" si="899"/>
        <v>0</v>
      </c>
      <c r="DU591" s="38">
        <f t="shared" si="900"/>
        <v>0</v>
      </c>
      <c r="DV591" s="38">
        <f t="shared" si="901"/>
        <v>0</v>
      </c>
      <c r="DW591" s="38">
        <f t="shared" si="902"/>
        <v>2.3499999999999999E-4</v>
      </c>
      <c r="DX591" s="38">
        <f t="shared" si="903"/>
        <v>0</v>
      </c>
      <c r="DY591" s="38">
        <f t="shared" si="904"/>
        <v>0</v>
      </c>
      <c r="DZ591" s="38">
        <f t="shared" si="905"/>
        <v>0</v>
      </c>
      <c r="EA591" s="38">
        <f t="shared" si="906"/>
        <v>0</v>
      </c>
      <c r="EB591" s="38">
        <f t="shared" si="907"/>
        <v>0</v>
      </c>
      <c r="EC591" s="38">
        <f t="shared" si="908"/>
        <v>0</v>
      </c>
      <c r="ED591" s="38">
        <f t="shared" si="909"/>
        <v>0</v>
      </c>
      <c r="EE591" s="38">
        <f t="shared" si="910"/>
        <v>0</v>
      </c>
      <c r="EG591" s="38">
        <f t="shared" si="911"/>
        <v>0</v>
      </c>
      <c r="EH591" s="38">
        <f t="shared" si="912"/>
        <v>0</v>
      </c>
      <c r="EI591" s="38">
        <f t="shared" si="913"/>
        <v>0.48942119999999995</v>
      </c>
      <c r="EJ591" s="38">
        <f t="shared" si="914"/>
        <v>0</v>
      </c>
      <c r="EK591" s="38">
        <f t="shared" si="915"/>
        <v>0</v>
      </c>
      <c r="EL591" s="38">
        <f t="shared" si="916"/>
        <v>0</v>
      </c>
      <c r="EM591" s="38">
        <f t="shared" si="917"/>
        <v>0</v>
      </c>
      <c r="EN591" s="38">
        <f t="shared" si="918"/>
        <v>0</v>
      </c>
      <c r="EO591" s="38">
        <f t="shared" si="919"/>
        <v>0</v>
      </c>
      <c r="EP591" s="38">
        <f t="shared" si="920"/>
        <v>3.0817899999999998</v>
      </c>
      <c r="EQ591" s="38">
        <f t="shared" si="921"/>
        <v>0</v>
      </c>
      <c r="ER591" s="38">
        <f t="shared" si="922"/>
        <v>0</v>
      </c>
      <c r="ES591" s="38">
        <f t="shared" si="923"/>
        <v>0</v>
      </c>
      <c r="ET591" s="38">
        <f t="shared" si="924"/>
        <v>0</v>
      </c>
      <c r="EU591" s="38">
        <f t="shared" si="925"/>
        <v>0</v>
      </c>
      <c r="EV591" s="38">
        <f t="shared" si="926"/>
        <v>0</v>
      </c>
      <c r="EW591" s="38">
        <f t="shared" si="927"/>
        <v>0</v>
      </c>
      <c r="EX591" s="38">
        <f t="shared" si="928"/>
        <v>0</v>
      </c>
      <c r="EZ591" s="38">
        <f t="shared" si="929"/>
        <v>0</v>
      </c>
      <c r="FA591" s="38">
        <f t="shared" si="930"/>
        <v>0</v>
      </c>
      <c r="FB591" s="1">
        <f t="shared" si="931"/>
        <v>0</v>
      </c>
      <c r="FC591" s="1">
        <f t="shared" si="932"/>
        <v>0</v>
      </c>
      <c r="FD591" s="1">
        <f t="shared" si="933"/>
        <v>0</v>
      </c>
      <c r="FE591" s="1">
        <f t="shared" si="934"/>
        <v>0</v>
      </c>
      <c r="FF591" s="1">
        <f t="shared" si="935"/>
        <v>0</v>
      </c>
      <c r="FG591" s="1">
        <f t="shared" si="936"/>
        <v>0</v>
      </c>
      <c r="FH591" s="1">
        <f t="shared" si="937"/>
        <v>0</v>
      </c>
      <c r="FI591" s="1">
        <f t="shared" si="938"/>
        <v>0</v>
      </c>
      <c r="FJ591" s="1">
        <f t="shared" si="939"/>
        <v>0</v>
      </c>
      <c r="FK591" s="1">
        <f t="shared" si="940"/>
        <v>0</v>
      </c>
      <c r="FL591" s="1">
        <f t="shared" si="941"/>
        <v>0</v>
      </c>
      <c r="FM591" s="1">
        <f t="shared" si="942"/>
        <v>0</v>
      </c>
      <c r="FN591" s="1">
        <f t="shared" si="943"/>
        <v>0</v>
      </c>
      <c r="FO591" s="1">
        <f t="shared" si="944"/>
        <v>0</v>
      </c>
      <c r="FP591" s="1">
        <f t="shared" si="945"/>
        <v>0</v>
      </c>
      <c r="FQ591" s="1">
        <f t="shared" si="946"/>
        <v>0</v>
      </c>
      <c r="FS591" s="1">
        <f t="shared" si="947"/>
        <v>0</v>
      </c>
      <c r="FT591" s="1">
        <f t="shared" si="948"/>
        <v>0</v>
      </c>
      <c r="FU591" s="38">
        <f t="shared" si="949"/>
        <v>0</v>
      </c>
      <c r="FV591" s="38">
        <f t="shared" si="950"/>
        <v>0</v>
      </c>
      <c r="FW591" s="38">
        <f t="shared" si="951"/>
        <v>0</v>
      </c>
      <c r="FX591" s="38">
        <f t="shared" si="952"/>
        <v>0</v>
      </c>
      <c r="FY591" s="38">
        <f t="shared" si="953"/>
        <v>0</v>
      </c>
      <c r="FZ591" s="38">
        <f t="shared" si="954"/>
        <v>0</v>
      </c>
      <c r="GA591" s="38">
        <f t="shared" si="955"/>
        <v>0</v>
      </c>
      <c r="GB591" s="38">
        <f t="shared" si="956"/>
        <v>0</v>
      </c>
      <c r="GC591" s="38">
        <f t="shared" si="957"/>
        <v>0</v>
      </c>
      <c r="GD591" s="38">
        <f t="shared" si="958"/>
        <v>0</v>
      </c>
      <c r="GE591" s="38">
        <f t="shared" si="959"/>
        <v>0</v>
      </c>
      <c r="GF591" s="38">
        <f t="shared" si="960"/>
        <v>0</v>
      </c>
      <c r="GG591" s="38">
        <f t="shared" si="961"/>
        <v>0</v>
      </c>
      <c r="GH591" s="38">
        <f t="shared" si="962"/>
        <v>0</v>
      </c>
      <c r="GI591" s="38">
        <f t="shared" si="963"/>
        <v>0</v>
      </c>
      <c r="GJ591" s="38">
        <f t="shared" si="964"/>
        <v>0</v>
      </c>
      <c r="GL591" s="38">
        <f t="shared" si="965"/>
        <v>0</v>
      </c>
      <c r="GM591" s="38">
        <f t="shared" si="966"/>
        <v>0</v>
      </c>
      <c r="GN591" s="1" t="s">
        <v>2</v>
      </c>
      <c r="GO591" s="1">
        <f t="shared" si="974"/>
        <v>2.5000000000000001E-2</v>
      </c>
      <c r="GP591" s="1">
        <f t="shared" si="975"/>
        <v>0.94</v>
      </c>
      <c r="GQ591" s="41">
        <f t="shared" si="976"/>
        <v>0.23499999999999999</v>
      </c>
      <c r="GR591" s="41">
        <f t="shared" si="977"/>
        <v>3.5712111999999996</v>
      </c>
      <c r="GS591" s="14">
        <f t="shared" si="978"/>
        <v>142.84844799999996</v>
      </c>
      <c r="GT591" s="1">
        <f t="shared" si="967"/>
        <v>0</v>
      </c>
      <c r="GU591" s="1">
        <f t="shared" si="968"/>
        <v>0</v>
      </c>
      <c r="GV591" s="1">
        <f t="shared" si="969"/>
        <v>0.23499999999999999</v>
      </c>
      <c r="GW591" s="37">
        <f t="shared" si="979"/>
        <v>0</v>
      </c>
      <c r="GX591" s="37"/>
      <c r="GY591" s="37"/>
      <c r="GZ591" s="37"/>
      <c r="HB591" s="1">
        <f t="shared" si="970"/>
        <v>0</v>
      </c>
      <c r="HC591" s="1">
        <f t="shared" si="971"/>
        <v>0</v>
      </c>
      <c r="HD591" s="37" t="s">
        <v>2</v>
      </c>
      <c r="HE591" s="1" t="s">
        <v>113</v>
      </c>
      <c r="HF591" s="1" t="s">
        <v>129</v>
      </c>
      <c r="HI591" s="1" t="s">
        <v>163</v>
      </c>
      <c r="HJ591" s="37" t="s">
        <v>2</v>
      </c>
      <c r="JH591" s="58" t="s">
        <v>2</v>
      </c>
    </row>
    <row r="592" spans="1:268" ht="16.25" customHeight="1" x14ac:dyDescent="0.2">
      <c r="A592" s="15" t="s">
        <v>953</v>
      </c>
      <c r="B592" s="1" t="s">
        <v>69</v>
      </c>
      <c r="F592" s="1" t="s">
        <v>131</v>
      </c>
      <c r="I592" s="1">
        <v>0</v>
      </c>
      <c r="AD592" s="1">
        <v>0</v>
      </c>
      <c r="AY592" s="1">
        <v>0.05</v>
      </c>
      <c r="AZ592" s="1">
        <v>0.2</v>
      </c>
      <c r="BG592" s="1">
        <v>0.3</v>
      </c>
      <c r="BT592" s="1">
        <v>0</v>
      </c>
      <c r="CO592" s="1">
        <v>0</v>
      </c>
      <c r="DJ592" s="1" t="s">
        <v>163</v>
      </c>
      <c r="DL592" s="1">
        <f t="shared" si="972"/>
        <v>0.3</v>
      </c>
      <c r="DM592" s="1">
        <f t="shared" si="973"/>
        <v>0</v>
      </c>
      <c r="DN592" s="1" t="s">
        <v>919</v>
      </c>
      <c r="DO592" s="1" t="s">
        <v>2</v>
      </c>
      <c r="DP592" s="38">
        <f t="shared" si="895"/>
        <v>1.0000000000000002E-4</v>
      </c>
      <c r="DQ592" s="38">
        <f t="shared" si="896"/>
        <v>0</v>
      </c>
      <c r="DR592" s="38">
        <f t="shared" si="897"/>
        <v>0</v>
      </c>
      <c r="DS592" s="38">
        <f t="shared" si="898"/>
        <v>0</v>
      </c>
      <c r="DT592" s="38">
        <f t="shared" si="899"/>
        <v>0</v>
      </c>
      <c r="DU592" s="38">
        <f t="shared" si="900"/>
        <v>0</v>
      </c>
      <c r="DV592" s="38">
        <f t="shared" si="901"/>
        <v>0</v>
      </c>
      <c r="DW592" s="38">
        <f t="shared" si="902"/>
        <v>1.4999999999999999E-4</v>
      </c>
      <c r="DX592" s="38">
        <f t="shared" si="903"/>
        <v>0</v>
      </c>
      <c r="DY592" s="38">
        <f t="shared" si="904"/>
        <v>0</v>
      </c>
      <c r="DZ592" s="38">
        <f t="shared" si="905"/>
        <v>0</v>
      </c>
      <c r="EA592" s="38">
        <f t="shared" si="906"/>
        <v>0</v>
      </c>
      <c r="EB592" s="38">
        <f t="shared" si="907"/>
        <v>0</v>
      </c>
      <c r="EC592" s="38">
        <f t="shared" si="908"/>
        <v>0</v>
      </c>
      <c r="ED592" s="38">
        <f t="shared" si="909"/>
        <v>0</v>
      </c>
      <c r="EE592" s="38">
        <f t="shared" si="910"/>
        <v>0</v>
      </c>
      <c r="EG592" s="38">
        <f t="shared" si="911"/>
        <v>0</v>
      </c>
      <c r="EH592" s="38">
        <f t="shared" si="912"/>
        <v>0</v>
      </c>
      <c r="EI592" s="38">
        <f t="shared" si="913"/>
        <v>0.65256160000000007</v>
      </c>
      <c r="EJ592" s="38">
        <f t="shared" si="914"/>
        <v>0</v>
      </c>
      <c r="EK592" s="38">
        <f t="shared" si="915"/>
        <v>0</v>
      </c>
      <c r="EL592" s="38">
        <f t="shared" si="916"/>
        <v>0</v>
      </c>
      <c r="EM592" s="38">
        <f t="shared" si="917"/>
        <v>0</v>
      </c>
      <c r="EN592" s="38">
        <f t="shared" si="918"/>
        <v>0</v>
      </c>
      <c r="EO592" s="38">
        <f t="shared" si="919"/>
        <v>0</v>
      </c>
      <c r="EP592" s="38">
        <f t="shared" si="920"/>
        <v>1.9670999999999998</v>
      </c>
      <c r="EQ592" s="38">
        <f t="shared" si="921"/>
        <v>0</v>
      </c>
      <c r="ER592" s="38">
        <f t="shared" si="922"/>
        <v>0</v>
      </c>
      <c r="ES592" s="38">
        <f t="shared" si="923"/>
        <v>0</v>
      </c>
      <c r="ET592" s="38">
        <f t="shared" si="924"/>
        <v>0</v>
      </c>
      <c r="EU592" s="38">
        <f t="shared" si="925"/>
        <v>0</v>
      </c>
      <c r="EV592" s="38">
        <f t="shared" si="926"/>
        <v>0</v>
      </c>
      <c r="EW592" s="38">
        <f t="shared" si="927"/>
        <v>0</v>
      </c>
      <c r="EX592" s="38">
        <f t="shared" si="928"/>
        <v>0</v>
      </c>
      <c r="EZ592" s="38">
        <f t="shared" si="929"/>
        <v>0</v>
      </c>
      <c r="FA592" s="38">
        <f t="shared" si="930"/>
        <v>0</v>
      </c>
      <c r="FB592" s="1">
        <f t="shared" si="931"/>
        <v>0</v>
      </c>
      <c r="FC592" s="1">
        <f t="shared" si="932"/>
        <v>0</v>
      </c>
      <c r="FD592" s="1">
        <f t="shared" si="933"/>
        <v>0</v>
      </c>
      <c r="FE592" s="1">
        <f t="shared" si="934"/>
        <v>0</v>
      </c>
      <c r="FF592" s="1">
        <f t="shared" si="935"/>
        <v>0</v>
      </c>
      <c r="FG592" s="1">
        <f t="shared" si="936"/>
        <v>0</v>
      </c>
      <c r="FH592" s="1">
        <f t="shared" si="937"/>
        <v>0</v>
      </c>
      <c r="FI592" s="1">
        <f t="shared" si="938"/>
        <v>0</v>
      </c>
      <c r="FJ592" s="1">
        <f t="shared" si="939"/>
        <v>0</v>
      </c>
      <c r="FK592" s="1">
        <f t="shared" si="940"/>
        <v>0</v>
      </c>
      <c r="FL592" s="1">
        <f t="shared" si="941"/>
        <v>0</v>
      </c>
      <c r="FM592" s="1">
        <f t="shared" si="942"/>
        <v>0</v>
      </c>
      <c r="FN592" s="1">
        <f t="shared" si="943"/>
        <v>0</v>
      </c>
      <c r="FO592" s="1">
        <f t="shared" si="944"/>
        <v>0</v>
      </c>
      <c r="FP592" s="1">
        <f t="shared" si="945"/>
        <v>0</v>
      </c>
      <c r="FQ592" s="1">
        <f t="shared" si="946"/>
        <v>0</v>
      </c>
      <c r="FS592" s="1">
        <f t="shared" si="947"/>
        <v>0</v>
      </c>
      <c r="FT592" s="1">
        <f t="shared" si="948"/>
        <v>0</v>
      </c>
      <c r="FU592" s="38">
        <f t="shared" si="949"/>
        <v>0</v>
      </c>
      <c r="FV592" s="38">
        <f t="shared" si="950"/>
        <v>0</v>
      </c>
      <c r="FW592" s="38">
        <f t="shared" si="951"/>
        <v>0</v>
      </c>
      <c r="FX592" s="38">
        <f t="shared" si="952"/>
        <v>0</v>
      </c>
      <c r="FY592" s="38">
        <f t="shared" si="953"/>
        <v>0</v>
      </c>
      <c r="FZ592" s="38">
        <f t="shared" si="954"/>
        <v>0</v>
      </c>
      <c r="GA592" s="38">
        <f t="shared" si="955"/>
        <v>0</v>
      </c>
      <c r="GB592" s="38">
        <f t="shared" si="956"/>
        <v>0</v>
      </c>
      <c r="GC592" s="38">
        <f t="shared" si="957"/>
        <v>0</v>
      </c>
      <c r="GD592" s="38">
        <f t="shared" si="958"/>
        <v>0</v>
      </c>
      <c r="GE592" s="38">
        <f t="shared" si="959"/>
        <v>0</v>
      </c>
      <c r="GF592" s="38">
        <f t="shared" si="960"/>
        <v>0</v>
      </c>
      <c r="GG592" s="38">
        <f t="shared" si="961"/>
        <v>0</v>
      </c>
      <c r="GH592" s="38">
        <f t="shared" si="962"/>
        <v>0</v>
      </c>
      <c r="GI592" s="38">
        <f t="shared" si="963"/>
        <v>0</v>
      </c>
      <c r="GJ592" s="38">
        <f t="shared" si="964"/>
        <v>0</v>
      </c>
      <c r="GL592" s="38">
        <f t="shared" si="965"/>
        <v>0</v>
      </c>
      <c r="GM592" s="38">
        <f t="shared" si="966"/>
        <v>0</v>
      </c>
      <c r="GN592" s="1" t="s">
        <v>2</v>
      </c>
      <c r="GO592" s="1">
        <f t="shared" si="974"/>
        <v>0.05</v>
      </c>
      <c r="GP592" s="1">
        <f t="shared" si="975"/>
        <v>0.3</v>
      </c>
      <c r="GQ592" s="41">
        <f t="shared" si="976"/>
        <v>0.15</v>
      </c>
      <c r="GR592" s="41">
        <f t="shared" si="977"/>
        <v>2.6196615999999997</v>
      </c>
      <c r="GS592" s="14">
        <f t="shared" si="978"/>
        <v>52.39323199999999</v>
      </c>
      <c r="GT592" s="1">
        <f t="shared" si="967"/>
        <v>0</v>
      </c>
      <c r="GU592" s="1">
        <f t="shared" si="968"/>
        <v>0</v>
      </c>
      <c r="GV592" s="1">
        <f t="shared" si="969"/>
        <v>0.15</v>
      </c>
      <c r="GW592" s="37">
        <f t="shared" si="979"/>
        <v>0</v>
      </c>
      <c r="GX592" s="37"/>
      <c r="GY592" s="37"/>
      <c r="GZ592" s="37"/>
      <c r="HB592" s="1">
        <f t="shared" si="970"/>
        <v>0</v>
      </c>
      <c r="HC592" s="1">
        <f t="shared" si="971"/>
        <v>0</v>
      </c>
      <c r="HD592" s="37" t="s">
        <v>2</v>
      </c>
      <c r="HE592" s="1" t="s">
        <v>113</v>
      </c>
      <c r="HF592" s="1" t="s">
        <v>129</v>
      </c>
      <c r="HI592" s="1" t="s">
        <v>163</v>
      </c>
      <c r="HJ592" s="37" t="s">
        <v>2</v>
      </c>
      <c r="JH592" s="58" t="s">
        <v>2</v>
      </c>
    </row>
    <row r="593" spans="1:268" ht="16.25" customHeight="1" x14ac:dyDescent="0.2">
      <c r="A593" s="15" t="s">
        <v>956</v>
      </c>
      <c r="B593" s="1" t="s">
        <v>69</v>
      </c>
      <c r="F593" s="1" t="s">
        <v>131</v>
      </c>
      <c r="I593" s="1">
        <v>0</v>
      </c>
      <c r="AD593" s="1">
        <v>0</v>
      </c>
      <c r="AY593" s="1">
        <v>1.3</v>
      </c>
      <c r="AZ593" s="1">
        <v>0.16</v>
      </c>
      <c r="BG593" s="1">
        <v>0.95</v>
      </c>
      <c r="BH593" s="1">
        <v>0.03</v>
      </c>
      <c r="BT593" s="1">
        <v>0</v>
      </c>
      <c r="CO593" s="1">
        <v>0</v>
      </c>
      <c r="DJ593" s="1" t="s">
        <v>163</v>
      </c>
      <c r="DK593" s="1" t="s">
        <v>163</v>
      </c>
      <c r="DL593" s="1">
        <f t="shared" si="972"/>
        <v>0.94999999999999984</v>
      </c>
      <c r="DM593" s="1">
        <f t="shared" si="973"/>
        <v>0.03</v>
      </c>
      <c r="DN593" s="1" t="s">
        <v>919</v>
      </c>
      <c r="DO593" s="1" t="s">
        <v>2</v>
      </c>
      <c r="DP593" s="38">
        <f t="shared" si="895"/>
        <v>2.0800000000000003E-3</v>
      </c>
      <c r="DQ593" s="38">
        <f t="shared" si="896"/>
        <v>0</v>
      </c>
      <c r="DR593" s="38">
        <f t="shared" si="897"/>
        <v>0</v>
      </c>
      <c r="DS593" s="38">
        <f t="shared" si="898"/>
        <v>0</v>
      </c>
      <c r="DT593" s="38">
        <f t="shared" si="899"/>
        <v>0</v>
      </c>
      <c r="DU593" s="38">
        <f t="shared" si="900"/>
        <v>0</v>
      </c>
      <c r="DV593" s="38">
        <f t="shared" si="901"/>
        <v>0</v>
      </c>
      <c r="DW593" s="38">
        <f t="shared" si="902"/>
        <v>1.2349999999999998E-2</v>
      </c>
      <c r="DX593" s="38">
        <f t="shared" si="903"/>
        <v>3.8999999999999999E-4</v>
      </c>
      <c r="DY593" s="38">
        <f t="shared" si="904"/>
        <v>0</v>
      </c>
      <c r="DZ593" s="38">
        <f t="shared" si="905"/>
        <v>0</v>
      </c>
      <c r="EA593" s="38">
        <f t="shared" si="906"/>
        <v>0</v>
      </c>
      <c r="EB593" s="38">
        <f t="shared" si="907"/>
        <v>0</v>
      </c>
      <c r="EC593" s="38">
        <f t="shared" si="908"/>
        <v>0</v>
      </c>
      <c r="ED593" s="38">
        <f t="shared" si="909"/>
        <v>0</v>
      </c>
      <c r="EE593" s="38">
        <f t="shared" si="910"/>
        <v>0</v>
      </c>
      <c r="EG593" s="38">
        <f t="shared" si="911"/>
        <v>0</v>
      </c>
      <c r="EH593" s="38">
        <f t="shared" si="912"/>
        <v>0</v>
      </c>
      <c r="EI593" s="38">
        <f t="shared" si="913"/>
        <v>13.573281280000002</v>
      </c>
      <c r="EJ593" s="38">
        <f t="shared" si="914"/>
        <v>0</v>
      </c>
      <c r="EK593" s="38">
        <f t="shared" si="915"/>
        <v>0</v>
      </c>
      <c r="EL593" s="38">
        <f t="shared" si="916"/>
        <v>0</v>
      </c>
      <c r="EM593" s="38">
        <f t="shared" si="917"/>
        <v>0</v>
      </c>
      <c r="EN593" s="38">
        <f t="shared" si="918"/>
        <v>0</v>
      </c>
      <c r="EO593" s="38">
        <f t="shared" si="919"/>
        <v>0</v>
      </c>
      <c r="EP593" s="38">
        <f t="shared" si="920"/>
        <v>161.95789999999997</v>
      </c>
      <c r="EQ593" s="38">
        <f t="shared" si="921"/>
        <v>28.321614359999995</v>
      </c>
      <c r="ER593" s="38">
        <f t="shared" si="922"/>
        <v>0</v>
      </c>
      <c r="ES593" s="38">
        <f t="shared" si="923"/>
        <v>0</v>
      </c>
      <c r="ET593" s="38">
        <f t="shared" si="924"/>
        <v>0</v>
      </c>
      <c r="EU593" s="38">
        <f t="shared" si="925"/>
        <v>0</v>
      </c>
      <c r="EV593" s="38">
        <f t="shared" si="926"/>
        <v>0</v>
      </c>
      <c r="EW593" s="38">
        <f t="shared" si="927"/>
        <v>0</v>
      </c>
      <c r="EX593" s="38">
        <f t="shared" si="928"/>
        <v>0</v>
      </c>
      <c r="EZ593" s="38">
        <f t="shared" si="929"/>
        <v>0</v>
      </c>
      <c r="FA593" s="38">
        <f t="shared" si="930"/>
        <v>0</v>
      </c>
      <c r="FB593" s="1">
        <f t="shared" si="931"/>
        <v>0</v>
      </c>
      <c r="FC593" s="1">
        <f t="shared" si="932"/>
        <v>0</v>
      </c>
      <c r="FD593" s="1">
        <f t="shared" si="933"/>
        <v>0</v>
      </c>
      <c r="FE593" s="1">
        <f t="shared" si="934"/>
        <v>0</v>
      </c>
      <c r="FF593" s="1">
        <f t="shared" si="935"/>
        <v>0</v>
      </c>
      <c r="FG593" s="1">
        <f t="shared" si="936"/>
        <v>0</v>
      </c>
      <c r="FH593" s="1">
        <f t="shared" si="937"/>
        <v>0</v>
      </c>
      <c r="FI593" s="1">
        <f t="shared" si="938"/>
        <v>0</v>
      </c>
      <c r="FJ593" s="1">
        <f t="shared" si="939"/>
        <v>0</v>
      </c>
      <c r="FK593" s="1">
        <f t="shared" si="940"/>
        <v>0</v>
      </c>
      <c r="FL593" s="1">
        <f t="shared" si="941"/>
        <v>0</v>
      </c>
      <c r="FM593" s="1">
        <f t="shared" si="942"/>
        <v>0</v>
      </c>
      <c r="FN593" s="1">
        <f t="shared" si="943"/>
        <v>0</v>
      </c>
      <c r="FO593" s="1">
        <f t="shared" si="944"/>
        <v>0</v>
      </c>
      <c r="FP593" s="1">
        <f t="shared" si="945"/>
        <v>0</v>
      </c>
      <c r="FQ593" s="1">
        <f t="shared" si="946"/>
        <v>0</v>
      </c>
      <c r="FS593" s="1">
        <f t="shared" si="947"/>
        <v>0</v>
      </c>
      <c r="FT593" s="1">
        <f t="shared" si="948"/>
        <v>0</v>
      </c>
      <c r="FU593" s="38">
        <f t="shared" si="949"/>
        <v>0</v>
      </c>
      <c r="FV593" s="38">
        <f t="shared" si="950"/>
        <v>0</v>
      </c>
      <c r="FW593" s="38">
        <f t="shared" si="951"/>
        <v>0</v>
      </c>
      <c r="FX593" s="38">
        <f t="shared" si="952"/>
        <v>0</v>
      </c>
      <c r="FY593" s="38">
        <f t="shared" si="953"/>
        <v>0</v>
      </c>
      <c r="FZ593" s="38">
        <f t="shared" si="954"/>
        <v>0</v>
      </c>
      <c r="GA593" s="38">
        <f t="shared" si="955"/>
        <v>0</v>
      </c>
      <c r="GB593" s="38">
        <f t="shared" si="956"/>
        <v>0</v>
      </c>
      <c r="GC593" s="38">
        <f t="shared" si="957"/>
        <v>0</v>
      </c>
      <c r="GD593" s="38">
        <f t="shared" si="958"/>
        <v>0</v>
      </c>
      <c r="GE593" s="38">
        <f t="shared" si="959"/>
        <v>0</v>
      </c>
      <c r="GF593" s="38">
        <f t="shared" si="960"/>
        <v>0</v>
      </c>
      <c r="GG593" s="38">
        <f t="shared" si="961"/>
        <v>0</v>
      </c>
      <c r="GH593" s="38">
        <f t="shared" si="962"/>
        <v>0</v>
      </c>
      <c r="GI593" s="38">
        <f t="shared" si="963"/>
        <v>0</v>
      </c>
      <c r="GJ593" s="38">
        <f t="shared" si="964"/>
        <v>0</v>
      </c>
      <c r="GL593" s="38">
        <f t="shared" si="965"/>
        <v>0</v>
      </c>
      <c r="GM593" s="38">
        <f t="shared" si="966"/>
        <v>0</v>
      </c>
      <c r="GN593" s="1" t="s">
        <v>2</v>
      </c>
      <c r="GO593" s="1">
        <f t="shared" si="974"/>
        <v>1.3</v>
      </c>
      <c r="GP593" s="1">
        <f t="shared" si="975"/>
        <v>0.94999999999999984</v>
      </c>
      <c r="GQ593" s="41">
        <f t="shared" si="976"/>
        <v>12.349999999999998</v>
      </c>
      <c r="GR593" s="41">
        <f t="shared" si="977"/>
        <v>203.85279563999995</v>
      </c>
      <c r="GS593" s="14">
        <f t="shared" si="978"/>
        <v>156.80984279999996</v>
      </c>
      <c r="GT593" s="1">
        <f t="shared" si="967"/>
        <v>0</v>
      </c>
      <c r="GU593" s="1">
        <f t="shared" si="968"/>
        <v>0</v>
      </c>
      <c r="GV593" s="1">
        <f t="shared" si="969"/>
        <v>12.349999999999998</v>
      </c>
      <c r="GW593" s="37">
        <f t="shared" si="979"/>
        <v>0</v>
      </c>
      <c r="GX593" s="37"/>
      <c r="GY593" s="37"/>
      <c r="GZ593" s="37"/>
      <c r="HB593" s="1">
        <f t="shared" si="970"/>
        <v>0</v>
      </c>
      <c r="HC593" s="1">
        <f t="shared" si="971"/>
        <v>0</v>
      </c>
      <c r="HD593" s="37" t="s">
        <v>2</v>
      </c>
      <c r="HE593" s="1" t="s">
        <v>113</v>
      </c>
      <c r="HF593" s="1" t="s">
        <v>129</v>
      </c>
      <c r="HI593" s="1" t="s">
        <v>163</v>
      </c>
      <c r="HJ593" s="37" t="s">
        <v>2</v>
      </c>
      <c r="JH593" s="58" t="s">
        <v>2</v>
      </c>
    </row>
    <row r="594" spans="1:268" ht="16.25" customHeight="1" x14ac:dyDescent="0.2">
      <c r="A594" s="15" t="s">
        <v>965</v>
      </c>
      <c r="B594" s="1" t="s">
        <v>69</v>
      </c>
      <c r="F594" s="1" t="s">
        <v>131</v>
      </c>
      <c r="I594" s="1">
        <v>0</v>
      </c>
      <c r="AD594" s="1">
        <v>0</v>
      </c>
      <c r="AY594" s="1">
        <v>0.02</v>
      </c>
      <c r="AZ594" s="1">
        <v>0.34</v>
      </c>
      <c r="BG594" s="1">
        <v>0.53</v>
      </c>
      <c r="BT594" s="1">
        <v>0</v>
      </c>
      <c r="CO594" s="1">
        <v>0</v>
      </c>
      <c r="DJ594" s="1" t="s">
        <v>163</v>
      </c>
      <c r="DL594" s="1">
        <f t="shared" si="972"/>
        <v>0.53</v>
      </c>
      <c r="DM594" s="1">
        <f t="shared" si="973"/>
        <v>0</v>
      </c>
      <c r="DN594" s="1" t="s">
        <v>919</v>
      </c>
      <c r="DO594" s="1" t="s">
        <v>2</v>
      </c>
      <c r="DP594" s="38">
        <f t="shared" si="895"/>
        <v>6.7999999999999999E-5</v>
      </c>
      <c r="DQ594" s="38">
        <f t="shared" si="896"/>
        <v>0</v>
      </c>
      <c r="DR594" s="38">
        <f t="shared" si="897"/>
        <v>0</v>
      </c>
      <c r="DS594" s="38">
        <f t="shared" si="898"/>
        <v>0</v>
      </c>
      <c r="DT594" s="38">
        <f t="shared" si="899"/>
        <v>0</v>
      </c>
      <c r="DU594" s="38">
        <f t="shared" si="900"/>
        <v>0</v>
      </c>
      <c r="DV594" s="38">
        <f t="shared" si="901"/>
        <v>0</v>
      </c>
      <c r="DW594" s="38">
        <f t="shared" si="902"/>
        <v>1.06E-4</v>
      </c>
      <c r="DX594" s="38">
        <f t="shared" si="903"/>
        <v>0</v>
      </c>
      <c r="DY594" s="38">
        <f t="shared" si="904"/>
        <v>0</v>
      </c>
      <c r="DZ594" s="38">
        <f t="shared" si="905"/>
        <v>0</v>
      </c>
      <c r="EA594" s="38">
        <f t="shared" si="906"/>
        <v>0</v>
      </c>
      <c r="EB594" s="38">
        <f t="shared" si="907"/>
        <v>0</v>
      </c>
      <c r="EC594" s="38">
        <f t="shared" si="908"/>
        <v>0</v>
      </c>
      <c r="ED594" s="38">
        <f t="shared" si="909"/>
        <v>0</v>
      </c>
      <c r="EE594" s="38">
        <f t="shared" si="910"/>
        <v>0</v>
      </c>
      <c r="EG594" s="38">
        <f t="shared" si="911"/>
        <v>0</v>
      </c>
      <c r="EH594" s="38">
        <f t="shared" si="912"/>
        <v>0</v>
      </c>
      <c r="EI594" s="38">
        <f t="shared" si="913"/>
        <v>0.44374188799999997</v>
      </c>
      <c r="EJ594" s="38">
        <f t="shared" si="914"/>
        <v>0</v>
      </c>
      <c r="EK594" s="38">
        <f t="shared" si="915"/>
        <v>0</v>
      </c>
      <c r="EL594" s="38">
        <f t="shared" si="916"/>
        <v>0</v>
      </c>
      <c r="EM594" s="38">
        <f t="shared" si="917"/>
        <v>0</v>
      </c>
      <c r="EN594" s="38">
        <f t="shared" si="918"/>
        <v>0</v>
      </c>
      <c r="EO594" s="38">
        <f t="shared" si="919"/>
        <v>0</v>
      </c>
      <c r="EP594" s="38">
        <f t="shared" si="920"/>
        <v>1.3900840000000001</v>
      </c>
      <c r="EQ594" s="38">
        <f t="shared" si="921"/>
        <v>0</v>
      </c>
      <c r="ER594" s="38">
        <f t="shared" si="922"/>
        <v>0</v>
      </c>
      <c r="ES594" s="38">
        <f t="shared" si="923"/>
        <v>0</v>
      </c>
      <c r="ET594" s="38">
        <f t="shared" si="924"/>
        <v>0</v>
      </c>
      <c r="EU594" s="38">
        <f t="shared" si="925"/>
        <v>0</v>
      </c>
      <c r="EV594" s="38">
        <f t="shared" si="926"/>
        <v>0</v>
      </c>
      <c r="EW594" s="38">
        <f t="shared" si="927"/>
        <v>0</v>
      </c>
      <c r="EX594" s="38">
        <f t="shared" si="928"/>
        <v>0</v>
      </c>
      <c r="EZ594" s="38">
        <f t="shared" si="929"/>
        <v>0</v>
      </c>
      <c r="FA594" s="38">
        <f t="shared" si="930"/>
        <v>0</v>
      </c>
      <c r="FB594" s="1">
        <f t="shared" si="931"/>
        <v>0</v>
      </c>
      <c r="FC594" s="1">
        <f t="shared" si="932"/>
        <v>0</v>
      </c>
      <c r="FD594" s="1">
        <f t="shared" si="933"/>
        <v>0</v>
      </c>
      <c r="FE594" s="1">
        <f t="shared" si="934"/>
        <v>0</v>
      </c>
      <c r="FF594" s="1">
        <f t="shared" si="935"/>
        <v>0</v>
      </c>
      <c r="FG594" s="1">
        <f t="shared" si="936"/>
        <v>0</v>
      </c>
      <c r="FH594" s="1">
        <f t="shared" si="937"/>
        <v>0</v>
      </c>
      <c r="FI594" s="1">
        <f t="shared" si="938"/>
        <v>0</v>
      </c>
      <c r="FJ594" s="1">
        <f t="shared" si="939"/>
        <v>0</v>
      </c>
      <c r="FK594" s="1">
        <f t="shared" si="940"/>
        <v>0</v>
      </c>
      <c r="FL594" s="1">
        <f t="shared" si="941"/>
        <v>0</v>
      </c>
      <c r="FM594" s="1">
        <f t="shared" si="942"/>
        <v>0</v>
      </c>
      <c r="FN594" s="1">
        <f t="shared" si="943"/>
        <v>0</v>
      </c>
      <c r="FO594" s="1">
        <f t="shared" si="944"/>
        <v>0</v>
      </c>
      <c r="FP594" s="1">
        <f t="shared" si="945"/>
        <v>0</v>
      </c>
      <c r="FQ594" s="1">
        <f t="shared" si="946"/>
        <v>0</v>
      </c>
      <c r="FS594" s="1">
        <f t="shared" si="947"/>
        <v>0</v>
      </c>
      <c r="FT594" s="1">
        <f t="shared" si="948"/>
        <v>0</v>
      </c>
      <c r="FU594" s="38">
        <f t="shared" si="949"/>
        <v>0</v>
      </c>
      <c r="FV594" s="38">
        <f t="shared" si="950"/>
        <v>0</v>
      </c>
      <c r="FW594" s="38">
        <f t="shared" si="951"/>
        <v>0</v>
      </c>
      <c r="FX594" s="38">
        <f t="shared" si="952"/>
        <v>0</v>
      </c>
      <c r="FY594" s="38">
        <f t="shared" si="953"/>
        <v>0</v>
      </c>
      <c r="FZ594" s="38">
        <f t="shared" si="954"/>
        <v>0</v>
      </c>
      <c r="GA594" s="38">
        <f t="shared" si="955"/>
        <v>0</v>
      </c>
      <c r="GB594" s="38">
        <f t="shared" si="956"/>
        <v>0</v>
      </c>
      <c r="GC594" s="38">
        <f t="shared" si="957"/>
        <v>0</v>
      </c>
      <c r="GD594" s="38">
        <f t="shared" si="958"/>
        <v>0</v>
      </c>
      <c r="GE594" s="38">
        <f t="shared" si="959"/>
        <v>0</v>
      </c>
      <c r="GF594" s="38">
        <f t="shared" si="960"/>
        <v>0</v>
      </c>
      <c r="GG594" s="38">
        <f t="shared" si="961"/>
        <v>0</v>
      </c>
      <c r="GH594" s="38">
        <f t="shared" si="962"/>
        <v>0</v>
      </c>
      <c r="GI594" s="38">
        <f t="shared" si="963"/>
        <v>0</v>
      </c>
      <c r="GJ594" s="38">
        <f t="shared" si="964"/>
        <v>0</v>
      </c>
      <c r="GL594" s="38">
        <f t="shared" si="965"/>
        <v>0</v>
      </c>
      <c r="GM594" s="38">
        <f t="shared" si="966"/>
        <v>0</v>
      </c>
      <c r="GN594" s="1" t="s">
        <v>2</v>
      </c>
      <c r="GO594" s="1">
        <f t="shared" si="974"/>
        <v>0.02</v>
      </c>
      <c r="GP594" s="1">
        <f t="shared" si="975"/>
        <v>0.53</v>
      </c>
      <c r="GQ594" s="41">
        <f t="shared" si="976"/>
        <v>0.10600000000000001</v>
      </c>
      <c r="GR594" s="41">
        <f t="shared" si="977"/>
        <v>1.833825888</v>
      </c>
      <c r="GS594" s="14">
        <f t="shared" si="978"/>
        <v>91.691294400000004</v>
      </c>
      <c r="GT594" s="1">
        <f t="shared" si="967"/>
        <v>0</v>
      </c>
      <c r="GU594" s="1">
        <f t="shared" si="968"/>
        <v>0</v>
      </c>
      <c r="GV594" s="1">
        <f t="shared" si="969"/>
        <v>0.106</v>
      </c>
      <c r="GW594" s="37">
        <f t="shared" si="979"/>
        <v>0</v>
      </c>
      <c r="GX594" s="37"/>
      <c r="GY594" s="37"/>
      <c r="GZ594" s="37"/>
      <c r="HB594" s="1">
        <f t="shared" si="970"/>
        <v>0</v>
      </c>
      <c r="HC594" s="1">
        <f t="shared" si="971"/>
        <v>0</v>
      </c>
      <c r="HD594" s="37" t="s">
        <v>2</v>
      </c>
      <c r="HE594" s="1" t="s">
        <v>113</v>
      </c>
      <c r="HF594" s="1" t="s">
        <v>129</v>
      </c>
      <c r="HI594" s="1" t="s">
        <v>163</v>
      </c>
      <c r="HJ594" s="37" t="s">
        <v>2</v>
      </c>
      <c r="JH594" s="58" t="s">
        <v>2</v>
      </c>
    </row>
    <row r="595" spans="1:268" ht="16.25" customHeight="1" x14ac:dyDescent="0.2">
      <c r="A595" s="15" t="s">
        <v>970</v>
      </c>
      <c r="B595" s="1" t="s">
        <v>69</v>
      </c>
      <c r="F595" s="1" t="s">
        <v>967</v>
      </c>
      <c r="I595" s="1">
        <v>0</v>
      </c>
      <c r="AD595" s="1">
        <v>0</v>
      </c>
      <c r="AY595" s="1">
        <v>3.5</v>
      </c>
      <c r="AZ595" s="1">
        <v>0.28000000000000003</v>
      </c>
      <c r="BG595" s="1">
        <v>0.32</v>
      </c>
      <c r="BH595" s="2">
        <v>0.04</v>
      </c>
      <c r="BT595" s="1">
        <v>0</v>
      </c>
      <c r="CO595" s="1">
        <v>0</v>
      </c>
      <c r="DJ595" s="1" t="s">
        <v>163</v>
      </c>
      <c r="DL595" s="1">
        <f t="shared" si="972"/>
        <v>0.32</v>
      </c>
      <c r="DM595" s="1">
        <f t="shared" si="973"/>
        <v>0.04</v>
      </c>
      <c r="DN595" s="1" t="s">
        <v>971</v>
      </c>
      <c r="DO595" s="1" t="s">
        <v>2</v>
      </c>
      <c r="DP595" s="38">
        <f t="shared" si="895"/>
        <v>9.8000000000000014E-3</v>
      </c>
      <c r="DQ595" s="38">
        <f t="shared" si="896"/>
        <v>0</v>
      </c>
      <c r="DR595" s="38">
        <f t="shared" si="897"/>
        <v>0</v>
      </c>
      <c r="DS595" s="38">
        <f t="shared" si="898"/>
        <v>0</v>
      </c>
      <c r="DT595" s="38">
        <f t="shared" si="899"/>
        <v>0</v>
      </c>
      <c r="DU595" s="38">
        <f t="shared" si="900"/>
        <v>0</v>
      </c>
      <c r="DV595" s="38">
        <f t="shared" si="901"/>
        <v>0</v>
      </c>
      <c r="DW595" s="38">
        <f t="shared" si="902"/>
        <v>1.1200000000000002E-2</v>
      </c>
      <c r="DX595" s="38">
        <f t="shared" si="903"/>
        <v>1.4000000000000002E-3</v>
      </c>
      <c r="DY595" s="38">
        <f t="shared" si="904"/>
        <v>0</v>
      </c>
      <c r="DZ595" s="38">
        <f t="shared" si="905"/>
        <v>0</v>
      </c>
      <c r="EA595" s="38">
        <f t="shared" si="906"/>
        <v>0</v>
      </c>
      <c r="EB595" s="38">
        <f t="shared" si="907"/>
        <v>0</v>
      </c>
      <c r="EC595" s="38">
        <f t="shared" si="908"/>
        <v>0</v>
      </c>
      <c r="ED595" s="38">
        <f t="shared" si="909"/>
        <v>0</v>
      </c>
      <c r="EE595" s="38">
        <f t="shared" si="910"/>
        <v>0</v>
      </c>
      <c r="EG595" s="38">
        <f t="shared" si="911"/>
        <v>0</v>
      </c>
      <c r="EH595" s="38">
        <f t="shared" si="912"/>
        <v>0</v>
      </c>
      <c r="EI595" s="38">
        <f t="shared" si="913"/>
        <v>63.951036800000011</v>
      </c>
      <c r="EJ595" s="38">
        <f t="shared" si="914"/>
        <v>0</v>
      </c>
      <c r="EK595" s="38">
        <f t="shared" si="915"/>
        <v>0</v>
      </c>
      <c r="EL595" s="38">
        <f t="shared" si="916"/>
        <v>0</v>
      </c>
      <c r="EM595" s="38">
        <f t="shared" si="917"/>
        <v>0</v>
      </c>
      <c r="EN595" s="38">
        <f t="shared" si="918"/>
        <v>0</v>
      </c>
      <c r="EO595" s="38">
        <f t="shared" si="919"/>
        <v>0</v>
      </c>
      <c r="EP595" s="38">
        <f t="shared" si="920"/>
        <v>146.87680000000003</v>
      </c>
      <c r="EQ595" s="38">
        <f t="shared" si="921"/>
        <v>101.66733360000001</v>
      </c>
      <c r="ER595" s="38">
        <f t="shared" si="922"/>
        <v>0</v>
      </c>
      <c r="ES595" s="38">
        <f t="shared" si="923"/>
        <v>0</v>
      </c>
      <c r="ET595" s="38">
        <f t="shared" si="924"/>
        <v>0</v>
      </c>
      <c r="EU595" s="38">
        <f t="shared" si="925"/>
        <v>0</v>
      </c>
      <c r="EV595" s="38">
        <f t="shared" si="926"/>
        <v>0</v>
      </c>
      <c r="EW595" s="38">
        <f t="shared" si="927"/>
        <v>0</v>
      </c>
      <c r="EX595" s="38">
        <f t="shared" si="928"/>
        <v>0</v>
      </c>
      <c r="EZ595" s="38">
        <f t="shared" si="929"/>
        <v>0</v>
      </c>
      <c r="FA595" s="38">
        <f t="shared" si="930"/>
        <v>0</v>
      </c>
      <c r="FB595" s="1">
        <f t="shared" si="931"/>
        <v>0</v>
      </c>
      <c r="FC595" s="1">
        <f t="shared" si="932"/>
        <v>0</v>
      </c>
      <c r="FD595" s="1">
        <f t="shared" si="933"/>
        <v>0</v>
      </c>
      <c r="FE595" s="1">
        <f t="shared" si="934"/>
        <v>0</v>
      </c>
      <c r="FF595" s="1">
        <f t="shared" si="935"/>
        <v>0</v>
      </c>
      <c r="FG595" s="1">
        <f t="shared" si="936"/>
        <v>0</v>
      </c>
      <c r="FH595" s="1">
        <f t="shared" si="937"/>
        <v>0</v>
      </c>
      <c r="FI595" s="1">
        <f t="shared" si="938"/>
        <v>0</v>
      </c>
      <c r="FJ595" s="1">
        <f t="shared" si="939"/>
        <v>0</v>
      </c>
      <c r="FK595" s="1">
        <f t="shared" si="940"/>
        <v>0</v>
      </c>
      <c r="FL595" s="1">
        <f t="shared" si="941"/>
        <v>0</v>
      </c>
      <c r="FM595" s="1">
        <f t="shared" si="942"/>
        <v>0</v>
      </c>
      <c r="FN595" s="1">
        <f t="shared" si="943"/>
        <v>0</v>
      </c>
      <c r="FO595" s="1">
        <f t="shared" si="944"/>
        <v>0</v>
      </c>
      <c r="FP595" s="1">
        <f t="shared" si="945"/>
        <v>0</v>
      </c>
      <c r="FQ595" s="1">
        <f t="shared" si="946"/>
        <v>0</v>
      </c>
      <c r="FS595" s="1">
        <f t="shared" si="947"/>
        <v>0</v>
      </c>
      <c r="FT595" s="1">
        <f t="shared" si="948"/>
        <v>0</v>
      </c>
      <c r="FU595" s="38">
        <f t="shared" si="949"/>
        <v>0</v>
      </c>
      <c r="FV595" s="38">
        <f t="shared" si="950"/>
        <v>0</v>
      </c>
      <c r="FW595" s="38">
        <f t="shared" si="951"/>
        <v>0</v>
      </c>
      <c r="FX595" s="38">
        <f t="shared" si="952"/>
        <v>0</v>
      </c>
      <c r="FY595" s="38">
        <f t="shared" si="953"/>
        <v>0</v>
      </c>
      <c r="FZ595" s="38">
        <f t="shared" si="954"/>
        <v>0</v>
      </c>
      <c r="GA595" s="38">
        <f t="shared" si="955"/>
        <v>0</v>
      </c>
      <c r="GB595" s="38">
        <f t="shared" si="956"/>
        <v>0</v>
      </c>
      <c r="GC595" s="38">
        <f t="shared" si="957"/>
        <v>0</v>
      </c>
      <c r="GD595" s="38">
        <f t="shared" si="958"/>
        <v>0</v>
      </c>
      <c r="GE595" s="38">
        <f t="shared" si="959"/>
        <v>0</v>
      </c>
      <c r="GF595" s="38">
        <f t="shared" si="960"/>
        <v>0</v>
      </c>
      <c r="GG595" s="38">
        <f t="shared" si="961"/>
        <v>0</v>
      </c>
      <c r="GH595" s="38">
        <f t="shared" si="962"/>
        <v>0</v>
      </c>
      <c r="GI595" s="38">
        <f t="shared" si="963"/>
        <v>0</v>
      </c>
      <c r="GJ595" s="38">
        <f t="shared" si="964"/>
        <v>0</v>
      </c>
      <c r="GL595" s="38">
        <f t="shared" si="965"/>
        <v>0</v>
      </c>
      <c r="GM595" s="38">
        <f t="shared" si="966"/>
        <v>0</v>
      </c>
      <c r="GN595" s="1" t="s">
        <v>2</v>
      </c>
      <c r="GO595" s="1">
        <f t="shared" si="974"/>
        <v>3.5</v>
      </c>
      <c r="GP595" s="1">
        <f t="shared" si="975"/>
        <v>0.32</v>
      </c>
      <c r="GQ595" s="41">
        <f t="shared" si="976"/>
        <v>11.2</v>
      </c>
      <c r="GR595" s="41">
        <f t="shared" si="977"/>
        <v>312.49517040000006</v>
      </c>
      <c r="GS595" s="14">
        <f t="shared" si="978"/>
        <v>89.28433440000002</v>
      </c>
      <c r="GT595" s="1">
        <f t="shared" si="967"/>
        <v>0</v>
      </c>
      <c r="GU595" s="1">
        <f t="shared" si="968"/>
        <v>0</v>
      </c>
      <c r="GV595" s="1">
        <f t="shared" si="969"/>
        <v>11.2</v>
      </c>
      <c r="GW595" s="37">
        <f t="shared" si="979"/>
        <v>0</v>
      </c>
      <c r="GX595" s="37"/>
      <c r="GY595" s="37"/>
      <c r="GZ595" s="37"/>
      <c r="HB595" s="1">
        <f t="shared" si="970"/>
        <v>0</v>
      </c>
      <c r="HC595" s="1">
        <f t="shared" si="971"/>
        <v>0</v>
      </c>
      <c r="HD595" s="37" t="s">
        <v>2</v>
      </c>
      <c r="HE595" s="1" t="s">
        <v>113</v>
      </c>
      <c r="HF595" s="1" t="s">
        <v>129</v>
      </c>
      <c r="HI595" s="1" t="s">
        <v>163</v>
      </c>
      <c r="HJ595" s="37" t="s">
        <v>2</v>
      </c>
      <c r="JH595" s="58" t="s">
        <v>2</v>
      </c>
    </row>
    <row r="596" spans="1:268" ht="16.25" customHeight="1" x14ac:dyDescent="0.2">
      <c r="A596" s="15" t="s">
        <v>972</v>
      </c>
      <c r="B596" s="1" t="s">
        <v>69</v>
      </c>
      <c r="F596" s="1" t="s">
        <v>131</v>
      </c>
      <c r="I596" s="1">
        <v>0</v>
      </c>
      <c r="AD596" s="1">
        <v>0</v>
      </c>
      <c r="AY596" s="1">
        <v>0.03</v>
      </c>
      <c r="AZ596" s="1">
        <v>0.2</v>
      </c>
      <c r="BG596" s="1">
        <v>1.4</v>
      </c>
      <c r="BT596" s="1">
        <v>0</v>
      </c>
      <c r="CO596" s="1">
        <v>0</v>
      </c>
      <c r="DJ596" s="1" t="s">
        <v>163</v>
      </c>
      <c r="DL596" s="1">
        <f t="shared" si="972"/>
        <v>1.4</v>
      </c>
      <c r="DM596" s="1">
        <f t="shared" si="973"/>
        <v>0</v>
      </c>
      <c r="DN596" s="1" t="s">
        <v>919</v>
      </c>
      <c r="DO596" s="1" t="s">
        <v>2</v>
      </c>
      <c r="DP596" s="38">
        <f t="shared" si="895"/>
        <v>6.0000000000000002E-5</v>
      </c>
      <c r="DQ596" s="38">
        <f t="shared" si="896"/>
        <v>0</v>
      </c>
      <c r="DR596" s="38">
        <f t="shared" si="897"/>
        <v>0</v>
      </c>
      <c r="DS596" s="38">
        <f t="shared" si="898"/>
        <v>0</v>
      </c>
      <c r="DT596" s="38">
        <f t="shared" si="899"/>
        <v>0</v>
      </c>
      <c r="DU596" s="38">
        <f t="shared" si="900"/>
        <v>0</v>
      </c>
      <c r="DV596" s="38">
        <f t="shared" si="901"/>
        <v>0</v>
      </c>
      <c r="DW596" s="38">
        <f t="shared" si="902"/>
        <v>4.1999999999999996E-4</v>
      </c>
      <c r="DX596" s="38">
        <f t="shared" si="903"/>
        <v>0</v>
      </c>
      <c r="DY596" s="38">
        <f t="shared" si="904"/>
        <v>0</v>
      </c>
      <c r="DZ596" s="38">
        <f t="shared" si="905"/>
        <v>0</v>
      </c>
      <c r="EA596" s="38">
        <f t="shared" si="906"/>
        <v>0</v>
      </c>
      <c r="EB596" s="38">
        <f t="shared" si="907"/>
        <v>0</v>
      </c>
      <c r="EC596" s="38">
        <f t="shared" si="908"/>
        <v>0</v>
      </c>
      <c r="ED596" s="38">
        <f t="shared" si="909"/>
        <v>0</v>
      </c>
      <c r="EE596" s="38">
        <f t="shared" si="910"/>
        <v>0</v>
      </c>
      <c r="EG596" s="38">
        <f t="shared" si="911"/>
        <v>0</v>
      </c>
      <c r="EH596" s="38">
        <f t="shared" si="912"/>
        <v>0</v>
      </c>
      <c r="EI596" s="38">
        <f t="shared" si="913"/>
        <v>0.39153695999999999</v>
      </c>
      <c r="EJ596" s="38">
        <f t="shared" si="914"/>
        <v>0</v>
      </c>
      <c r="EK596" s="38">
        <f t="shared" si="915"/>
        <v>0</v>
      </c>
      <c r="EL596" s="38">
        <f t="shared" si="916"/>
        <v>0</v>
      </c>
      <c r="EM596" s="38">
        <f t="shared" si="917"/>
        <v>0</v>
      </c>
      <c r="EN596" s="38">
        <f t="shared" si="918"/>
        <v>0</v>
      </c>
      <c r="EO596" s="38">
        <f t="shared" si="919"/>
        <v>0</v>
      </c>
      <c r="EP596" s="38">
        <f t="shared" si="920"/>
        <v>5.5078799999999992</v>
      </c>
      <c r="EQ596" s="38">
        <f t="shared" si="921"/>
        <v>0</v>
      </c>
      <c r="ER596" s="38">
        <f t="shared" si="922"/>
        <v>0</v>
      </c>
      <c r="ES596" s="38">
        <f t="shared" si="923"/>
        <v>0</v>
      </c>
      <c r="ET596" s="38">
        <f t="shared" si="924"/>
        <v>0</v>
      </c>
      <c r="EU596" s="38">
        <f t="shared" si="925"/>
        <v>0</v>
      </c>
      <c r="EV596" s="38">
        <f t="shared" si="926"/>
        <v>0</v>
      </c>
      <c r="EW596" s="38">
        <f t="shared" si="927"/>
        <v>0</v>
      </c>
      <c r="EX596" s="38">
        <f t="shared" si="928"/>
        <v>0</v>
      </c>
      <c r="EZ596" s="38">
        <f t="shared" si="929"/>
        <v>0</v>
      </c>
      <c r="FA596" s="38">
        <f t="shared" si="930"/>
        <v>0</v>
      </c>
      <c r="FB596" s="1">
        <f t="shared" si="931"/>
        <v>0</v>
      </c>
      <c r="FC596" s="1">
        <f t="shared" si="932"/>
        <v>0</v>
      </c>
      <c r="FD596" s="1">
        <f t="shared" si="933"/>
        <v>0</v>
      </c>
      <c r="FE596" s="1">
        <f t="shared" si="934"/>
        <v>0</v>
      </c>
      <c r="FF596" s="1">
        <f t="shared" si="935"/>
        <v>0</v>
      </c>
      <c r="FG596" s="1">
        <f t="shared" si="936"/>
        <v>0</v>
      </c>
      <c r="FH596" s="1">
        <f t="shared" si="937"/>
        <v>0</v>
      </c>
      <c r="FI596" s="1">
        <f t="shared" si="938"/>
        <v>0</v>
      </c>
      <c r="FJ596" s="1">
        <f t="shared" si="939"/>
        <v>0</v>
      </c>
      <c r="FK596" s="1">
        <f t="shared" si="940"/>
        <v>0</v>
      </c>
      <c r="FL596" s="1">
        <f t="shared" si="941"/>
        <v>0</v>
      </c>
      <c r="FM596" s="1">
        <f t="shared" si="942"/>
        <v>0</v>
      </c>
      <c r="FN596" s="1">
        <f t="shared" si="943"/>
        <v>0</v>
      </c>
      <c r="FO596" s="1">
        <f t="shared" si="944"/>
        <v>0</v>
      </c>
      <c r="FP596" s="1">
        <f t="shared" si="945"/>
        <v>0</v>
      </c>
      <c r="FQ596" s="1">
        <f t="shared" si="946"/>
        <v>0</v>
      </c>
      <c r="FS596" s="1">
        <f t="shared" si="947"/>
        <v>0</v>
      </c>
      <c r="FT596" s="1">
        <f t="shared" si="948"/>
        <v>0</v>
      </c>
      <c r="FU596" s="38">
        <f t="shared" si="949"/>
        <v>0</v>
      </c>
      <c r="FV596" s="38">
        <f t="shared" si="950"/>
        <v>0</v>
      </c>
      <c r="FW596" s="38">
        <f t="shared" si="951"/>
        <v>0</v>
      </c>
      <c r="FX596" s="38">
        <f t="shared" si="952"/>
        <v>0</v>
      </c>
      <c r="FY596" s="38">
        <f t="shared" si="953"/>
        <v>0</v>
      </c>
      <c r="FZ596" s="38">
        <f t="shared" si="954"/>
        <v>0</v>
      </c>
      <c r="GA596" s="38">
        <f t="shared" si="955"/>
        <v>0</v>
      </c>
      <c r="GB596" s="38">
        <f t="shared" si="956"/>
        <v>0</v>
      </c>
      <c r="GC596" s="38">
        <f t="shared" si="957"/>
        <v>0</v>
      </c>
      <c r="GD596" s="38">
        <f t="shared" si="958"/>
        <v>0</v>
      </c>
      <c r="GE596" s="38">
        <f t="shared" si="959"/>
        <v>0</v>
      </c>
      <c r="GF596" s="38">
        <f t="shared" si="960"/>
        <v>0</v>
      </c>
      <c r="GG596" s="38">
        <f t="shared" si="961"/>
        <v>0</v>
      </c>
      <c r="GH596" s="38">
        <f t="shared" si="962"/>
        <v>0</v>
      </c>
      <c r="GI596" s="38">
        <f t="shared" si="963"/>
        <v>0</v>
      </c>
      <c r="GJ596" s="38">
        <f t="shared" si="964"/>
        <v>0</v>
      </c>
      <c r="GL596" s="38">
        <f t="shared" si="965"/>
        <v>0</v>
      </c>
      <c r="GM596" s="38">
        <f t="shared" si="966"/>
        <v>0</v>
      </c>
      <c r="GN596" s="1" t="s">
        <v>2</v>
      </c>
      <c r="GO596" s="1">
        <f t="shared" si="974"/>
        <v>0.03</v>
      </c>
      <c r="GP596" s="1">
        <f t="shared" si="975"/>
        <v>1.4</v>
      </c>
      <c r="GQ596" s="41">
        <f t="shared" si="976"/>
        <v>0.42</v>
      </c>
      <c r="GR596" s="41">
        <f t="shared" si="977"/>
        <v>5.899416959999999</v>
      </c>
      <c r="GS596" s="14">
        <f t="shared" si="978"/>
        <v>196.64723199999997</v>
      </c>
      <c r="GT596" s="1">
        <f t="shared" si="967"/>
        <v>0</v>
      </c>
      <c r="GU596" s="1">
        <f t="shared" si="968"/>
        <v>0</v>
      </c>
      <c r="GV596" s="1">
        <f t="shared" si="969"/>
        <v>0.41999999999999993</v>
      </c>
      <c r="GW596" s="37">
        <f t="shared" si="979"/>
        <v>0</v>
      </c>
      <c r="GX596" s="37"/>
      <c r="GY596" s="37"/>
      <c r="GZ596" s="37"/>
      <c r="HB596" s="1">
        <f t="shared" si="970"/>
        <v>0</v>
      </c>
      <c r="HC596" s="1">
        <f t="shared" si="971"/>
        <v>0</v>
      </c>
      <c r="HD596" s="37" t="s">
        <v>2</v>
      </c>
      <c r="HE596" s="1" t="s">
        <v>113</v>
      </c>
      <c r="HF596" s="1" t="s">
        <v>129</v>
      </c>
      <c r="HI596" s="1" t="s">
        <v>163</v>
      </c>
      <c r="HJ596" s="37" t="s">
        <v>2</v>
      </c>
      <c r="JH596" s="58" t="s">
        <v>2</v>
      </c>
    </row>
    <row r="597" spans="1:268" ht="16.25" customHeight="1" x14ac:dyDescent="0.2">
      <c r="A597" s="15" t="s">
        <v>973</v>
      </c>
      <c r="B597" s="1" t="s">
        <v>69</v>
      </c>
      <c r="F597" s="1" t="s">
        <v>131</v>
      </c>
      <c r="I597" s="1">
        <v>0</v>
      </c>
      <c r="AD597" s="1">
        <v>0</v>
      </c>
      <c r="AY597" s="1">
        <v>0.09</v>
      </c>
      <c r="AZ597" s="1">
        <v>0.15</v>
      </c>
      <c r="BG597" s="1">
        <v>0.34</v>
      </c>
      <c r="BT597" s="1">
        <v>0</v>
      </c>
      <c r="CO597" s="1">
        <v>0</v>
      </c>
      <c r="DJ597" s="1" t="s">
        <v>163</v>
      </c>
      <c r="DL597" s="1">
        <f t="shared" si="972"/>
        <v>0.34</v>
      </c>
      <c r="DM597" s="1">
        <f t="shared" si="973"/>
        <v>0</v>
      </c>
      <c r="DN597" s="1" t="s">
        <v>919</v>
      </c>
      <c r="DO597" s="1" t="s">
        <v>2</v>
      </c>
      <c r="DP597" s="38">
        <f t="shared" si="895"/>
        <v>1.35E-4</v>
      </c>
      <c r="DQ597" s="38">
        <f t="shared" si="896"/>
        <v>0</v>
      </c>
      <c r="DR597" s="38">
        <f t="shared" si="897"/>
        <v>0</v>
      </c>
      <c r="DS597" s="38">
        <f t="shared" si="898"/>
        <v>0</v>
      </c>
      <c r="DT597" s="38">
        <f t="shared" si="899"/>
        <v>0</v>
      </c>
      <c r="DU597" s="38">
        <f t="shared" si="900"/>
        <v>0</v>
      </c>
      <c r="DV597" s="38">
        <f t="shared" si="901"/>
        <v>0</v>
      </c>
      <c r="DW597" s="38">
        <f t="shared" si="902"/>
        <v>3.0600000000000001E-4</v>
      </c>
      <c r="DX597" s="38">
        <f t="shared" si="903"/>
        <v>0</v>
      </c>
      <c r="DY597" s="38">
        <f t="shared" si="904"/>
        <v>0</v>
      </c>
      <c r="DZ597" s="38">
        <f t="shared" si="905"/>
        <v>0</v>
      </c>
      <c r="EA597" s="38">
        <f t="shared" si="906"/>
        <v>0</v>
      </c>
      <c r="EB597" s="38">
        <f t="shared" si="907"/>
        <v>0</v>
      </c>
      <c r="EC597" s="38">
        <f t="shared" si="908"/>
        <v>0</v>
      </c>
      <c r="ED597" s="38">
        <f t="shared" si="909"/>
        <v>0</v>
      </c>
      <c r="EE597" s="38">
        <f t="shared" si="910"/>
        <v>0</v>
      </c>
      <c r="EG597" s="38">
        <f t="shared" si="911"/>
        <v>0</v>
      </c>
      <c r="EH597" s="38">
        <f t="shared" si="912"/>
        <v>0</v>
      </c>
      <c r="EI597" s="38">
        <f t="shared" si="913"/>
        <v>0.88095816000000005</v>
      </c>
      <c r="EJ597" s="38">
        <f t="shared" si="914"/>
        <v>0</v>
      </c>
      <c r="EK597" s="38">
        <f t="shared" si="915"/>
        <v>0</v>
      </c>
      <c r="EL597" s="38">
        <f t="shared" si="916"/>
        <v>0</v>
      </c>
      <c r="EM597" s="38">
        <f t="shared" si="917"/>
        <v>0</v>
      </c>
      <c r="EN597" s="38">
        <f t="shared" si="918"/>
        <v>0</v>
      </c>
      <c r="EO597" s="38">
        <f t="shared" si="919"/>
        <v>0</v>
      </c>
      <c r="EP597" s="38">
        <f t="shared" si="920"/>
        <v>4.0128840000000006</v>
      </c>
      <c r="EQ597" s="38">
        <f t="shared" si="921"/>
        <v>0</v>
      </c>
      <c r="ER597" s="38">
        <f t="shared" si="922"/>
        <v>0</v>
      </c>
      <c r="ES597" s="38">
        <f t="shared" si="923"/>
        <v>0</v>
      </c>
      <c r="ET597" s="38">
        <f t="shared" si="924"/>
        <v>0</v>
      </c>
      <c r="EU597" s="38">
        <f t="shared" si="925"/>
        <v>0</v>
      </c>
      <c r="EV597" s="38">
        <f t="shared" si="926"/>
        <v>0</v>
      </c>
      <c r="EW597" s="38">
        <f t="shared" si="927"/>
        <v>0</v>
      </c>
      <c r="EX597" s="38">
        <f t="shared" si="928"/>
        <v>0</v>
      </c>
      <c r="EZ597" s="38">
        <f t="shared" si="929"/>
        <v>0</v>
      </c>
      <c r="FA597" s="38">
        <f t="shared" si="930"/>
        <v>0</v>
      </c>
      <c r="FB597" s="1">
        <f t="shared" si="931"/>
        <v>0</v>
      </c>
      <c r="FC597" s="1">
        <f t="shared" si="932"/>
        <v>0</v>
      </c>
      <c r="FD597" s="1">
        <f t="shared" si="933"/>
        <v>0</v>
      </c>
      <c r="FE597" s="1">
        <f t="shared" si="934"/>
        <v>0</v>
      </c>
      <c r="FF597" s="1">
        <f t="shared" si="935"/>
        <v>0</v>
      </c>
      <c r="FG597" s="1">
        <f t="shared" si="936"/>
        <v>0</v>
      </c>
      <c r="FH597" s="1">
        <f t="shared" si="937"/>
        <v>0</v>
      </c>
      <c r="FI597" s="1">
        <f t="shared" si="938"/>
        <v>0</v>
      </c>
      <c r="FJ597" s="1">
        <f t="shared" si="939"/>
        <v>0</v>
      </c>
      <c r="FK597" s="1">
        <f t="shared" si="940"/>
        <v>0</v>
      </c>
      <c r="FL597" s="1">
        <f t="shared" si="941"/>
        <v>0</v>
      </c>
      <c r="FM597" s="1">
        <f t="shared" si="942"/>
        <v>0</v>
      </c>
      <c r="FN597" s="1">
        <f t="shared" si="943"/>
        <v>0</v>
      </c>
      <c r="FO597" s="1">
        <f t="shared" si="944"/>
        <v>0</v>
      </c>
      <c r="FP597" s="1">
        <f t="shared" si="945"/>
        <v>0</v>
      </c>
      <c r="FQ597" s="1">
        <f t="shared" si="946"/>
        <v>0</v>
      </c>
      <c r="FS597" s="1">
        <f t="shared" si="947"/>
        <v>0</v>
      </c>
      <c r="FT597" s="1">
        <f t="shared" si="948"/>
        <v>0</v>
      </c>
      <c r="FU597" s="38">
        <f t="shared" si="949"/>
        <v>0</v>
      </c>
      <c r="FV597" s="38">
        <f t="shared" si="950"/>
        <v>0</v>
      </c>
      <c r="FW597" s="38">
        <f t="shared" si="951"/>
        <v>0</v>
      </c>
      <c r="FX597" s="38">
        <f t="shared" si="952"/>
        <v>0</v>
      </c>
      <c r="FY597" s="38">
        <f t="shared" si="953"/>
        <v>0</v>
      </c>
      <c r="FZ597" s="38">
        <f t="shared" si="954"/>
        <v>0</v>
      </c>
      <c r="GA597" s="38">
        <f t="shared" si="955"/>
        <v>0</v>
      </c>
      <c r="GB597" s="38">
        <f t="shared" si="956"/>
        <v>0</v>
      </c>
      <c r="GC597" s="38">
        <f t="shared" si="957"/>
        <v>0</v>
      </c>
      <c r="GD597" s="38">
        <f t="shared" si="958"/>
        <v>0</v>
      </c>
      <c r="GE597" s="38">
        <f t="shared" si="959"/>
        <v>0</v>
      </c>
      <c r="GF597" s="38">
        <f t="shared" si="960"/>
        <v>0</v>
      </c>
      <c r="GG597" s="38">
        <f t="shared" si="961"/>
        <v>0</v>
      </c>
      <c r="GH597" s="38">
        <f t="shared" si="962"/>
        <v>0</v>
      </c>
      <c r="GI597" s="38">
        <f t="shared" si="963"/>
        <v>0</v>
      </c>
      <c r="GJ597" s="38">
        <f t="shared" si="964"/>
        <v>0</v>
      </c>
      <c r="GL597" s="38">
        <f t="shared" si="965"/>
        <v>0</v>
      </c>
      <c r="GM597" s="38">
        <f t="shared" si="966"/>
        <v>0</v>
      </c>
      <c r="GN597" s="1" t="s">
        <v>2</v>
      </c>
      <c r="GO597" s="1">
        <f t="shared" si="974"/>
        <v>0.09</v>
      </c>
      <c r="GP597" s="1">
        <f t="shared" si="975"/>
        <v>0.34</v>
      </c>
      <c r="GQ597" s="41">
        <f t="shared" si="976"/>
        <v>0.30599999999999999</v>
      </c>
      <c r="GR597" s="41">
        <f t="shared" si="977"/>
        <v>4.8938421600000002</v>
      </c>
      <c r="GS597" s="14">
        <f t="shared" si="978"/>
        <v>54.376024000000001</v>
      </c>
      <c r="GT597" s="1">
        <f t="shared" si="967"/>
        <v>0</v>
      </c>
      <c r="GU597" s="1">
        <f t="shared" si="968"/>
        <v>0</v>
      </c>
      <c r="GV597" s="1">
        <f t="shared" si="969"/>
        <v>0.30599999999999999</v>
      </c>
      <c r="GW597" s="37">
        <f t="shared" si="979"/>
        <v>0</v>
      </c>
      <c r="GX597" s="37"/>
      <c r="GY597" s="37"/>
      <c r="GZ597" s="37"/>
      <c r="HB597" s="1">
        <f t="shared" si="970"/>
        <v>0</v>
      </c>
      <c r="HC597" s="1">
        <f t="shared" si="971"/>
        <v>0</v>
      </c>
      <c r="HD597" s="37" t="s">
        <v>2</v>
      </c>
      <c r="HE597" s="1" t="s">
        <v>113</v>
      </c>
      <c r="HF597" s="1" t="s">
        <v>129</v>
      </c>
      <c r="HI597" s="1" t="s">
        <v>163</v>
      </c>
      <c r="HJ597" s="37" t="s">
        <v>2</v>
      </c>
      <c r="JH597" s="58" t="s">
        <v>2</v>
      </c>
    </row>
    <row r="598" spans="1:268" ht="16.25" customHeight="1" x14ac:dyDescent="0.2">
      <c r="A598" s="15" t="s">
        <v>979</v>
      </c>
      <c r="B598" s="1" t="s">
        <v>69</v>
      </c>
      <c r="F598" s="1" t="s">
        <v>131</v>
      </c>
      <c r="I598" s="1">
        <v>0</v>
      </c>
      <c r="J598" s="13"/>
      <c r="Q598" s="13"/>
      <c r="AD598" s="1">
        <v>0</v>
      </c>
      <c r="AY598" s="1">
        <v>1.6</v>
      </c>
      <c r="AZ598" s="1">
        <v>0.19</v>
      </c>
      <c r="BG598" s="1">
        <v>0.65</v>
      </c>
      <c r="BH598" s="1">
        <v>0.03</v>
      </c>
      <c r="BT598" s="1">
        <v>0</v>
      </c>
      <c r="CO598" s="1">
        <v>0</v>
      </c>
      <c r="CP598" s="13"/>
      <c r="CW598" s="13"/>
      <c r="DJ598" s="1" t="s">
        <v>163</v>
      </c>
      <c r="DK598" s="1" t="s">
        <v>163</v>
      </c>
      <c r="DL598" s="1">
        <f t="shared" si="972"/>
        <v>0.65</v>
      </c>
      <c r="DM598" s="1">
        <f t="shared" si="973"/>
        <v>0.03</v>
      </c>
      <c r="DN598" s="1" t="s">
        <v>919</v>
      </c>
      <c r="DO598" s="1" t="s">
        <v>2</v>
      </c>
      <c r="DP598" s="38">
        <f t="shared" si="895"/>
        <v>3.0400000000000006E-3</v>
      </c>
      <c r="DQ598" s="38">
        <f t="shared" si="896"/>
        <v>0</v>
      </c>
      <c r="DR598" s="38">
        <f t="shared" si="897"/>
        <v>0</v>
      </c>
      <c r="DS598" s="38">
        <f t="shared" si="898"/>
        <v>0</v>
      </c>
      <c r="DT598" s="38">
        <f t="shared" si="899"/>
        <v>0</v>
      </c>
      <c r="DU598" s="38">
        <f t="shared" si="900"/>
        <v>0</v>
      </c>
      <c r="DV598" s="38">
        <f t="shared" si="901"/>
        <v>0</v>
      </c>
      <c r="DW598" s="38">
        <f t="shared" si="902"/>
        <v>1.04E-2</v>
      </c>
      <c r="DX598" s="38">
        <f t="shared" si="903"/>
        <v>4.8000000000000001E-4</v>
      </c>
      <c r="DY598" s="38">
        <f t="shared" si="904"/>
        <v>0</v>
      </c>
      <c r="DZ598" s="38">
        <f t="shared" si="905"/>
        <v>0</v>
      </c>
      <c r="EA598" s="38">
        <f t="shared" si="906"/>
        <v>0</v>
      </c>
      <c r="EB598" s="38">
        <f t="shared" si="907"/>
        <v>0</v>
      </c>
      <c r="EC598" s="38">
        <f t="shared" si="908"/>
        <v>0</v>
      </c>
      <c r="ED598" s="38">
        <f t="shared" si="909"/>
        <v>0</v>
      </c>
      <c r="EE598" s="38">
        <f t="shared" si="910"/>
        <v>0</v>
      </c>
      <c r="EG598" s="38">
        <f t="shared" si="911"/>
        <v>0</v>
      </c>
      <c r="EH598" s="38">
        <f t="shared" si="912"/>
        <v>0</v>
      </c>
      <c r="EI598" s="38">
        <f t="shared" si="913"/>
        <v>19.837872640000004</v>
      </c>
      <c r="EJ598" s="38">
        <f t="shared" si="914"/>
        <v>0</v>
      </c>
      <c r="EK598" s="38">
        <f t="shared" si="915"/>
        <v>0</v>
      </c>
      <c r="EL598" s="38">
        <f t="shared" si="916"/>
        <v>0</v>
      </c>
      <c r="EM598" s="38">
        <f t="shared" si="917"/>
        <v>0</v>
      </c>
      <c r="EN598" s="38">
        <f t="shared" si="918"/>
        <v>0</v>
      </c>
      <c r="EO598" s="38">
        <f t="shared" si="919"/>
        <v>0</v>
      </c>
      <c r="EP598" s="38">
        <f t="shared" si="920"/>
        <v>136.38559999999998</v>
      </c>
      <c r="EQ598" s="38">
        <f t="shared" si="921"/>
        <v>34.857371519999994</v>
      </c>
      <c r="ER598" s="38">
        <f t="shared" si="922"/>
        <v>0</v>
      </c>
      <c r="ES598" s="38">
        <f t="shared" si="923"/>
        <v>0</v>
      </c>
      <c r="ET598" s="38">
        <f t="shared" si="924"/>
        <v>0</v>
      </c>
      <c r="EU598" s="38">
        <f t="shared" si="925"/>
        <v>0</v>
      </c>
      <c r="EV598" s="38">
        <f t="shared" si="926"/>
        <v>0</v>
      </c>
      <c r="EW598" s="38">
        <f t="shared" si="927"/>
        <v>0</v>
      </c>
      <c r="EX598" s="38">
        <f t="shared" si="928"/>
        <v>0</v>
      </c>
      <c r="EZ598" s="38">
        <f t="shared" si="929"/>
        <v>0</v>
      </c>
      <c r="FA598" s="38">
        <f t="shared" si="930"/>
        <v>0</v>
      </c>
      <c r="FB598" s="1">
        <f t="shared" si="931"/>
        <v>0</v>
      </c>
      <c r="FC598" s="1">
        <f t="shared" si="932"/>
        <v>0</v>
      </c>
      <c r="FD598" s="1">
        <f t="shared" si="933"/>
        <v>0</v>
      </c>
      <c r="FE598" s="1">
        <f t="shared" si="934"/>
        <v>0</v>
      </c>
      <c r="FF598" s="1">
        <f t="shared" si="935"/>
        <v>0</v>
      </c>
      <c r="FG598" s="1">
        <f t="shared" si="936"/>
        <v>0</v>
      </c>
      <c r="FH598" s="1">
        <f t="shared" si="937"/>
        <v>0</v>
      </c>
      <c r="FI598" s="1">
        <f t="shared" si="938"/>
        <v>0</v>
      </c>
      <c r="FJ598" s="1">
        <f t="shared" si="939"/>
        <v>0</v>
      </c>
      <c r="FK598" s="1">
        <f t="shared" si="940"/>
        <v>0</v>
      </c>
      <c r="FL598" s="1">
        <f t="shared" si="941"/>
        <v>0</v>
      </c>
      <c r="FM598" s="1">
        <f t="shared" si="942"/>
        <v>0</v>
      </c>
      <c r="FN598" s="1">
        <f t="shared" si="943"/>
        <v>0</v>
      </c>
      <c r="FO598" s="1">
        <f t="shared" si="944"/>
        <v>0</v>
      </c>
      <c r="FP598" s="1">
        <f t="shared" si="945"/>
        <v>0</v>
      </c>
      <c r="FQ598" s="1">
        <f t="shared" si="946"/>
        <v>0</v>
      </c>
      <c r="FS598" s="1">
        <f t="shared" si="947"/>
        <v>0</v>
      </c>
      <c r="FT598" s="1">
        <f t="shared" si="948"/>
        <v>0</v>
      </c>
      <c r="FU598" s="38">
        <f t="shared" si="949"/>
        <v>0</v>
      </c>
      <c r="FV598" s="38">
        <f t="shared" si="950"/>
        <v>0</v>
      </c>
      <c r="FW598" s="38">
        <f t="shared" si="951"/>
        <v>0</v>
      </c>
      <c r="FX598" s="38">
        <f t="shared" si="952"/>
        <v>0</v>
      </c>
      <c r="FY598" s="38">
        <f t="shared" si="953"/>
        <v>0</v>
      </c>
      <c r="FZ598" s="38">
        <f t="shared" si="954"/>
        <v>0</v>
      </c>
      <c r="GA598" s="38">
        <f t="shared" si="955"/>
        <v>0</v>
      </c>
      <c r="GB598" s="38">
        <f t="shared" si="956"/>
        <v>0</v>
      </c>
      <c r="GC598" s="38">
        <f t="shared" si="957"/>
        <v>0</v>
      </c>
      <c r="GD598" s="38">
        <f t="shared" si="958"/>
        <v>0</v>
      </c>
      <c r="GE598" s="38">
        <f t="shared" si="959"/>
        <v>0</v>
      </c>
      <c r="GF598" s="38">
        <f t="shared" si="960"/>
        <v>0</v>
      </c>
      <c r="GG598" s="38">
        <f t="shared" si="961"/>
        <v>0</v>
      </c>
      <c r="GH598" s="38">
        <f t="shared" si="962"/>
        <v>0</v>
      </c>
      <c r="GI598" s="38">
        <f t="shared" si="963"/>
        <v>0</v>
      </c>
      <c r="GJ598" s="38">
        <f t="shared" si="964"/>
        <v>0</v>
      </c>
      <c r="GL598" s="38">
        <f t="shared" si="965"/>
        <v>0</v>
      </c>
      <c r="GM598" s="38">
        <f t="shared" si="966"/>
        <v>0</v>
      </c>
      <c r="GN598" s="1" t="s">
        <v>2</v>
      </c>
      <c r="GO598" s="1">
        <f t="shared" si="974"/>
        <v>1.6</v>
      </c>
      <c r="GP598" s="1">
        <f t="shared" si="975"/>
        <v>0.65</v>
      </c>
      <c r="GQ598" s="41">
        <f t="shared" si="976"/>
        <v>10.4</v>
      </c>
      <c r="GR598" s="41">
        <f t="shared" si="977"/>
        <v>191.08084415999997</v>
      </c>
      <c r="GS598" s="14">
        <f t="shared" si="978"/>
        <v>119.42552759999998</v>
      </c>
      <c r="GT598" s="1">
        <f t="shared" si="967"/>
        <v>0</v>
      </c>
      <c r="GU598" s="1">
        <f t="shared" si="968"/>
        <v>0</v>
      </c>
      <c r="GV598" s="1">
        <f t="shared" si="969"/>
        <v>10.4</v>
      </c>
      <c r="GW598" s="37">
        <f t="shared" si="979"/>
        <v>0</v>
      </c>
      <c r="GX598" s="37"/>
      <c r="GY598" s="37"/>
      <c r="GZ598" s="37"/>
      <c r="HB598" s="1">
        <f t="shared" si="970"/>
        <v>0</v>
      </c>
      <c r="HC598" s="1">
        <f t="shared" si="971"/>
        <v>0</v>
      </c>
      <c r="HD598" s="37" t="s">
        <v>2</v>
      </c>
      <c r="HE598" s="1" t="s">
        <v>113</v>
      </c>
      <c r="HF598" s="1" t="s">
        <v>129</v>
      </c>
      <c r="HI598" s="1" t="s">
        <v>163</v>
      </c>
      <c r="HJ598" s="37" t="s">
        <v>2</v>
      </c>
      <c r="JH598" s="58" t="s">
        <v>2</v>
      </c>
    </row>
    <row r="599" spans="1:268" ht="16.25" customHeight="1" x14ac:dyDescent="0.2">
      <c r="A599" s="15" t="s">
        <v>980</v>
      </c>
      <c r="B599" s="1" t="s">
        <v>69</v>
      </c>
      <c r="F599" s="1" t="s">
        <v>131</v>
      </c>
      <c r="I599" s="1">
        <v>0</v>
      </c>
      <c r="AD599" s="1">
        <v>0</v>
      </c>
      <c r="AY599" s="1">
        <v>0.05</v>
      </c>
      <c r="AZ599" s="1">
        <v>0.25</v>
      </c>
      <c r="BG599" s="1">
        <v>0.44</v>
      </c>
      <c r="BT599" s="1">
        <v>0</v>
      </c>
      <c r="CO599" s="1">
        <v>0</v>
      </c>
      <c r="DJ599" s="1" t="s">
        <v>163</v>
      </c>
      <c r="DL599" s="1">
        <f t="shared" si="972"/>
        <v>0.44</v>
      </c>
      <c r="DM599" s="1">
        <f t="shared" si="973"/>
        <v>0</v>
      </c>
      <c r="DN599" s="1" t="s">
        <v>919</v>
      </c>
      <c r="DO599" s="1" t="s">
        <v>2</v>
      </c>
      <c r="DP599" s="38">
        <f t="shared" si="895"/>
        <v>1.25E-4</v>
      </c>
      <c r="DQ599" s="38">
        <f t="shared" si="896"/>
        <v>0</v>
      </c>
      <c r="DR599" s="38">
        <f t="shared" si="897"/>
        <v>0</v>
      </c>
      <c r="DS599" s="38">
        <f t="shared" si="898"/>
        <v>0</v>
      </c>
      <c r="DT599" s="38">
        <f t="shared" si="899"/>
        <v>0</v>
      </c>
      <c r="DU599" s="38">
        <f t="shared" si="900"/>
        <v>0</v>
      </c>
      <c r="DV599" s="38">
        <f t="shared" si="901"/>
        <v>0</v>
      </c>
      <c r="DW599" s="38">
        <f t="shared" si="902"/>
        <v>2.2000000000000003E-4</v>
      </c>
      <c r="DX599" s="38">
        <f t="shared" si="903"/>
        <v>0</v>
      </c>
      <c r="DY599" s="38">
        <f t="shared" si="904"/>
        <v>0</v>
      </c>
      <c r="DZ599" s="38">
        <f t="shared" si="905"/>
        <v>0</v>
      </c>
      <c r="EA599" s="38">
        <f t="shared" si="906"/>
        <v>0</v>
      </c>
      <c r="EB599" s="38">
        <f t="shared" si="907"/>
        <v>0</v>
      </c>
      <c r="EC599" s="38">
        <f t="shared" si="908"/>
        <v>0</v>
      </c>
      <c r="ED599" s="38">
        <f t="shared" si="909"/>
        <v>0</v>
      </c>
      <c r="EE599" s="38">
        <f t="shared" si="910"/>
        <v>0</v>
      </c>
      <c r="EG599" s="38">
        <f t="shared" si="911"/>
        <v>0</v>
      </c>
      <c r="EH599" s="38">
        <f t="shared" si="912"/>
        <v>0</v>
      </c>
      <c r="EI599" s="38">
        <f t="shared" si="913"/>
        <v>0.81570200000000004</v>
      </c>
      <c r="EJ599" s="38">
        <f t="shared" si="914"/>
        <v>0</v>
      </c>
      <c r="EK599" s="38">
        <f t="shared" si="915"/>
        <v>0</v>
      </c>
      <c r="EL599" s="38">
        <f t="shared" si="916"/>
        <v>0</v>
      </c>
      <c r="EM599" s="38">
        <f t="shared" si="917"/>
        <v>0</v>
      </c>
      <c r="EN599" s="38">
        <f t="shared" si="918"/>
        <v>0</v>
      </c>
      <c r="EO599" s="38">
        <f t="shared" si="919"/>
        <v>0</v>
      </c>
      <c r="EP599" s="38">
        <f t="shared" si="920"/>
        <v>2.8850800000000003</v>
      </c>
      <c r="EQ599" s="38">
        <f t="shared" si="921"/>
        <v>0</v>
      </c>
      <c r="ER599" s="38">
        <f t="shared" si="922"/>
        <v>0</v>
      </c>
      <c r="ES599" s="38">
        <f t="shared" si="923"/>
        <v>0</v>
      </c>
      <c r="ET599" s="38">
        <f t="shared" si="924"/>
        <v>0</v>
      </c>
      <c r="EU599" s="38">
        <f t="shared" si="925"/>
        <v>0</v>
      </c>
      <c r="EV599" s="38">
        <f t="shared" si="926"/>
        <v>0</v>
      </c>
      <c r="EW599" s="38">
        <f t="shared" si="927"/>
        <v>0</v>
      </c>
      <c r="EX599" s="38">
        <f t="shared" si="928"/>
        <v>0</v>
      </c>
      <c r="EZ599" s="38">
        <f t="shared" si="929"/>
        <v>0</v>
      </c>
      <c r="FA599" s="38">
        <f t="shared" si="930"/>
        <v>0</v>
      </c>
      <c r="FB599" s="1">
        <f t="shared" si="931"/>
        <v>0</v>
      </c>
      <c r="FC599" s="1">
        <f t="shared" si="932"/>
        <v>0</v>
      </c>
      <c r="FD599" s="1">
        <f t="shared" si="933"/>
        <v>0</v>
      </c>
      <c r="FE599" s="1">
        <f t="shared" si="934"/>
        <v>0</v>
      </c>
      <c r="FF599" s="1">
        <f t="shared" si="935"/>
        <v>0</v>
      </c>
      <c r="FG599" s="1">
        <f t="shared" si="936"/>
        <v>0</v>
      </c>
      <c r="FH599" s="1">
        <f t="shared" si="937"/>
        <v>0</v>
      </c>
      <c r="FI599" s="1">
        <f t="shared" si="938"/>
        <v>0</v>
      </c>
      <c r="FJ599" s="1">
        <f t="shared" si="939"/>
        <v>0</v>
      </c>
      <c r="FK599" s="1">
        <f t="shared" si="940"/>
        <v>0</v>
      </c>
      <c r="FL599" s="1">
        <f t="shared" si="941"/>
        <v>0</v>
      </c>
      <c r="FM599" s="1">
        <f t="shared" si="942"/>
        <v>0</v>
      </c>
      <c r="FN599" s="1">
        <f t="shared" si="943"/>
        <v>0</v>
      </c>
      <c r="FO599" s="1">
        <f t="shared" si="944"/>
        <v>0</v>
      </c>
      <c r="FP599" s="1">
        <f t="shared" si="945"/>
        <v>0</v>
      </c>
      <c r="FQ599" s="1">
        <f t="shared" si="946"/>
        <v>0</v>
      </c>
      <c r="FS599" s="1">
        <f t="shared" si="947"/>
        <v>0</v>
      </c>
      <c r="FT599" s="1">
        <f t="shared" si="948"/>
        <v>0</v>
      </c>
      <c r="FU599" s="38">
        <f t="shared" si="949"/>
        <v>0</v>
      </c>
      <c r="FV599" s="38">
        <f t="shared" si="950"/>
        <v>0</v>
      </c>
      <c r="FW599" s="38">
        <f t="shared" si="951"/>
        <v>0</v>
      </c>
      <c r="FX599" s="38">
        <f t="shared" si="952"/>
        <v>0</v>
      </c>
      <c r="FY599" s="38">
        <f t="shared" si="953"/>
        <v>0</v>
      </c>
      <c r="FZ599" s="38">
        <f t="shared" si="954"/>
        <v>0</v>
      </c>
      <c r="GA599" s="38">
        <f t="shared" si="955"/>
        <v>0</v>
      </c>
      <c r="GB599" s="38">
        <f t="shared" si="956"/>
        <v>0</v>
      </c>
      <c r="GC599" s="38">
        <f t="shared" si="957"/>
        <v>0</v>
      </c>
      <c r="GD599" s="38">
        <f t="shared" si="958"/>
        <v>0</v>
      </c>
      <c r="GE599" s="38">
        <f t="shared" si="959"/>
        <v>0</v>
      </c>
      <c r="GF599" s="38">
        <f t="shared" si="960"/>
        <v>0</v>
      </c>
      <c r="GG599" s="38">
        <f t="shared" si="961"/>
        <v>0</v>
      </c>
      <c r="GH599" s="38">
        <f t="shared" si="962"/>
        <v>0</v>
      </c>
      <c r="GI599" s="38">
        <f t="shared" si="963"/>
        <v>0</v>
      </c>
      <c r="GJ599" s="38">
        <f t="shared" si="964"/>
        <v>0</v>
      </c>
      <c r="GL599" s="38">
        <f t="shared" si="965"/>
        <v>0</v>
      </c>
      <c r="GM599" s="38">
        <f t="shared" si="966"/>
        <v>0</v>
      </c>
      <c r="GN599" s="1" t="s">
        <v>2</v>
      </c>
      <c r="GO599" s="1">
        <f t="shared" si="974"/>
        <v>0.05</v>
      </c>
      <c r="GP599" s="1">
        <f t="shared" si="975"/>
        <v>0.44</v>
      </c>
      <c r="GQ599" s="41">
        <f t="shared" si="976"/>
        <v>0.22</v>
      </c>
      <c r="GR599" s="41">
        <f t="shared" si="977"/>
        <v>3.7007820000000002</v>
      </c>
      <c r="GS599" s="14">
        <f t="shared" si="978"/>
        <v>74.015640000000005</v>
      </c>
      <c r="GT599" s="1">
        <f t="shared" si="967"/>
        <v>0</v>
      </c>
      <c r="GU599" s="1">
        <f t="shared" si="968"/>
        <v>0</v>
      </c>
      <c r="GV599" s="1">
        <f t="shared" si="969"/>
        <v>0.22000000000000003</v>
      </c>
      <c r="GW599" s="37">
        <f t="shared" si="979"/>
        <v>0</v>
      </c>
      <c r="GX599" s="37"/>
      <c r="GY599" s="37"/>
      <c r="GZ599" s="37"/>
      <c r="HB599" s="1">
        <f t="shared" si="970"/>
        <v>0</v>
      </c>
      <c r="HC599" s="1">
        <f t="shared" si="971"/>
        <v>0</v>
      </c>
      <c r="HD599" s="37" t="s">
        <v>2</v>
      </c>
      <c r="HE599" s="1" t="s">
        <v>113</v>
      </c>
      <c r="HF599" s="1" t="s">
        <v>129</v>
      </c>
      <c r="HI599" s="1" t="s">
        <v>163</v>
      </c>
      <c r="HJ599" s="37" t="s">
        <v>2</v>
      </c>
      <c r="JH599" s="58" t="s">
        <v>2</v>
      </c>
    </row>
    <row r="600" spans="1:268" ht="16.25" customHeight="1" x14ac:dyDescent="0.2">
      <c r="A600" s="15" t="s">
        <v>982</v>
      </c>
      <c r="B600" s="1" t="s">
        <v>69</v>
      </c>
      <c r="F600" s="1" t="s">
        <v>131</v>
      </c>
      <c r="I600" s="1">
        <v>0</v>
      </c>
      <c r="AD600" s="1">
        <v>0</v>
      </c>
      <c r="AY600" s="1">
        <v>3.5999999999999997E-2</v>
      </c>
      <c r="AZ600" s="1">
        <v>0.69</v>
      </c>
      <c r="BG600" s="1">
        <v>0.94</v>
      </c>
      <c r="BH600" s="1">
        <v>0.06</v>
      </c>
      <c r="BT600" s="1">
        <v>0</v>
      </c>
      <c r="CO600" s="1">
        <v>0</v>
      </c>
      <c r="DJ600" s="1" t="s">
        <v>163</v>
      </c>
      <c r="DK600" s="1" t="s">
        <v>163</v>
      </c>
      <c r="DL600" s="1">
        <f t="shared" si="972"/>
        <v>0.94</v>
      </c>
      <c r="DM600" s="1">
        <f t="shared" si="973"/>
        <v>5.9999999999999991E-2</v>
      </c>
      <c r="DN600" s="1" t="s">
        <v>983</v>
      </c>
      <c r="DO600" s="1" t="s">
        <v>2</v>
      </c>
      <c r="DP600" s="38">
        <f t="shared" si="895"/>
        <v>2.4839999999999997E-4</v>
      </c>
      <c r="DQ600" s="38">
        <f t="shared" si="896"/>
        <v>0</v>
      </c>
      <c r="DR600" s="38">
        <f t="shared" si="897"/>
        <v>0</v>
      </c>
      <c r="DS600" s="38">
        <f t="shared" si="898"/>
        <v>0</v>
      </c>
      <c r="DT600" s="38">
        <f t="shared" si="899"/>
        <v>0</v>
      </c>
      <c r="DU600" s="38">
        <f t="shared" si="900"/>
        <v>0</v>
      </c>
      <c r="DV600" s="38">
        <f t="shared" si="901"/>
        <v>0</v>
      </c>
      <c r="DW600" s="38">
        <f t="shared" si="902"/>
        <v>3.3839999999999993E-4</v>
      </c>
      <c r="DX600" s="38">
        <f t="shared" si="903"/>
        <v>2.1599999999999996E-5</v>
      </c>
      <c r="DY600" s="38">
        <f t="shared" si="904"/>
        <v>0</v>
      </c>
      <c r="DZ600" s="38">
        <f t="shared" si="905"/>
        <v>0</v>
      </c>
      <c r="EA600" s="38">
        <f t="shared" si="906"/>
        <v>0</v>
      </c>
      <c r="EB600" s="38">
        <f t="shared" si="907"/>
        <v>0</v>
      </c>
      <c r="EC600" s="38">
        <f t="shared" si="908"/>
        <v>0</v>
      </c>
      <c r="ED600" s="38">
        <f t="shared" si="909"/>
        <v>0</v>
      </c>
      <c r="EE600" s="38">
        <f t="shared" si="910"/>
        <v>0</v>
      </c>
      <c r="EG600" s="38">
        <f t="shared" si="911"/>
        <v>0</v>
      </c>
      <c r="EH600" s="38">
        <f t="shared" si="912"/>
        <v>0</v>
      </c>
      <c r="EI600" s="38">
        <f t="shared" si="913"/>
        <v>1.6209630143999998</v>
      </c>
      <c r="EJ600" s="38">
        <f t="shared" si="914"/>
        <v>0</v>
      </c>
      <c r="EK600" s="38">
        <f t="shared" si="915"/>
        <v>0</v>
      </c>
      <c r="EL600" s="38">
        <f t="shared" si="916"/>
        <v>0</v>
      </c>
      <c r="EM600" s="38">
        <f t="shared" si="917"/>
        <v>0</v>
      </c>
      <c r="EN600" s="38">
        <f t="shared" si="918"/>
        <v>0</v>
      </c>
      <c r="EO600" s="38">
        <f t="shared" si="919"/>
        <v>0</v>
      </c>
      <c r="EP600" s="38">
        <f t="shared" si="920"/>
        <v>4.4377775999999987</v>
      </c>
      <c r="EQ600" s="38">
        <f t="shared" si="921"/>
        <v>1.5685817183999995</v>
      </c>
      <c r="ER600" s="38">
        <f t="shared" si="922"/>
        <v>0</v>
      </c>
      <c r="ES600" s="38">
        <f t="shared" si="923"/>
        <v>0</v>
      </c>
      <c r="ET600" s="38">
        <f t="shared" si="924"/>
        <v>0</v>
      </c>
      <c r="EU600" s="38">
        <f t="shared" si="925"/>
        <v>0</v>
      </c>
      <c r="EV600" s="38">
        <f t="shared" si="926"/>
        <v>0</v>
      </c>
      <c r="EW600" s="38">
        <f t="shared" si="927"/>
        <v>0</v>
      </c>
      <c r="EX600" s="38">
        <f t="shared" si="928"/>
        <v>0</v>
      </c>
      <c r="EZ600" s="38">
        <f t="shared" si="929"/>
        <v>0</v>
      </c>
      <c r="FA600" s="38">
        <f t="shared" si="930"/>
        <v>0</v>
      </c>
      <c r="FB600" s="1">
        <f t="shared" si="931"/>
        <v>0</v>
      </c>
      <c r="FC600" s="1">
        <f t="shared" si="932"/>
        <v>0</v>
      </c>
      <c r="FD600" s="1">
        <f t="shared" si="933"/>
        <v>0</v>
      </c>
      <c r="FE600" s="1">
        <f t="shared" si="934"/>
        <v>0</v>
      </c>
      <c r="FF600" s="1">
        <f t="shared" si="935"/>
        <v>0</v>
      </c>
      <c r="FG600" s="1">
        <f t="shared" si="936"/>
        <v>0</v>
      </c>
      <c r="FH600" s="1">
        <f t="shared" si="937"/>
        <v>0</v>
      </c>
      <c r="FI600" s="1">
        <f t="shared" si="938"/>
        <v>0</v>
      </c>
      <c r="FJ600" s="1">
        <f t="shared" si="939"/>
        <v>0</v>
      </c>
      <c r="FK600" s="1">
        <f t="shared" si="940"/>
        <v>0</v>
      </c>
      <c r="FL600" s="1">
        <f t="shared" si="941"/>
        <v>0</v>
      </c>
      <c r="FM600" s="1">
        <f t="shared" si="942"/>
        <v>0</v>
      </c>
      <c r="FN600" s="1">
        <f t="shared" si="943"/>
        <v>0</v>
      </c>
      <c r="FO600" s="1">
        <f t="shared" si="944"/>
        <v>0</v>
      </c>
      <c r="FP600" s="1">
        <f t="shared" si="945"/>
        <v>0</v>
      </c>
      <c r="FQ600" s="1">
        <f t="shared" si="946"/>
        <v>0</v>
      </c>
      <c r="FS600" s="1">
        <f t="shared" si="947"/>
        <v>0</v>
      </c>
      <c r="FT600" s="1">
        <f t="shared" si="948"/>
        <v>0</v>
      </c>
      <c r="FU600" s="38">
        <f t="shared" si="949"/>
        <v>0</v>
      </c>
      <c r="FV600" s="38">
        <f t="shared" si="950"/>
        <v>0</v>
      </c>
      <c r="FW600" s="38">
        <f t="shared" si="951"/>
        <v>0</v>
      </c>
      <c r="FX600" s="38">
        <f t="shared" si="952"/>
        <v>0</v>
      </c>
      <c r="FY600" s="38">
        <f t="shared" si="953"/>
        <v>0</v>
      </c>
      <c r="FZ600" s="38">
        <f t="shared" si="954"/>
        <v>0</v>
      </c>
      <c r="GA600" s="38">
        <f t="shared" si="955"/>
        <v>0</v>
      </c>
      <c r="GB600" s="38">
        <f t="shared" si="956"/>
        <v>0</v>
      </c>
      <c r="GC600" s="38">
        <f t="shared" si="957"/>
        <v>0</v>
      </c>
      <c r="GD600" s="38">
        <f t="shared" si="958"/>
        <v>0</v>
      </c>
      <c r="GE600" s="38">
        <f t="shared" si="959"/>
        <v>0</v>
      </c>
      <c r="GF600" s="38">
        <f t="shared" si="960"/>
        <v>0</v>
      </c>
      <c r="GG600" s="38">
        <f t="shared" si="961"/>
        <v>0</v>
      </c>
      <c r="GH600" s="38">
        <f t="shared" si="962"/>
        <v>0</v>
      </c>
      <c r="GI600" s="38">
        <f t="shared" si="963"/>
        <v>0</v>
      </c>
      <c r="GJ600" s="38">
        <f t="shared" si="964"/>
        <v>0</v>
      </c>
      <c r="GL600" s="38">
        <f t="shared" si="965"/>
        <v>0</v>
      </c>
      <c r="GM600" s="38">
        <f t="shared" si="966"/>
        <v>0</v>
      </c>
      <c r="GN600" s="1" t="s">
        <v>2</v>
      </c>
      <c r="GO600" s="1">
        <f t="shared" si="974"/>
        <v>3.5999999999999997E-2</v>
      </c>
      <c r="GP600" s="1">
        <f t="shared" si="975"/>
        <v>0.94</v>
      </c>
      <c r="GQ600" s="41">
        <f t="shared" si="976"/>
        <v>0.33839999999999998</v>
      </c>
      <c r="GR600" s="41">
        <f t="shared" si="977"/>
        <v>7.6273223327999986</v>
      </c>
      <c r="GS600" s="14">
        <f t="shared" si="978"/>
        <v>211.87006479999997</v>
      </c>
      <c r="GT600" s="1">
        <f t="shared" si="967"/>
        <v>0</v>
      </c>
      <c r="GU600" s="1">
        <f t="shared" si="968"/>
        <v>0</v>
      </c>
      <c r="GV600" s="1">
        <f t="shared" si="969"/>
        <v>0.33839999999999998</v>
      </c>
      <c r="GW600" s="37">
        <f t="shared" si="979"/>
        <v>0</v>
      </c>
      <c r="GX600" s="37"/>
      <c r="GY600" s="37"/>
      <c r="GZ600" s="37"/>
      <c r="HB600" s="1">
        <f t="shared" si="970"/>
        <v>0</v>
      </c>
      <c r="HC600" s="1">
        <f t="shared" si="971"/>
        <v>0</v>
      </c>
      <c r="HD600" s="37" t="s">
        <v>2</v>
      </c>
      <c r="HE600" s="1" t="s">
        <v>113</v>
      </c>
      <c r="HF600" s="1" t="s">
        <v>129</v>
      </c>
      <c r="HI600" s="1" t="s">
        <v>163</v>
      </c>
      <c r="HJ600" s="37" t="s">
        <v>2</v>
      </c>
      <c r="JH600" s="58" t="s">
        <v>2</v>
      </c>
    </row>
    <row r="601" spans="1:268" ht="16.25" customHeight="1" x14ac:dyDescent="0.2">
      <c r="A601" s="15" t="s">
        <v>1156</v>
      </c>
      <c r="B601" s="1" t="s">
        <v>64</v>
      </c>
      <c r="F601" s="1" t="s">
        <v>1157</v>
      </c>
      <c r="I601" s="1">
        <v>0</v>
      </c>
      <c r="AD601" s="1">
        <v>0</v>
      </c>
      <c r="AY601" s="1">
        <f>(18.2/1000)/(BH601/100)</f>
        <v>1.82</v>
      </c>
      <c r="BA601" s="1">
        <v>3.5</v>
      </c>
      <c r="BG601" s="1">
        <v>1</v>
      </c>
      <c r="BH601" s="1">
        <v>1</v>
      </c>
      <c r="BT601" s="1">
        <v>0</v>
      </c>
      <c r="CO601" s="1">
        <f>(0.6/1000)/(CX601/100)</f>
        <v>5.9999999999999991E-2</v>
      </c>
      <c r="CQ601" s="1">
        <v>3.5</v>
      </c>
      <c r="CW601" s="1">
        <v>1</v>
      </c>
      <c r="CX601" s="1">
        <v>1</v>
      </c>
      <c r="DJ601" s="1" t="s">
        <v>163</v>
      </c>
      <c r="DK601" s="1" t="s">
        <v>163</v>
      </c>
      <c r="DL601" s="1">
        <f t="shared" si="972"/>
        <v>1</v>
      </c>
      <c r="DM601" s="1">
        <f t="shared" si="973"/>
        <v>1</v>
      </c>
      <c r="DN601" s="1" t="s">
        <v>67</v>
      </c>
      <c r="DO601" s="1" t="s">
        <v>2</v>
      </c>
      <c r="DP601" s="38">
        <f t="shared" si="895"/>
        <v>0</v>
      </c>
      <c r="DQ601" s="38">
        <f t="shared" si="896"/>
        <v>6.37</v>
      </c>
      <c r="DR601" s="38">
        <f t="shared" si="897"/>
        <v>0</v>
      </c>
      <c r="DS601" s="38">
        <f t="shared" si="898"/>
        <v>0</v>
      </c>
      <c r="DT601" s="38">
        <f t="shared" si="899"/>
        <v>0</v>
      </c>
      <c r="DU601" s="38">
        <f t="shared" si="900"/>
        <v>0</v>
      </c>
      <c r="DV601" s="38">
        <f t="shared" si="901"/>
        <v>0</v>
      </c>
      <c r="DW601" s="38">
        <f t="shared" si="902"/>
        <v>1.8200000000000001E-2</v>
      </c>
      <c r="DX601" s="38">
        <f t="shared" si="903"/>
        <v>1.8200000000000001E-2</v>
      </c>
      <c r="DY601" s="38">
        <f t="shared" si="904"/>
        <v>0</v>
      </c>
      <c r="DZ601" s="38">
        <f t="shared" si="905"/>
        <v>0</v>
      </c>
      <c r="EA601" s="38">
        <f t="shared" si="906"/>
        <v>0</v>
      </c>
      <c r="EB601" s="38">
        <f t="shared" si="907"/>
        <v>0</v>
      </c>
      <c r="EC601" s="38">
        <f t="shared" si="908"/>
        <v>0</v>
      </c>
      <c r="ED601" s="38">
        <f t="shared" si="909"/>
        <v>0</v>
      </c>
      <c r="EE601" s="38">
        <f t="shared" si="910"/>
        <v>0</v>
      </c>
      <c r="EG601" s="38">
        <f t="shared" si="911"/>
        <v>0</v>
      </c>
      <c r="EH601" s="38">
        <f t="shared" si="912"/>
        <v>0</v>
      </c>
      <c r="EI601" s="38">
        <f t="shared" si="913"/>
        <v>0</v>
      </c>
      <c r="EJ601" s="38">
        <f t="shared" si="914"/>
        <v>260.53504823151121</v>
      </c>
      <c r="EK601" s="38">
        <f t="shared" si="915"/>
        <v>0</v>
      </c>
      <c r="EL601" s="38">
        <f t="shared" si="916"/>
        <v>0</v>
      </c>
      <c r="EM601" s="38">
        <f t="shared" si="917"/>
        <v>0</v>
      </c>
      <c r="EN601" s="38">
        <f t="shared" si="918"/>
        <v>0</v>
      </c>
      <c r="EO601" s="38">
        <f t="shared" si="919"/>
        <v>0</v>
      </c>
      <c r="EP601" s="38">
        <f t="shared" si="920"/>
        <v>238.6748</v>
      </c>
      <c r="EQ601" s="38">
        <f t="shared" si="921"/>
        <v>1321.6753368</v>
      </c>
      <c r="ER601" s="38">
        <f t="shared" si="922"/>
        <v>0</v>
      </c>
      <c r="ES601" s="38">
        <f t="shared" si="923"/>
        <v>0</v>
      </c>
      <c r="ET601" s="38">
        <f t="shared" si="924"/>
        <v>0</v>
      </c>
      <c r="EU601" s="38">
        <f t="shared" si="925"/>
        <v>0</v>
      </c>
      <c r="EV601" s="38">
        <f t="shared" si="926"/>
        <v>0</v>
      </c>
      <c r="EW601" s="38">
        <f t="shared" si="927"/>
        <v>0</v>
      </c>
      <c r="EX601" s="38">
        <f t="shared" si="928"/>
        <v>0</v>
      </c>
      <c r="EZ601" s="38">
        <f t="shared" si="929"/>
        <v>0</v>
      </c>
      <c r="FA601" s="38">
        <f t="shared" si="930"/>
        <v>0</v>
      </c>
      <c r="FB601" s="1">
        <f t="shared" si="931"/>
        <v>0</v>
      </c>
      <c r="FC601" s="1">
        <f t="shared" si="932"/>
        <v>0.20999999999999996</v>
      </c>
      <c r="FD601" s="1">
        <f t="shared" si="933"/>
        <v>0</v>
      </c>
      <c r="FE601" s="1">
        <f t="shared" si="934"/>
        <v>0</v>
      </c>
      <c r="FF601" s="1">
        <f t="shared" si="935"/>
        <v>0</v>
      </c>
      <c r="FG601" s="1">
        <f t="shared" si="936"/>
        <v>0</v>
      </c>
      <c r="FH601" s="1">
        <f t="shared" si="937"/>
        <v>0</v>
      </c>
      <c r="FI601" s="1">
        <f t="shared" si="938"/>
        <v>5.9999999999999995E-4</v>
      </c>
      <c r="FJ601" s="1">
        <f t="shared" si="939"/>
        <v>5.9999999999999995E-4</v>
      </c>
      <c r="FK601" s="1">
        <f t="shared" si="940"/>
        <v>0</v>
      </c>
      <c r="FL601" s="1">
        <f t="shared" si="941"/>
        <v>0</v>
      </c>
      <c r="FM601" s="1">
        <f t="shared" si="942"/>
        <v>0</v>
      </c>
      <c r="FN601" s="1">
        <f t="shared" si="943"/>
        <v>0</v>
      </c>
      <c r="FO601" s="1">
        <f t="shared" si="944"/>
        <v>0</v>
      </c>
      <c r="FP601" s="1">
        <f t="shared" si="945"/>
        <v>0</v>
      </c>
      <c r="FQ601" s="1">
        <f t="shared" si="946"/>
        <v>0</v>
      </c>
      <c r="FS601" s="1">
        <f t="shared" si="947"/>
        <v>0</v>
      </c>
      <c r="FT601" s="1">
        <f t="shared" si="948"/>
        <v>0</v>
      </c>
      <c r="FU601" s="38">
        <f t="shared" si="949"/>
        <v>0</v>
      </c>
      <c r="FV601" s="38">
        <f t="shared" si="950"/>
        <v>8.5890675241157535</v>
      </c>
      <c r="FW601" s="38">
        <f t="shared" si="951"/>
        <v>0</v>
      </c>
      <c r="FX601" s="38">
        <f t="shared" si="952"/>
        <v>0</v>
      </c>
      <c r="FY601" s="38">
        <f t="shared" si="953"/>
        <v>0</v>
      </c>
      <c r="FZ601" s="38">
        <f t="shared" si="954"/>
        <v>0</v>
      </c>
      <c r="GA601" s="38">
        <f t="shared" si="955"/>
        <v>0</v>
      </c>
      <c r="GB601" s="38">
        <f t="shared" si="956"/>
        <v>7.8683999999999994</v>
      </c>
      <c r="GC601" s="38">
        <f t="shared" si="957"/>
        <v>43.571714399999991</v>
      </c>
      <c r="GD601" s="38">
        <f t="shared" si="958"/>
        <v>0</v>
      </c>
      <c r="GE601" s="38">
        <f t="shared" si="959"/>
        <v>0</v>
      </c>
      <c r="GF601" s="38">
        <f t="shared" si="960"/>
        <v>0</v>
      </c>
      <c r="GG601" s="38">
        <f t="shared" si="961"/>
        <v>0</v>
      </c>
      <c r="GH601" s="38">
        <f t="shared" si="962"/>
        <v>0</v>
      </c>
      <c r="GI601" s="38">
        <f t="shared" si="963"/>
        <v>0</v>
      </c>
      <c r="GJ601" s="38">
        <f t="shared" si="964"/>
        <v>0</v>
      </c>
      <c r="GL601" s="38">
        <f t="shared" si="965"/>
        <v>0</v>
      </c>
      <c r="GM601" s="38">
        <f t="shared" si="966"/>
        <v>0</v>
      </c>
      <c r="GN601" s="1" t="s">
        <v>2</v>
      </c>
      <c r="GO601" s="1">
        <f t="shared" si="974"/>
        <v>1.82</v>
      </c>
      <c r="GP601" s="1">
        <f t="shared" si="975"/>
        <v>1</v>
      </c>
      <c r="GQ601" s="41">
        <f t="shared" si="976"/>
        <v>18.2</v>
      </c>
      <c r="GR601" s="41">
        <f t="shared" si="977"/>
        <v>1820.8851850315111</v>
      </c>
      <c r="GS601" s="14">
        <f t="shared" si="978"/>
        <v>1000.4863654019291</v>
      </c>
      <c r="GT601" s="1">
        <f t="shared" si="967"/>
        <v>0</v>
      </c>
      <c r="GU601" s="1">
        <f t="shared" si="968"/>
        <v>0</v>
      </c>
      <c r="GV601" s="1">
        <f t="shared" si="969"/>
        <v>18.2</v>
      </c>
      <c r="GW601" s="37">
        <f t="shared" si="979"/>
        <v>5.9999999999999991E-2</v>
      </c>
      <c r="GX601" s="37">
        <f>(BT601*CB601+CO601*CW601)/GW601</f>
        <v>1</v>
      </c>
      <c r="GY601" s="41">
        <f>1000*GW601*GX601/100</f>
        <v>0.6</v>
      </c>
      <c r="GZ601" s="41">
        <f>SUM(FU601:GM601)</f>
        <v>60.029181924115747</v>
      </c>
      <c r="HA601" s="14">
        <f>GZ601/GW601</f>
        <v>1000.4863654019292</v>
      </c>
      <c r="HB601" s="1">
        <f t="shared" si="970"/>
        <v>0</v>
      </c>
      <c r="HC601" s="1">
        <f t="shared" si="971"/>
        <v>0.6</v>
      </c>
      <c r="HD601" s="37" t="s">
        <v>2</v>
      </c>
      <c r="HE601" s="1" t="s">
        <v>113</v>
      </c>
      <c r="HF601" s="1" t="s">
        <v>129</v>
      </c>
      <c r="HI601" s="1" t="s">
        <v>163</v>
      </c>
      <c r="HJ601" s="37" t="s">
        <v>2</v>
      </c>
      <c r="JH601" s="58" t="s">
        <v>2</v>
      </c>
    </row>
    <row r="602" spans="1:268" ht="16.25" customHeight="1" x14ac:dyDescent="0.2">
      <c r="A602" s="15" t="s">
        <v>1090</v>
      </c>
      <c r="B602" s="1" t="s">
        <v>69</v>
      </c>
      <c r="F602" s="1" t="s">
        <v>131</v>
      </c>
      <c r="I602" s="1">
        <v>0</v>
      </c>
      <c r="AD602" s="1">
        <v>0</v>
      </c>
      <c r="AY602" s="1">
        <v>2.698</v>
      </c>
      <c r="AZ602" s="1">
        <v>0.69</v>
      </c>
      <c r="BG602" s="1">
        <v>0.83</v>
      </c>
      <c r="BH602" s="1">
        <v>0.06</v>
      </c>
      <c r="BT602" s="1">
        <v>0</v>
      </c>
      <c r="CO602" s="1">
        <v>0</v>
      </c>
      <c r="DJ602" s="1" t="s">
        <v>163</v>
      </c>
      <c r="DK602" s="1" t="s">
        <v>163</v>
      </c>
      <c r="DL602" s="1">
        <f t="shared" si="972"/>
        <v>0.83</v>
      </c>
      <c r="DM602" s="1">
        <f t="shared" si="973"/>
        <v>0.06</v>
      </c>
      <c r="DN602" s="1" t="s">
        <v>1089</v>
      </c>
      <c r="DO602" s="1" t="s">
        <v>2</v>
      </c>
      <c r="DP602" s="38">
        <f t="shared" si="895"/>
        <v>1.8616199999999999E-2</v>
      </c>
      <c r="DQ602" s="38">
        <f t="shared" si="896"/>
        <v>0</v>
      </c>
      <c r="DR602" s="38">
        <f t="shared" si="897"/>
        <v>0</v>
      </c>
      <c r="DS602" s="38">
        <f t="shared" si="898"/>
        <v>0</v>
      </c>
      <c r="DT602" s="38">
        <f t="shared" si="899"/>
        <v>0</v>
      </c>
      <c r="DU602" s="38">
        <f t="shared" si="900"/>
        <v>0</v>
      </c>
      <c r="DV602" s="38">
        <f t="shared" si="901"/>
        <v>0</v>
      </c>
      <c r="DW602" s="38">
        <f t="shared" si="902"/>
        <v>2.2393399999999997E-2</v>
      </c>
      <c r="DX602" s="38">
        <f t="shared" si="903"/>
        <v>1.6187999999999999E-3</v>
      </c>
      <c r="DY602" s="38">
        <f t="shared" si="904"/>
        <v>0</v>
      </c>
      <c r="DZ602" s="38">
        <f t="shared" si="905"/>
        <v>0</v>
      </c>
      <c r="EA602" s="38">
        <f t="shared" si="906"/>
        <v>0</v>
      </c>
      <c r="EB602" s="38">
        <f t="shared" si="907"/>
        <v>0</v>
      </c>
      <c r="EC602" s="38">
        <f t="shared" si="908"/>
        <v>0</v>
      </c>
      <c r="ED602" s="38">
        <f t="shared" si="909"/>
        <v>0</v>
      </c>
      <c r="EE602" s="38">
        <f t="shared" si="910"/>
        <v>0</v>
      </c>
      <c r="EG602" s="38">
        <f t="shared" si="911"/>
        <v>0</v>
      </c>
      <c r="EH602" s="38">
        <f t="shared" si="912"/>
        <v>0</v>
      </c>
      <c r="EI602" s="38">
        <f t="shared" si="913"/>
        <v>121.4821725792</v>
      </c>
      <c r="EJ602" s="38">
        <f t="shared" si="914"/>
        <v>0</v>
      </c>
      <c r="EK602" s="38">
        <f t="shared" si="915"/>
        <v>0</v>
      </c>
      <c r="EL602" s="38">
        <f t="shared" si="916"/>
        <v>0</v>
      </c>
      <c r="EM602" s="38">
        <f t="shared" si="917"/>
        <v>0</v>
      </c>
      <c r="EN602" s="38">
        <f t="shared" si="918"/>
        <v>0</v>
      </c>
      <c r="EO602" s="38">
        <f t="shared" si="919"/>
        <v>0</v>
      </c>
      <c r="EP602" s="38">
        <f t="shared" si="920"/>
        <v>293.66704759999999</v>
      </c>
      <c r="EQ602" s="38">
        <f t="shared" si="921"/>
        <v>117.55648545119998</v>
      </c>
      <c r="ER602" s="38">
        <f t="shared" si="922"/>
        <v>0</v>
      </c>
      <c r="ES602" s="38">
        <f t="shared" si="923"/>
        <v>0</v>
      </c>
      <c r="ET602" s="38">
        <f t="shared" si="924"/>
        <v>0</v>
      </c>
      <c r="EU602" s="38">
        <f t="shared" si="925"/>
        <v>0</v>
      </c>
      <c r="EV602" s="38">
        <f t="shared" si="926"/>
        <v>0</v>
      </c>
      <c r="EW602" s="38">
        <f t="shared" si="927"/>
        <v>0</v>
      </c>
      <c r="EX602" s="38">
        <f t="shared" si="928"/>
        <v>0</v>
      </c>
      <c r="EZ602" s="38">
        <f t="shared" si="929"/>
        <v>0</v>
      </c>
      <c r="FA602" s="38">
        <f t="shared" si="930"/>
        <v>0</v>
      </c>
      <c r="FB602" s="1">
        <f t="shared" si="931"/>
        <v>0</v>
      </c>
      <c r="FC602" s="1">
        <f t="shared" si="932"/>
        <v>0</v>
      </c>
      <c r="FD602" s="1">
        <f t="shared" si="933"/>
        <v>0</v>
      </c>
      <c r="FE602" s="1">
        <f t="shared" si="934"/>
        <v>0</v>
      </c>
      <c r="FF602" s="1">
        <f t="shared" si="935"/>
        <v>0</v>
      </c>
      <c r="FG602" s="1">
        <f t="shared" si="936"/>
        <v>0</v>
      </c>
      <c r="FH602" s="1">
        <f t="shared" si="937"/>
        <v>0</v>
      </c>
      <c r="FI602" s="1">
        <f t="shared" si="938"/>
        <v>0</v>
      </c>
      <c r="FJ602" s="1">
        <f t="shared" si="939"/>
        <v>0</v>
      </c>
      <c r="FK602" s="1">
        <f t="shared" si="940"/>
        <v>0</v>
      </c>
      <c r="FL602" s="1">
        <f t="shared" si="941"/>
        <v>0</v>
      </c>
      <c r="FM602" s="1">
        <f t="shared" si="942"/>
        <v>0</v>
      </c>
      <c r="FN602" s="1">
        <f t="shared" si="943"/>
        <v>0</v>
      </c>
      <c r="FO602" s="1">
        <f t="shared" si="944"/>
        <v>0</v>
      </c>
      <c r="FP602" s="1">
        <f t="shared" si="945"/>
        <v>0</v>
      </c>
      <c r="FQ602" s="1">
        <f t="shared" si="946"/>
        <v>0</v>
      </c>
      <c r="FS602" s="1">
        <f t="shared" si="947"/>
        <v>0</v>
      </c>
      <c r="FT602" s="1">
        <f t="shared" si="948"/>
        <v>0</v>
      </c>
      <c r="FU602" s="38">
        <f t="shared" si="949"/>
        <v>0</v>
      </c>
      <c r="FV602" s="38">
        <f t="shared" si="950"/>
        <v>0</v>
      </c>
      <c r="FW602" s="38">
        <f t="shared" si="951"/>
        <v>0</v>
      </c>
      <c r="FX602" s="38">
        <f t="shared" si="952"/>
        <v>0</v>
      </c>
      <c r="FY602" s="38">
        <f t="shared" si="953"/>
        <v>0</v>
      </c>
      <c r="FZ602" s="38">
        <f t="shared" si="954"/>
        <v>0</v>
      </c>
      <c r="GA602" s="38">
        <f t="shared" si="955"/>
        <v>0</v>
      </c>
      <c r="GB602" s="38">
        <f t="shared" si="956"/>
        <v>0</v>
      </c>
      <c r="GC602" s="38">
        <f t="shared" si="957"/>
        <v>0</v>
      </c>
      <c r="GD602" s="38">
        <f t="shared" si="958"/>
        <v>0</v>
      </c>
      <c r="GE602" s="38">
        <f t="shared" si="959"/>
        <v>0</v>
      </c>
      <c r="GF602" s="38">
        <f t="shared" si="960"/>
        <v>0</v>
      </c>
      <c r="GG602" s="38">
        <f t="shared" si="961"/>
        <v>0</v>
      </c>
      <c r="GH602" s="38">
        <f t="shared" si="962"/>
        <v>0</v>
      </c>
      <c r="GI602" s="38">
        <f t="shared" si="963"/>
        <v>0</v>
      </c>
      <c r="GJ602" s="38">
        <f t="shared" si="964"/>
        <v>0</v>
      </c>
      <c r="GL602" s="38">
        <f t="shared" si="965"/>
        <v>0</v>
      </c>
      <c r="GM602" s="38">
        <f t="shared" si="966"/>
        <v>0</v>
      </c>
      <c r="GN602" s="1" t="s">
        <v>2</v>
      </c>
      <c r="GO602" s="1">
        <f t="shared" si="974"/>
        <v>2.698</v>
      </c>
      <c r="GP602" s="1">
        <f t="shared" si="975"/>
        <v>0.83</v>
      </c>
      <c r="GQ602" s="41">
        <f t="shared" si="976"/>
        <v>22.393399999999996</v>
      </c>
      <c r="GR602" s="41">
        <f t="shared" si="977"/>
        <v>532.70570563039996</v>
      </c>
      <c r="GS602" s="14">
        <f t="shared" si="978"/>
        <v>197.4446648</v>
      </c>
      <c r="GT602" s="1">
        <f t="shared" si="967"/>
        <v>0</v>
      </c>
      <c r="GU602" s="1">
        <f t="shared" si="968"/>
        <v>0</v>
      </c>
      <c r="GV602" s="1">
        <f t="shared" si="969"/>
        <v>22.393399999999996</v>
      </c>
      <c r="GW602" s="37">
        <f t="shared" si="979"/>
        <v>0</v>
      </c>
      <c r="GX602" s="37"/>
      <c r="GY602" s="37"/>
      <c r="GZ602" s="37"/>
      <c r="HB602" s="1">
        <f t="shared" si="970"/>
        <v>0</v>
      </c>
      <c r="HC602" s="1">
        <f t="shared" si="971"/>
        <v>0</v>
      </c>
      <c r="HD602" s="37" t="s">
        <v>2</v>
      </c>
      <c r="HE602" s="1" t="s">
        <v>113</v>
      </c>
      <c r="HF602" s="1" t="s">
        <v>129</v>
      </c>
      <c r="HI602" s="1" t="s">
        <v>163</v>
      </c>
      <c r="HJ602" s="37" t="s">
        <v>2</v>
      </c>
      <c r="JH602" s="58" t="s">
        <v>2</v>
      </c>
    </row>
    <row r="603" spans="1:268" ht="16.25" customHeight="1" x14ac:dyDescent="0.2">
      <c r="A603" s="15" t="s">
        <v>1092</v>
      </c>
      <c r="B603" s="1" t="s">
        <v>69</v>
      </c>
      <c r="F603" s="1" t="s">
        <v>131</v>
      </c>
      <c r="I603" s="1">
        <v>0</v>
      </c>
      <c r="AD603" s="1">
        <v>0</v>
      </c>
      <c r="AY603" s="1">
        <v>0.31</v>
      </c>
      <c r="AZ603" s="1">
        <v>0.44</v>
      </c>
      <c r="BG603" s="13">
        <v>1.2</v>
      </c>
      <c r="BH603" s="1">
        <v>3.5000000000000003E-2</v>
      </c>
      <c r="BT603" s="1">
        <v>0</v>
      </c>
      <c r="CO603" s="1">
        <v>0</v>
      </c>
      <c r="DJ603" s="1" t="s">
        <v>163</v>
      </c>
      <c r="DK603" s="1" t="s">
        <v>163</v>
      </c>
      <c r="DL603" s="1">
        <f t="shared" si="972"/>
        <v>1.2</v>
      </c>
      <c r="DM603" s="1">
        <f t="shared" si="973"/>
        <v>3.5000000000000003E-2</v>
      </c>
      <c r="DN603" s="1" t="s">
        <v>983</v>
      </c>
      <c r="DO603" s="1" t="s">
        <v>2</v>
      </c>
      <c r="DP603" s="38">
        <f t="shared" si="895"/>
        <v>1.364E-3</v>
      </c>
      <c r="DQ603" s="38">
        <f t="shared" si="896"/>
        <v>0</v>
      </c>
      <c r="DR603" s="38">
        <f t="shared" si="897"/>
        <v>0</v>
      </c>
      <c r="DS603" s="38">
        <f t="shared" si="898"/>
        <v>0</v>
      </c>
      <c r="DT603" s="38">
        <f t="shared" si="899"/>
        <v>0</v>
      </c>
      <c r="DU603" s="38">
        <f t="shared" si="900"/>
        <v>0</v>
      </c>
      <c r="DV603" s="38">
        <f t="shared" si="901"/>
        <v>0</v>
      </c>
      <c r="DW603" s="38">
        <f t="shared" si="902"/>
        <v>3.7199999999999998E-3</v>
      </c>
      <c r="DX603" s="38">
        <f t="shared" si="903"/>
        <v>1.0850000000000001E-4</v>
      </c>
      <c r="DY603" s="38">
        <f t="shared" si="904"/>
        <v>0</v>
      </c>
      <c r="DZ603" s="38">
        <f t="shared" si="905"/>
        <v>0</v>
      </c>
      <c r="EA603" s="38">
        <f t="shared" si="906"/>
        <v>0</v>
      </c>
      <c r="EB603" s="38">
        <f t="shared" si="907"/>
        <v>0</v>
      </c>
      <c r="EC603" s="38">
        <f t="shared" si="908"/>
        <v>0</v>
      </c>
      <c r="ED603" s="38">
        <f t="shared" si="909"/>
        <v>0</v>
      </c>
      <c r="EE603" s="38">
        <f t="shared" si="910"/>
        <v>0</v>
      </c>
      <c r="EG603" s="38">
        <f t="shared" si="911"/>
        <v>0</v>
      </c>
      <c r="EH603" s="38">
        <f t="shared" si="912"/>
        <v>0</v>
      </c>
      <c r="EI603" s="38">
        <f t="shared" si="913"/>
        <v>8.9009402239999993</v>
      </c>
      <c r="EJ603" s="38">
        <f t="shared" si="914"/>
        <v>0</v>
      </c>
      <c r="EK603" s="38">
        <f t="shared" si="915"/>
        <v>0</v>
      </c>
      <c r="EL603" s="38">
        <f t="shared" si="916"/>
        <v>0</v>
      </c>
      <c r="EM603" s="38">
        <f t="shared" si="917"/>
        <v>0</v>
      </c>
      <c r="EN603" s="38">
        <f t="shared" si="918"/>
        <v>0</v>
      </c>
      <c r="EO603" s="38">
        <f t="shared" si="919"/>
        <v>0</v>
      </c>
      <c r="EP603" s="38">
        <f t="shared" si="920"/>
        <v>48.784079999999996</v>
      </c>
      <c r="EQ603" s="38">
        <f t="shared" si="921"/>
        <v>7.8792183539999998</v>
      </c>
      <c r="ER603" s="38">
        <f t="shared" si="922"/>
        <v>0</v>
      </c>
      <c r="ES603" s="38">
        <f t="shared" si="923"/>
        <v>0</v>
      </c>
      <c r="ET603" s="38">
        <f t="shared" si="924"/>
        <v>0</v>
      </c>
      <c r="EU603" s="38">
        <f t="shared" si="925"/>
        <v>0</v>
      </c>
      <c r="EV603" s="38">
        <f t="shared" si="926"/>
        <v>0</v>
      </c>
      <c r="EW603" s="38">
        <f t="shared" si="927"/>
        <v>0</v>
      </c>
      <c r="EX603" s="38">
        <f t="shared" si="928"/>
        <v>0</v>
      </c>
      <c r="EZ603" s="38">
        <f t="shared" si="929"/>
        <v>0</v>
      </c>
      <c r="FA603" s="38">
        <f t="shared" si="930"/>
        <v>0</v>
      </c>
      <c r="FB603" s="1">
        <f t="shared" si="931"/>
        <v>0</v>
      </c>
      <c r="FC603" s="1">
        <f t="shared" si="932"/>
        <v>0</v>
      </c>
      <c r="FD603" s="1">
        <f t="shared" si="933"/>
        <v>0</v>
      </c>
      <c r="FE603" s="1">
        <f t="shared" si="934"/>
        <v>0</v>
      </c>
      <c r="FF603" s="1">
        <f t="shared" si="935"/>
        <v>0</v>
      </c>
      <c r="FG603" s="1">
        <f t="shared" si="936"/>
        <v>0</v>
      </c>
      <c r="FH603" s="1">
        <f t="shared" si="937"/>
        <v>0</v>
      </c>
      <c r="FI603" s="1">
        <f t="shared" si="938"/>
        <v>0</v>
      </c>
      <c r="FJ603" s="1">
        <f t="shared" si="939"/>
        <v>0</v>
      </c>
      <c r="FK603" s="1">
        <f t="shared" si="940"/>
        <v>0</v>
      </c>
      <c r="FL603" s="1">
        <f t="shared" si="941"/>
        <v>0</v>
      </c>
      <c r="FM603" s="1">
        <f t="shared" si="942"/>
        <v>0</v>
      </c>
      <c r="FN603" s="1">
        <f t="shared" si="943"/>
        <v>0</v>
      </c>
      <c r="FO603" s="1">
        <f t="shared" si="944"/>
        <v>0</v>
      </c>
      <c r="FP603" s="1">
        <f t="shared" si="945"/>
        <v>0</v>
      </c>
      <c r="FQ603" s="1">
        <f t="shared" si="946"/>
        <v>0</v>
      </c>
      <c r="FS603" s="1">
        <f t="shared" si="947"/>
        <v>0</v>
      </c>
      <c r="FT603" s="1">
        <f t="shared" si="948"/>
        <v>0</v>
      </c>
      <c r="FU603" s="38">
        <f t="shared" si="949"/>
        <v>0</v>
      </c>
      <c r="FV603" s="38">
        <f t="shared" si="950"/>
        <v>0</v>
      </c>
      <c r="FW603" s="38">
        <f t="shared" si="951"/>
        <v>0</v>
      </c>
      <c r="FX603" s="38">
        <f t="shared" si="952"/>
        <v>0</v>
      </c>
      <c r="FY603" s="38">
        <f t="shared" si="953"/>
        <v>0</v>
      </c>
      <c r="FZ603" s="38">
        <f t="shared" si="954"/>
        <v>0</v>
      </c>
      <c r="GA603" s="38">
        <f t="shared" si="955"/>
        <v>0</v>
      </c>
      <c r="GB603" s="38">
        <f t="shared" si="956"/>
        <v>0</v>
      </c>
      <c r="GC603" s="38">
        <f t="shared" si="957"/>
        <v>0</v>
      </c>
      <c r="GD603" s="38">
        <f t="shared" si="958"/>
        <v>0</v>
      </c>
      <c r="GE603" s="38">
        <f t="shared" si="959"/>
        <v>0</v>
      </c>
      <c r="GF603" s="38">
        <f t="shared" si="960"/>
        <v>0</v>
      </c>
      <c r="GG603" s="38">
        <f t="shared" si="961"/>
        <v>0</v>
      </c>
      <c r="GH603" s="38">
        <f t="shared" si="962"/>
        <v>0</v>
      </c>
      <c r="GI603" s="38">
        <f t="shared" si="963"/>
        <v>0</v>
      </c>
      <c r="GJ603" s="38">
        <f t="shared" si="964"/>
        <v>0</v>
      </c>
      <c r="GL603" s="38">
        <f t="shared" si="965"/>
        <v>0</v>
      </c>
      <c r="GM603" s="38">
        <f t="shared" si="966"/>
        <v>0</v>
      </c>
      <c r="GN603" s="1" t="s">
        <v>2</v>
      </c>
      <c r="GO603" s="1">
        <f t="shared" si="974"/>
        <v>0.31</v>
      </c>
      <c r="GP603" s="1">
        <f t="shared" si="975"/>
        <v>1.2</v>
      </c>
      <c r="GQ603" s="41">
        <f t="shared" si="976"/>
        <v>3.72</v>
      </c>
      <c r="GR603" s="41">
        <f t="shared" si="977"/>
        <v>65.564238578000001</v>
      </c>
      <c r="GS603" s="14">
        <f t="shared" si="978"/>
        <v>211.49754380000002</v>
      </c>
      <c r="GT603" s="1">
        <f t="shared" si="967"/>
        <v>0</v>
      </c>
      <c r="GU603" s="1">
        <f t="shared" si="968"/>
        <v>0</v>
      </c>
      <c r="GV603" s="1">
        <f t="shared" si="969"/>
        <v>3.72</v>
      </c>
      <c r="GW603" s="37">
        <f t="shared" si="979"/>
        <v>0</v>
      </c>
      <c r="GX603" s="37"/>
      <c r="GY603" s="37"/>
      <c r="GZ603" s="37"/>
      <c r="HB603" s="1">
        <f t="shared" si="970"/>
        <v>0</v>
      </c>
      <c r="HC603" s="1">
        <f t="shared" si="971"/>
        <v>0</v>
      </c>
      <c r="HD603" s="37" t="s">
        <v>2</v>
      </c>
      <c r="HE603" s="1" t="s">
        <v>113</v>
      </c>
      <c r="HF603" s="1" t="s">
        <v>129</v>
      </c>
      <c r="HI603" s="1" t="s">
        <v>163</v>
      </c>
      <c r="HJ603" s="37" t="s">
        <v>2</v>
      </c>
      <c r="JH603" s="58" t="s">
        <v>2</v>
      </c>
    </row>
    <row r="604" spans="1:268" ht="16.25" customHeight="1" x14ac:dyDescent="0.2">
      <c r="A604" s="15" t="s">
        <v>1093</v>
      </c>
      <c r="B604" s="1" t="s">
        <v>69</v>
      </c>
      <c r="F604" s="1" t="s">
        <v>131</v>
      </c>
      <c r="I604" s="1">
        <v>0</v>
      </c>
      <c r="AD604" s="1">
        <v>0</v>
      </c>
      <c r="AY604" s="1">
        <v>2.6</v>
      </c>
      <c r="AZ604" s="1">
        <v>0.47</v>
      </c>
      <c r="BG604" s="1">
        <v>0.75</v>
      </c>
      <c r="BH604" s="1">
        <v>0.06</v>
      </c>
      <c r="BT604" s="1">
        <v>0</v>
      </c>
      <c r="CO604" s="1">
        <v>0</v>
      </c>
      <c r="DJ604" s="1" t="s">
        <v>163</v>
      </c>
      <c r="DK604" s="1" t="s">
        <v>163</v>
      </c>
      <c r="DL604" s="1">
        <f t="shared" si="972"/>
        <v>0.75</v>
      </c>
      <c r="DM604" s="1">
        <f t="shared" si="973"/>
        <v>0.06</v>
      </c>
      <c r="DN604" s="1" t="s">
        <v>983</v>
      </c>
      <c r="DO604" s="1" t="s">
        <v>2</v>
      </c>
      <c r="DP604" s="38">
        <f t="shared" si="895"/>
        <v>1.222E-2</v>
      </c>
      <c r="DQ604" s="38">
        <f t="shared" si="896"/>
        <v>0</v>
      </c>
      <c r="DR604" s="38">
        <f t="shared" si="897"/>
        <v>0</v>
      </c>
      <c r="DS604" s="38">
        <f t="shared" si="898"/>
        <v>0</v>
      </c>
      <c r="DT604" s="38">
        <f t="shared" si="899"/>
        <v>0</v>
      </c>
      <c r="DU604" s="38">
        <f t="shared" si="900"/>
        <v>0</v>
      </c>
      <c r="DV604" s="38">
        <f t="shared" si="901"/>
        <v>0</v>
      </c>
      <c r="DW604" s="38">
        <f t="shared" si="902"/>
        <v>1.9500000000000003E-2</v>
      </c>
      <c r="DX604" s="38">
        <f t="shared" si="903"/>
        <v>1.56E-3</v>
      </c>
      <c r="DY604" s="38">
        <f t="shared" si="904"/>
        <v>0</v>
      </c>
      <c r="DZ604" s="38">
        <f t="shared" si="905"/>
        <v>0</v>
      </c>
      <c r="EA604" s="38">
        <f t="shared" si="906"/>
        <v>0</v>
      </c>
      <c r="EB604" s="38">
        <f t="shared" si="907"/>
        <v>0</v>
      </c>
      <c r="EC604" s="38">
        <f t="shared" si="908"/>
        <v>0</v>
      </c>
      <c r="ED604" s="38">
        <f t="shared" si="909"/>
        <v>0</v>
      </c>
      <c r="EE604" s="38">
        <f t="shared" si="910"/>
        <v>0</v>
      </c>
      <c r="EG604" s="38">
        <f t="shared" si="911"/>
        <v>0</v>
      </c>
      <c r="EH604" s="38">
        <f t="shared" si="912"/>
        <v>0</v>
      </c>
      <c r="EI604" s="38">
        <f t="shared" si="913"/>
        <v>79.743027519999998</v>
      </c>
      <c r="EJ604" s="38">
        <f t="shared" si="914"/>
        <v>0</v>
      </c>
      <c r="EK604" s="38">
        <f t="shared" si="915"/>
        <v>0</v>
      </c>
      <c r="EL604" s="38">
        <f t="shared" si="916"/>
        <v>0</v>
      </c>
      <c r="EM604" s="38">
        <f t="shared" si="917"/>
        <v>0</v>
      </c>
      <c r="EN604" s="38">
        <f t="shared" si="918"/>
        <v>0</v>
      </c>
      <c r="EO604" s="38">
        <f t="shared" si="919"/>
        <v>0</v>
      </c>
      <c r="EP604" s="38">
        <f t="shared" si="920"/>
        <v>255.72300000000004</v>
      </c>
      <c r="EQ604" s="38">
        <f t="shared" si="921"/>
        <v>113.28645743999998</v>
      </c>
      <c r="ER604" s="38">
        <f t="shared" si="922"/>
        <v>0</v>
      </c>
      <c r="ES604" s="38">
        <f t="shared" si="923"/>
        <v>0</v>
      </c>
      <c r="ET604" s="38">
        <f t="shared" si="924"/>
        <v>0</v>
      </c>
      <c r="EU604" s="38">
        <f t="shared" si="925"/>
        <v>0</v>
      </c>
      <c r="EV604" s="38">
        <f t="shared" si="926"/>
        <v>0</v>
      </c>
      <c r="EW604" s="38">
        <f t="shared" si="927"/>
        <v>0</v>
      </c>
      <c r="EX604" s="38">
        <f t="shared" si="928"/>
        <v>0</v>
      </c>
      <c r="EZ604" s="38">
        <f t="shared" si="929"/>
        <v>0</v>
      </c>
      <c r="FA604" s="38">
        <f t="shared" si="930"/>
        <v>0</v>
      </c>
      <c r="FB604" s="1">
        <f t="shared" si="931"/>
        <v>0</v>
      </c>
      <c r="FC604" s="1">
        <f t="shared" si="932"/>
        <v>0</v>
      </c>
      <c r="FD604" s="1">
        <f t="shared" si="933"/>
        <v>0</v>
      </c>
      <c r="FE604" s="1">
        <f t="shared" si="934"/>
        <v>0</v>
      </c>
      <c r="FF604" s="1">
        <f t="shared" si="935"/>
        <v>0</v>
      </c>
      <c r="FG604" s="1">
        <f t="shared" si="936"/>
        <v>0</v>
      </c>
      <c r="FH604" s="1">
        <f t="shared" si="937"/>
        <v>0</v>
      </c>
      <c r="FI604" s="1">
        <f t="shared" si="938"/>
        <v>0</v>
      </c>
      <c r="FJ604" s="1">
        <f t="shared" si="939"/>
        <v>0</v>
      </c>
      <c r="FK604" s="1">
        <f t="shared" si="940"/>
        <v>0</v>
      </c>
      <c r="FL604" s="1">
        <f t="shared" si="941"/>
        <v>0</v>
      </c>
      <c r="FM604" s="1">
        <f t="shared" si="942"/>
        <v>0</v>
      </c>
      <c r="FN604" s="1">
        <f t="shared" si="943"/>
        <v>0</v>
      </c>
      <c r="FO604" s="1">
        <f t="shared" si="944"/>
        <v>0</v>
      </c>
      <c r="FP604" s="1">
        <f t="shared" si="945"/>
        <v>0</v>
      </c>
      <c r="FQ604" s="1">
        <f t="shared" si="946"/>
        <v>0</v>
      </c>
      <c r="FS604" s="1">
        <f t="shared" si="947"/>
        <v>0</v>
      </c>
      <c r="FT604" s="1">
        <f t="shared" si="948"/>
        <v>0</v>
      </c>
      <c r="FU604" s="38">
        <f t="shared" si="949"/>
        <v>0</v>
      </c>
      <c r="FV604" s="38">
        <f t="shared" si="950"/>
        <v>0</v>
      </c>
      <c r="FW604" s="38">
        <f t="shared" si="951"/>
        <v>0</v>
      </c>
      <c r="FX604" s="38">
        <f t="shared" si="952"/>
        <v>0</v>
      </c>
      <c r="FY604" s="38">
        <f t="shared" si="953"/>
        <v>0</v>
      </c>
      <c r="FZ604" s="38">
        <f t="shared" si="954"/>
        <v>0</v>
      </c>
      <c r="GA604" s="38">
        <f t="shared" si="955"/>
        <v>0</v>
      </c>
      <c r="GB604" s="38">
        <f t="shared" si="956"/>
        <v>0</v>
      </c>
      <c r="GC604" s="38">
        <f t="shared" si="957"/>
        <v>0</v>
      </c>
      <c r="GD604" s="38">
        <f t="shared" si="958"/>
        <v>0</v>
      </c>
      <c r="GE604" s="38">
        <f t="shared" si="959"/>
        <v>0</v>
      </c>
      <c r="GF604" s="38">
        <f t="shared" si="960"/>
        <v>0</v>
      </c>
      <c r="GG604" s="38">
        <f t="shared" si="961"/>
        <v>0</v>
      </c>
      <c r="GH604" s="38">
        <f t="shared" si="962"/>
        <v>0</v>
      </c>
      <c r="GI604" s="38">
        <f t="shared" si="963"/>
        <v>0</v>
      </c>
      <c r="GJ604" s="38">
        <f t="shared" si="964"/>
        <v>0</v>
      </c>
      <c r="GL604" s="38">
        <f t="shared" si="965"/>
        <v>0</v>
      </c>
      <c r="GM604" s="38">
        <f t="shared" si="966"/>
        <v>0</v>
      </c>
      <c r="GN604" s="1" t="s">
        <v>2</v>
      </c>
      <c r="GO604" s="1">
        <f t="shared" si="974"/>
        <v>2.6</v>
      </c>
      <c r="GP604" s="1">
        <f t="shared" si="975"/>
        <v>0.75</v>
      </c>
      <c r="GQ604" s="41">
        <f t="shared" si="976"/>
        <v>19.5</v>
      </c>
      <c r="GR604" s="41">
        <f t="shared" si="977"/>
        <v>448.75248496</v>
      </c>
      <c r="GS604" s="14">
        <f t="shared" si="978"/>
        <v>172.59710959999998</v>
      </c>
      <c r="GT604" s="1">
        <f t="shared" si="967"/>
        <v>0</v>
      </c>
      <c r="GU604" s="1">
        <f t="shared" si="968"/>
        <v>0</v>
      </c>
      <c r="GV604" s="1">
        <f t="shared" si="969"/>
        <v>19.500000000000004</v>
      </c>
      <c r="GW604" s="37">
        <f t="shared" si="979"/>
        <v>0</v>
      </c>
      <c r="GX604" s="37"/>
      <c r="GY604" s="37"/>
      <c r="GZ604" s="37"/>
      <c r="HB604" s="1">
        <f t="shared" si="970"/>
        <v>0</v>
      </c>
      <c r="HC604" s="1">
        <f t="shared" si="971"/>
        <v>0</v>
      </c>
      <c r="HD604" s="37" t="s">
        <v>2</v>
      </c>
      <c r="HE604" s="1" t="s">
        <v>113</v>
      </c>
      <c r="HF604" s="1" t="s">
        <v>129</v>
      </c>
      <c r="HI604" s="1" t="s">
        <v>163</v>
      </c>
      <c r="HJ604" s="37" t="s">
        <v>2</v>
      </c>
      <c r="JH604" s="58" t="s">
        <v>2</v>
      </c>
    </row>
    <row r="605" spans="1:268" ht="16.25" customHeight="1" x14ac:dyDescent="0.2">
      <c r="A605" s="15" t="s">
        <v>1094</v>
      </c>
      <c r="B605" s="1" t="s">
        <v>69</v>
      </c>
      <c r="F605" s="1" t="s">
        <v>131</v>
      </c>
      <c r="I605" s="1">
        <v>0</v>
      </c>
      <c r="AD605" s="1">
        <v>0</v>
      </c>
      <c r="AY605" s="1">
        <v>9.15</v>
      </c>
      <c r="AZ605" s="1">
        <v>0.09</v>
      </c>
      <c r="BG605" s="1">
        <v>0.36</v>
      </c>
      <c r="BH605" s="1">
        <v>0.01</v>
      </c>
      <c r="BT605" s="1">
        <v>0</v>
      </c>
      <c r="CO605" s="1">
        <v>0</v>
      </c>
      <c r="DJ605" s="1" t="s">
        <v>163</v>
      </c>
      <c r="DK605" s="1" t="s">
        <v>163</v>
      </c>
      <c r="DL605" s="1">
        <f t="shared" si="972"/>
        <v>0.36</v>
      </c>
      <c r="DM605" s="1">
        <f t="shared" si="973"/>
        <v>0.01</v>
      </c>
      <c r="DN605" s="1" t="s">
        <v>821</v>
      </c>
      <c r="DO605" s="1" t="s">
        <v>2</v>
      </c>
      <c r="DP605" s="38">
        <f t="shared" si="895"/>
        <v>8.2349999999999993E-3</v>
      </c>
      <c r="DQ605" s="38">
        <f t="shared" si="896"/>
        <v>0</v>
      </c>
      <c r="DR605" s="38">
        <f t="shared" si="897"/>
        <v>0</v>
      </c>
      <c r="DS605" s="38">
        <f t="shared" si="898"/>
        <v>0</v>
      </c>
      <c r="DT605" s="38">
        <f t="shared" si="899"/>
        <v>0</v>
      </c>
      <c r="DU605" s="38">
        <f t="shared" si="900"/>
        <v>0</v>
      </c>
      <c r="DV605" s="38">
        <f t="shared" si="901"/>
        <v>0</v>
      </c>
      <c r="DW605" s="38">
        <f t="shared" si="902"/>
        <v>3.2939999999999997E-2</v>
      </c>
      <c r="DX605" s="38">
        <f t="shared" si="903"/>
        <v>9.1500000000000012E-4</v>
      </c>
      <c r="DY605" s="38">
        <f t="shared" si="904"/>
        <v>0</v>
      </c>
      <c r="DZ605" s="38">
        <f t="shared" si="905"/>
        <v>0</v>
      </c>
      <c r="EA605" s="38">
        <f t="shared" si="906"/>
        <v>0</v>
      </c>
      <c r="EB605" s="38">
        <f t="shared" si="907"/>
        <v>0</v>
      </c>
      <c r="EC605" s="38">
        <f t="shared" si="908"/>
        <v>0</v>
      </c>
      <c r="ED605" s="38">
        <f t="shared" si="909"/>
        <v>0</v>
      </c>
      <c r="EE605" s="38">
        <f t="shared" si="910"/>
        <v>0</v>
      </c>
      <c r="EG605" s="38">
        <f t="shared" si="911"/>
        <v>0</v>
      </c>
      <c r="EH605" s="38">
        <f t="shared" si="912"/>
        <v>0</v>
      </c>
      <c r="EI605" s="38">
        <f t="shared" si="913"/>
        <v>53.738447759999993</v>
      </c>
      <c r="EJ605" s="38">
        <f t="shared" si="914"/>
        <v>0</v>
      </c>
      <c r="EK605" s="38">
        <f t="shared" si="915"/>
        <v>0</v>
      </c>
      <c r="EL605" s="38">
        <f t="shared" si="916"/>
        <v>0</v>
      </c>
      <c r="EM605" s="38">
        <f t="shared" si="917"/>
        <v>0</v>
      </c>
      <c r="EN605" s="38">
        <f t="shared" si="918"/>
        <v>0</v>
      </c>
      <c r="EO605" s="38">
        <f t="shared" si="919"/>
        <v>0</v>
      </c>
      <c r="EP605" s="38">
        <f t="shared" si="920"/>
        <v>431.97515999999996</v>
      </c>
      <c r="EQ605" s="38">
        <f t="shared" si="921"/>
        <v>66.44686446</v>
      </c>
      <c r="ER605" s="38">
        <f t="shared" si="922"/>
        <v>0</v>
      </c>
      <c r="ES605" s="38">
        <f t="shared" si="923"/>
        <v>0</v>
      </c>
      <c r="ET605" s="38">
        <f t="shared" si="924"/>
        <v>0</v>
      </c>
      <c r="EU605" s="38">
        <f t="shared" si="925"/>
        <v>0</v>
      </c>
      <c r="EV605" s="38">
        <f t="shared" si="926"/>
        <v>0</v>
      </c>
      <c r="EW605" s="38">
        <f t="shared" si="927"/>
        <v>0</v>
      </c>
      <c r="EX605" s="38">
        <f t="shared" si="928"/>
        <v>0</v>
      </c>
      <c r="EZ605" s="38">
        <f t="shared" si="929"/>
        <v>0</v>
      </c>
      <c r="FA605" s="38">
        <f t="shared" si="930"/>
        <v>0</v>
      </c>
      <c r="FB605" s="1">
        <f t="shared" si="931"/>
        <v>0</v>
      </c>
      <c r="FC605" s="1">
        <f t="shared" si="932"/>
        <v>0</v>
      </c>
      <c r="FD605" s="1">
        <f t="shared" si="933"/>
        <v>0</v>
      </c>
      <c r="FE605" s="1">
        <f t="shared" si="934"/>
        <v>0</v>
      </c>
      <c r="FF605" s="1">
        <f t="shared" si="935"/>
        <v>0</v>
      </c>
      <c r="FG605" s="1">
        <f t="shared" si="936"/>
        <v>0</v>
      </c>
      <c r="FH605" s="1">
        <f t="shared" si="937"/>
        <v>0</v>
      </c>
      <c r="FI605" s="1">
        <f t="shared" si="938"/>
        <v>0</v>
      </c>
      <c r="FJ605" s="1">
        <f t="shared" si="939"/>
        <v>0</v>
      </c>
      <c r="FK605" s="1">
        <f t="shared" si="940"/>
        <v>0</v>
      </c>
      <c r="FL605" s="1">
        <f t="shared" si="941"/>
        <v>0</v>
      </c>
      <c r="FM605" s="1">
        <f t="shared" si="942"/>
        <v>0</v>
      </c>
      <c r="FN605" s="1">
        <f t="shared" si="943"/>
        <v>0</v>
      </c>
      <c r="FO605" s="1">
        <f t="shared" si="944"/>
        <v>0</v>
      </c>
      <c r="FP605" s="1">
        <f t="shared" si="945"/>
        <v>0</v>
      </c>
      <c r="FQ605" s="1">
        <f t="shared" si="946"/>
        <v>0</v>
      </c>
      <c r="FS605" s="1">
        <f t="shared" si="947"/>
        <v>0</v>
      </c>
      <c r="FT605" s="1">
        <f t="shared" si="948"/>
        <v>0</v>
      </c>
      <c r="FU605" s="38">
        <f t="shared" si="949"/>
        <v>0</v>
      </c>
      <c r="FV605" s="38">
        <f t="shared" si="950"/>
        <v>0</v>
      </c>
      <c r="FW605" s="38">
        <f t="shared" si="951"/>
        <v>0</v>
      </c>
      <c r="FX605" s="38">
        <f t="shared" si="952"/>
        <v>0</v>
      </c>
      <c r="FY605" s="38">
        <f t="shared" si="953"/>
        <v>0</v>
      </c>
      <c r="FZ605" s="38">
        <f t="shared" si="954"/>
        <v>0</v>
      </c>
      <c r="GA605" s="38">
        <f t="shared" si="955"/>
        <v>0</v>
      </c>
      <c r="GB605" s="38">
        <f t="shared" si="956"/>
        <v>0</v>
      </c>
      <c r="GC605" s="38">
        <f t="shared" si="957"/>
        <v>0</v>
      </c>
      <c r="GD605" s="38">
        <f t="shared" si="958"/>
        <v>0</v>
      </c>
      <c r="GE605" s="38">
        <f t="shared" si="959"/>
        <v>0</v>
      </c>
      <c r="GF605" s="38">
        <f t="shared" si="960"/>
        <v>0</v>
      </c>
      <c r="GG605" s="38">
        <f t="shared" si="961"/>
        <v>0</v>
      </c>
      <c r="GH605" s="38">
        <f t="shared" si="962"/>
        <v>0</v>
      </c>
      <c r="GI605" s="38">
        <f t="shared" si="963"/>
        <v>0</v>
      </c>
      <c r="GJ605" s="38">
        <f t="shared" si="964"/>
        <v>0</v>
      </c>
      <c r="GL605" s="38">
        <f t="shared" si="965"/>
        <v>0</v>
      </c>
      <c r="GM605" s="38">
        <f t="shared" si="966"/>
        <v>0</v>
      </c>
      <c r="GN605" s="1" t="s">
        <v>2</v>
      </c>
      <c r="GO605" s="1">
        <f t="shared" si="974"/>
        <v>9.15</v>
      </c>
      <c r="GP605" s="1">
        <f t="shared" si="975"/>
        <v>0.36</v>
      </c>
      <c r="GQ605" s="41">
        <f t="shared" si="976"/>
        <v>32.94</v>
      </c>
      <c r="GR605" s="41">
        <f t="shared" si="977"/>
        <v>552.16047221999997</v>
      </c>
      <c r="GS605" s="14">
        <f t="shared" si="978"/>
        <v>60.345406799999992</v>
      </c>
      <c r="GT605" s="1">
        <f t="shared" si="967"/>
        <v>0</v>
      </c>
      <c r="GU605" s="1">
        <f t="shared" si="968"/>
        <v>0</v>
      </c>
      <c r="GV605" s="1">
        <f t="shared" si="969"/>
        <v>32.94</v>
      </c>
      <c r="GW605" s="37">
        <f t="shared" si="979"/>
        <v>0</v>
      </c>
      <c r="GX605" s="37"/>
      <c r="GY605" s="37"/>
      <c r="GZ605" s="37"/>
      <c r="HB605" s="1">
        <f t="shared" si="970"/>
        <v>0</v>
      </c>
      <c r="HC605" s="1">
        <f t="shared" si="971"/>
        <v>0</v>
      </c>
      <c r="HD605" s="37" t="s">
        <v>2</v>
      </c>
      <c r="HE605" s="1" t="s">
        <v>113</v>
      </c>
      <c r="HF605" s="1" t="s">
        <v>129</v>
      </c>
      <c r="HI605" s="1" t="s">
        <v>163</v>
      </c>
      <c r="HJ605" s="37" t="s">
        <v>2</v>
      </c>
      <c r="JH605" s="58" t="s">
        <v>2</v>
      </c>
    </row>
    <row r="606" spans="1:268" ht="16.25" customHeight="1" x14ac:dyDescent="0.2">
      <c r="A606" s="15" t="s">
        <v>814</v>
      </c>
      <c r="B606" s="1" t="s">
        <v>69</v>
      </c>
      <c r="F606" s="1" t="s">
        <v>131</v>
      </c>
      <c r="I606" s="1">
        <v>0</v>
      </c>
      <c r="AD606" s="1">
        <v>0</v>
      </c>
      <c r="AY606" s="1">
        <v>1.75</v>
      </c>
      <c r="AZ606" s="1">
        <v>0.33500000000000002</v>
      </c>
      <c r="BG606" s="1">
        <v>0.47</v>
      </c>
      <c r="BT606" s="1">
        <v>0</v>
      </c>
      <c r="CO606" s="1">
        <v>0</v>
      </c>
      <c r="DJ606" s="1" t="s">
        <v>163</v>
      </c>
      <c r="DL606" s="1">
        <f t="shared" si="972"/>
        <v>0.47000000000000003</v>
      </c>
      <c r="DM606" s="1">
        <f t="shared" si="973"/>
        <v>0</v>
      </c>
      <c r="DN606" s="1" t="s">
        <v>815</v>
      </c>
      <c r="DO606" s="1" t="s">
        <v>2</v>
      </c>
      <c r="DP606" s="38">
        <f t="shared" si="895"/>
        <v>5.8625000000000005E-3</v>
      </c>
      <c r="DQ606" s="38">
        <f t="shared" si="896"/>
        <v>0</v>
      </c>
      <c r="DR606" s="38">
        <f t="shared" si="897"/>
        <v>0</v>
      </c>
      <c r="DS606" s="38">
        <f t="shared" si="898"/>
        <v>0</v>
      </c>
      <c r="DT606" s="38">
        <f t="shared" si="899"/>
        <v>0</v>
      </c>
      <c r="DU606" s="38">
        <f t="shared" si="900"/>
        <v>0</v>
      </c>
      <c r="DV606" s="38">
        <f t="shared" si="901"/>
        <v>0</v>
      </c>
      <c r="DW606" s="38">
        <f t="shared" si="902"/>
        <v>8.2249999999999997E-3</v>
      </c>
      <c r="DX606" s="38">
        <f t="shared" si="903"/>
        <v>0</v>
      </c>
      <c r="DY606" s="38">
        <f t="shared" si="904"/>
        <v>0</v>
      </c>
      <c r="DZ606" s="38">
        <f t="shared" si="905"/>
        <v>0</v>
      </c>
      <c r="EA606" s="38">
        <f t="shared" si="906"/>
        <v>0</v>
      </c>
      <c r="EB606" s="38">
        <f t="shared" si="907"/>
        <v>0</v>
      </c>
      <c r="EC606" s="38">
        <f t="shared" si="908"/>
        <v>0</v>
      </c>
      <c r="ED606" s="38">
        <f t="shared" si="909"/>
        <v>0</v>
      </c>
      <c r="EE606" s="38">
        <f t="shared" si="910"/>
        <v>0</v>
      </c>
      <c r="EG606" s="38">
        <f t="shared" si="911"/>
        <v>0</v>
      </c>
      <c r="EH606" s="38">
        <f t="shared" si="912"/>
        <v>0</v>
      </c>
      <c r="EI606" s="38">
        <f t="shared" si="913"/>
        <v>38.2564238</v>
      </c>
      <c r="EJ606" s="38">
        <f t="shared" si="914"/>
        <v>0</v>
      </c>
      <c r="EK606" s="38">
        <f t="shared" si="915"/>
        <v>0</v>
      </c>
      <c r="EL606" s="38">
        <f t="shared" si="916"/>
        <v>0</v>
      </c>
      <c r="EM606" s="38">
        <f t="shared" si="917"/>
        <v>0</v>
      </c>
      <c r="EN606" s="38">
        <f t="shared" si="918"/>
        <v>0</v>
      </c>
      <c r="EO606" s="38">
        <f t="shared" si="919"/>
        <v>0</v>
      </c>
      <c r="EP606" s="38">
        <f t="shared" si="920"/>
        <v>107.86265</v>
      </c>
      <c r="EQ606" s="38">
        <f t="shared" si="921"/>
        <v>0</v>
      </c>
      <c r="ER606" s="38">
        <f t="shared" si="922"/>
        <v>0</v>
      </c>
      <c r="ES606" s="38">
        <f t="shared" si="923"/>
        <v>0</v>
      </c>
      <c r="ET606" s="38">
        <f t="shared" si="924"/>
        <v>0</v>
      </c>
      <c r="EU606" s="38">
        <f t="shared" si="925"/>
        <v>0</v>
      </c>
      <c r="EV606" s="38">
        <f t="shared" si="926"/>
        <v>0</v>
      </c>
      <c r="EW606" s="38">
        <f t="shared" si="927"/>
        <v>0</v>
      </c>
      <c r="EX606" s="38">
        <f t="shared" si="928"/>
        <v>0</v>
      </c>
      <c r="EZ606" s="38">
        <f t="shared" si="929"/>
        <v>0</v>
      </c>
      <c r="FA606" s="38">
        <f t="shared" si="930"/>
        <v>0</v>
      </c>
      <c r="FB606" s="1">
        <f t="shared" si="931"/>
        <v>0</v>
      </c>
      <c r="FC606" s="1">
        <f t="shared" si="932"/>
        <v>0</v>
      </c>
      <c r="FD606" s="1">
        <f t="shared" si="933"/>
        <v>0</v>
      </c>
      <c r="FE606" s="1">
        <f t="shared" si="934"/>
        <v>0</v>
      </c>
      <c r="FF606" s="1">
        <f t="shared" si="935"/>
        <v>0</v>
      </c>
      <c r="FG606" s="1">
        <f t="shared" si="936"/>
        <v>0</v>
      </c>
      <c r="FH606" s="1">
        <f t="shared" si="937"/>
        <v>0</v>
      </c>
      <c r="FI606" s="1">
        <f t="shared" si="938"/>
        <v>0</v>
      </c>
      <c r="FJ606" s="1">
        <f t="shared" si="939"/>
        <v>0</v>
      </c>
      <c r="FK606" s="1">
        <f t="shared" si="940"/>
        <v>0</v>
      </c>
      <c r="FL606" s="1">
        <f t="shared" si="941"/>
        <v>0</v>
      </c>
      <c r="FM606" s="1">
        <f t="shared" si="942"/>
        <v>0</v>
      </c>
      <c r="FN606" s="1">
        <f t="shared" si="943"/>
        <v>0</v>
      </c>
      <c r="FO606" s="1">
        <f t="shared" si="944"/>
        <v>0</v>
      </c>
      <c r="FP606" s="1">
        <f t="shared" si="945"/>
        <v>0</v>
      </c>
      <c r="FQ606" s="1">
        <f t="shared" si="946"/>
        <v>0</v>
      </c>
      <c r="FS606" s="1">
        <f t="shared" si="947"/>
        <v>0</v>
      </c>
      <c r="FT606" s="1">
        <f t="shared" si="948"/>
        <v>0</v>
      </c>
      <c r="FU606" s="38">
        <f t="shared" si="949"/>
        <v>0</v>
      </c>
      <c r="FV606" s="38">
        <f t="shared" si="950"/>
        <v>0</v>
      </c>
      <c r="FW606" s="38">
        <f t="shared" si="951"/>
        <v>0</v>
      </c>
      <c r="FX606" s="38">
        <f t="shared" si="952"/>
        <v>0</v>
      </c>
      <c r="FY606" s="38">
        <f t="shared" si="953"/>
        <v>0</v>
      </c>
      <c r="FZ606" s="38">
        <f t="shared" si="954"/>
        <v>0</v>
      </c>
      <c r="GA606" s="38">
        <f t="shared" si="955"/>
        <v>0</v>
      </c>
      <c r="GB606" s="38">
        <f t="shared" si="956"/>
        <v>0</v>
      </c>
      <c r="GC606" s="38">
        <f t="shared" si="957"/>
        <v>0</v>
      </c>
      <c r="GD606" s="38">
        <f t="shared" si="958"/>
        <v>0</v>
      </c>
      <c r="GE606" s="38">
        <f t="shared" si="959"/>
        <v>0</v>
      </c>
      <c r="GF606" s="38">
        <f t="shared" si="960"/>
        <v>0</v>
      </c>
      <c r="GG606" s="38">
        <f t="shared" si="961"/>
        <v>0</v>
      </c>
      <c r="GH606" s="38">
        <f t="shared" si="962"/>
        <v>0</v>
      </c>
      <c r="GI606" s="38">
        <f t="shared" si="963"/>
        <v>0</v>
      </c>
      <c r="GJ606" s="38">
        <f t="shared" si="964"/>
        <v>0</v>
      </c>
      <c r="GL606" s="38">
        <f t="shared" si="965"/>
        <v>0</v>
      </c>
      <c r="GM606" s="38">
        <f t="shared" si="966"/>
        <v>0</v>
      </c>
      <c r="GN606" s="1" t="s">
        <v>2</v>
      </c>
      <c r="GO606" s="1">
        <f t="shared" si="974"/>
        <v>1.75</v>
      </c>
      <c r="GP606" s="1">
        <f t="shared" si="975"/>
        <v>0.47000000000000003</v>
      </c>
      <c r="GQ606" s="41">
        <f t="shared" si="976"/>
        <v>8.2249999999999996</v>
      </c>
      <c r="GR606" s="41">
        <f t="shared" si="977"/>
        <v>146.1190738</v>
      </c>
      <c r="GS606" s="14">
        <f t="shared" si="978"/>
        <v>83.496613600000003</v>
      </c>
      <c r="GT606" s="1">
        <f t="shared" si="967"/>
        <v>0</v>
      </c>
      <c r="GU606" s="1">
        <f t="shared" si="968"/>
        <v>0</v>
      </c>
      <c r="GV606" s="1">
        <f t="shared" si="969"/>
        <v>8.2249999999999996</v>
      </c>
      <c r="GW606" s="37">
        <f t="shared" si="979"/>
        <v>0</v>
      </c>
      <c r="GX606" s="37"/>
      <c r="GY606" s="37"/>
      <c r="GZ606" s="37"/>
      <c r="HB606" s="1">
        <f t="shared" si="970"/>
        <v>0</v>
      </c>
      <c r="HC606" s="1">
        <f t="shared" si="971"/>
        <v>0</v>
      </c>
      <c r="HD606" s="37" t="s">
        <v>2</v>
      </c>
      <c r="HE606" s="1" t="s">
        <v>113</v>
      </c>
      <c r="HF606" s="1" t="s">
        <v>129</v>
      </c>
      <c r="HI606" s="1" t="s">
        <v>163</v>
      </c>
      <c r="HJ606" s="37" t="s">
        <v>2</v>
      </c>
      <c r="JH606" s="58" t="s">
        <v>2</v>
      </c>
    </row>
    <row r="607" spans="1:268" ht="16.25" customHeight="1" x14ac:dyDescent="0.2">
      <c r="A607" s="15" t="s">
        <v>844</v>
      </c>
      <c r="B607" s="1" t="s">
        <v>69</v>
      </c>
      <c r="F607" s="1" t="s">
        <v>131</v>
      </c>
      <c r="I607" s="1">
        <v>0</v>
      </c>
      <c r="AD607" s="1">
        <v>0</v>
      </c>
      <c r="AY607" s="1">
        <v>1.67</v>
      </c>
      <c r="AZ607" s="1">
        <v>0.3</v>
      </c>
      <c r="BG607" s="1">
        <v>0.51500000000000001</v>
      </c>
      <c r="BT607" s="1">
        <v>0</v>
      </c>
      <c r="CO607" s="1">
        <v>0</v>
      </c>
      <c r="DJ607" s="1" t="s">
        <v>163</v>
      </c>
      <c r="DL607" s="1">
        <f t="shared" si="972"/>
        <v>0.51500000000000001</v>
      </c>
      <c r="DM607" s="1">
        <f t="shared" si="973"/>
        <v>0</v>
      </c>
      <c r="DN607" s="1" t="s">
        <v>815</v>
      </c>
      <c r="DO607" s="1" t="s">
        <v>2</v>
      </c>
      <c r="DP607" s="38">
        <f t="shared" ref="DP607:DP631" si="980">(J607*$I607+AE607*$AD607+AZ607*$AY607)/100</f>
        <v>5.0099999999999997E-3</v>
      </c>
      <c r="DQ607" s="38">
        <f t="shared" ref="DQ607:DQ631" si="981">K607*$I607+AF607*$AD607+BA607*$AY607</f>
        <v>0</v>
      </c>
      <c r="DR607" s="38">
        <f t="shared" ref="DR607:DR631" si="982">L607*$I607+AG607*$AD607+BB607*$AY607</f>
        <v>0</v>
      </c>
      <c r="DS607" s="38">
        <f t="shared" ref="DS607:DS631" si="983">(M607*$I607+AH607*$AD607+BC607*$AY607)/100</f>
        <v>0</v>
      </c>
      <c r="DT607" s="38">
        <f t="shared" ref="DT607:DT631" si="984">(N607*$I607+AI607*$AD607+BD607*$AY607)/100</f>
        <v>0</v>
      </c>
      <c r="DU607" s="38">
        <f t="shared" ref="DU607:DU631" si="985">(O607*$I607+AJ607*$AD607+BE607*$AY607)/100</f>
        <v>0</v>
      </c>
      <c r="DV607" s="38">
        <f t="shared" ref="DV607:DV631" si="986">(P607*$I607+AK607*$AD607+BF607*$AY607)/100</f>
        <v>0</v>
      </c>
      <c r="DW607" s="38">
        <f t="shared" ref="DW607:DW631" si="987">(Q607*$I607+AL607*$AD607+BG607*$AY607)/100</f>
        <v>8.6005000000000005E-3</v>
      </c>
      <c r="DX607" s="38">
        <f t="shared" ref="DX607:DX631" si="988">(R607*$I607+AM607*$AD607+BH607*$AY607)/100</f>
        <v>0</v>
      </c>
      <c r="DY607" s="38">
        <f t="shared" ref="DY607:DY631" si="989">S607*$I607+AN607*$AD607+BI607*$AY607</f>
        <v>0</v>
      </c>
      <c r="DZ607" s="38">
        <f t="shared" ref="DZ607:DZ631" si="990">T607*$I607+AO607*$AD607+BJ607*$AY607</f>
        <v>0</v>
      </c>
      <c r="EA607" s="38">
        <f t="shared" ref="EA607:EA631" si="991">U607*$I607+AP607*$AD607+BK607*$AY607</f>
        <v>0</v>
      </c>
      <c r="EB607" s="38">
        <f t="shared" ref="EB607:EB631" si="992">V607*$I607+AQ607*$AD607+BL607*$AY607</f>
        <v>0</v>
      </c>
      <c r="EC607" s="38">
        <f t="shared" ref="EC607:EC631" si="993">W607*$I607+AR607*$AD607+BM607*$AY607</f>
        <v>0</v>
      </c>
      <c r="ED607" s="38">
        <f t="shared" ref="ED607:ED631" si="994">(X607*$I607+AS607*$AD607+BN607*$AY607)/100</f>
        <v>0</v>
      </c>
      <c r="EE607" s="38">
        <f t="shared" ref="EE607:EE631" si="995">(Y607*$I607+AT607*$AD607+BO607*$AY607)/100</f>
        <v>0</v>
      </c>
      <c r="EG607" s="38">
        <f t="shared" ref="EG607:EG631" si="996">AA607*$I607+AV607*$AD607+BQ607*$AY607</f>
        <v>0</v>
      </c>
      <c r="EH607" s="38">
        <f t="shared" ref="EH607:EH631" si="997">(AB607*$I607+AW607*$AD607+BR607*$AY607)/100</f>
        <v>0</v>
      </c>
      <c r="EI607" s="38">
        <f t="shared" ref="EI607:EI631" si="998">EI$1*DP607</f>
        <v>32.693336160000001</v>
      </c>
      <c r="EJ607" s="38">
        <f t="shared" ref="EJ607:EJ631" si="999">EJ$1*DQ607/1000000</f>
        <v>0</v>
      </c>
      <c r="EK607" s="38">
        <f t="shared" ref="EK607:EK631" si="1000">EK$1*DR607/1000000</f>
        <v>0</v>
      </c>
      <c r="EL607" s="38">
        <f t="shared" ref="EL607:EL631" si="1001">EL$1*DS607</f>
        <v>0</v>
      </c>
      <c r="EM607" s="38">
        <f t="shared" ref="EM607:EM631" si="1002">EM$1*DT607</f>
        <v>0</v>
      </c>
      <c r="EN607" s="38">
        <f t="shared" ref="EN607:EN631" si="1003">EN$1*DU607</f>
        <v>0</v>
      </c>
      <c r="EO607" s="38">
        <f t="shared" ref="EO607:EO631" si="1004">EO$1*DV607</f>
        <v>0</v>
      </c>
      <c r="EP607" s="38">
        <f t="shared" ref="EP607:EP631" si="1005">EP$1*DW607</f>
        <v>112.786957</v>
      </c>
      <c r="EQ607" s="38">
        <f t="shared" ref="EQ607:EQ631" si="1006">EQ$1*DX607</f>
        <v>0</v>
      </c>
      <c r="ER607" s="38">
        <f t="shared" ref="ER607:ER631" si="1007">ER$1*DY607/1000000</f>
        <v>0</v>
      </c>
      <c r="ES607" s="38">
        <f t="shared" ref="ES607:ES631" si="1008">ES$1*DZ607/1000000</f>
        <v>0</v>
      </c>
      <c r="ET607" s="38">
        <f t="shared" ref="ET607:ET631" si="1009">ET$1*EA607/1000000</f>
        <v>0</v>
      </c>
      <c r="EU607" s="38">
        <f t="shared" ref="EU607:EU631" si="1010">EU$1*EB607/1000000</f>
        <v>0</v>
      </c>
      <c r="EV607" s="38">
        <f t="shared" ref="EV607:EV631" si="1011">EV$1*EC607/1000000</f>
        <v>0</v>
      </c>
      <c r="EW607" s="38">
        <f t="shared" ref="EW607:EW631" si="1012">EW$1*ED607</f>
        <v>0</v>
      </c>
      <c r="EX607" s="38">
        <f t="shared" ref="EX607:EX631" si="1013">EX$1*EE607</f>
        <v>0</v>
      </c>
      <c r="EZ607" s="38">
        <f t="shared" ref="EZ607:EZ631" si="1014">EZ$1*EG607/1000000</f>
        <v>0</v>
      </c>
      <c r="FA607" s="38">
        <f t="shared" ref="FA607:FA631" si="1015">FA$1*EH607</f>
        <v>0</v>
      </c>
      <c r="FB607" s="1">
        <f t="shared" ref="FB607:FB631" si="1016">(BU607*$BT607+CP607*$CO607)/100</f>
        <v>0</v>
      </c>
      <c r="FC607" s="1">
        <f t="shared" ref="FC607:FC631" si="1017">BV607*$BT607+CQ607*$CO607</f>
        <v>0</v>
      </c>
      <c r="FD607" s="1">
        <f t="shared" ref="FD607:FD631" si="1018">BW607*$BT607+CR607*$CO607</f>
        <v>0</v>
      </c>
      <c r="FE607" s="1">
        <f t="shared" ref="FE607:FE631" si="1019">(BX607*$BT607+CS607*$CO607)/100</f>
        <v>0</v>
      </c>
      <c r="FF607" s="1">
        <f t="shared" ref="FF607:FF631" si="1020">(BY607*$BT607+CT607*$CO607)/100</f>
        <v>0</v>
      </c>
      <c r="FG607" s="1">
        <f t="shared" ref="FG607:FG631" si="1021">(BZ607*$BT607+CU607*$CO607)/100</f>
        <v>0</v>
      </c>
      <c r="FH607" s="1">
        <f t="shared" ref="FH607:FH631" si="1022">(CA607*$BT607+CV607*$CO607)/100</f>
        <v>0</v>
      </c>
      <c r="FI607" s="1">
        <f t="shared" ref="FI607:FI631" si="1023">(CB607*$BT607+CW607*$CO607)/100</f>
        <v>0</v>
      </c>
      <c r="FJ607" s="1">
        <f t="shared" ref="FJ607:FJ631" si="1024">(CC607*$BT607+CX607*$CO607)/100</f>
        <v>0</v>
      </c>
      <c r="FK607" s="1">
        <f t="shared" ref="FK607:FK631" si="1025">CD607*$BT607+CY607*$CO607</f>
        <v>0</v>
      </c>
      <c r="FL607" s="1">
        <f t="shared" ref="FL607:FL631" si="1026">CE607*$BT607+CZ607*$CO607</f>
        <v>0</v>
      </c>
      <c r="FM607" s="1">
        <f t="shared" ref="FM607:FM631" si="1027">CF607*$BT607+DA607*$CO607</f>
        <v>0</v>
      </c>
      <c r="FN607" s="1">
        <f t="shared" ref="FN607:FN631" si="1028">CG607*$BT607+DB607*$CO607</f>
        <v>0</v>
      </c>
      <c r="FO607" s="1">
        <f t="shared" ref="FO607:FO631" si="1029">CH607*$BT607+DC607*$CO607</f>
        <v>0</v>
      </c>
      <c r="FP607" s="1">
        <f t="shared" ref="FP607:FP631" si="1030">(CI607*$BT607+DD607*$CO607)/100</f>
        <v>0</v>
      </c>
      <c r="FQ607" s="1">
        <f t="shared" ref="FQ607:FQ631" si="1031">(CJ607*$BT607+DE607*$CO607)/100</f>
        <v>0</v>
      </c>
      <c r="FS607" s="1">
        <f t="shared" ref="FS607:FS631" si="1032">CL607*$BT607+DG607*$CO607</f>
        <v>0</v>
      </c>
      <c r="FT607" s="1">
        <f t="shared" ref="FT607:FT631" si="1033">(CM607*$BT607+DH607*$CO607)/100</f>
        <v>0</v>
      </c>
      <c r="FU607" s="38">
        <f t="shared" ref="FU607:FU631" si="1034">FU$1*FB607</f>
        <v>0</v>
      </c>
      <c r="FV607" s="38">
        <f t="shared" ref="FV607:FV631" si="1035">FV$1*FC607/1000000</f>
        <v>0</v>
      </c>
      <c r="FW607" s="38">
        <f t="shared" ref="FW607:FW631" si="1036">FW$1*FD607/1000000</f>
        <v>0</v>
      </c>
      <c r="FX607" s="38">
        <f t="shared" ref="FX607:FX631" si="1037">FX$1*FE607</f>
        <v>0</v>
      </c>
      <c r="FY607" s="38">
        <f t="shared" ref="FY607:FY631" si="1038">FY$1*FF607</f>
        <v>0</v>
      </c>
      <c r="FZ607" s="38">
        <f t="shared" ref="FZ607:FZ631" si="1039">FZ$1*FG607</f>
        <v>0</v>
      </c>
      <c r="GA607" s="38">
        <f t="shared" ref="GA607:GA631" si="1040">GA$1*FH607</f>
        <v>0</v>
      </c>
      <c r="GB607" s="38">
        <f t="shared" ref="GB607:GB631" si="1041">GB$1*FI607</f>
        <v>0</v>
      </c>
      <c r="GC607" s="38">
        <f t="shared" ref="GC607:GC631" si="1042">GC$1*FJ607</f>
        <v>0</v>
      </c>
      <c r="GD607" s="38">
        <f t="shared" ref="GD607:GD631" si="1043">GD$1*FK607/1000000</f>
        <v>0</v>
      </c>
      <c r="GE607" s="38">
        <f t="shared" ref="GE607:GE631" si="1044">GE$1*FL607/1000000</f>
        <v>0</v>
      </c>
      <c r="GF607" s="38">
        <f t="shared" ref="GF607:GF631" si="1045">GF$1*FM607/1000000</f>
        <v>0</v>
      </c>
      <c r="GG607" s="38">
        <f t="shared" ref="GG607:GG631" si="1046">GG$1*FN607/1000000</f>
        <v>0</v>
      </c>
      <c r="GH607" s="38">
        <f t="shared" ref="GH607:GH631" si="1047">GH$1*FO607/1000000</f>
        <v>0</v>
      </c>
      <c r="GI607" s="38">
        <f t="shared" ref="GI607:GI631" si="1048">GI$1*FP607</f>
        <v>0</v>
      </c>
      <c r="GJ607" s="38">
        <f t="shared" ref="GJ607:GJ631" si="1049">GJ$1*FQ607</f>
        <v>0</v>
      </c>
      <c r="GL607" s="38">
        <f t="shared" ref="GL607:GL631" si="1050">GL$1*FS607/1000000</f>
        <v>0</v>
      </c>
      <c r="GM607" s="38">
        <f t="shared" ref="GM607:GM631" si="1051">GM$1*FT607</f>
        <v>0</v>
      </c>
      <c r="GN607" s="1" t="s">
        <v>2</v>
      </c>
      <c r="GO607" s="1">
        <f t="shared" si="974"/>
        <v>1.67</v>
      </c>
      <c r="GP607" s="13">
        <f t="shared" si="975"/>
        <v>0.51500000000000001</v>
      </c>
      <c r="GQ607" s="41">
        <f t="shared" si="976"/>
        <v>8.6005000000000003</v>
      </c>
      <c r="GR607" s="41">
        <f t="shared" si="977"/>
        <v>145.48029316</v>
      </c>
      <c r="GS607" s="14">
        <f t="shared" si="978"/>
        <v>87.113948000000008</v>
      </c>
      <c r="GT607" s="1">
        <f t="shared" ref="GT607:GT631" si="1052">1000*(Q607*$I607)/100</f>
        <v>0</v>
      </c>
      <c r="GU607" s="1">
        <f t="shared" ref="GU607:GU631" si="1053">1000*(AL607*$AD607)/100</f>
        <v>0</v>
      </c>
      <c r="GV607" s="1">
        <f t="shared" ref="GV607:GV631" si="1054">1000*(BG607*$AY607)/100</f>
        <v>8.6005000000000003</v>
      </c>
      <c r="GW607" s="37">
        <f t="shared" si="979"/>
        <v>0</v>
      </c>
      <c r="GX607" s="37"/>
      <c r="GY607" s="37"/>
      <c r="GZ607" s="37"/>
      <c r="HB607" s="1">
        <f t="shared" ref="HB607:HB631" si="1055">1000*(CB607*$BT607)/100</f>
        <v>0</v>
      </c>
      <c r="HC607" s="1">
        <f t="shared" ref="HC607:HC631" si="1056">1000*(CW607*$CO607)/100</f>
        <v>0</v>
      </c>
      <c r="HD607" s="37" t="s">
        <v>2</v>
      </c>
      <c r="HE607" s="1" t="s">
        <v>113</v>
      </c>
      <c r="HF607" s="1" t="s">
        <v>129</v>
      </c>
      <c r="HI607" s="1" t="s">
        <v>163</v>
      </c>
      <c r="HJ607" s="37" t="s">
        <v>2</v>
      </c>
      <c r="JH607" s="58" t="s">
        <v>2</v>
      </c>
    </row>
    <row r="608" spans="1:268" ht="16.25" customHeight="1" x14ac:dyDescent="0.2">
      <c r="A608" s="15" t="s">
        <v>847</v>
      </c>
      <c r="B608" s="1" t="s">
        <v>69</v>
      </c>
      <c r="F608" s="1" t="s">
        <v>131</v>
      </c>
      <c r="I608" s="1">
        <v>0</v>
      </c>
      <c r="AD608" s="1">
        <v>0</v>
      </c>
      <c r="AY608" s="1">
        <v>20.863</v>
      </c>
      <c r="AZ608" s="1">
        <v>0.43</v>
      </c>
      <c r="BG608" s="1">
        <v>0.88</v>
      </c>
      <c r="BT608" s="1">
        <v>0</v>
      </c>
      <c r="CO608" s="1">
        <v>0</v>
      </c>
      <c r="DJ608" s="1" t="s">
        <v>163</v>
      </c>
      <c r="DL608" s="1">
        <f t="shared" si="972"/>
        <v>0.88</v>
      </c>
      <c r="DM608" s="1">
        <f t="shared" si="973"/>
        <v>0</v>
      </c>
      <c r="DN608" s="1" t="s">
        <v>815</v>
      </c>
      <c r="DO608" s="1" t="s">
        <v>2</v>
      </c>
      <c r="DP608" s="38">
        <f t="shared" si="980"/>
        <v>8.9710899999999996E-2</v>
      </c>
      <c r="DQ608" s="38">
        <f t="shared" si="981"/>
        <v>0</v>
      </c>
      <c r="DR608" s="38">
        <f t="shared" si="982"/>
        <v>0</v>
      </c>
      <c r="DS608" s="38">
        <f t="shared" si="983"/>
        <v>0</v>
      </c>
      <c r="DT608" s="38">
        <f t="shared" si="984"/>
        <v>0</v>
      </c>
      <c r="DU608" s="38">
        <f t="shared" si="985"/>
        <v>0</v>
      </c>
      <c r="DV608" s="38">
        <f t="shared" si="986"/>
        <v>0</v>
      </c>
      <c r="DW608" s="38">
        <f t="shared" si="987"/>
        <v>0.18359439999999999</v>
      </c>
      <c r="DX608" s="38">
        <f t="shared" si="988"/>
        <v>0</v>
      </c>
      <c r="DY608" s="38">
        <f t="shared" si="989"/>
        <v>0</v>
      </c>
      <c r="DZ608" s="38">
        <f t="shared" si="990"/>
        <v>0</v>
      </c>
      <c r="EA608" s="38">
        <f t="shared" si="991"/>
        <v>0</v>
      </c>
      <c r="EB608" s="38">
        <f t="shared" si="992"/>
        <v>0</v>
      </c>
      <c r="EC608" s="38">
        <f t="shared" si="993"/>
        <v>0</v>
      </c>
      <c r="ED608" s="38">
        <f t="shared" si="994"/>
        <v>0</v>
      </c>
      <c r="EE608" s="38">
        <f t="shared" si="995"/>
        <v>0</v>
      </c>
      <c r="EG608" s="38">
        <f t="shared" si="996"/>
        <v>0</v>
      </c>
      <c r="EH608" s="38">
        <f t="shared" si="997"/>
        <v>0</v>
      </c>
      <c r="EI608" s="38">
        <f t="shared" si="998"/>
        <v>585.41888441439994</v>
      </c>
      <c r="EJ608" s="38">
        <f t="shared" si="999"/>
        <v>0</v>
      </c>
      <c r="EK608" s="38">
        <f t="shared" si="1000"/>
        <v>0</v>
      </c>
      <c r="EL608" s="38">
        <f t="shared" si="1001"/>
        <v>0</v>
      </c>
      <c r="EM608" s="38">
        <f t="shared" si="1002"/>
        <v>0</v>
      </c>
      <c r="EN608" s="38">
        <f t="shared" si="1003"/>
        <v>0</v>
      </c>
      <c r="EO608" s="38">
        <f t="shared" si="1004"/>
        <v>0</v>
      </c>
      <c r="EP608" s="38">
        <f t="shared" si="1005"/>
        <v>2407.6569615999997</v>
      </c>
      <c r="EQ608" s="38">
        <f t="shared" si="1006"/>
        <v>0</v>
      </c>
      <c r="ER608" s="38">
        <f t="shared" si="1007"/>
        <v>0</v>
      </c>
      <c r="ES608" s="38">
        <f t="shared" si="1008"/>
        <v>0</v>
      </c>
      <c r="ET608" s="38">
        <f t="shared" si="1009"/>
        <v>0</v>
      </c>
      <c r="EU608" s="38">
        <f t="shared" si="1010"/>
        <v>0</v>
      </c>
      <c r="EV608" s="38">
        <f t="shared" si="1011"/>
        <v>0</v>
      </c>
      <c r="EW608" s="38">
        <f t="shared" si="1012"/>
        <v>0</v>
      </c>
      <c r="EX608" s="38">
        <f t="shared" si="1013"/>
        <v>0</v>
      </c>
      <c r="EZ608" s="38">
        <f t="shared" si="1014"/>
        <v>0</v>
      </c>
      <c r="FA608" s="38">
        <f t="shared" si="1015"/>
        <v>0</v>
      </c>
      <c r="FB608" s="1">
        <f t="shared" si="1016"/>
        <v>0</v>
      </c>
      <c r="FC608" s="1">
        <f t="shared" si="1017"/>
        <v>0</v>
      </c>
      <c r="FD608" s="1">
        <f t="shared" si="1018"/>
        <v>0</v>
      </c>
      <c r="FE608" s="1">
        <f t="shared" si="1019"/>
        <v>0</v>
      </c>
      <c r="FF608" s="1">
        <f t="shared" si="1020"/>
        <v>0</v>
      </c>
      <c r="FG608" s="1">
        <f t="shared" si="1021"/>
        <v>0</v>
      </c>
      <c r="FH608" s="1">
        <f t="shared" si="1022"/>
        <v>0</v>
      </c>
      <c r="FI608" s="1">
        <f t="shared" si="1023"/>
        <v>0</v>
      </c>
      <c r="FJ608" s="1">
        <f t="shared" si="1024"/>
        <v>0</v>
      </c>
      <c r="FK608" s="1">
        <f t="shared" si="1025"/>
        <v>0</v>
      </c>
      <c r="FL608" s="1">
        <f t="shared" si="1026"/>
        <v>0</v>
      </c>
      <c r="FM608" s="1">
        <f t="shared" si="1027"/>
        <v>0</v>
      </c>
      <c r="FN608" s="1">
        <f t="shared" si="1028"/>
        <v>0</v>
      </c>
      <c r="FO608" s="1">
        <f t="shared" si="1029"/>
        <v>0</v>
      </c>
      <c r="FP608" s="1">
        <f t="shared" si="1030"/>
        <v>0</v>
      </c>
      <c r="FQ608" s="1">
        <f t="shared" si="1031"/>
        <v>0</v>
      </c>
      <c r="FS608" s="1">
        <f t="shared" si="1032"/>
        <v>0</v>
      </c>
      <c r="FT608" s="1">
        <f t="shared" si="1033"/>
        <v>0</v>
      </c>
      <c r="FU608" s="38">
        <f t="shared" si="1034"/>
        <v>0</v>
      </c>
      <c r="FV608" s="38">
        <f t="shared" si="1035"/>
        <v>0</v>
      </c>
      <c r="FW608" s="38">
        <f t="shared" si="1036"/>
        <v>0</v>
      </c>
      <c r="FX608" s="38">
        <f t="shared" si="1037"/>
        <v>0</v>
      </c>
      <c r="FY608" s="38">
        <f t="shared" si="1038"/>
        <v>0</v>
      </c>
      <c r="FZ608" s="38">
        <f t="shared" si="1039"/>
        <v>0</v>
      </c>
      <c r="GA608" s="38">
        <f t="shared" si="1040"/>
        <v>0</v>
      </c>
      <c r="GB608" s="38">
        <f t="shared" si="1041"/>
        <v>0</v>
      </c>
      <c r="GC608" s="38">
        <f t="shared" si="1042"/>
        <v>0</v>
      </c>
      <c r="GD608" s="38">
        <f t="shared" si="1043"/>
        <v>0</v>
      </c>
      <c r="GE608" s="38">
        <f t="shared" si="1044"/>
        <v>0</v>
      </c>
      <c r="GF608" s="38">
        <f t="shared" si="1045"/>
        <v>0</v>
      </c>
      <c r="GG608" s="38">
        <f t="shared" si="1046"/>
        <v>0</v>
      </c>
      <c r="GH608" s="38">
        <f t="shared" si="1047"/>
        <v>0</v>
      </c>
      <c r="GI608" s="38">
        <f t="shared" si="1048"/>
        <v>0</v>
      </c>
      <c r="GJ608" s="38">
        <f t="shared" si="1049"/>
        <v>0</v>
      </c>
      <c r="GL608" s="38">
        <f t="shared" si="1050"/>
        <v>0</v>
      </c>
      <c r="GM608" s="38">
        <f t="shared" si="1051"/>
        <v>0</v>
      </c>
      <c r="GN608" s="1" t="s">
        <v>2</v>
      </c>
      <c r="GO608" s="13">
        <f t="shared" si="974"/>
        <v>20.863</v>
      </c>
      <c r="GP608" s="1">
        <f t="shared" si="975"/>
        <v>0.88</v>
      </c>
      <c r="GQ608" s="41">
        <f t="shared" si="976"/>
        <v>183.59439999999998</v>
      </c>
      <c r="GR608" s="41">
        <f t="shared" si="977"/>
        <v>2993.0758460143998</v>
      </c>
      <c r="GS608" s="14">
        <f t="shared" si="978"/>
        <v>143.46334880000001</v>
      </c>
      <c r="GT608" s="1">
        <f t="shared" si="1052"/>
        <v>0</v>
      </c>
      <c r="GU608" s="1">
        <f t="shared" si="1053"/>
        <v>0</v>
      </c>
      <c r="GV608" s="1">
        <f t="shared" si="1054"/>
        <v>183.59439999999998</v>
      </c>
      <c r="GW608" s="37">
        <f t="shared" si="979"/>
        <v>0</v>
      </c>
      <c r="GX608" s="37"/>
      <c r="GY608" s="37"/>
      <c r="GZ608" s="37"/>
      <c r="HB608" s="1">
        <f t="shared" si="1055"/>
        <v>0</v>
      </c>
      <c r="HC608" s="1">
        <f t="shared" si="1056"/>
        <v>0</v>
      </c>
      <c r="HD608" s="37" t="s">
        <v>2</v>
      </c>
      <c r="HE608" s="1" t="s">
        <v>113</v>
      </c>
      <c r="HF608" s="1" t="s">
        <v>129</v>
      </c>
      <c r="HI608" s="1" t="s">
        <v>163</v>
      </c>
      <c r="HJ608" s="37" t="s">
        <v>2</v>
      </c>
      <c r="JH608" s="58" t="s">
        <v>2</v>
      </c>
    </row>
    <row r="609" spans="1:268" ht="16.25" customHeight="1" x14ac:dyDescent="0.2">
      <c r="A609" s="15" t="s">
        <v>863</v>
      </c>
      <c r="B609" s="1" t="s">
        <v>69</v>
      </c>
      <c r="F609" s="1" t="s">
        <v>131</v>
      </c>
      <c r="I609" s="1">
        <v>0</v>
      </c>
      <c r="AD609" s="1">
        <v>0</v>
      </c>
      <c r="AY609" s="1">
        <v>15.385</v>
      </c>
      <c r="AZ609" s="1">
        <v>0.45</v>
      </c>
      <c r="BG609" s="1">
        <v>0.65</v>
      </c>
      <c r="BT609" s="1">
        <v>0</v>
      </c>
      <c r="CO609" s="1">
        <v>0</v>
      </c>
      <c r="DJ609" s="1" t="s">
        <v>163</v>
      </c>
      <c r="DL609" s="1">
        <f t="shared" si="972"/>
        <v>0.65</v>
      </c>
      <c r="DM609" s="1">
        <f t="shared" si="973"/>
        <v>0</v>
      </c>
      <c r="DN609" s="1" t="s">
        <v>815</v>
      </c>
      <c r="DO609" s="1" t="s">
        <v>2</v>
      </c>
      <c r="DP609" s="38">
        <f t="shared" si="980"/>
        <v>6.9232500000000002E-2</v>
      </c>
      <c r="DQ609" s="38">
        <f t="shared" si="981"/>
        <v>0</v>
      </c>
      <c r="DR609" s="38">
        <f t="shared" si="982"/>
        <v>0</v>
      </c>
      <c r="DS609" s="38">
        <f t="shared" si="983"/>
        <v>0</v>
      </c>
      <c r="DT609" s="38">
        <f t="shared" si="984"/>
        <v>0</v>
      </c>
      <c r="DU609" s="38">
        <f t="shared" si="985"/>
        <v>0</v>
      </c>
      <c r="DV609" s="38">
        <f t="shared" si="986"/>
        <v>0</v>
      </c>
      <c r="DW609" s="38">
        <f t="shared" si="987"/>
        <v>0.10000249999999999</v>
      </c>
      <c r="DX609" s="38">
        <f t="shared" si="988"/>
        <v>0</v>
      </c>
      <c r="DY609" s="38">
        <f t="shared" si="989"/>
        <v>0</v>
      </c>
      <c r="DZ609" s="38">
        <f t="shared" si="990"/>
        <v>0</v>
      </c>
      <c r="EA609" s="38">
        <f t="shared" si="991"/>
        <v>0</v>
      </c>
      <c r="EB609" s="38">
        <f t="shared" si="992"/>
        <v>0</v>
      </c>
      <c r="EC609" s="38">
        <f t="shared" si="993"/>
        <v>0</v>
      </c>
      <c r="ED609" s="38">
        <f t="shared" si="994"/>
        <v>0</v>
      </c>
      <c r="EE609" s="38">
        <f t="shared" si="995"/>
        <v>0</v>
      </c>
      <c r="EG609" s="38">
        <f t="shared" si="996"/>
        <v>0</v>
      </c>
      <c r="EH609" s="38">
        <f t="shared" si="997"/>
        <v>0</v>
      </c>
      <c r="EI609" s="38">
        <f t="shared" si="998"/>
        <v>451.78470972000002</v>
      </c>
      <c r="EJ609" s="38">
        <f t="shared" si="999"/>
        <v>0</v>
      </c>
      <c r="EK609" s="38">
        <f t="shared" si="1000"/>
        <v>0</v>
      </c>
      <c r="EL609" s="38">
        <f t="shared" si="1001"/>
        <v>0</v>
      </c>
      <c r="EM609" s="38">
        <f t="shared" si="1002"/>
        <v>0</v>
      </c>
      <c r="EN609" s="38">
        <f t="shared" si="1003"/>
        <v>0</v>
      </c>
      <c r="EO609" s="38">
        <f t="shared" si="1004"/>
        <v>0</v>
      </c>
      <c r="EP609" s="38">
        <f t="shared" si="1005"/>
        <v>1311.432785</v>
      </c>
      <c r="EQ609" s="38">
        <f t="shared" si="1006"/>
        <v>0</v>
      </c>
      <c r="ER609" s="38">
        <f t="shared" si="1007"/>
        <v>0</v>
      </c>
      <c r="ES609" s="38">
        <f t="shared" si="1008"/>
        <v>0</v>
      </c>
      <c r="ET609" s="38">
        <f t="shared" si="1009"/>
        <v>0</v>
      </c>
      <c r="EU609" s="38">
        <f t="shared" si="1010"/>
        <v>0</v>
      </c>
      <c r="EV609" s="38">
        <f t="shared" si="1011"/>
        <v>0</v>
      </c>
      <c r="EW609" s="38">
        <f t="shared" si="1012"/>
        <v>0</v>
      </c>
      <c r="EX609" s="38">
        <f t="shared" si="1013"/>
        <v>0</v>
      </c>
      <c r="EZ609" s="38">
        <f t="shared" si="1014"/>
        <v>0</v>
      </c>
      <c r="FA609" s="38">
        <f t="shared" si="1015"/>
        <v>0</v>
      </c>
      <c r="FB609" s="1">
        <f t="shared" si="1016"/>
        <v>0</v>
      </c>
      <c r="FC609" s="1">
        <f t="shared" si="1017"/>
        <v>0</v>
      </c>
      <c r="FD609" s="1">
        <f t="shared" si="1018"/>
        <v>0</v>
      </c>
      <c r="FE609" s="1">
        <f t="shared" si="1019"/>
        <v>0</v>
      </c>
      <c r="FF609" s="1">
        <f t="shared" si="1020"/>
        <v>0</v>
      </c>
      <c r="FG609" s="1">
        <f t="shared" si="1021"/>
        <v>0</v>
      </c>
      <c r="FH609" s="1">
        <f t="shared" si="1022"/>
        <v>0</v>
      </c>
      <c r="FI609" s="1">
        <f t="shared" si="1023"/>
        <v>0</v>
      </c>
      <c r="FJ609" s="1">
        <f t="shared" si="1024"/>
        <v>0</v>
      </c>
      <c r="FK609" s="1">
        <f t="shared" si="1025"/>
        <v>0</v>
      </c>
      <c r="FL609" s="1">
        <f t="shared" si="1026"/>
        <v>0</v>
      </c>
      <c r="FM609" s="1">
        <f t="shared" si="1027"/>
        <v>0</v>
      </c>
      <c r="FN609" s="1">
        <f t="shared" si="1028"/>
        <v>0</v>
      </c>
      <c r="FO609" s="1">
        <f t="shared" si="1029"/>
        <v>0</v>
      </c>
      <c r="FP609" s="1">
        <f t="shared" si="1030"/>
        <v>0</v>
      </c>
      <c r="FQ609" s="1">
        <f t="shared" si="1031"/>
        <v>0</v>
      </c>
      <c r="FS609" s="1">
        <f t="shared" si="1032"/>
        <v>0</v>
      </c>
      <c r="FT609" s="1">
        <f t="shared" si="1033"/>
        <v>0</v>
      </c>
      <c r="FU609" s="38">
        <f t="shared" si="1034"/>
        <v>0</v>
      </c>
      <c r="FV609" s="38">
        <f t="shared" si="1035"/>
        <v>0</v>
      </c>
      <c r="FW609" s="38">
        <f t="shared" si="1036"/>
        <v>0</v>
      </c>
      <c r="FX609" s="38">
        <f t="shared" si="1037"/>
        <v>0</v>
      </c>
      <c r="FY609" s="38">
        <f t="shared" si="1038"/>
        <v>0</v>
      </c>
      <c r="FZ609" s="38">
        <f t="shared" si="1039"/>
        <v>0</v>
      </c>
      <c r="GA609" s="38">
        <f t="shared" si="1040"/>
        <v>0</v>
      </c>
      <c r="GB609" s="38">
        <f t="shared" si="1041"/>
        <v>0</v>
      </c>
      <c r="GC609" s="38">
        <f t="shared" si="1042"/>
        <v>0</v>
      </c>
      <c r="GD609" s="38">
        <f t="shared" si="1043"/>
        <v>0</v>
      </c>
      <c r="GE609" s="38">
        <f t="shared" si="1044"/>
        <v>0</v>
      </c>
      <c r="GF609" s="38">
        <f t="shared" si="1045"/>
        <v>0</v>
      </c>
      <c r="GG609" s="38">
        <f t="shared" si="1046"/>
        <v>0</v>
      </c>
      <c r="GH609" s="38">
        <f t="shared" si="1047"/>
        <v>0</v>
      </c>
      <c r="GI609" s="38">
        <f t="shared" si="1048"/>
        <v>0</v>
      </c>
      <c r="GJ609" s="38">
        <f t="shared" si="1049"/>
        <v>0</v>
      </c>
      <c r="GL609" s="38">
        <f t="shared" si="1050"/>
        <v>0</v>
      </c>
      <c r="GM609" s="38">
        <f t="shared" si="1051"/>
        <v>0</v>
      </c>
      <c r="GN609" s="1" t="s">
        <v>2</v>
      </c>
      <c r="GO609" s="13">
        <f t="shared" si="974"/>
        <v>15.385</v>
      </c>
      <c r="GP609" s="1">
        <f t="shared" si="975"/>
        <v>0.65</v>
      </c>
      <c r="GQ609" s="41">
        <f t="shared" si="976"/>
        <v>100.0025</v>
      </c>
      <c r="GR609" s="41">
        <f t="shared" si="977"/>
        <v>1763.2174947200001</v>
      </c>
      <c r="GS609" s="14">
        <f t="shared" si="978"/>
        <v>114.606272</v>
      </c>
      <c r="GT609" s="1">
        <f t="shared" si="1052"/>
        <v>0</v>
      </c>
      <c r="GU609" s="1">
        <f t="shared" si="1053"/>
        <v>0</v>
      </c>
      <c r="GV609" s="1">
        <f t="shared" si="1054"/>
        <v>100.0025</v>
      </c>
      <c r="GW609" s="37">
        <f t="shared" si="979"/>
        <v>0</v>
      </c>
      <c r="GX609" s="37"/>
      <c r="GY609" s="37"/>
      <c r="GZ609" s="37"/>
      <c r="HB609" s="1">
        <f t="shared" si="1055"/>
        <v>0</v>
      </c>
      <c r="HC609" s="1">
        <f t="shared" si="1056"/>
        <v>0</v>
      </c>
      <c r="HD609" s="37" t="s">
        <v>2</v>
      </c>
      <c r="HE609" s="1" t="s">
        <v>113</v>
      </c>
      <c r="HF609" s="1" t="s">
        <v>129</v>
      </c>
      <c r="HI609" s="1" t="s">
        <v>163</v>
      </c>
      <c r="HJ609" s="37" t="s">
        <v>2</v>
      </c>
      <c r="JH609" s="58" t="s">
        <v>2</v>
      </c>
    </row>
    <row r="610" spans="1:268" ht="16.25" customHeight="1" x14ac:dyDescent="0.2">
      <c r="A610" s="15" t="s">
        <v>872</v>
      </c>
      <c r="B610" s="1" t="s">
        <v>69</v>
      </c>
      <c r="F610" s="1" t="s">
        <v>131</v>
      </c>
      <c r="I610" s="1">
        <v>0</v>
      </c>
      <c r="AD610" s="1">
        <v>0</v>
      </c>
      <c r="AY610" s="1">
        <v>2.25</v>
      </c>
      <c r="AZ610" s="1">
        <v>0.25</v>
      </c>
      <c r="BG610" s="1">
        <v>0.3</v>
      </c>
      <c r="BT610" s="1">
        <v>0</v>
      </c>
      <c r="CO610" s="1">
        <v>0</v>
      </c>
      <c r="DJ610" s="1" t="s">
        <v>163</v>
      </c>
      <c r="DL610" s="1">
        <f t="shared" si="972"/>
        <v>0.3</v>
      </c>
      <c r="DM610" s="1">
        <f t="shared" si="973"/>
        <v>0</v>
      </c>
      <c r="DN610" s="1" t="s">
        <v>815</v>
      </c>
      <c r="DO610" s="1" t="s">
        <v>2</v>
      </c>
      <c r="DP610" s="38">
        <f t="shared" si="980"/>
        <v>5.6249999999999998E-3</v>
      </c>
      <c r="DQ610" s="38">
        <f t="shared" si="981"/>
        <v>0</v>
      </c>
      <c r="DR610" s="38">
        <f t="shared" si="982"/>
        <v>0</v>
      </c>
      <c r="DS610" s="38">
        <f t="shared" si="983"/>
        <v>0</v>
      </c>
      <c r="DT610" s="38">
        <f t="shared" si="984"/>
        <v>0</v>
      </c>
      <c r="DU610" s="38">
        <f t="shared" si="985"/>
        <v>0</v>
      </c>
      <c r="DV610" s="38">
        <f t="shared" si="986"/>
        <v>0</v>
      </c>
      <c r="DW610" s="38">
        <f t="shared" si="987"/>
        <v>6.7499999999999991E-3</v>
      </c>
      <c r="DX610" s="38">
        <f t="shared" si="988"/>
        <v>0</v>
      </c>
      <c r="DY610" s="38">
        <f t="shared" si="989"/>
        <v>0</v>
      </c>
      <c r="DZ610" s="38">
        <f t="shared" si="990"/>
        <v>0</v>
      </c>
      <c r="EA610" s="38">
        <f t="shared" si="991"/>
        <v>0</v>
      </c>
      <c r="EB610" s="38">
        <f t="shared" si="992"/>
        <v>0</v>
      </c>
      <c r="EC610" s="38">
        <f t="shared" si="993"/>
        <v>0</v>
      </c>
      <c r="ED610" s="38">
        <f t="shared" si="994"/>
        <v>0</v>
      </c>
      <c r="EE610" s="38">
        <f t="shared" si="995"/>
        <v>0</v>
      </c>
      <c r="EG610" s="38">
        <f t="shared" si="996"/>
        <v>0</v>
      </c>
      <c r="EH610" s="38">
        <f t="shared" si="997"/>
        <v>0</v>
      </c>
      <c r="EI610" s="38">
        <f t="shared" si="998"/>
        <v>36.706589999999998</v>
      </c>
      <c r="EJ610" s="38">
        <f t="shared" si="999"/>
        <v>0</v>
      </c>
      <c r="EK610" s="38">
        <f t="shared" si="1000"/>
        <v>0</v>
      </c>
      <c r="EL610" s="38">
        <f t="shared" si="1001"/>
        <v>0</v>
      </c>
      <c r="EM610" s="38">
        <f t="shared" si="1002"/>
        <v>0</v>
      </c>
      <c r="EN610" s="38">
        <f t="shared" si="1003"/>
        <v>0</v>
      </c>
      <c r="EO610" s="38">
        <f t="shared" si="1004"/>
        <v>0</v>
      </c>
      <c r="EP610" s="38">
        <f t="shared" si="1005"/>
        <v>88.519499999999994</v>
      </c>
      <c r="EQ610" s="38">
        <f t="shared" si="1006"/>
        <v>0</v>
      </c>
      <c r="ER610" s="38">
        <f t="shared" si="1007"/>
        <v>0</v>
      </c>
      <c r="ES610" s="38">
        <f t="shared" si="1008"/>
        <v>0</v>
      </c>
      <c r="ET610" s="38">
        <f t="shared" si="1009"/>
        <v>0</v>
      </c>
      <c r="EU610" s="38">
        <f t="shared" si="1010"/>
        <v>0</v>
      </c>
      <c r="EV610" s="38">
        <f t="shared" si="1011"/>
        <v>0</v>
      </c>
      <c r="EW610" s="38">
        <f t="shared" si="1012"/>
        <v>0</v>
      </c>
      <c r="EX610" s="38">
        <f t="shared" si="1013"/>
        <v>0</v>
      </c>
      <c r="EZ610" s="38">
        <f t="shared" si="1014"/>
        <v>0</v>
      </c>
      <c r="FA610" s="38">
        <f t="shared" si="1015"/>
        <v>0</v>
      </c>
      <c r="FB610" s="1">
        <f t="shared" si="1016"/>
        <v>0</v>
      </c>
      <c r="FC610" s="1">
        <f t="shared" si="1017"/>
        <v>0</v>
      </c>
      <c r="FD610" s="1">
        <f t="shared" si="1018"/>
        <v>0</v>
      </c>
      <c r="FE610" s="1">
        <f t="shared" si="1019"/>
        <v>0</v>
      </c>
      <c r="FF610" s="1">
        <f t="shared" si="1020"/>
        <v>0</v>
      </c>
      <c r="FG610" s="1">
        <f t="shared" si="1021"/>
        <v>0</v>
      </c>
      <c r="FH610" s="1">
        <f t="shared" si="1022"/>
        <v>0</v>
      </c>
      <c r="FI610" s="1">
        <f t="shared" si="1023"/>
        <v>0</v>
      </c>
      <c r="FJ610" s="1">
        <f t="shared" si="1024"/>
        <v>0</v>
      </c>
      <c r="FK610" s="1">
        <f t="shared" si="1025"/>
        <v>0</v>
      </c>
      <c r="FL610" s="1">
        <f t="shared" si="1026"/>
        <v>0</v>
      </c>
      <c r="FM610" s="1">
        <f t="shared" si="1027"/>
        <v>0</v>
      </c>
      <c r="FN610" s="1">
        <f t="shared" si="1028"/>
        <v>0</v>
      </c>
      <c r="FO610" s="1">
        <f t="shared" si="1029"/>
        <v>0</v>
      </c>
      <c r="FP610" s="1">
        <f t="shared" si="1030"/>
        <v>0</v>
      </c>
      <c r="FQ610" s="1">
        <f t="shared" si="1031"/>
        <v>0</v>
      </c>
      <c r="FS610" s="1">
        <f t="shared" si="1032"/>
        <v>0</v>
      </c>
      <c r="FT610" s="1">
        <f t="shared" si="1033"/>
        <v>0</v>
      </c>
      <c r="FU610" s="38">
        <f t="shared" si="1034"/>
        <v>0</v>
      </c>
      <c r="FV610" s="38">
        <f t="shared" si="1035"/>
        <v>0</v>
      </c>
      <c r="FW610" s="38">
        <f t="shared" si="1036"/>
        <v>0</v>
      </c>
      <c r="FX610" s="38">
        <f t="shared" si="1037"/>
        <v>0</v>
      </c>
      <c r="FY610" s="38">
        <f t="shared" si="1038"/>
        <v>0</v>
      </c>
      <c r="FZ610" s="38">
        <f t="shared" si="1039"/>
        <v>0</v>
      </c>
      <c r="GA610" s="38">
        <f t="shared" si="1040"/>
        <v>0</v>
      </c>
      <c r="GB610" s="38">
        <f t="shared" si="1041"/>
        <v>0</v>
      </c>
      <c r="GC610" s="38">
        <f t="shared" si="1042"/>
        <v>0</v>
      </c>
      <c r="GD610" s="38">
        <f t="shared" si="1043"/>
        <v>0</v>
      </c>
      <c r="GE610" s="38">
        <f t="shared" si="1044"/>
        <v>0</v>
      </c>
      <c r="GF610" s="38">
        <f t="shared" si="1045"/>
        <v>0</v>
      </c>
      <c r="GG610" s="38">
        <f t="shared" si="1046"/>
        <v>0</v>
      </c>
      <c r="GH610" s="38">
        <f t="shared" si="1047"/>
        <v>0</v>
      </c>
      <c r="GI610" s="38">
        <f t="shared" si="1048"/>
        <v>0</v>
      </c>
      <c r="GJ610" s="38">
        <f t="shared" si="1049"/>
        <v>0</v>
      </c>
      <c r="GL610" s="38">
        <f t="shared" si="1050"/>
        <v>0</v>
      </c>
      <c r="GM610" s="38">
        <f t="shared" si="1051"/>
        <v>0</v>
      </c>
      <c r="GN610" s="1" t="s">
        <v>2</v>
      </c>
      <c r="GO610" s="1">
        <f t="shared" si="974"/>
        <v>2.25</v>
      </c>
      <c r="GP610" s="1">
        <f t="shared" si="975"/>
        <v>0.3</v>
      </c>
      <c r="GQ610" s="41">
        <f t="shared" si="976"/>
        <v>6.75</v>
      </c>
      <c r="GR610" s="41">
        <f t="shared" si="977"/>
        <v>125.22609</v>
      </c>
      <c r="GS610" s="14">
        <f t="shared" si="978"/>
        <v>55.656039999999997</v>
      </c>
      <c r="GT610" s="1">
        <f t="shared" si="1052"/>
        <v>0</v>
      </c>
      <c r="GU610" s="1">
        <f t="shared" si="1053"/>
        <v>0</v>
      </c>
      <c r="GV610" s="1">
        <f t="shared" si="1054"/>
        <v>6.7499999999999991</v>
      </c>
      <c r="GW610" s="37">
        <f t="shared" si="979"/>
        <v>0</v>
      </c>
      <c r="GX610" s="37"/>
      <c r="GY610" s="37"/>
      <c r="GZ610" s="37"/>
      <c r="HB610" s="1">
        <f t="shared" si="1055"/>
        <v>0</v>
      </c>
      <c r="HC610" s="1">
        <f t="shared" si="1056"/>
        <v>0</v>
      </c>
      <c r="HD610" s="37" t="s">
        <v>2</v>
      </c>
      <c r="HE610" s="1" t="s">
        <v>113</v>
      </c>
      <c r="HF610" s="1" t="s">
        <v>129</v>
      </c>
      <c r="HI610" s="1" t="s">
        <v>163</v>
      </c>
      <c r="HJ610" s="37" t="s">
        <v>2</v>
      </c>
      <c r="JH610" s="58" t="s">
        <v>2</v>
      </c>
    </row>
    <row r="611" spans="1:268" ht="16.25" customHeight="1" x14ac:dyDescent="0.2">
      <c r="A611" s="15" t="s">
        <v>877</v>
      </c>
      <c r="B611" s="1" t="s">
        <v>69</v>
      </c>
      <c r="F611" s="1" t="s">
        <v>131</v>
      </c>
      <c r="I611" s="1">
        <v>0</v>
      </c>
      <c r="AD611" s="1">
        <v>0</v>
      </c>
      <c r="AY611" s="1">
        <v>1.754</v>
      </c>
      <c r="BG611" s="1">
        <v>0.56999999999999995</v>
      </c>
      <c r="BT611" s="1">
        <v>0</v>
      </c>
      <c r="CO611" s="1">
        <v>0</v>
      </c>
      <c r="DJ611" s="1" t="s">
        <v>163</v>
      </c>
      <c r="DL611" s="1">
        <f t="shared" si="972"/>
        <v>0.56999999999999995</v>
      </c>
      <c r="DM611" s="1">
        <f t="shared" si="973"/>
        <v>0</v>
      </c>
      <c r="DN611" s="1" t="s">
        <v>815</v>
      </c>
      <c r="DO611" s="1" t="s">
        <v>2</v>
      </c>
      <c r="DP611" s="38">
        <f t="shared" si="980"/>
        <v>0</v>
      </c>
      <c r="DQ611" s="38">
        <f t="shared" si="981"/>
        <v>0</v>
      </c>
      <c r="DR611" s="38">
        <f t="shared" si="982"/>
        <v>0</v>
      </c>
      <c r="DS611" s="38">
        <f t="shared" si="983"/>
        <v>0</v>
      </c>
      <c r="DT611" s="38">
        <f t="shared" si="984"/>
        <v>0</v>
      </c>
      <c r="DU611" s="38">
        <f t="shared" si="985"/>
        <v>0</v>
      </c>
      <c r="DV611" s="38">
        <f t="shared" si="986"/>
        <v>0</v>
      </c>
      <c r="DW611" s="38">
        <f t="shared" si="987"/>
        <v>9.9977999999999994E-3</v>
      </c>
      <c r="DX611" s="38">
        <f t="shared" si="988"/>
        <v>0</v>
      </c>
      <c r="DY611" s="38">
        <f t="shared" si="989"/>
        <v>0</v>
      </c>
      <c r="DZ611" s="38">
        <f t="shared" si="990"/>
        <v>0</v>
      </c>
      <c r="EA611" s="38">
        <f t="shared" si="991"/>
        <v>0</v>
      </c>
      <c r="EB611" s="38">
        <f t="shared" si="992"/>
        <v>0</v>
      </c>
      <c r="EC611" s="38">
        <f t="shared" si="993"/>
        <v>0</v>
      </c>
      <c r="ED611" s="38">
        <f t="shared" si="994"/>
        <v>0</v>
      </c>
      <c r="EE611" s="38">
        <f t="shared" si="995"/>
        <v>0</v>
      </c>
      <c r="EG611" s="38">
        <f t="shared" si="996"/>
        <v>0</v>
      </c>
      <c r="EH611" s="38">
        <f t="shared" si="997"/>
        <v>0</v>
      </c>
      <c r="EI611" s="38">
        <f t="shared" si="998"/>
        <v>0</v>
      </c>
      <c r="EJ611" s="38">
        <f t="shared" si="999"/>
        <v>0</v>
      </c>
      <c r="EK611" s="38">
        <f t="shared" si="1000"/>
        <v>0</v>
      </c>
      <c r="EL611" s="38">
        <f t="shared" si="1001"/>
        <v>0</v>
      </c>
      <c r="EM611" s="38">
        <f t="shared" si="1002"/>
        <v>0</v>
      </c>
      <c r="EN611" s="38">
        <f t="shared" si="1003"/>
        <v>0</v>
      </c>
      <c r="EO611" s="38">
        <f t="shared" si="1004"/>
        <v>0</v>
      </c>
      <c r="EP611" s="38">
        <f t="shared" si="1005"/>
        <v>131.1111492</v>
      </c>
      <c r="EQ611" s="38">
        <f t="shared" si="1006"/>
        <v>0</v>
      </c>
      <c r="ER611" s="38">
        <f t="shared" si="1007"/>
        <v>0</v>
      </c>
      <c r="ES611" s="38">
        <f t="shared" si="1008"/>
        <v>0</v>
      </c>
      <c r="ET611" s="38">
        <f t="shared" si="1009"/>
        <v>0</v>
      </c>
      <c r="EU611" s="38">
        <f t="shared" si="1010"/>
        <v>0</v>
      </c>
      <c r="EV611" s="38">
        <f t="shared" si="1011"/>
        <v>0</v>
      </c>
      <c r="EW611" s="38">
        <f t="shared" si="1012"/>
        <v>0</v>
      </c>
      <c r="EX611" s="38">
        <f t="shared" si="1013"/>
        <v>0</v>
      </c>
      <c r="EZ611" s="38">
        <f t="shared" si="1014"/>
        <v>0</v>
      </c>
      <c r="FA611" s="38">
        <f t="shared" si="1015"/>
        <v>0</v>
      </c>
      <c r="FB611" s="1">
        <f t="shared" si="1016"/>
        <v>0</v>
      </c>
      <c r="FC611" s="1">
        <f t="shared" si="1017"/>
        <v>0</v>
      </c>
      <c r="FD611" s="1">
        <f t="shared" si="1018"/>
        <v>0</v>
      </c>
      <c r="FE611" s="1">
        <f t="shared" si="1019"/>
        <v>0</v>
      </c>
      <c r="FF611" s="1">
        <f t="shared" si="1020"/>
        <v>0</v>
      </c>
      <c r="FG611" s="1">
        <f t="shared" si="1021"/>
        <v>0</v>
      </c>
      <c r="FH611" s="1">
        <f t="shared" si="1022"/>
        <v>0</v>
      </c>
      <c r="FI611" s="1">
        <f t="shared" si="1023"/>
        <v>0</v>
      </c>
      <c r="FJ611" s="1">
        <f t="shared" si="1024"/>
        <v>0</v>
      </c>
      <c r="FK611" s="1">
        <f t="shared" si="1025"/>
        <v>0</v>
      </c>
      <c r="FL611" s="1">
        <f t="shared" si="1026"/>
        <v>0</v>
      </c>
      <c r="FM611" s="1">
        <f t="shared" si="1027"/>
        <v>0</v>
      </c>
      <c r="FN611" s="1">
        <f t="shared" si="1028"/>
        <v>0</v>
      </c>
      <c r="FO611" s="1">
        <f t="shared" si="1029"/>
        <v>0</v>
      </c>
      <c r="FP611" s="1">
        <f t="shared" si="1030"/>
        <v>0</v>
      </c>
      <c r="FQ611" s="1">
        <f t="shared" si="1031"/>
        <v>0</v>
      </c>
      <c r="FS611" s="1">
        <f t="shared" si="1032"/>
        <v>0</v>
      </c>
      <c r="FT611" s="1">
        <f t="shared" si="1033"/>
        <v>0</v>
      </c>
      <c r="FU611" s="38">
        <f t="shared" si="1034"/>
        <v>0</v>
      </c>
      <c r="FV611" s="38">
        <f t="shared" si="1035"/>
        <v>0</v>
      </c>
      <c r="FW611" s="38">
        <f t="shared" si="1036"/>
        <v>0</v>
      </c>
      <c r="FX611" s="38">
        <f t="shared" si="1037"/>
        <v>0</v>
      </c>
      <c r="FY611" s="38">
        <f t="shared" si="1038"/>
        <v>0</v>
      </c>
      <c r="FZ611" s="38">
        <f t="shared" si="1039"/>
        <v>0</v>
      </c>
      <c r="GA611" s="38">
        <f t="shared" si="1040"/>
        <v>0</v>
      </c>
      <c r="GB611" s="38">
        <f t="shared" si="1041"/>
        <v>0</v>
      </c>
      <c r="GC611" s="38">
        <f t="shared" si="1042"/>
        <v>0</v>
      </c>
      <c r="GD611" s="38">
        <f t="shared" si="1043"/>
        <v>0</v>
      </c>
      <c r="GE611" s="38">
        <f t="shared" si="1044"/>
        <v>0</v>
      </c>
      <c r="GF611" s="38">
        <f t="shared" si="1045"/>
        <v>0</v>
      </c>
      <c r="GG611" s="38">
        <f t="shared" si="1046"/>
        <v>0</v>
      </c>
      <c r="GH611" s="38">
        <f t="shared" si="1047"/>
        <v>0</v>
      </c>
      <c r="GI611" s="38">
        <f t="shared" si="1048"/>
        <v>0</v>
      </c>
      <c r="GJ611" s="38">
        <f t="shared" si="1049"/>
        <v>0</v>
      </c>
      <c r="GL611" s="38">
        <f t="shared" si="1050"/>
        <v>0</v>
      </c>
      <c r="GM611" s="38">
        <f t="shared" si="1051"/>
        <v>0</v>
      </c>
      <c r="GN611" s="1" t="s">
        <v>2</v>
      </c>
      <c r="GO611" s="1">
        <f t="shared" si="974"/>
        <v>1.754</v>
      </c>
      <c r="GP611" s="1">
        <f t="shared" si="975"/>
        <v>0.56999999999999995</v>
      </c>
      <c r="GQ611" s="41">
        <f t="shared" si="976"/>
        <v>9.997799999999998</v>
      </c>
      <c r="GR611" s="41">
        <f t="shared" si="977"/>
        <v>131.1111492</v>
      </c>
      <c r="GS611" s="14">
        <f t="shared" si="978"/>
        <v>74.749799999999993</v>
      </c>
      <c r="GT611" s="1">
        <f t="shared" si="1052"/>
        <v>0</v>
      </c>
      <c r="GU611" s="1">
        <f t="shared" si="1053"/>
        <v>0</v>
      </c>
      <c r="GV611" s="1">
        <f t="shared" si="1054"/>
        <v>9.997799999999998</v>
      </c>
      <c r="GW611" s="37">
        <f t="shared" si="979"/>
        <v>0</v>
      </c>
      <c r="GX611" s="37"/>
      <c r="GY611" s="37"/>
      <c r="GZ611" s="37"/>
      <c r="HB611" s="1">
        <f t="shared" si="1055"/>
        <v>0</v>
      </c>
      <c r="HC611" s="1">
        <f t="shared" si="1056"/>
        <v>0</v>
      </c>
      <c r="HD611" s="37" t="s">
        <v>2</v>
      </c>
      <c r="HE611" s="1" t="s">
        <v>113</v>
      </c>
      <c r="HF611" s="1" t="s">
        <v>129</v>
      </c>
      <c r="HI611" s="1" t="s">
        <v>163</v>
      </c>
      <c r="HJ611" s="37" t="s">
        <v>2</v>
      </c>
      <c r="JH611" s="58" t="s">
        <v>2</v>
      </c>
    </row>
    <row r="612" spans="1:268" ht="16.25" customHeight="1" x14ac:dyDescent="0.2">
      <c r="A612" s="15" t="s">
        <v>878</v>
      </c>
      <c r="B612" s="1" t="s">
        <v>69</v>
      </c>
      <c r="F612" s="1" t="s">
        <v>131</v>
      </c>
      <c r="I612" s="1">
        <v>0</v>
      </c>
      <c r="AD612" s="1">
        <v>0</v>
      </c>
      <c r="AY612" s="1">
        <v>0.56000000000000005</v>
      </c>
      <c r="AZ612" s="1">
        <v>0.15</v>
      </c>
      <c r="BG612" s="1">
        <v>0.38</v>
      </c>
      <c r="BT612" s="1">
        <v>0</v>
      </c>
      <c r="CO612" s="1">
        <v>0</v>
      </c>
      <c r="DJ612" s="1" t="s">
        <v>163</v>
      </c>
      <c r="DL612" s="1">
        <f t="shared" si="972"/>
        <v>0.38</v>
      </c>
      <c r="DM612" s="1">
        <f t="shared" si="973"/>
        <v>0</v>
      </c>
      <c r="DN612" s="1" t="s">
        <v>824</v>
      </c>
      <c r="DO612" s="1" t="s">
        <v>2</v>
      </c>
      <c r="DP612" s="38">
        <f t="shared" si="980"/>
        <v>8.4000000000000003E-4</v>
      </c>
      <c r="DQ612" s="38">
        <f t="shared" si="981"/>
        <v>0</v>
      </c>
      <c r="DR612" s="38">
        <f t="shared" si="982"/>
        <v>0</v>
      </c>
      <c r="DS612" s="38">
        <f t="shared" si="983"/>
        <v>0</v>
      </c>
      <c r="DT612" s="38">
        <f t="shared" si="984"/>
        <v>0</v>
      </c>
      <c r="DU612" s="38">
        <f t="shared" si="985"/>
        <v>0</v>
      </c>
      <c r="DV612" s="38">
        <f t="shared" si="986"/>
        <v>0</v>
      </c>
      <c r="DW612" s="38">
        <f t="shared" si="987"/>
        <v>2.1280000000000001E-3</v>
      </c>
      <c r="DX612" s="38">
        <f t="shared" si="988"/>
        <v>0</v>
      </c>
      <c r="DY612" s="38">
        <f t="shared" si="989"/>
        <v>0</v>
      </c>
      <c r="DZ612" s="38">
        <f t="shared" si="990"/>
        <v>0</v>
      </c>
      <c r="EA612" s="38">
        <f t="shared" si="991"/>
        <v>0</v>
      </c>
      <c r="EB612" s="38">
        <f t="shared" si="992"/>
        <v>0</v>
      </c>
      <c r="EC612" s="38">
        <f t="shared" si="993"/>
        <v>0</v>
      </c>
      <c r="ED612" s="38">
        <f t="shared" si="994"/>
        <v>0</v>
      </c>
      <c r="EE612" s="38">
        <f t="shared" si="995"/>
        <v>0</v>
      </c>
      <c r="EG612" s="38">
        <f t="shared" si="996"/>
        <v>0</v>
      </c>
      <c r="EH612" s="38">
        <f t="shared" si="997"/>
        <v>0</v>
      </c>
      <c r="EI612" s="38">
        <f t="shared" si="998"/>
        <v>5.4815174400000002</v>
      </c>
      <c r="EJ612" s="38">
        <f t="shared" si="999"/>
        <v>0</v>
      </c>
      <c r="EK612" s="38">
        <f t="shared" si="1000"/>
        <v>0</v>
      </c>
      <c r="EL612" s="38">
        <f t="shared" si="1001"/>
        <v>0</v>
      </c>
      <c r="EM612" s="38">
        <f t="shared" si="1002"/>
        <v>0</v>
      </c>
      <c r="EN612" s="38">
        <f t="shared" si="1003"/>
        <v>0</v>
      </c>
      <c r="EO612" s="38">
        <f t="shared" si="1004"/>
        <v>0</v>
      </c>
      <c r="EP612" s="38">
        <f t="shared" si="1005"/>
        <v>27.906592</v>
      </c>
      <c r="EQ612" s="38">
        <f t="shared" si="1006"/>
        <v>0</v>
      </c>
      <c r="ER612" s="38">
        <f t="shared" si="1007"/>
        <v>0</v>
      </c>
      <c r="ES612" s="38">
        <f t="shared" si="1008"/>
        <v>0</v>
      </c>
      <c r="ET612" s="38">
        <f t="shared" si="1009"/>
        <v>0</v>
      </c>
      <c r="EU612" s="38">
        <f t="shared" si="1010"/>
        <v>0</v>
      </c>
      <c r="EV612" s="38">
        <f t="shared" si="1011"/>
        <v>0</v>
      </c>
      <c r="EW612" s="38">
        <f t="shared" si="1012"/>
        <v>0</v>
      </c>
      <c r="EX612" s="38">
        <f t="shared" si="1013"/>
        <v>0</v>
      </c>
      <c r="EZ612" s="38">
        <f t="shared" si="1014"/>
        <v>0</v>
      </c>
      <c r="FA612" s="38">
        <f t="shared" si="1015"/>
        <v>0</v>
      </c>
      <c r="FB612" s="1">
        <f t="shared" si="1016"/>
        <v>0</v>
      </c>
      <c r="FC612" s="1">
        <f t="shared" si="1017"/>
        <v>0</v>
      </c>
      <c r="FD612" s="1">
        <f t="shared" si="1018"/>
        <v>0</v>
      </c>
      <c r="FE612" s="1">
        <f t="shared" si="1019"/>
        <v>0</v>
      </c>
      <c r="FF612" s="1">
        <f t="shared" si="1020"/>
        <v>0</v>
      </c>
      <c r="FG612" s="1">
        <f t="shared" si="1021"/>
        <v>0</v>
      </c>
      <c r="FH612" s="1">
        <f t="shared" si="1022"/>
        <v>0</v>
      </c>
      <c r="FI612" s="1">
        <f t="shared" si="1023"/>
        <v>0</v>
      </c>
      <c r="FJ612" s="1">
        <f t="shared" si="1024"/>
        <v>0</v>
      </c>
      <c r="FK612" s="1">
        <f t="shared" si="1025"/>
        <v>0</v>
      </c>
      <c r="FL612" s="1">
        <f t="shared" si="1026"/>
        <v>0</v>
      </c>
      <c r="FM612" s="1">
        <f t="shared" si="1027"/>
        <v>0</v>
      </c>
      <c r="FN612" s="1">
        <f t="shared" si="1028"/>
        <v>0</v>
      </c>
      <c r="FO612" s="1">
        <f t="shared" si="1029"/>
        <v>0</v>
      </c>
      <c r="FP612" s="1">
        <f t="shared" si="1030"/>
        <v>0</v>
      </c>
      <c r="FQ612" s="1">
        <f t="shared" si="1031"/>
        <v>0</v>
      </c>
      <c r="FS612" s="1">
        <f t="shared" si="1032"/>
        <v>0</v>
      </c>
      <c r="FT612" s="1">
        <f t="shared" si="1033"/>
        <v>0</v>
      </c>
      <c r="FU612" s="38">
        <f t="shared" si="1034"/>
        <v>0</v>
      </c>
      <c r="FV612" s="38">
        <f t="shared" si="1035"/>
        <v>0</v>
      </c>
      <c r="FW612" s="38">
        <f t="shared" si="1036"/>
        <v>0</v>
      </c>
      <c r="FX612" s="38">
        <f t="shared" si="1037"/>
        <v>0</v>
      </c>
      <c r="FY612" s="38">
        <f t="shared" si="1038"/>
        <v>0</v>
      </c>
      <c r="FZ612" s="38">
        <f t="shared" si="1039"/>
        <v>0</v>
      </c>
      <c r="GA612" s="38">
        <f t="shared" si="1040"/>
        <v>0</v>
      </c>
      <c r="GB612" s="38">
        <f t="shared" si="1041"/>
        <v>0</v>
      </c>
      <c r="GC612" s="38">
        <f t="shared" si="1042"/>
        <v>0</v>
      </c>
      <c r="GD612" s="38">
        <f t="shared" si="1043"/>
        <v>0</v>
      </c>
      <c r="GE612" s="38">
        <f t="shared" si="1044"/>
        <v>0</v>
      </c>
      <c r="GF612" s="38">
        <f t="shared" si="1045"/>
        <v>0</v>
      </c>
      <c r="GG612" s="38">
        <f t="shared" si="1046"/>
        <v>0</v>
      </c>
      <c r="GH612" s="38">
        <f t="shared" si="1047"/>
        <v>0</v>
      </c>
      <c r="GI612" s="38">
        <f t="shared" si="1048"/>
        <v>0</v>
      </c>
      <c r="GJ612" s="38">
        <f t="shared" si="1049"/>
        <v>0</v>
      </c>
      <c r="GL612" s="38">
        <f t="shared" si="1050"/>
        <v>0</v>
      </c>
      <c r="GM612" s="38">
        <f t="shared" si="1051"/>
        <v>0</v>
      </c>
      <c r="GN612" s="1" t="s">
        <v>2</v>
      </c>
      <c r="GO612" s="1">
        <f t="shared" si="974"/>
        <v>0.56000000000000005</v>
      </c>
      <c r="GP612" s="1">
        <f t="shared" si="975"/>
        <v>0.38</v>
      </c>
      <c r="GQ612" s="41">
        <f t="shared" si="976"/>
        <v>2.1280000000000001</v>
      </c>
      <c r="GR612" s="41">
        <f t="shared" si="977"/>
        <v>33.388109440000001</v>
      </c>
      <c r="GS612" s="14">
        <f t="shared" si="978"/>
        <v>59.621623999999997</v>
      </c>
      <c r="GT612" s="1">
        <f t="shared" si="1052"/>
        <v>0</v>
      </c>
      <c r="GU612" s="1">
        <f t="shared" si="1053"/>
        <v>0</v>
      </c>
      <c r="GV612" s="1">
        <f t="shared" si="1054"/>
        <v>2.1280000000000001</v>
      </c>
      <c r="GW612" s="37">
        <f t="shared" si="979"/>
        <v>0</v>
      </c>
      <c r="GX612" s="37"/>
      <c r="GY612" s="37"/>
      <c r="GZ612" s="37"/>
      <c r="HB612" s="1">
        <f t="shared" si="1055"/>
        <v>0</v>
      </c>
      <c r="HC612" s="1">
        <f t="shared" si="1056"/>
        <v>0</v>
      </c>
      <c r="HD612" s="37" t="s">
        <v>2</v>
      </c>
      <c r="HE612" s="1" t="s">
        <v>113</v>
      </c>
      <c r="HF612" s="1" t="s">
        <v>129</v>
      </c>
      <c r="HI612" s="1" t="s">
        <v>163</v>
      </c>
      <c r="HJ612" s="37" t="s">
        <v>2</v>
      </c>
      <c r="JH612" s="58" t="s">
        <v>2</v>
      </c>
    </row>
    <row r="613" spans="1:268" ht="16.25" customHeight="1" x14ac:dyDescent="0.2">
      <c r="A613" s="15" t="s">
        <v>848</v>
      </c>
      <c r="B613" s="1" t="s">
        <v>69</v>
      </c>
      <c r="F613" s="1" t="s">
        <v>131</v>
      </c>
      <c r="I613" s="1">
        <v>0</v>
      </c>
      <c r="AD613" s="1">
        <v>0</v>
      </c>
      <c r="AY613" s="1">
        <v>0.56000000000000005</v>
      </c>
      <c r="AZ613" s="1">
        <v>0.15</v>
      </c>
      <c r="BG613" s="1">
        <v>0.38</v>
      </c>
      <c r="BT613" s="1">
        <v>0</v>
      </c>
      <c r="CO613" s="1">
        <v>0</v>
      </c>
      <c r="DJ613" s="1" t="s">
        <v>163</v>
      </c>
      <c r="DL613" s="1">
        <f t="shared" si="972"/>
        <v>0.38</v>
      </c>
      <c r="DM613" s="1">
        <f t="shared" si="973"/>
        <v>0</v>
      </c>
      <c r="DN613" s="1" t="s">
        <v>815</v>
      </c>
      <c r="DO613" s="1" t="s">
        <v>2</v>
      </c>
      <c r="DP613" s="38">
        <f t="shared" si="980"/>
        <v>8.4000000000000003E-4</v>
      </c>
      <c r="DQ613" s="38">
        <f t="shared" si="981"/>
        <v>0</v>
      </c>
      <c r="DR613" s="38">
        <f t="shared" si="982"/>
        <v>0</v>
      </c>
      <c r="DS613" s="38">
        <f t="shared" si="983"/>
        <v>0</v>
      </c>
      <c r="DT613" s="38">
        <f t="shared" si="984"/>
        <v>0</v>
      </c>
      <c r="DU613" s="38">
        <f t="shared" si="985"/>
        <v>0</v>
      </c>
      <c r="DV613" s="38">
        <f t="shared" si="986"/>
        <v>0</v>
      </c>
      <c r="DW613" s="38">
        <f t="shared" si="987"/>
        <v>2.1280000000000001E-3</v>
      </c>
      <c r="DX613" s="38">
        <f t="shared" si="988"/>
        <v>0</v>
      </c>
      <c r="DY613" s="38">
        <f t="shared" si="989"/>
        <v>0</v>
      </c>
      <c r="DZ613" s="38">
        <f t="shared" si="990"/>
        <v>0</v>
      </c>
      <c r="EA613" s="38">
        <f t="shared" si="991"/>
        <v>0</v>
      </c>
      <c r="EB613" s="38">
        <f t="shared" si="992"/>
        <v>0</v>
      </c>
      <c r="EC613" s="38">
        <f t="shared" si="993"/>
        <v>0</v>
      </c>
      <c r="ED613" s="38">
        <f t="shared" si="994"/>
        <v>0</v>
      </c>
      <c r="EE613" s="38">
        <f t="shared" si="995"/>
        <v>0</v>
      </c>
      <c r="EG613" s="38">
        <f t="shared" si="996"/>
        <v>0</v>
      </c>
      <c r="EH613" s="38">
        <f t="shared" si="997"/>
        <v>0</v>
      </c>
      <c r="EI613" s="38">
        <f t="shared" si="998"/>
        <v>5.4815174400000002</v>
      </c>
      <c r="EJ613" s="38">
        <f t="shared" si="999"/>
        <v>0</v>
      </c>
      <c r="EK613" s="38">
        <f t="shared" si="1000"/>
        <v>0</v>
      </c>
      <c r="EL613" s="38">
        <f t="shared" si="1001"/>
        <v>0</v>
      </c>
      <c r="EM613" s="38">
        <f t="shared" si="1002"/>
        <v>0</v>
      </c>
      <c r="EN613" s="38">
        <f t="shared" si="1003"/>
        <v>0</v>
      </c>
      <c r="EO613" s="38">
        <f t="shared" si="1004"/>
        <v>0</v>
      </c>
      <c r="EP613" s="38">
        <f t="shared" si="1005"/>
        <v>27.906592</v>
      </c>
      <c r="EQ613" s="38">
        <f t="shared" si="1006"/>
        <v>0</v>
      </c>
      <c r="ER613" s="38">
        <f t="shared" si="1007"/>
        <v>0</v>
      </c>
      <c r="ES613" s="38">
        <f t="shared" si="1008"/>
        <v>0</v>
      </c>
      <c r="ET613" s="38">
        <f t="shared" si="1009"/>
        <v>0</v>
      </c>
      <c r="EU613" s="38">
        <f t="shared" si="1010"/>
        <v>0</v>
      </c>
      <c r="EV613" s="38">
        <f t="shared" si="1011"/>
        <v>0</v>
      </c>
      <c r="EW613" s="38">
        <f t="shared" si="1012"/>
        <v>0</v>
      </c>
      <c r="EX613" s="38">
        <f t="shared" si="1013"/>
        <v>0</v>
      </c>
      <c r="EZ613" s="38">
        <f t="shared" si="1014"/>
        <v>0</v>
      </c>
      <c r="FA613" s="38">
        <f t="shared" si="1015"/>
        <v>0</v>
      </c>
      <c r="FB613" s="1">
        <f t="shared" si="1016"/>
        <v>0</v>
      </c>
      <c r="FC613" s="1">
        <f t="shared" si="1017"/>
        <v>0</v>
      </c>
      <c r="FD613" s="1">
        <f t="shared" si="1018"/>
        <v>0</v>
      </c>
      <c r="FE613" s="1">
        <f t="shared" si="1019"/>
        <v>0</v>
      </c>
      <c r="FF613" s="1">
        <f t="shared" si="1020"/>
        <v>0</v>
      </c>
      <c r="FG613" s="1">
        <f t="shared" si="1021"/>
        <v>0</v>
      </c>
      <c r="FH613" s="1">
        <f t="shared" si="1022"/>
        <v>0</v>
      </c>
      <c r="FI613" s="1">
        <f t="shared" si="1023"/>
        <v>0</v>
      </c>
      <c r="FJ613" s="1">
        <f t="shared" si="1024"/>
        <v>0</v>
      </c>
      <c r="FK613" s="1">
        <f t="shared" si="1025"/>
        <v>0</v>
      </c>
      <c r="FL613" s="1">
        <f t="shared" si="1026"/>
        <v>0</v>
      </c>
      <c r="FM613" s="1">
        <f t="shared" si="1027"/>
        <v>0</v>
      </c>
      <c r="FN613" s="1">
        <f t="shared" si="1028"/>
        <v>0</v>
      </c>
      <c r="FO613" s="1">
        <f t="shared" si="1029"/>
        <v>0</v>
      </c>
      <c r="FP613" s="1">
        <f t="shared" si="1030"/>
        <v>0</v>
      </c>
      <c r="FQ613" s="1">
        <f t="shared" si="1031"/>
        <v>0</v>
      </c>
      <c r="FS613" s="1">
        <f t="shared" si="1032"/>
        <v>0</v>
      </c>
      <c r="FT613" s="1">
        <f t="shared" si="1033"/>
        <v>0</v>
      </c>
      <c r="FU613" s="38">
        <f t="shared" si="1034"/>
        <v>0</v>
      </c>
      <c r="FV613" s="38">
        <f t="shared" si="1035"/>
        <v>0</v>
      </c>
      <c r="FW613" s="38">
        <f t="shared" si="1036"/>
        <v>0</v>
      </c>
      <c r="FX613" s="38">
        <f t="shared" si="1037"/>
        <v>0</v>
      </c>
      <c r="FY613" s="38">
        <f t="shared" si="1038"/>
        <v>0</v>
      </c>
      <c r="FZ613" s="38">
        <f t="shared" si="1039"/>
        <v>0</v>
      </c>
      <c r="GA613" s="38">
        <f t="shared" si="1040"/>
        <v>0</v>
      </c>
      <c r="GB613" s="38">
        <f t="shared" si="1041"/>
        <v>0</v>
      </c>
      <c r="GC613" s="38">
        <f t="shared" si="1042"/>
        <v>0</v>
      </c>
      <c r="GD613" s="38">
        <f t="shared" si="1043"/>
        <v>0</v>
      </c>
      <c r="GE613" s="38">
        <f t="shared" si="1044"/>
        <v>0</v>
      </c>
      <c r="GF613" s="38">
        <f t="shared" si="1045"/>
        <v>0</v>
      </c>
      <c r="GG613" s="38">
        <f t="shared" si="1046"/>
        <v>0</v>
      </c>
      <c r="GH613" s="38">
        <f t="shared" si="1047"/>
        <v>0</v>
      </c>
      <c r="GI613" s="38">
        <f t="shared" si="1048"/>
        <v>0</v>
      </c>
      <c r="GJ613" s="38">
        <f t="shared" si="1049"/>
        <v>0</v>
      </c>
      <c r="GL613" s="38">
        <f t="shared" si="1050"/>
        <v>0</v>
      </c>
      <c r="GM613" s="38">
        <f t="shared" si="1051"/>
        <v>0</v>
      </c>
      <c r="GN613" s="1" t="s">
        <v>2</v>
      </c>
      <c r="GO613" s="1">
        <f t="shared" si="974"/>
        <v>0.56000000000000005</v>
      </c>
      <c r="GP613" s="1">
        <f t="shared" si="975"/>
        <v>0.38</v>
      </c>
      <c r="GQ613" s="41">
        <f t="shared" si="976"/>
        <v>2.1280000000000001</v>
      </c>
      <c r="GR613" s="41">
        <f t="shared" si="977"/>
        <v>33.388109440000001</v>
      </c>
      <c r="GS613" s="14">
        <f t="shared" si="978"/>
        <v>59.621623999999997</v>
      </c>
      <c r="GT613" s="1">
        <f t="shared" si="1052"/>
        <v>0</v>
      </c>
      <c r="GU613" s="1">
        <f t="shared" si="1053"/>
        <v>0</v>
      </c>
      <c r="GV613" s="1">
        <f t="shared" si="1054"/>
        <v>2.1280000000000001</v>
      </c>
      <c r="GW613" s="37">
        <f t="shared" si="979"/>
        <v>0</v>
      </c>
      <c r="GX613" s="37"/>
      <c r="GY613" s="37"/>
      <c r="GZ613" s="37"/>
      <c r="HB613" s="1">
        <f t="shared" si="1055"/>
        <v>0</v>
      </c>
      <c r="HC613" s="1">
        <f t="shared" si="1056"/>
        <v>0</v>
      </c>
      <c r="HD613" s="37" t="s">
        <v>2</v>
      </c>
      <c r="HE613" s="1" t="s">
        <v>113</v>
      </c>
      <c r="HF613" s="1" t="s">
        <v>129</v>
      </c>
      <c r="HI613" s="1" t="s">
        <v>163</v>
      </c>
      <c r="HJ613" s="37" t="s">
        <v>2</v>
      </c>
      <c r="JH613" s="58" t="s">
        <v>2</v>
      </c>
    </row>
    <row r="614" spans="1:268" ht="16.25" customHeight="1" x14ac:dyDescent="0.2">
      <c r="A614" s="15" t="s">
        <v>1165</v>
      </c>
      <c r="B614" s="1" t="s">
        <v>69</v>
      </c>
      <c r="F614" s="1" t="s">
        <v>131</v>
      </c>
      <c r="I614" s="1">
        <v>0</v>
      </c>
      <c r="AD614" s="1">
        <v>0</v>
      </c>
      <c r="AY614" s="1">
        <v>0.21299999999999999</v>
      </c>
      <c r="AZ614" s="13">
        <v>0.2</v>
      </c>
      <c r="BG614" s="13">
        <v>1.4</v>
      </c>
      <c r="BT614" s="1">
        <v>0</v>
      </c>
      <c r="CO614" s="1">
        <v>0</v>
      </c>
      <c r="DJ614" s="1" t="s">
        <v>163</v>
      </c>
      <c r="DL614" s="1">
        <f t="shared" si="972"/>
        <v>1.4</v>
      </c>
      <c r="DM614" s="1">
        <f t="shared" si="973"/>
        <v>0</v>
      </c>
      <c r="DN614" s="1" t="s">
        <v>1166</v>
      </c>
      <c r="DO614" s="1" t="s">
        <v>2</v>
      </c>
      <c r="DP614" s="38">
        <f t="shared" si="980"/>
        <v>4.26E-4</v>
      </c>
      <c r="DQ614" s="38">
        <f t="shared" si="981"/>
        <v>0</v>
      </c>
      <c r="DR614" s="38">
        <f t="shared" si="982"/>
        <v>0</v>
      </c>
      <c r="DS614" s="38">
        <f t="shared" si="983"/>
        <v>0</v>
      </c>
      <c r="DT614" s="38">
        <f t="shared" si="984"/>
        <v>0</v>
      </c>
      <c r="DU614" s="38">
        <f t="shared" si="985"/>
        <v>0</v>
      </c>
      <c r="DV614" s="38">
        <f t="shared" si="986"/>
        <v>0</v>
      </c>
      <c r="DW614" s="38">
        <f t="shared" si="987"/>
        <v>2.9819999999999998E-3</v>
      </c>
      <c r="DX614" s="38">
        <f t="shared" si="988"/>
        <v>0</v>
      </c>
      <c r="DY614" s="38">
        <f t="shared" si="989"/>
        <v>0</v>
      </c>
      <c r="DZ614" s="38">
        <f t="shared" si="990"/>
        <v>0</v>
      </c>
      <c r="EA614" s="38">
        <f t="shared" si="991"/>
        <v>0</v>
      </c>
      <c r="EB614" s="38">
        <f t="shared" si="992"/>
        <v>0</v>
      </c>
      <c r="EC614" s="38">
        <f t="shared" si="993"/>
        <v>0</v>
      </c>
      <c r="ED614" s="38">
        <f t="shared" si="994"/>
        <v>0</v>
      </c>
      <c r="EE614" s="38">
        <f t="shared" si="995"/>
        <v>0</v>
      </c>
      <c r="EG614" s="38">
        <f t="shared" si="996"/>
        <v>0</v>
      </c>
      <c r="EH614" s="38">
        <f t="shared" si="997"/>
        <v>0</v>
      </c>
      <c r="EI614" s="38">
        <f t="shared" si="998"/>
        <v>2.7799124160000002</v>
      </c>
      <c r="EJ614" s="38">
        <f t="shared" si="999"/>
        <v>0</v>
      </c>
      <c r="EK614" s="38">
        <f t="shared" si="1000"/>
        <v>0</v>
      </c>
      <c r="EL614" s="38">
        <f t="shared" si="1001"/>
        <v>0</v>
      </c>
      <c r="EM614" s="38">
        <f t="shared" si="1002"/>
        <v>0</v>
      </c>
      <c r="EN614" s="38">
        <f t="shared" si="1003"/>
        <v>0</v>
      </c>
      <c r="EO614" s="38">
        <f t="shared" si="1004"/>
        <v>0</v>
      </c>
      <c r="EP614" s="38">
        <f t="shared" si="1005"/>
        <v>39.105947999999998</v>
      </c>
      <c r="EQ614" s="38">
        <f t="shared" si="1006"/>
        <v>0</v>
      </c>
      <c r="ER614" s="38">
        <f t="shared" si="1007"/>
        <v>0</v>
      </c>
      <c r="ES614" s="38">
        <f t="shared" si="1008"/>
        <v>0</v>
      </c>
      <c r="ET614" s="38">
        <f t="shared" si="1009"/>
        <v>0</v>
      </c>
      <c r="EU614" s="38">
        <f t="shared" si="1010"/>
        <v>0</v>
      </c>
      <c r="EV614" s="38">
        <f t="shared" si="1011"/>
        <v>0</v>
      </c>
      <c r="EW614" s="38">
        <f t="shared" si="1012"/>
        <v>0</v>
      </c>
      <c r="EX614" s="38">
        <f t="shared" si="1013"/>
        <v>0</v>
      </c>
      <c r="EZ614" s="38">
        <f t="shared" si="1014"/>
        <v>0</v>
      </c>
      <c r="FA614" s="38">
        <f t="shared" si="1015"/>
        <v>0</v>
      </c>
      <c r="FB614" s="1">
        <f t="shared" si="1016"/>
        <v>0</v>
      </c>
      <c r="FC614" s="1">
        <f t="shared" si="1017"/>
        <v>0</v>
      </c>
      <c r="FD614" s="1">
        <f t="shared" si="1018"/>
        <v>0</v>
      </c>
      <c r="FE614" s="1">
        <f t="shared" si="1019"/>
        <v>0</v>
      </c>
      <c r="FF614" s="1">
        <f t="shared" si="1020"/>
        <v>0</v>
      </c>
      <c r="FG614" s="1">
        <f t="shared" si="1021"/>
        <v>0</v>
      </c>
      <c r="FH614" s="1">
        <f t="shared" si="1022"/>
        <v>0</v>
      </c>
      <c r="FI614" s="1">
        <f t="shared" si="1023"/>
        <v>0</v>
      </c>
      <c r="FJ614" s="1">
        <f t="shared" si="1024"/>
        <v>0</v>
      </c>
      <c r="FK614" s="1">
        <f t="shared" si="1025"/>
        <v>0</v>
      </c>
      <c r="FL614" s="1">
        <f t="shared" si="1026"/>
        <v>0</v>
      </c>
      <c r="FM614" s="1">
        <f t="shared" si="1027"/>
        <v>0</v>
      </c>
      <c r="FN614" s="1">
        <f t="shared" si="1028"/>
        <v>0</v>
      </c>
      <c r="FO614" s="1">
        <f t="shared" si="1029"/>
        <v>0</v>
      </c>
      <c r="FP614" s="1">
        <f t="shared" si="1030"/>
        <v>0</v>
      </c>
      <c r="FQ614" s="1">
        <f t="shared" si="1031"/>
        <v>0</v>
      </c>
      <c r="FS614" s="1">
        <f t="shared" si="1032"/>
        <v>0</v>
      </c>
      <c r="FT614" s="1">
        <f t="shared" si="1033"/>
        <v>0</v>
      </c>
      <c r="FU614" s="38">
        <f t="shared" si="1034"/>
        <v>0</v>
      </c>
      <c r="FV614" s="38">
        <f t="shared" si="1035"/>
        <v>0</v>
      </c>
      <c r="FW614" s="38">
        <f t="shared" si="1036"/>
        <v>0</v>
      </c>
      <c r="FX614" s="38">
        <f t="shared" si="1037"/>
        <v>0</v>
      </c>
      <c r="FY614" s="38">
        <f t="shared" si="1038"/>
        <v>0</v>
      </c>
      <c r="FZ614" s="38">
        <f t="shared" si="1039"/>
        <v>0</v>
      </c>
      <c r="GA614" s="38">
        <f t="shared" si="1040"/>
        <v>0</v>
      </c>
      <c r="GB614" s="38">
        <f t="shared" si="1041"/>
        <v>0</v>
      </c>
      <c r="GC614" s="38">
        <f t="shared" si="1042"/>
        <v>0</v>
      </c>
      <c r="GD614" s="38">
        <f t="shared" si="1043"/>
        <v>0</v>
      </c>
      <c r="GE614" s="38">
        <f t="shared" si="1044"/>
        <v>0</v>
      </c>
      <c r="GF614" s="38">
        <f t="shared" si="1045"/>
        <v>0</v>
      </c>
      <c r="GG614" s="38">
        <f t="shared" si="1046"/>
        <v>0</v>
      </c>
      <c r="GH614" s="38">
        <f t="shared" si="1047"/>
        <v>0</v>
      </c>
      <c r="GI614" s="38">
        <f t="shared" si="1048"/>
        <v>0</v>
      </c>
      <c r="GJ614" s="38">
        <f t="shared" si="1049"/>
        <v>0</v>
      </c>
      <c r="GL614" s="38">
        <f t="shared" si="1050"/>
        <v>0</v>
      </c>
      <c r="GM614" s="38">
        <f t="shared" si="1051"/>
        <v>0</v>
      </c>
      <c r="GN614" s="1" t="s">
        <v>2</v>
      </c>
      <c r="GO614" s="1">
        <f t="shared" si="974"/>
        <v>0.21299999999999999</v>
      </c>
      <c r="GP614" s="1">
        <f t="shared" si="975"/>
        <v>1.4</v>
      </c>
      <c r="GQ614" s="41">
        <f t="shared" si="976"/>
        <v>2.9819999999999998</v>
      </c>
      <c r="GR614" s="41">
        <f t="shared" si="977"/>
        <v>41.885860416</v>
      </c>
      <c r="GS614" s="14">
        <f t="shared" si="978"/>
        <v>196.647232</v>
      </c>
      <c r="GT614" s="1">
        <f t="shared" si="1052"/>
        <v>0</v>
      </c>
      <c r="GU614" s="1">
        <f t="shared" si="1053"/>
        <v>0</v>
      </c>
      <c r="GV614" s="1">
        <f t="shared" si="1054"/>
        <v>2.9819999999999998</v>
      </c>
      <c r="GW614" s="37">
        <f t="shared" si="979"/>
        <v>0</v>
      </c>
      <c r="GX614" s="37"/>
      <c r="GY614" s="37"/>
      <c r="GZ614" s="37"/>
      <c r="HB614" s="1">
        <f t="shared" si="1055"/>
        <v>0</v>
      </c>
      <c r="HC614" s="1">
        <f t="shared" si="1056"/>
        <v>0</v>
      </c>
      <c r="HD614" s="37" t="s">
        <v>2</v>
      </c>
      <c r="HE614" s="1" t="s">
        <v>113</v>
      </c>
      <c r="HF614" s="1" t="s">
        <v>129</v>
      </c>
      <c r="HI614" s="1" t="s">
        <v>163</v>
      </c>
      <c r="HJ614" s="37" t="s">
        <v>2</v>
      </c>
      <c r="JH614" s="58" t="s">
        <v>2</v>
      </c>
    </row>
    <row r="615" spans="1:268" ht="16.25" customHeight="1" x14ac:dyDescent="0.2">
      <c r="A615" s="15" t="s">
        <v>1167</v>
      </c>
      <c r="B615" s="1" t="s">
        <v>69</v>
      </c>
      <c r="F615" s="1" t="s">
        <v>131</v>
      </c>
      <c r="I615" s="1">
        <v>0</v>
      </c>
      <c r="AD615" s="1">
        <v>0</v>
      </c>
      <c r="AY615" s="1">
        <v>7.0000000000000007E-2</v>
      </c>
      <c r="AZ615" s="1">
        <v>0.27</v>
      </c>
      <c r="BG615" s="1">
        <v>0.46</v>
      </c>
      <c r="BT615" s="1">
        <v>0</v>
      </c>
      <c r="CO615" s="1">
        <v>0</v>
      </c>
      <c r="DJ615" s="1" t="s">
        <v>163</v>
      </c>
      <c r="DL615" s="1">
        <f t="shared" si="972"/>
        <v>0.46</v>
      </c>
      <c r="DM615" s="1">
        <f t="shared" si="973"/>
        <v>0</v>
      </c>
      <c r="DN615" s="1" t="s">
        <v>1166</v>
      </c>
      <c r="DO615" s="1" t="s">
        <v>2</v>
      </c>
      <c r="DP615" s="38">
        <f t="shared" si="980"/>
        <v>1.8900000000000004E-4</v>
      </c>
      <c r="DQ615" s="38">
        <f t="shared" si="981"/>
        <v>0</v>
      </c>
      <c r="DR615" s="38">
        <f t="shared" si="982"/>
        <v>0</v>
      </c>
      <c r="DS615" s="38">
        <f t="shared" si="983"/>
        <v>0</v>
      </c>
      <c r="DT615" s="38">
        <f t="shared" si="984"/>
        <v>0</v>
      </c>
      <c r="DU615" s="38">
        <f t="shared" si="985"/>
        <v>0</v>
      </c>
      <c r="DV615" s="38">
        <f t="shared" si="986"/>
        <v>0</v>
      </c>
      <c r="DW615" s="38">
        <f t="shared" si="987"/>
        <v>3.2200000000000007E-4</v>
      </c>
      <c r="DX615" s="38">
        <f t="shared" si="988"/>
        <v>0</v>
      </c>
      <c r="DY615" s="38">
        <f t="shared" si="989"/>
        <v>0</v>
      </c>
      <c r="DZ615" s="38">
        <f t="shared" si="990"/>
        <v>0</v>
      </c>
      <c r="EA615" s="38">
        <f t="shared" si="991"/>
        <v>0</v>
      </c>
      <c r="EB615" s="38">
        <f t="shared" si="992"/>
        <v>0</v>
      </c>
      <c r="EC615" s="38">
        <f t="shared" si="993"/>
        <v>0</v>
      </c>
      <c r="ED615" s="38">
        <f t="shared" si="994"/>
        <v>0</v>
      </c>
      <c r="EE615" s="38">
        <f t="shared" si="995"/>
        <v>0</v>
      </c>
      <c r="EG615" s="38">
        <f t="shared" si="996"/>
        <v>0</v>
      </c>
      <c r="EH615" s="38">
        <f t="shared" si="997"/>
        <v>0</v>
      </c>
      <c r="EI615" s="38">
        <f t="shared" si="998"/>
        <v>1.2333414240000002</v>
      </c>
      <c r="EJ615" s="38">
        <f t="shared" si="999"/>
        <v>0</v>
      </c>
      <c r="EK615" s="38">
        <f t="shared" si="1000"/>
        <v>0</v>
      </c>
      <c r="EL615" s="38">
        <f t="shared" si="1001"/>
        <v>0</v>
      </c>
      <c r="EM615" s="38">
        <f t="shared" si="1002"/>
        <v>0</v>
      </c>
      <c r="EN615" s="38">
        <f t="shared" si="1003"/>
        <v>0</v>
      </c>
      <c r="EO615" s="38">
        <f t="shared" si="1004"/>
        <v>0</v>
      </c>
      <c r="EP615" s="38">
        <f t="shared" si="1005"/>
        <v>4.2227080000000008</v>
      </c>
      <c r="EQ615" s="38">
        <f t="shared" si="1006"/>
        <v>0</v>
      </c>
      <c r="ER615" s="38">
        <f t="shared" si="1007"/>
        <v>0</v>
      </c>
      <c r="ES615" s="38">
        <f t="shared" si="1008"/>
        <v>0</v>
      </c>
      <c r="ET615" s="38">
        <f t="shared" si="1009"/>
        <v>0</v>
      </c>
      <c r="EU615" s="38">
        <f t="shared" si="1010"/>
        <v>0</v>
      </c>
      <c r="EV615" s="38">
        <f t="shared" si="1011"/>
        <v>0</v>
      </c>
      <c r="EW615" s="38">
        <f t="shared" si="1012"/>
        <v>0</v>
      </c>
      <c r="EX615" s="38">
        <f t="shared" si="1013"/>
        <v>0</v>
      </c>
      <c r="EZ615" s="38">
        <f t="shared" si="1014"/>
        <v>0</v>
      </c>
      <c r="FA615" s="38">
        <f t="shared" si="1015"/>
        <v>0</v>
      </c>
      <c r="FB615" s="1">
        <f t="shared" si="1016"/>
        <v>0</v>
      </c>
      <c r="FC615" s="1">
        <f t="shared" si="1017"/>
        <v>0</v>
      </c>
      <c r="FD615" s="1">
        <f t="shared" si="1018"/>
        <v>0</v>
      </c>
      <c r="FE615" s="1">
        <f t="shared" si="1019"/>
        <v>0</v>
      </c>
      <c r="FF615" s="1">
        <f t="shared" si="1020"/>
        <v>0</v>
      </c>
      <c r="FG615" s="1">
        <f t="shared" si="1021"/>
        <v>0</v>
      </c>
      <c r="FH615" s="1">
        <f t="shared" si="1022"/>
        <v>0</v>
      </c>
      <c r="FI615" s="1">
        <f t="shared" si="1023"/>
        <v>0</v>
      </c>
      <c r="FJ615" s="1">
        <f t="shared" si="1024"/>
        <v>0</v>
      </c>
      <c r="FK615" s="1">
        <f t="shared" si="1025"/>
        <v>0</v>
      </c>
      <c r="FL615" s="1">
        <f t="shared" si="1026"/>
        <v>0</v>
      </c>
      <c r="FM615" s="1">
        <f t="shared" si="1027"/>
        <v>0</v>
      </c>
      <c r="FN615" s="1">
        <f t="shared" si="1028"/>
        <v>0</v>
      </c>
      <c r="FO615" s="1">
        <f t="shared" si="1029"/>
        <v>0</v>
      </c>
      <c r="FP615" s="1">
        <f t="shared" si="1030"/>
        <v>0</v>
      </c>
      <c r="FQ615" s="1">
        <f t="shared" si="1031"/>
        <v>0</v>
      </c>
      <c r="FS615" s="1">
        <f t="shared" si="1032"/>
        <v>0</v>
      </c>
      <c r="FT615" s="1">
        <f t="shared" si="1033"/>
        <v>0</v>
      </c>
      <c r="FU615" s="38">
        <f t="shared" si="1034"/>
        <v>0</v>
      </c>
      <c r="FV615" s="38">
        <f t="shared" si="1035"/>
        <v>0</v>
      </c>
      <c r="FW615" s="38">
        <f t="shared" si="1036"/>
        <v>0</v>
      </c>
      <c r="FX615" s="38">
        <f t="shared" si="1037"/>
        <v>0</v>
      </c>
      <c r="FY615" s="38">
        <f t="shared" si="1038"/>
        <v>0</v>
      </c>
      <c r="FZ615" s="38">
        <f t="shared" si="1039"/>
        <v>0</v>
      </c>
      <c r="GA615" s="38">
        <f t="shared" si="1040"/>
        <v>0</v>
      </c>
      <c r="GB615" s="38">
        <f t="shared" si="1041"/>
        <v>0</v>
      </c>
      <c r="GC615" s="38">
        <f t="shared" si="1042"/>
        <v>0</v>
      </c>
      <c r="GD615" s="38">
        <f t="shared" si="1043"/>
        <v>0</v>
      </c>
      <c r="GE615" s="38">
        <f t="shared" si="1044"/>
        <v>0</v>
      </c>
      <c r="GF615" s="38">
        <f t="shared" si="1045"/>
        <v>0</v>
      </c>
      <c r="GG615" s="38">
        <f t="shared" si="1046"/>
        <v>0</v>
      </c>
      <c r="GH615" s="38">
        <f t="shared" si="1047"/>
        <v>0</v>
      </c>
      <c r="GI615" s="38">
        <f t="shared" si="1048"/>
        <v>0</v>
      </c>
      <c r="GJ615" s="38">
        <f t="shared" si="1049"/>
        <v>0</v>
      </c>
      <c r="GL615" s="38">
        <f t="shared" si="1050"/>
        <v>0</v>
      </c>
      <c r="GM615" s="38">
        <f t="shared" si="1051"/>
        <v>0</v>
      </c>
      <c r="GN615" s="1" t="s">
        <v>2</v>
      </c>
      <c r="GO615" s="1">
        <f t="shared" si="974"/>
        <v>7.0000000000000007E-2</v>
      </c>
      <c r="GP615" s="1">
        <f t="shared" si="975"/>
        <v>0.46</v>
      </c>
      <c r="GQ615" s="41">
        <f t="shared" si="976"/>
        <v>0.32200000000000001</v>
      </c>
      <c r="GR615" s="41">
        <f t="shared" si="977"/>
        <v>5.4560494240000015</v>
      </c>
      <c r="GS615" s="14">
        <f t="shared" si="978"/>
        <v>77.943563200000014</v>
      </c>
      <c r="GT615" s="1">
        <f t="shared" si="1052"/>
        <v>0</v>
      </c>
      <c r="GU615" s="1">
        <f t="shared" si="1053"/>
        <v>0</v>
      </c>
      <c r="GV615" s="1">
        <f t="shared" si="1054"/>
        <v>0.32200000000000001</v>
      </c>
      <c r="GW615" s="37">
        <f t="shared" si="979"/>
        <v>0</v>
      </c>
      <c r="GX615" s="37"/>
      <c r="GY615" s="37"/>
      <c r="GZ615" s="37"/>
      <c r="HB615" s="1">
        <f t="shared" si="1055"/>
        <v>0</v>
      </c>
      <c r="HC615" s="1">
        <f t="shared" si="1056"/>
        <v>0</v>
      </c>
      <c r="HD615" s="37" t="s">
        <v>2</v>
      </c>
      <c r="HE615" s="1" t="s">
        <v>113</v>
      </c>
      <c r="HF615" s="1" t="s">
        <v>129</v>
      </c>
      <c r="HI615" s="1" t="s">
        <v>163</v>
      </c>
      <c r="HJ615" s="37" t="s">
        <v>2</v>
      </c>
      <c r="JH615" s="58" t="s">
        <v>2</v>
      </c>
    </row>
    <row r="616" spans="1:268" ht="16.25" customHeight="1" x14ac:dyDescent="0.2">
      <c r="A616" s="15" t="s">
        <v>1168</v>
      </c>
      <c r="B616" s="1" t="s">
        <v>69</v>
      </c>
      <c r="F616" s="1" t="s">
        <v>131</v>
      </c>
      <c r="I616" s="1">
        <v>0</v>
      </c>
      <c r="AD616" s="1">
        <v>0</v>
      </c>
      <c r="AY616" s="1">
        <v>4.24</v>
      </c>
      <c r="AZ616" s="1">
        <v>0.06</v>
      </c>
      <c r="BG616" s="1">
        <v>0.61</v>
      </c>
      <c r="BH616" s="1">
        <v>0.02</v>
      </c>
      <c r="BT616" s="1">
        <v>0</v>
      </c>
      <c r="CO616" s="1">
        <v>0</v>
      </c>
      <c r="DJ616" s="1" t="s">
        <v>163</v>
      </c>
      <c r="DK616" s="1" t="s">
        <v>163</v>
      </c>
      <c r="DL616" s="1">
        <f t="shared" si="972"/>
        <v>0.61</v>
      </c>
      <c r="DM616" s="1">
        <f t="shared" si="973"/>
        <v>0.02</v>
      </c>
      <c r="DN616" s="1" t="s">
        <v>824</v>
      </c>
      <c r="DO616" s="1" t="s">
        <v>2</v>
      </c>
      <c r="DP616" s="38">
        <f t="shared" si="980"/>
        <v>2.5440000000000003E-3</v>
      </c>
      <c r="DQ616" s="38">
        <f t="shared" si="981"/>
        <v>0</v>
      </c>
      <c r="DR616" s="38">
        <f t="shared" si="982"/>
        <v>0</v>
      </c>
      <c r="DS616" s="38">
        <f t="shared" si="983"/>
        <v>0</v>
      </c>
      <c r="DT616" s="38">
        <f t="shared" si="984"/>
        <v>0</v>
      </c>
      <c r="DU616" s="38">
        <f t="shared" si="985"/>
        <v>0</v>
      </c>
      <c r="DV616" s="38">
        <f t="shared" si="986"/>
        <v>0</v>
      </c>
      <c r="DW616" s="38">
        <f t="shared" si="987"/>
        <v>2.5864000000000002E-2</v>
      </c>
      <c r="DX616" s="38">
        <f t="shared" si="988"/>
        <v>8.4800000000000001E-4</v>
      </c>
      <c r="DY616" s="38">
        <f t="shared" si="989"/>
        <v>0</v>
      </c>
      <c r="DZ616" s="38">
        <f t="shared" si="990"/>
        <v>0</v>
      </c>
      <c r="EA616" s="38">
        <f t="shared" si="991"/>
        <v>0</v>
      </c>
      <c r="EB616" s="38">
        <f t="shared" si="992"/>
        <v>0</v>
      </c>
      <c r="EC616" s="38">
        <f t="shared" si="993"/>
        <v>0</v>
      </c>
      <c r="ED616" s="38">
        <f t="shared" si="994"/>
        <v>0</v>
      </c>
      <c r="EE616" s="38">
        <f t="shared" si="995"/>
        <v>0</v>
      </c>
      <c r="EG616" s="38">
        <f t="shared" si="996"/>
        <v>0</v>
      </c>
      <c r="EH616" s="38">
        <f t="shared" si="997"/>
        <v>0</v>
      </c>
      <c r="EI616" s="38">
        <f t="shared" si="998"/>
        <v>16.601167104000002</v>
      </c>
      <c r="EJ616" s="38">
        <f t="shared" si="999"/>
        <v>0</v>
      </c>
      <c r="EK616" s="38">
        <f t="shared" si="1000"/>
        <v>0</v>
      </c>
      <c r="EL616" s="38">
        <f t="shared" si="1001"/>
        <v>0</v>
      </c>
      <c r="EM616" s="38">
        <f t="shared" si="1002"/>
        <v>0</v>
      </c>
      <c r="EN616" s="38">
        <f t="shared" si="1003"/>
        <v>0</v>
      </c>
      <c r="EO616" s="38">
        <f t="shared" si="1004"/>
        <v>0</v>
      </c>
      <c r="EP616" s="38">
        <f t="shared" si="1005"/>
        <v>339.18049600000001</v>
      </c>
      <c r="EQ616" s="38">
        <f t="shared" si="1006"/>
        <v>61.581356351999993</v>
      </c>
      <c r="ER616" s="38">
        <f t="shared" si="1007"/>
        <v>0</v>
      </c>
      <c r="ES616" s="38">
        <f t="shared" si="1008"/>
        <v>0</v>
      </c>
      <c r="ET616" s="38">
        <f t="shared" si="1009"/>
        <v>0</v>
      </c>
      <c r="EU616" s="38">
        <f t="shared" si="1010"/>
        <v>0</v>
      </c>
      <c r="EV616" s="38">
        <f t="shared" si="1011"/>
        <v>0</v>
      </c>
      <c r="EW616" s="38">
        <f t="shared" si="1012"/>
        <v>0</v>
      </c>
      <c r="EX616" s="38">
        <f t="shared" si="1013"/>
        <v>0</v>
      </c>
      <c r="EZ616" s="38">
        <f t="shared" si="1014"/>
        <v>0</v>
      </c>
      <c r="FA616" s="38">
        <f t="shared" si="1015"/>
        <v>0</v>
      </c>
      <c r="FB616" s="1">
        <f t="shared" si="1016"/>
        <v>0</v>
      </c>
      <c r="FC616" s="1">
        <f t="shared" si="1017"/>
        <v>0</v>
      </c>
      <c r="FD616" s="1">
        <f t="shared" si="1018"/>
        <v>0</v>
      </c>
      <c r="FE616" s="1">
        <f t="shared" si="1019"/>
        <v>0</v>
      </c>
      <c r="FF616" s="1">
        <f t="shared" si="1020"/>
        <v>0</v>
      </c>
      <c r="FG616" s="1">
        <f t="shared" si="1021"/>
        <v>0</v>
      </c>
      <c r="FH616" s="1">
        <f t="shared" si="1022"/>
        <v>0</v>
      </c>
      <c r="FI616" s="1">
        <f t="shared" si="1023"/>
        <v>0</v>
      </c>
      <c r="FJ616" s="1">
        <f t="shared" si="1024"/>
        <v>0</v>
      </c>
      <c r="FK616" s="1">
        <f t="shared" si="1025"/>
        <v>0</v>
      </c>
      <c r="FL616" s="1">
        <f t="shared" si="1026"/>
        <v>0</v>
      </c>
      <c r="FM616" s="1">
        <f t="shared" si="1027"/>
        <v>0</v>
      </c>
      <c r="FN616" s="1">
        <f t="shared" si="1028"/>
        <v>0</v>
      </c>
      <c r="FO616" s="1">
        <f t="shared" si="1029"/>
        <v>0</v>
      </c>
      <c r="FP616" s="1">
        <f t="shared" si="1030"/>
        <v>0</v>
      </c>
      <c r="FQ616" s="1">
        <f t="shared" si="1031"/>
        <v>0</v>
      </c>
      <c r="FS616" s="1">
        <f t="shared" si="1032"/>
        <v>0</v>
      </c>
      <c r="FT616" s="1">
        <f t="shared" si="1033"/>
        <v>0</v>
      </c>
      <c r="FU616" s="38">
        <f t="shared" si="1034"/>
        <v>0</v>
      </c>
      <c r="FV616" s="38">
        <f t="shared" si="1035"/>
        <v>0</v>
      </c>
      <c r="FW616" s="38">
        <f t="shared" si="1036"/>
        <v>0</v>
      </c>
      <c r="FX616" s="38">
        <f t="shared" si="1037"/>
        <v>0</v>
      </c>
      <c r="FY616" s="38">
        <f t="shared" si="1038"/>
        <v>0</v>
      </c>
      <c r="FZ616" s="38">
        <f t="shared" si="1039"/>
        <v>0</v>
      </c>
      <c r="GA616" s="38">
        <f t="shared" si="1040"/>
        <v>0</v>
      </c>
      <c r="GB616" s="38">
        <f t="shared" si="1041"/>
        <v>0</v>
      </c>
      <c r="GC616" s="38">
        <f t="shared" si="1042"/>
        <v>0</v>
      </c>
      <c r="GD616" s="38">
        <f t="shared" si="1043"/>
        <v>0</v>
      </c>
      <c r="GE616" s="38">
        <f t="shared" si="1044"/>
        <v>0</v>
      </c>
      <c r="GF616" s="38">
        <f t="shared" si="1045"/>
        <v>0</v>
      </c>
      <c r="GG616" s="38">
        <f t="shared" si="1046"/>
        <v>0</v>
      </c>
      <c r="GH616" s="38">
        <f t="shared" si="1047"/>
        <v>0</v>
      </c>
      <c r="GI616" s="38">
        <f t="shared" si="1048"/>
        <v>0</v>
      </c>
      <c r="GJ616" s="38">
        <f t="shared" si="1049"/>
        <v>0</v>
      </c>
      <c r="GL616" s="38">
        <f t="shared" si="1050"/>
        <v>0</v>
      </c>
      <c r="GM616" s="38">
        <f t="shared" si="1051"/>
        <v>0</v>
      </c>
      <c r="GN616" s="1" t="s">
        <v>2</v>
      </c>
      <c r="GO616" s="1">
        <f t="shared" si="974"/>
        <v>4.24</v>
      </c>
      <c r="GP616" s="1">
        <f t="shared" si="975"/>
        <v>0.61</v>
      </c>
      <c r="GQ616" s="41">
        <f t="shared" si="976"/>
        <v>25.864000000000001</v>
      </c>
      <c r="GR616" s="41">
        <f t="shared" si="977"/>
        <v>417.36301945600002</v>
      </c>
      <c r="GS616" s="14">
        <f t="shared" si="978"/>
        <v>98.434674400000006</v>
      </c>
      <c r="GT616" s="1">
        <f t="shared" si="1052"/>
        <v>0</v>
      </c>
      <c r="GU616" s="1">
        <f t="shared" si="1053"/>
        <v>0</v>
      </c>
      <c r="GV616" s="1">
        <f t="shared" si="1054"/>
        <v>25.864000000000001</v>
      </c>
      <c r="GW616" s="37">
        <f t="shared" si="979"/>
        <v>0</v>
      </c>
      <c r="GX616" s="37"/>
      <c r="GY616" s="37"/>
      <c r="GZ616" s="37"/>
      <c r="HB616" s="1">
        <f t="shared" si="1055"/>
        <v>0</v>
      </c>
      <c r="HC616" s="1">
        <f t="shared" si="1056"/>
        <v>0</v>
      </c>
      <c r="HD616" s="37" t="s">
        <v>2</v>
      </c>
      <c r="HE616" s="1" t="s">
        <v>113</v>
      </c>
      <c r="HF616" s="1" t="s">
        <v>129</v>
      </c>
      <c r="HI616" s="1" t="s">
        <v>163</v>
      </c>
      <c r="HJ616" s="37" t="s">
        <v>2</v>
      </c>
      <c r="JH616" s="58" t="s">
        <v>2</v>
      </c>
    </row>
    <row r="617" spans="1:268" ht="16.25" customHeight="1" x14ac:dyDescent="0.2">
      <c r="A617" s="15" t="s">
        <v>1169</v>
      </c>
      <c r="B617" s="1" t="s">
        <v>69</v>
      </c>
      <c r="F617" s="1" t="s">
        <v>131</v>
      </c>
      <c r="I617" s="1">
        <v>0</v>
      </c>
      <c r="AD617" s="1">
        <v>0</v>
      </c>
      <c r="AY617" s="1">
        <v>0.16900000000000001</v>
      </c>
      <c r="AZ617" s="1">
        <v>0.19</v>
      </c>
      <c r="BG617" s="1">
        <v>1.29</v>
      </c>
      <c r="BH617" s="1">
        <v>0.02</v>
      </c>
      <c r="BT617" s="1">
        <v>0</v>
      </c>
      <c r="CO617" s="1">
        <v>0</v>
      </c>
      <c r="DJ617" s="1" t="s">
        <v>163</v>
      </c>
      <c r="DK617" s="1" t="s">
        <v>163</v>
      </c>
      <c r="DL617" s="1">
        <f t="shared" si="972"/>
        <v>1.29</v>
      </c>
      <c r="DM617" s="1">
        <f t="shared" si="973"/>
        <v>0.02</v>
      </c>
      <c r="DN617" s="1" t="s">
        <v>824</v>
      </c>
      <c r="DO617" s="1" t="s">
        <v>2</v>
      </c>
      <c r="DP617" s="38">
        <f t="shared" si="980"/>
        <v>3.211E-4</v>
      </c>
      <c r="DQ617" s="38">
        <f t="shared" si="981"/>
        <v>0</v>
      </c>
      <c r="DR617" s="38">
        <f t="shared" si="982"/>
        <v>0</v>
      </c>
      <c r="DS617" s="38">
        <f t="shared" si="983"/>
        <v>0</v>
      </c>
      <c r="DT617" s="38">
        <f t="shared" si="984"/>
        <v>0</v>
      </c>
      <c r="DU617" s="38">
        <f t="shared" si="985"/>
        <v>0</v>
      </c>
      <c r="DV617" s="38">
        <f t="shared" si="986"/>
        <v>0</v>
      </c>
      <c r="DW617" s="38">
        <f t="shared" si="987"/>
        <v>2.1800999999999999E-3</v>
      </c>
      <c r="DX617" s="38">
        <f t="shared" si="988"/>
        <v>3.3800000000000002E-5</v>
      </c>
      <c r="DY617" s="38">
        <f t="shared" si="989"/>
        <v>0</v>
      </c>
      <c r="DZ617" s="38">
        <f t="shared" si="990"/>
        <v>0</v>
      </c>
      <c r="EA617" s="38">
        <f t="shared" si="991"/>
        <v>0</v>
      </c>
      <c r="EB617" s="38">
        <f t="shared" si="992"/>
        <v>0</v>
      </c>
      <c r="EC617" s="38">
        <f t="shared" si="993"/>
        <v>0</v>
      </c>
      <c r="ED617" s="38">
        <f t="shared" si="994"/>
        <v>0</v>
      </c>
      <c r="EE617" s="38">
        <f t="shared" si="995"/>
        <v>0</v>
      </c>
      <c r="EG617" s="38">
        <f t="shared" si="996"/>
        <v>0</v>
      </c>
      <c r="EH617" s="38">
        <f t="shared" si="997"/>
        <v>0</v>
      </c>
      <c r="EI617" s="38">
        <f t="shared" si="998"/>
        <v>2.0953752976</v>
      </c>
      <c r="EJ617" s="38">
        <f t="shared" si="999"/>
        <v>0</v>
      </c>
      <c r="EK617" s="38">
        <f t="shared" si="1000"/>
        <v>0</v>
      </c>
      <c r="EL617" s="38">
        <f t="shared" si="1001"/>
        <v>0</v>
      </c>
      <c r="EM617" s="38">
        <f t="shared" si="1002"/>
        <v>0</v>
      </c>
      <c r="EN617" s="38">
        <f t="shared" si="1003"/>
        <v>0</v>
      </c>
      <c r="EO617" s="38">
        <f t="shared" si="1004"/>
        <v>0</v>
      </c>
      <c r="EP617" s="38">
        <f t="shared" si="1005"/>
        <v>28.589831399999998</v>
      </c>
      <c r="EQ617" s="38">
        <f t="shared" si="1006"/>
        <v>2.4545399111999999</v>
      </c>
      <c r="ER617" s="38">
        <f t="shared" si="1007"/>
        <v>0</v>
      </c>
      <c r="ES617" s="38">
        <f t="shared" si="1008"/>
        <v>0</v>
      </c>
      <c r="ET617" s="38">
        <f t="shared" si="1009"/>
        <v>0</v>
      </c>
      <c r="EU617" s="38">
        <f t="shared" si="1010"/>
        <v>0</v>
      </c>
      <c r="EV617" s="38">
        <f t="shared" si="1011"/>
        <v>0</v>
      </c>
      <c r="EW617" s="38">
        <f t="shared" si="1012"/>
        <v>0</v>
      </c>
      <c r="EX617" s="38">
        <f t="shared" si="1013"/>
        <v>0</v>
      </c>
      <c r="EZ617" s="38">
        <f t="shared" si="1014"/>
        <v>0</v>
      </c>
      <c r="FA617" s="38">
        <f t="shared" si="1015"/>
        <v>0</v>
      </c>
      <c r="FB617" s="1">
        <f t="shared" si="1016"/>
        <v>0</v>
      </c>
      <c r="FC617" s="1">
        <f t="shared" si="1017"/>
        <v>0</v>
      </c>
      <c r="FD617" s="1">
        <f t="shared" si="1018"/>
        <v>0</v>
      </c>
      <c r="FE617" s="1">
        <f t="shared" si="1019"/>
        <v>0</v>
      </c>
      <c r="FF617" s="1">
        <f t="shared" si="1020"/>
        <v>0</v>
      </c>
      <c r="FG617" s="1">
        <f t="shared" si="1021"/>
        <v>0</v>
      </c>
      <c r="FH617" s="1">
        <f t="shared" si="1022"/>
        <v>0</v>
      </c>
      <c r="FI617" s="1">
        <f t="shared" si="1023"/>
        <v>0</v>
      </c>
      <c r="FJ617" s="1">
        <f t="shared" si="1024"/>
        <v>0</v>
      </c>
      <c r="FK617" s="1">
        <f t="shared" si="1025"/>
        <v>0</v>
      </c>
      <c r="FL617" s="1">
        <f t="shared" si="1026"/>
        <v>0</v>
      </c>
      <c r="FM617" s="1">
        <f t="shared" si="1027"/>
        <v>0</v>
      </c>
      <c r="FN617" s="1">
        <f t="shared" si="1028"/>
        <v>0</v>
      </c>
      <c r="FO617" s="1">
        <f t="shared" si="1029"/>
        <v>0</v>
      </c>
      <c r="FP617" s="1">
        <f t="shared" si="1030"/>
        <v>0</v>
      </c>
      <c r="FQ617" s="1">
        <f t="shared" si="1031"/>
        <v>0</v>
      </c>
      <c r="FS617" s="1">
        <f t="shared" si="1032"/>
        <v>0</v>
      </c>
      <c r="FT617" s="1">
        <f t="shared" si="1033"/>
        <v>0</v>
      </c>
      <c r="FU617" s="38">
        <f t="shared" si="1034"/>
        <v>0</v>
      </c>
      <c r="FV617" s="38">
        <f t="shared" si="1035"/>
        <v>0</v>
      </c>
      <c r="FW617" s="38">
        <f t="shared" si="1036"/>
        <v>0</v>
      </c>
      <c r="FX617" s="38">
        <f t="shared" si="1037"/>
        <v>0</v>
      </c>
      <c r="FY617" s="38">
        <f t="shared" si="1038"/>
        <v>0</v>
      </c>
      <c r="FZ617" s="38">
        <f t="shared" si="1039"/>
        <v>0</v>
      </c>
      <c r="GA617" s="38">
        <f t="shared" si="1040"/>
        <v>0</v>
      </c>
      <c r="GB617" s="38">
        <f t="shared" si="1041"/>
        <v>0</v>
      </c>
      <c r="GC617" s="38">
        <f t="shared" si="1042"/>
        <v>0</v>
      </c>
      <c r="GD617" s="38">
        <f t="shared" si="1043"/>
        <v>0</v>
      </c>
      <c r="GE617" s="38">
        <f t="shared" si="1044"/>
        <v>0</v>
      </c>
      <c r="GF617" s="38">
        <f t="shared" si="1045"/>
        <v>0</v>
      </c>
      <c r="GG617" s="38">
        <f t="shared" si="1046"/>
        <v>0</v>
      </c>
      <c r="GH617" s="38">
        <f t="shared" si="1047"/>
        <v>0</v>
      </c>
      <c r="GI617" s="38">
        <f t="shared" si="1048"/>
        <v>0</v>
      </c>
      <c r="GJ617" s="38">
        <f t="shared" si="1049"/>
        <v>0</v>
      </c>
      <c r="GL617" s="38">
        <f t="shared" si="1050"/>
        <v>0</v>
      </c>
      <c r="GM617" s="38">
        <f t="shared" si="1051"/>
        <v>0</v>
      </c>
      <c r="GN617" s="1" t="s">
        <v>2</v>
      </c>
      <c r="GO617" s="1">
        <f t="shared" si="974"/>
        <v>0.16900000000000001</v>
      </c>
      <c r="GP617" s="1">
        <f t="shared" si="975"/>
        <v>1.29</v>
      </c>
      <c r="GQ617" s="41">
        <f t="shared" si="976"/>
        <v>2.1801000000000004</v>
      </c>
      <c r="GR617" s="41">
        <f t="shared" si="977"/>
        <v>33.139746608799996</v>
      </c>
      <c r="GS617" s="14">
        <f t="shared" si="978"/>
        <v>196.09317519999996</v>
      </c>
      <c r="GT617" s="1">
        <f t="shared" si="1052"/>
        <v>0</v>
      </c>
      <c r="GU617" s="1">
        <f t="shared" si="1053"/>
        <v>0</v>
      </c>
      <c r="GV617" s="1">
        <f t="shared" si="1054"/>
        <v>2.1801000000000004</v>
      </c>
      <c r="GW617" s="37">
        <f t="shared" si="979"/>
        <v>0</v>
      </c>
      <c r="GX617" s="37"/>
      <c r="GY617" s="37"/>
      <c r="GZ617" s="37"/>
      <c r="HB617" s="1">
        <f t="shared" si="1055"/>
        <v>0</v>
      </c>
      <c r="HC617" s="1">
        <f t="shared" si="1056"/>
        <v>0</v>
      </c>
      <c r="HD617" s="37" t="s">
        <v>2</v>
      </c>
      <c r="HE617" s="1" t="s">
        <v>113</v>
      </c>
      <c r="HF617" s="1" t="s">
        <v>129</v>
      </c>
      <c r="HI617" s="1" t="s">
        <v>163</v>
      </c>
      <c r="HJ617" s="37" t="s">
        <v>2</v>
      </c>
      <c r="JH617" s="58" t="s">
        <v>2</v>
      </c>
    </row>
    <row r="618" spans="1:268" ht="16.25" customHeight="1" x14ac:dyDescent="0.2">
      <c r="A618" s="15" t="s">
        <v>1064</v>
      </c>
      <c r="B618" s="1" t="s">
        <v>69</v>
      </c>
      <c r="F618" s="1" t="s">
        <v>131</v>
      </c>
      <c r="I618" s="1">
        <v>0</v>
      </c>
      <c r="AD618" s="1">
        <v>0</v>
      </c>
      <c r="AY618" s="14">
        <f>0.8*0.9072</f>
        <v>0.72576000000000007</v>
      </c>
      <c r="BG618" s="1">
        <v>0.7</v>
      </c>
      <c r="BT618" s="1">
        <v>0</v>
      </c>
      <c r="CO618" s="1">
        <v>0</v>
      </c>
      <c r="DJ618" s="1" t="s">
        <v>163</v>
      </c>
      <c r="DL618" s="1">
        <f t="shared" si="972"/>
        <v>0.7</v>
      </c>
      <c r="DM618" s="1">
        <f t="shared" si="973"/>
        <v>0</v>
      </c>
      <c r="DN618" s="1" t="s">
        <v>1065</v>
      </c>
      <c r="DO618" s="1" t="s">
        <v>2</v>
      </c>
      <c r="DP618" s="38">
        <f t="shared" si="980"/>
        <v>0</v>
      </c>
      <c r="DQ618" s="38">
        <f t="shared" si="981"/>
        <v>0</v>
      </c>
      <c r="DR618" s="38">
        <f t="shared" si="982"/>
        <v>0</v>
      </c>
      <c r="DS618" s="38">
        <f t="shared" si="983"/>
        <v>0</v>
      </c>
      <c r="DT618" s="38">
        <f t="shared" si="984"/>
        <v>0</v>
      </c>
      <c r="DU618" s="38">
        <f t="shared" si="985"/>
        <v>0</v>
      </c>
      <c r="DV618" s="38">
        <f t="shared" si="986"/>
        <v>0</v>
      </c>
      <c r="DW618" s="38">
        <f t="shared" si="987"/>
        <v>5.0803200000000001E-3</v>
      </c>
      <c r="DX618" s="38">
        <f t="shared" si="988"/>
        <v>0</v>
      </c>
      <c r="DY618" s="38">
        <f t="shared" si="989"/>
        <v>0</v>
      </c>
      <c r="DZ618" s="38">
        <f t="shared" si="990"/>
        <v>0</v>
      </c>
      <c r="EA618" s="38">
        <f t="shared" si="991"/>
        <v>0</v>
      </c>
      <c r="EB618" s="38">
        <f t="shared" si="992"/>
        <v>0</v>
      </c>
      <c r="EC618" s="38">
        <f t="shared" si="993"/>
        <v>0</v>
      </c>
      <c r="ED618" s="38">
        <f t="shared" si="994"/>
        <v>0</v>
      </c>
      <c r="EE618" s="38">
        <f t="shared" si="995"/>
        <v>0</v>
      </c>
      <c r="EG618" s="38">
        <f t="shared" si="996"/>
        <v>0</v>
      </c>
      <c r="EH618" s="38">
        <f t="shared" si="997"/>
        <v>0</v>
      </c>
      <c r="EI618" s="38">
        <f t="shared" si="998"/>
        <v>0</v>
      </c>
      <c r="EJ618" s="38">
        <f t="shared" si="999"/>
        <v>0</v>
      </c>
      <c r="EK618" s="38">
        <f t="shared" si="1000"/>
        <v>0</v>
      </c>
      <c r="EL618" s="38">
        <f t="shared" si="1001"/>
        <v>0</v>
      </c>
      <c r="EM618" s="38">
        <f t="shared" si="1002"/>
        <v>0</v>
      </c>
      <c r="EN618" s="38">
        <f t="shared" si="1003"/>
        <v>0</v>
      </c>
      <c r="EO618" s="38">
        <f t="shared" si="1004"/>
        <v>0</v>
      </c>
      <c r="EP618" s="38">
        <f t="shared" si="1005"/>
        <v>66.62331648</v>
      </c>
      <c r="EQ618" s="38">
        <f t="shared" si="1006"/>
        <v>0</v>
      </c>
      <c r="ER618" s="38">
        <f t="shared" si="1007"/>
        <v>0</v>
      </c>
      <c r="ES618" s="38">
        <f t="shared" si="1008"/>
        <v>0</v>
      </c>
      <c r="ET618" s="38">
        <f t="shared" si="1009"/>
        <v>0</v>
      </c>
      <c r="EU618" s="38">
        <f t="shared" si="1010"/>
        <v>0</v>
      </c>
      <c r="EV618" s="38">
        <f t="shared" si="1011"/>
        <v>0</v>
      </c>
      <c r="EW618" s="38">
        <f t="shared" si="1012"/>
        <v>0</v>
      </c>
      <c r="EX618" s="38">
        <f t="shared" si="1013"/>
        <v>0</v>
      </c>
      <c r="EZ618" s="38">
        <f t="shared" si="1014"/>
        <v>0</v>
      </c>
      <c r="FA618" s="38">
        <f t="shared" si="1015"/>
        <v>0</v>
      </c>
      <c r="FB618" s="1">
        <f t="shared" si="1016"/>
        <v>0</v>
      </c>
      <c r="FC618" s="1">
        <f t="shared" si="1017"/>
        <v>0</v>
      </c>
      <c r="FD618" s="1">
        <f t="shared" si="1018"/>
        <v>0</v>
      </c>
      <c r="FE618" s="1">
        <f t="shared" si="1019"/>
        <v>0</v>
      </c>
      <c r="FF618" s="1">
        <f t="shared" si="1020"/>
        <v>0</v>
      </c>
      <c r="FG618" s="1">
        <f t="shared" si="1021"/>
        <v>0</v>
      </c>
      <c r="FH618" s="1">
        <f t="shared" si="1022"/>
        <v>0</v>
      </c>
      <c r="FI618" s="1">
        <f t="shared" si="1023"/>
        <v>0</v>
      </c>
      <c r="FJ618" s="1">
        <f t="shared" si="1024"/>
        <v>0</v>
      </c>
      <c r="FK618" s="1">
        <f t="shared" si="1025"/>
        <v>0</v>
      </c>
      <c r="FL618" s="1">
        <f t="shared" si="1026"/>
        <v>0</v>
      </c>
      <c r="FM618" s="1">
        <f t="shared" si="1027"/>
        <v>0</v>
      </c>
      <c r="FN618" s="1">
        <f t="shared" si="1028"/>
        <v>0</v>
      </c>
      <c r="FO618" s="1">
        <f t="shared" si="1029"/>
        <v>0</v>
      </c>
      <c r="FP618" s="1">
        <f t="shared" si="1030"/>
        <v>0</v>
      </c>
      <c r="FQ618" s="1">
        <f t="shared" si="1031"/>
        <v>0</v>
      </c>
      <c r="FS618" s="1">
        <f t="shared" si="1032"/>
        <v>0</v>
      </c>
      <c r="FT618" s="1">
        <f t="shared" si="1033"/>
        <v>0</v>
      </c>
      <c r="FU618" s="38">
        <f t="shared" si="1034"/>
        <v>0</v>
      </c>
      <c r="FV618" s="38">
        <f t="shared" si="1035"/>
        <v>0</v>
      </c>
      <c r="FW618" s="38">
        <f t="shared" si="1036"/>
        <v>0</v>
      </c>
      <c r="FX618" s="38">
        <f t="shared" si="1037"/>
        <v>0</v>
      </c>
      <c r="FY618" s="38">
        <f t="shared" si="1038"/>
        <v>0</v>
      </c>
      <c r="FZ618" s="38">
        <f t="shared" si="1039"/>
        <v>0</v>
      </c>
      <c r="GA618" s="38">
        <f t="shared" si="1040"/>
        <v>0</v>
      </c>
      <c r="GB618" s="38">
        <f t="shared" si="1041"/>
        <v>0</v>
      </c>
      <c r="GC618" s="38">
        <f t="shared" si="1042"/>
        <v>0</v>
      </c>
      <c r="GD618" s="38">
        <f t="shared" si="1043"/>
        <v>0</v>
      </c>
      <c r="GE618" s="38">
        <f t="shared" si="1044"/>
        <v>0</v>
      </c>
      <c r="GF618" s="38">
        <f t="shared" si="1045"/>
        <v>0</v>
      </c>
      <c r="GG618" s="38">
        <f t="shared" si="1046"/>
        <v>0</v>
      </c>
      <c r="GH618" s="38">
        <f t="shared" si="1047"/>
        <v>0</v>
      </c>
      <c r="GI618" s="38">
        <f t="shared" si="1048"/>
        <v>0</v>
      </c>
      <c r="GJ618" s="38">
        <f t="shared" si="1049"/>
        <v>0</v>
      </c>
      <c r="GL618" s="38">
        <f t="shared" si="1050"/>
        <v>0</v>
      </c>
      <c r="GM618" s="38">
        <f t="shared" si="1051"/>
        <v>0</v>
      </c>
      <c r="GN618" s="1" t="s">
        <v>2</v>
      </c>
      <c r="GO618" s="2">
        <f t="shared" si="974"/>
        <v>0.72576000000000007</v>
      </c>
      <c r="GP618" s="1">
        <f t="shared" si="975"/>
        <v>0.7</v>
      </c>
      <c r="GQ618" s="41">
        <f t="shared" si="976"/>
        <v>5.0803200000000004</v>
      </c>
      <c r="GR618" s="41">
        <f t="shared" si="977"/>
        <v>66.62331648</v>
      </c>
      <c r="GS618" s="14">
        <f t="shared" si="978"/>
        <v>91.797999999999988</v>
      </c>
      <c r="GT618" s="1">
        <f t="shared" si="1052"/>
        <v>0</v>
      </c>
      <c r="GU618" s="1">
        <f t="shared" si="1053"/>
        <v>0</v>
      </c>
      <c r="GV618" s="1">
        <f t="shared" si="1054"/>
        <v>5.0803200000000004</v>
      </c>
      <c r="GW618" s="37">
        <f t="shared" si="979"/>
        <v>0</v>
      </c>
      <c r="GX618" s="37"/>
      <c r="GY618" s="37"/>
      <c r="GZ618" s="37"/>
      <c r="HB618" s="1">
        <f t="shared" si="1055"/>
        <v>0</v>
      </c>
      <c r="HC618" s="1">
        <f t="shared" si="1056"/>
        <v>0</v>
      </c>
      <c r="HD618" s="37" t="s">
        <v>2</v>
      </c>
      <c r="HE618" s="1" t="s">
        <v>113</v>
      </c>
      <c r="HF618" s="1" t="s">
        <v>129</v>
      </c>
      <c r="HI618" s="1" t="s">
        <v>163</v>
      </c>
      <c r="HJ618" s="37" t="s">
        <v>2</v>
      </c>
      <c r="JH618" s="58" t="s">
        <v>2</v>
      </c>
    </row>
    <row r="619" spans="1:268" ht="16.25" customHeight="1" x14ac:dyDescent="0.2">
      <c r="A619" s="15" t="s">
        <v>1071</v>
      </c>
      <c r="B619" s="1" t="s">
        <v>69</v>
      </c>
      <c r="F619" s="1" t="s">
        <v>131</v>
      </c>
      <c r="G619" s="30"/>
      <c r="I619" s="1">
        <v>0</v>
      </c>
      <c r="AD619" s="1">
        <v>0</v>
      </c>
      <c r="AY619" s="17">
        <f>(205+7)*0.9072</f>
        <v>192.32640000000001</v>
      </c>
      <c r="AZ619" s="13">
        <f>(0.41*205+0.88*7)/(205+7)</f>
        <v>0.42551886792452825</v>
      </c>
      <c r="BG619" s="13">
        <f>(0.14*205+0.3*7)/(205+7)</f>
        <v>0.14528301886792455</v>
      </c>
      <c r="BT619" s="1">
        <v>0</v>
      </c>
      <c r="CO619" s="1">
        <v>0</v>
      </c>
      <c r="DJ619" s="1" t="s">
        <v>163</v>
      </c>
      <c r="DL619" s="1">
        <f t="shared" si="972"/>
        <v>0.14528301886792455</v>
      </c>
      <c r="DM619" s="1">
        <f t="shared" si="973"/>
        <v>0</v>
      </c>
      <c r="DN619" s="1" t="s">
        <v>1056</v>
      </c>
      <c r="DO619" s="1" t="s">
        <v>2</v>
      </c>
      <c r="DP619" s="38">
        <f t="shared" si="980"/>
        <v>0.81838511999999997</v>
      </c>
      <c r="DQ619" s="38">
        <f t="shared" si="981"/>
        <v>0</v>
      </c>
      <c r="DR619" s="38">
        <f t="shared" si="982"/>
        <v>0</v>
      </c>
      <c r="DS619" s="38">
        <f t="shared" si="983"/>
        <v>0</v>
      </c>
      <c r="DT619" s="38">
        <f t="shared" si="984"/>
        <v>0</v>
      </c>
      <c r="DU619" s="38">
        <f t="shared" si="985"/>
        <v>0</v>
      </c>
      <c r="DV619" s="38">
        <f t="shared" si="986"/>
        <v>0</v>
      </c>
      <c r="DW619" s="38">
        <f t="shared" si="987"/>
        <v>0.27941760000000004</v>
      </c>
      <c r="DX619" s="38">
        <f t="shared" si="988"/>
        <v>0</v>
      </c>
      <c r="DY619" s="38">
        <f t="shared" si="989"/>
        <v>0</v>
      </c>
      <c r="DZ619" s="38">
        <f t="shared" si="990"/>
        <v>0</v>
      </c>
      <c r="EA619" s="38">
        <f t="shared" si="991"/>
        <v>0</v>
      </c>
      <c r="EB619" s="38">
        <f t="shared" si="992"/>
        <v>0</v>
      </c>
      <c r="EC619" s="38">
        <f t="shared" si="993"/>
        <v>0</v>
      </c>
      <c r="ED619" s="38">
        <f t="shared" si="994"/>
        <v>0</v>
      </c>
      <c r="EE619" s="38">
        <f t="shared" si="995"/>
        <v>0</v>
      </c>
      <c r="EG619" s="38">
        <f t="shared" si="996"/>
        <v>0</v>
      </c>
      <c r="EH619" s="38">
        <f t="shared" si="997"/>
        <v>0</v>
      </c>
      <c r="EI619" s="38">
        <f t="shared" si="998"/>
        <v>5340.4670332339201</v>
      </c>
      <c r="EJ619" s="38">
        <f t="shared" si="999"/>
        <v>0</v>
      </c>
      <c r="EK619" s="38">
        <f t="shared" si="1000"/>
        <v>0</v>
      </c>
      <c r="EL619" s="38">
        <f t="shared" si="1001"/>
        <v>0</v>
      </c>
      <c r="EM619" s="38">
        <f t="shared" si="1002"/>
        <v>0</v>
      </c>
      <c r="EN619" s="38">
        <f t="shared" si="1003"/>
        <v>0</v>
      </c>
      <c r="EO619" s="38">
        <f t="shared" si="1004"/>
        <v>0</v>
      </c>
      <c r="EP619" s="38">
        <f t="shared" si="1005"/>
        <v>3664.2824064000006</v>
      </c>
      <c r="EQ619" s="38">
        <f t="shared" si="1006"/>
        <v>0</v>
      </c>
      <c r="ER619" s="38">
        <f t="shared" si="1007"/>
        <v>0</v>
      </c>
      <c r="ES619" s="38">
        <f t="shared" si="1008"/>
        <v>0</v>
      </c>
      <c r="ET619" s="38">
        <f t="shared" si="1009"/>
        <v>0</v>
      </c>
      <c r="EU619" s="38">
        <f t="shared" si="1010"/>
        <v>0</v>
      </c>
      <c r="EV619" s="38">
        <f t="shared" si="1011"/>
        <v>0</v>
      </c>
      <c r="EW619" s="38">
        <f t="shared" si="1012"/>
        <v>0</v>
      </c>
      <c r="EX619" s="38">
        <f t="shared" si="1013"/>
        <v>0</v>
      </c>
      <c r="EZ619" s="38">
        <f t="shared" si="1014"/>
        <v>0</v>
      </c>
      <c r="FA619" s="38">
        <f t="shared" si="1015"/>
        <v>0</v>
      </c>
      <c r="FB619" s="1">
        <f t="shared" si="1016"/>
        <v>0</v>
      </c>
      <c r="FC619" s="1">
        <f t="shared" si="1017"/>
        <v>0</v>
      </c>
      <c r="FD619" s="1">
        <f t="shared" si="1018"/>
        <v>0</v>
      </c>
      <c r="FE619" s="1">
        <f t="shared" si="1019"/>
        <v>0</v>
      </c>
      <c r="FF619" s="1">
        <f t="shared" si="1020"/>
        <v>0</v>
      </c>
      <c r="FG619" s="1">
        <f t="shared" si="1021"/>
        <v>0</v>
      </c>
      <c r="FH619" s="1">
        <f t="shared" si="1022"/>
        <v>0</v>
      </c>
      <c r="FI619" s="1">
        <f t="shared" si="1023"/>
        <v>0</v>
      </c>
      <c r="FJ619" s="1">
        <f t="shared" si="1024"/>
        <v>0</v>
      </c>
      <c r="FK619" s="1">
        <f t="shared" si="1025"/>
        <v>0</v>
      </c>
      <c r="FL619" s="1">
        <f t="shared" si="1026"/>
        <v>0</v>
      </c>
      <c r="FM619" s="1">
        <f t="shared" si="1027"/>
        <v>0</v>
      </c>
      <c r="FN619" s="1">
        <f t="shared" si="1028"/>
        <v>0</v>
      </c>
      <c r="FO619" s="1">
        <f t="shared" si="1029"/>
        <v>0</v>
      </c>
      <c r="FP619" s="1">
        <f t="shared" si="1030"/>
        <v>0</v>
      </c>
      <c r="FQ619" s="1">
        <f t="shared" si="1031"/>
        <v>0</v>
      </c>
      <c r="FS619" s="1">
        <f t="shared" si="1032"/>
        <v>0</v>
      </c>
      <c r="FT619" s="1">
        <f t="shared" si="1033"/>
        <v>0</v>
      </c>
      <c r="FU619" s="38">
        <f t="shared" si="1034"/>
        <v>0</v>
      </c>
      <c r="FV619" s="38">
        <f t="shared" si="1035"/>
        <v>0</v>
      </c>
      <c r="FW619" s="38">
        <f t="shared" si="1036"/>
        <v>0</v>
      </c>
      <c r="FX619" s="38">
        <f t="shared" si="1037"/>
        <v>0</v>
      </c>
      <c r="FY619" s="38">
        <f t="shared" si="1038"/>
        <v>0</v>
      </c>
      <c r="FZ619" s="38">
        <f t="shared" si="1039"/>
        <v>0</v>
      </c>
      <c r="GA619" s="38">
        <f t="shared" si="1040"/>
        <v>0</v>
      </c>
      <c r="GB619" s="38">
        <f t="shared" si="1041"/>
        <v>0</v>
      </c>
      <c r="GC619" s="38">
        <f t="shared" si="1042"/>
        <v>0</v>
      </c>
      <c r="GD619" s="38">
        <f t="shared" si="1043"/>
        <v>0</v>
      </c>
      <c r="GE619" s="38">
        <f t="shared" si="1044"/>
        <v>0</v>
      </c>
      <c r="GF619" s="38">
        <f t="shared" si="1045"/>
        <v>0</v>
      </c>
      <c r="GG619" s="38">
        <f t="shared" si="1046"/>
        <v>0</v>
      </c>
      <c r="GH619" s="38">
        <f t="shared" si="1047"/>
        <v>0</v>
      </c>
      <c r="GI619" s="38">
        <f t="shared" si="1048"/>
        <v>0</v>
      </c>
      <c r="GJ619" s="38">
        <f t="shared" si="1049"/>
        <v>0</v>
      </c>
      <c r="GL619" s="38">
        <f t="shared" si="1050"/>
        <v>0</v>
      </c>
      <c r="GM619" s="38">
        <f t="shared" si="1051"/>
        <v>0</v>
      </c>
      <c r="GN619" s="1" t="s">
        <v>2</v>
      </c>
      <c r="GO619" s="14">
        <f t="shared" si="974"/>
        <v>192.32640000000001</v>
      </c>
      <c r="GP619" s="13">
        <f t="shared" si="975"/>
        <v>0.14528301886792455</v>
      </c>
      <c r="GQ619" s="41">
        <f t="shared" si="976"/>
        <v>279.41759999999999</v>
      </c>
      <c r="GR619" s="41">
        <f t="shared" si="977"/>
        <v>9004.7494396339207</v>
      </c>
      <c r="GS619" s="14">
        <f t="shared" si="978"/>
        <v>46.82014242264151</v>
      </c>
      <c r="GT619" s="1">
        <f t="shared" si="1052"/>
        <v>0</v>
      </c>
      <c r="GU619" s="1">
        <f t="shared" si="1053"/>
        <v>0</v>
      </c>
      <c r="GV619" s="1">
        <f t="shared" si="1054"/>
        <v>279.41760000000005</v>
      </c>
      <c r="GW619" s="37">
        <f t="shared" si="979"/>
        <v>0</v>
      </c>
      <c r="GX619" s="37"/>
      <c r="GY619" s="37"/>
      <c r="GZ619" s="37"/>
      <c r="HB619" s="1">
        <f t="shared" si="1055"/>
        <v>0</v>
      </c>
      <c r="HC619" s="1">
        <f t="shared" si="1056"/>
        <v>0</v>
      </c>
      <c r="HD619" s="37" t="s">
        <v>2</v>
      </c>
      <c r="HE619" s="1" t="s">
        <v>113</v>
      </c>
      <c r="HF619" s="1" t="s">
        <v>129</v>
      </c>
      <c r="HI619" s="1" t="s">
        <v>163</v>
      </c>
      <c r="HJ619" s="37" t="s">
        <v>2</v>
      </c>
      <c r="JH619" s="58" t="s">
        <v>2</v>
      </c>
    </row>
    <row r="620" spans="1:268" ht="16.25" customHeight="1" x14ac:dyDescent="0.2">
      <c r="A620" s="15" t="s">
        <v>791</v>
      </c>
      <c r="B620" s="1" t="s">
        <v>69</v>
      </c>
      <c r="F620" s="1" t="s">
        <v>792</v>
      </c>
      <c r="I620" s="1">
        <v>360.91300000000001</v>
      </c>
      <c r="Q620" s="2">
        <v>0.23</v>
      </c>
      <c r="R620" s="1">
        <v>1.4E-2</v>
      </c>
      <c r="AD620" s="1">
        <v>712.40599999999995</v>
      </c>
      <c r="AL620" s="1">
        <v>0.215</v>
      </c>
      <c r="AM620" s="1">
        <v>1.2999999999999999E-2</v>
      </c>
      <c r="AY620" s="4">
        <v>1142.1010000000001</v>
      </c>
      <c r="BG620" s="2">
        <v>0.22</v>
      </c>
      <c r="BH620" s="1">
        <v>1.2999999999999999E-2</v>
      </c>
      <c r="BT620" s="1">
        <v>0</v>
      </c>
      <c r="CO620" s="1">
        <v>0</v>
      </c>
      <c r="DJ620" s="1" t="s">
        <v>96</v>
      </c>
      <c r="DK620" s="1" t="s">
        <v>96</v>
      </c>
      <c r="DL620" s="1">
        <f t="shared" si="972"/>
        <v>0.22002126007709599</v>
      </c>
      <c r="DM620" s="1">
        <f t="shared" si="973"/>
        <v>1.3162909516028564E-2</v>
      </c>
      <c r="DN620" s="1" t="s">
        <v>793</v>
      </c>
      <c r="DO620" s="1" t="s">
        <v>2</v>
      </c>
      <c r="DP620" s="38">
        <f t="shared" si="980"/>
        <v>0</v>
      </c>
      <c r="DQ620" s="38">
        <f t="shared" si="981"/>
        <v>0</v>
      </c>
      <c r="DR620" s="38">
        <f t="shared" si="982"/>
        <v>0</v>
      </c>
      <c r="DS620" s="38">
        <f t="shared" si="983"/>
        <v>0</v>
      </c>
      <c r="DT620" s="38">
        <f t="shared" si="984"/>
        <v>0</v>
      </c>
      <c r="DU620" s="38">
        <f t="shared" si="985"/>
        <v>0</v>
      </c>
      <c r="DV620" s="38">
        <f t="shared" si="986"/>
        <v>0</v>
      </c>
      <c r="DW620" s="38">
        <f t="shared" si="987"/>
        <v>4.8743949999999998</v>
      </c>
      <c r="DX620" s="38">
        <f t="shared" si="988"/>
        <v>0.29161373000000002</v>
      </c>
      <c r="DY620" s="38">
        <f t="shared" si="989"/>
        <v>0</v>
      </c>
      <c r="DZ620" s="38">
        <f t="shared" si="990"/>
        <v>0</v>
      </c>
      <c r="EA620" s="38">
        <f t="shared" si="991"/>
        <v>0</v>
      </c>
      <c r="EB620" s="38">
        <f t="shared" si="992"/>
        <v>0</v>
      </c>
      <c r="EC620" s="38">
        <f t="shared" si="993"/>
        <v>0</v>
      </c>
      <c r="ED620" s="38">
        <f t="shared" si="994"/>
        <v>0</v>
      </c>
      <c r="EE620" s="38">
        <f t="shared" si="995"/>
        <v>0</v>
      </c>
      <c r="EG620" s="38">
        <f t="shared" si="996"/>
        <v>0</v>
      </c>
      <c r="EH620" s="38">
        <f t="shared" si="997"/>
        <v>0</v>
      </c>
      <c r="EI620" s="38">
        <f t="shared" si="998"/>
        <v>0</v>
      </c>
      <c r="EJ620" s="38">
        <f t="shared" si="999"/>
        <v>0</v>
      </c>
      <c r="EK620" s="38">
        <f t="shared" si="1000"/>
        <v>0</v>
      </c>
      <c r="EL620" s="38">
        <f t="shared" si="1001"/>
        <v>0</v>
      </c>
      <c r="EM620" s="38">
        <f t="shared" si="1002"/>
        <v>0</v>
      </c>
      <c r="EN620" s="38">
        <f t="shared" si="1003"/>
        <v>0</v>
      </c>
      <c r="EO620" s="38">
        <f t="shared" si="1004"/>
        <v>0</v>
      </c>
      <c r="EP620" s="38">
        <f t="shared" si="1005"/>
        <v>63922.816029999994</v>
      </c>
      <c r="EQ620" s="38">
        <f t="shared" si="1006"/>
        <v>21176.85026446452</v>
      </c>
      <c r="ER620" s="38">
        <f t="shared" si="1007"/>
        <v>0</v>
      </c>
      <c r="ES620" s="38">
        <f t="shared" si="1008"/>
        <v>0</v>
      </c>
      <c r="ET620" s="38">
        <f t="shared" si="1009"/>
        <v>0</v>
      </c>
      <c r="EU620" s="38">
        <f t="shared" si="1010"/>
        <v>0</v>
      </c>
      <c r="EV620" s="38">
        <f t="shared" si="1011"/>
        <v>0</v>
      </c>
      <c r="EW620" s="38">
        <f t="shared" si="1012"/>
        <v>0</v>
      </c>
      <c r="EX620" s="38">
        <f t="shared" si="1013"/>
        <v>0</v>
      </c>
      <c r="EZ620" s="38">
        <f t="shared" si="1014"/>
        <v>0</v>
      </c>
      <c r="FA620" s="38">
        <f t="shared" si="1015"/>
        <v>0</v>
      </c>
      <c r="FB620" s="1">
        <f t="shared" si="1016"/>
        <v>0</v>
      </c>
      <c r="FC620" s="1">
        <f t="shared" si="1017"/>
        <v>0</v>
      </c>
      <c r="FD620" s="1">
        <f t="shared" si="1018"/>
        <v>0</v>
      </c>
      <c r="FE620" s="1">
        <f t="shared" si="1019"/>
        <v>0</v>
      </c>
      <c r="FF620" s="1">
        <f t="shared" si="1020"/>
        <v>0</v>
      </c>
      <c r="FG620" s="1">
        <f t="shared" si="1021"/>
        <v>0</v>
      </c>
      <c r="FH620" s="1">
        <f t="shared" si="1022"/>
        <v>0</v>
      </c>
      <c r="FI620" s="1">
        <f t="shared" si="1023"/>
        <v>0</v>
      </c>
      <c r="FJ620" s="1">
        <f t="shared" si="1024"/>
        <v>0</v>
      </c>
      <c r="FK620" s="1">
        <f t="shared" si="1025"/>
        <v>0</v>
      </c>
      <c r="FL620" s="1">
        <f t="shared" si="1026"/>
        <v>0</v>
      </c>
      <c r="FM620" s="1">
        <f t="shared" si="1027"/>
        <v>0</v>
      </c>
      <c r="FN620" s="1">
        <f t="shared" si="1028"/>
        <v>0</v>
      </c>
      <c r="FO620" s="1">
        <f t="shared" si="1029"/>
        <v>0</v>
      </c>
      <c r="FP620" s="1">
        <f t="shared" si="1030"/>
        <v>0</v>
      </c>
      <c r="FQ620" s="1">
        <f t="shared" si="1031"/>
        <v>0</v>
      </c>
      <c r="FS620" s="1">
        <f t="shared" si="1032"/>
        <v>0</v>
      </c>
      <c r="FT620" s="1">
        <f t="shared" si="1033"/>
        <v>0</v>
      </c>
      <c r="FU620" s="38">
        <f t="shared" si="1034"/>
        <v>0</v>
      </c>
      <c r="FV620" s="38">
        <f t="shared" si="1035"/>
        <v>0</v>
      </c>
      <c r="FW620" s="38">
        <f t="shared" si="1036"/>
        <v>0</v>
      </c>
      <c r="FX620" s="38">
        <f t="shared" si="1037"/>
        <v>0</v>
      </c>
      <c r="FY620" s="38">
        <f t="shared" si="1038"/>
        <v>0</v>
      </c>
      <c r="FZ620" s="38">
        <f t="shared" si="1039"/>
        <v>0</v>
      </c>
      <c r="GA620" s="38">
        <f t="shared" si="1040"/>
        <v>0</v>
      </c>
      <c r="GB620" s="38">
        <f t="shared" si="1041"/>
        <v>0</v>
      </c>
      <c r="GC620" s="38">
        <f t="shared" si="1042"/>
        <v>0</v>
      </c>
      <c r="GD620" s="38">
        <f t="shared" si="1043"/>
        <v>0</v>
      </c>
      <c r="GE620" s="38">
        <f t="shared" si="1044"/>
        <v>0</v>
      </c>
      <c r="GF620" s="38">
        <f t="shared" si="1045"/>
        <v>0</v>
      </c>
      <c r="GG620" s="38">
        <f t="shared" si="1046"/>
        <v>0</v>
      </c>
      <c r="GH620" s="38">
        <f t="shared" si="1047"/>
        <v>0</v>
      </c>
      <c r="GI620" s="38">
        <f t="shared" si="1048"/>
        <v>0</v>
      </c>
      <c r="GJ620" s="38">
        <f t="shared" si="1049"/>
        <v>0</v>
      </c>
      <c r="GL620" s="38">
        <f t="shared" si="1050"/>
        <v>0</v>
      </c>
      <c r="GM620" s="38">
        <f t="shared" si="1051"/>
        <v>0</v>
      </c>
      <c r="GN620" s="1" t="s">
        <v>2</v>
      </c>
      <c r="GO620" s="4">
        <f t="shared" si="974"/>
        <v>2215.42</v>
      </c>
      <c r="GP620" s="13">
        <f t="shared" si="975"/>
        <v>0.22002126007709599</v>
      </c>
      <c r="GQ620" s="43">
        <f t="shared" si="976"/>
        <v>4874.3950000000004</v>
      </c>
      <c r="GR620" s="41">
        <f t="shared" si="977"/>
        <v>85099.666294464521</v>
      </c>
      <c r="GS620" s="14">
        <f t="shared" si="978"/>
        <v>38.412430281601011</v>
      </c>
      <c r="GT620" s="1">
        <f t="shared" si="1052"/>
        <v>830.09990000000005</v>
      </c>
      <c r="GU620" s="1">
        <f t="shared" si="1053"/>
        <v>1531.6728999999998</v>
      </c>
      <c r="GV620" s="1">
        <f t="shared" si="1054"/>
        <v>2512.6221999999998</v>
      </c>
      <c r="GW620" s="37">
        <f t="shared" si="979"/>
        <v>0</v>
      </c>
      <c r="GX620" s="37"/>
      <c r="GY620" s="37"/>
      <c r="GZ620" s="37"/>
      <c r="HB620" s="1">
        <f t="shared" si="1055"/>
        <v>0</v>
      </c>
      <c r="HC620" s="1">
        <f t="shared" si="1056"/>
        <v>0</v>
      </c>
      <c r="HD620" s="37" t="s">
        <v>2</v>
      </c>
      <c r="HE620" s="1" t="s">
        <v>113</v>
      </c>
      <c r="HF620" s="1" t="s">
        <v>794</v>
      </c>
      <c r="HG620" s="1" t="s">
        <v>794</v>
      </c>
      <c r="HI620" s="1" t="s">
        <v>96</v>
      </c>
      <c r="HJ620" s="37" t="s">
        <v>2</v>
      </c>
      <c r="JH620" s="58" t="s">
        <v>2</v>
      </c>
    </row>
    <row r="621" spans="1:268" ht="16.25" customHeight="1" x14ac:dyDescent="0.2">
      <c r="A621" s="15" t="s">
        <v>870</v>
      </c>
      <c r="B621" s="1" t="s">
        <v>69</v>
      </c>
      <c r="F621" s="1" t="s">
        <v>131</v>
      </c>
      <c r="I621" s="1">
        <v>0</v>
      </c>
      <c r="AD621" s="1">
        <v>0</v>
      </c>
      <c r="AY621" s="1">
        <v>13.41</v>
      </c>
      <c r="AZ621" s="1">
        <v>0.1</v>
      </c>
      <c r="BA621" s="1">
        <v>0.10100000000000001</v>
      </c>
      <c r="BB621" s="1">
        <v>2.68</v>
      </c>
      <c r="BG621" s="1">
        <v>0.37</v>
      </c>
      <c r="BH621" s="1">
        <v>3.1E-2</v>
      </c>
      <c r="BI621" s="13">
        <f>(0.35-0.101)*0.4</f>
        <v>9.9599999999999994E-2</v>
      </c>
      <c r="BJ621" s="13">
        <f>(0.35-0.101)*0.6</f>
        <v>0.14939999999999998</v>
      </c>
      <c r="BT621" s="1">
        <v>0</v>
      </c>
      <c r="CO621" s="1">
        <v>0</v>
      </c>
      <c r="DK621" s="1" t="s">
        <v>96</v>
      </c>
      <c r="DL621" s="1">
        <f t="shared" si="972"/>
        <v>0.36999999999999994</v>
      </c>
      <c r="DM621" s="1">
        <f t="shared" si="973"/>
        <v>3.1E-2</v>
      </c>
      <c r="DN621" s="1" t="s">
        <v>812</v>
      </c>
      <c r="DO621" s="1" t="s">
        <v>2</v>
      </c>
      <c r="DP621" s="38">
        <f t="shared" si="980"/>
        <v>1.3410000000000002E-2</v>
      </c>
      <c r="DQ621" s="38">
        <f t="shared" si="981"/>
        <v>1.3544100000000001</v>
      </c>
      <c r="DR621" s="38">
        <f t="shared" si="982"/>
        <v>35.938800000000001</v>
      </c>
      <c r="DS621" s="38">
        <f t="shared" si="983"/>
        <v>0</v>
      </c>
      <c r="DT621" s="38">
        <f t="shared" si="984"/>
        <v>0</v>
      </c>
      <c r="DU621" s="38">
        <f t="shared" si="985"/>
        <v>0</v>
      </c>
      <c r="DV621" s="38">
        <f t="shared" si="986"/>
        <v>0</v>
      </c>
      <c r="DW621" s="38">
        <f t="shared" si="987"/>
        <v>4.9616999999999994E-2</v>
      </c>
      <c r="DX621" s="38">
        <f t="shared" si="988"/>
        <v>4.1571000000000004E-3</v>
      </c>
      <c r="DY621" s="38">
        <f t="shared" si="989"/>
        <v>1.335636</v>
      </c>
      <c r="DZ621" s="38">
        <f t="shared" si="990"/>
        <v>2.0034539999999996</v>
      </c>
      <c r="EA621" s="38">
        <f t="shared" si="991"/>
        <v>0</v>
      </c>
      <c r="EB621" s="38">
        <f t="shared" si="992"/>
        <v>0</v>
      </c>
      <c r="EC621" s="38">
        <f t="shared" si="993"/>
        <v>0</v>
      </c>
      <c r="ED621" s="38">
        <f t="shared" si="994"/>
        <v>0</v>
      </c>
      <c r="EE621" s="38">
        <f t="shared" si="995"/>
        <v>0</v>
      </c>
      <c r="EG621" s="38">
        <f t="shared" si="996"/>
        <v>0</v>
      </c>
      <c r="EH621" s="38">
        <f t="shared" si="997"/>
        <v>0</v>
      </c>
      <c r="EI621" s="38">
        <f t="shared" si="998"/>
        <v>87.508510560000005</v>
      </c>
      <c r="EJ621" s="38">
        <f t="shared" si="999"/>
        <v>55.395804501607714</v>
      </c>
      <c r="EK621" s="38">
        <f t="shared" si="1000"/>
        <v>18.200517684887458</v>
      </c>
      <c r="EL621" s="38">
        <f t="shared" si="1001"/>
        <v>0</v>
      </c>
      <c r="EM621" s="38">
        <f t="shared" si="1002"/>
        <v>0</v>
      </c>
      <c r="EN621" s="38">
        <f t="shared" si="1003"/>
        <v>0</v>
      </c>
      <c r="EO621" s="38">
        <f t="shared" si="1004"/>
        <v>0</v>
      </c>
      <c r="EP621" s="38">
        <f t="shared" si="1005"/>
        <v>650.67733799999996</v>
      </c>
      <c r="EQ621" s="38">
        <f t="shared" si="1006"/>
        <v>301.8866232204</v>
      </c>
      <c r="ER621" s="38">
        <f t="shared" si="1007"/>
        <v>37.907153432797422</v>
      </c>
      <c r="ES621" s="38">
        <f t="shared" si="1008"/>
        <v>66.766553994212217</v>
      </c>
      <c r="ET621" s="38">
        <f t="shared" si="1009"/>
        <v>0</v>
      </c>
      <c r="EU621" s="38">
        <f t="shared" si="1010"/>
        <v>0</v>
      </c>
      <c r="EV621" s="38">
        <f t="shared" si="1011"/>
        <v>0</v>
      </c>
      <c r="EW621" s="38">
        <f t="shared" si="1012"/>
        <v>0</v>
      </c>
      <c r="EX621" s="38">
        <f t="shared" si="1013"/>
        <v>0</v>
      </c>
      <c r="EZ621" s="38">
        <f t="shared" si="1014"/>
        <v>0</v>
      </c>
      <c r="FA621" s="38">
        <f t="shared" si="1015"/>
        <v>0</v>
      </c>
      <c r="FB621" s="1">
        <f t="shared" si="1016"/>
        <v>0</v>
      </c>
      <c r="FC621" s="1">
        <f t="shared" si="1017"/>
        <v>0</v>
      </c>
      <c r="FD621" s="1">
        <f t="shared" si="1018"/>
        <v>0</v>
      </c>
      <c r="FE621" s="1">
        <f t="shared" si="1019"/>
        <v>0</v>
      </c>
      <c r="FF621" s="1">
        <f t="shared" si="1020"/>
        <v>0</v>
      </c>
      <c r="FG621" s="1">
        <f t="shared" si="1021"/>
        <v>0</v>
      </c>
      <c r="FH621" s="1">
        <f t="shared" si="1022"/>
        <v>0</v>
      </c>
      <c r="FI621" s="1">
        <f t="shared" si="1023"/>
        <v>0</v>
      </c>
      <c r="FJ621" s="1">
        <f t="shared" si="1024"/>
        <v>0</v>
      </c>
      <c r="FK621" s="1">
        <f t="shared" si="1025"/>
        <v>0</v>
      </c>
      <c r="FL621" s="1">
        <f t="shared" si="1026"/>
        <v>0</v>
      </c>
      <c r="FM621" s="1">
        <f t="shared" si="1027"/>
        <v>0</v>
      </c>
      <c r="FN621" s="1">
        <f t="shared" si="1028"/>
        <v>0</v>
      </c>
      <c r="FO621" s="1">
        <f t="shared" si="1029"/>
        <v>0</v>
      </c>
      <c r="FP621" s="1">
        <f t="shared" si="1030"/>
        <v>0</v>
      </c>
      <c r="FQ621" s="1">
        <f t="shared" si="1031"/>
        <v>0</v>
      </c>
      <c r="FS621" s="1">
        <f t="shared" si="1032"/>
        <v>0</v>
      </c>
      <c r="FT621" s="1">
        <f t="shared" si="1033"/>
        <v>0</v>
      </c>
      <c r="FU621" s="38">
        <f t="shared" si="1034"/>
        <v>0</v>
      </c>
      <c r="FV621" s="38">
        <f t="shared" si="1035"/>
        <v>0</v>
      </c>
      <c r="FW621" s="38">
        <f t="shared" si="1036"/>
        <v>0</v>
      </c>
      <c r="FX621" s="38">
        <f t="shared" si="1037"/>
        <v>0</v>
      </c>
      <c r="FY621" s="38">
        <f t="shared" si="1038"/>
        <v>0</v>
      </c>
      <c r="FZ621" s="38">
        <f t="shared" si="1039"/>
        <v>0</v>
      </c>
      <c r="GA621" s="38">
        <f t="shared" si="1040"/>
        <v>0</v>
      </c>
      <c r="GB621" s="38">
        <f t="shared" si="1041"/>
        <v>0</v>
      </c>
      <c r="GC621" s="38">
        <f t="shared" si="1042"/>
        <v>0</v>
      </c>
      <c r="GD621" s="38">
        <f t="shared" si="1043"/>
        <v>0</v>
      </c>
      <c r="GE621" s="38">
        <f t="shared" si="1044"/>
        <v>0</v>
      </c>
      <c r="GF621" s="38">
        <f t="shared" si="1045"/>
        <v>0</v>
      </c>
      <c r="GG621" s="38">
        <f t="shared" si="1046"/>
        <v>0</v>
      </c>
      <c r="GH621" s="38">
        <f t="shared" si="1047"/>
        <v>0</v>
      </c>
      <c r="GI621" s="38">
        <f t="shared" si="1048"/>
        <v>0</v>
      </c>
      <c r="GJ621" s="38">
        <f t="shared" si="1049"/>
        <v>0</v>
      </c>
      <c r="GL621" s="38">
        <f t="shared" si="1050"/>
        <v>0</v>
      </c>
      <c r="GM621" s="38">
        <f t="shared" si="1051"/>
        <v>0</v>
      </c>
      <c r="GN621" s="1" t="s">
        <v>2</v>
      </c>
      <c r="GO621" s="1">
        <f t="shared" si="974"/>
        <v>13.41</v>
      </c>
      <c r="GP621" s="1">
        <f t="shared" si="975"/>
        <v>0.36999999999999994</v>
      </c>
      <c r="GQ621" s="41">
        <f t="shared" si="976"/>
        <v>49.61699999999999</v>
      </c>
      <c r="GR621" s="41">
        <f t="shared" si="977"/>
        <v>1218.3425013939047</v>
      </c>
      <c r="GS621" s="14">
        <f t="shared" si="978"/>
        <v>90.853281237427652</v>
      </c>
      <c r="GT621" s="1">
        <f t="shared" si="1052"/>
        <v>0</v>
      </c>
      <c r="GU621" s="1">
        <f t="shared" si="1053"/>
        <v>0</v>
      </c>
      <c r="GV621" s="1">
        <f t="shared" si="1054"/>
        <v>49.616999999999997</v>
      </c>
      <c r="GW621" s="37">
        <f t="shared" si="979"/>
        <v>0</v>
      </c>
      <c r="GX621" s="37"/>
      <c r="GY621" s="37"/>
      <c r="GZ621" s="37"/>
      <c r="HB621" s="1">
        <f t="shared" si="1055"/>
        <v>0</v>
      </c>
      <c r="HC621" s="1">
        <f t="shared" si="1056"/>
        <v>0</v>
      </c>
      <c r="HD621" s="37" t="s">
        <v>2</v>
      </c>
      <c r="HE621" s="1" t="s">
        <v>113</v>
      </c>
      <c r="HF621" s="1" t="s">
        <v>871</v>
      </c>
      <c r="HG621" s="1" t="s">
        <v>839</v>
      </c>
      <c r="HI621" s="1" t="s">
        <v>96</v>
      </c>
      <c r="HJ621" s="37" t="s">
        <v>2</v>
      </c>
      <c r="JH621" s="58" t="s">
        <v>2</v>
      </c>
    </row>
    <row r="622" spans="1:268" ht="16.25" customHeight="1" x14ac:dyDescent="0.2">
      <c r="A622" s="15" t="s">
        <v>109</v>
      </c>
      <c r="B622" s="1" t="s">
        <v>71</v>
      </c>
      <c r="E622" s="1" t="s">
        <v>72</v>
      </c>
      <c r="F622" s="1" t="s">
        <v>110</v>
      </c>
      <c r="H622" s="1" t="s">
        <v>95</v>
      </c>
      <c r="I622" s="1">
        <v>10.1</v>
      </c>
      <c r="J622" s="1">
        <v>0.49</v>
      </c>
      <c r="L622" s="1">
        <v>10.5</v>
      </c>
      <c r="O622" s="1">
        <v>3.32</v>
      </c>
      <c r="P622" s="1">
        <v>0.54</v>
      </c>
      <c r="Q622" s="13">
        <v>0.1</v>
      </c>
      <c r="R622" s="1">
        <v>0.12</v>
      </c>
      <c r="AD622" s="1">
        <v>22.7</v>
      </c>
      <c r="AE622" s="1">
        <v>0.38</v>
      </c>
      <c r="AG622" s="1">
        <v>13.8</v>
      </c>
      <c r="AJ622" s="1">
        <v>3.47</v>
      </c>
      <c r="AK622" s="1">
        <v>0.71</v>
      </c>
      <c r="AL622" s="1">
        <v>0.09</v>
      </c>
      <c r="AM622" s="1">
        <v>0.11</v>
      </c>
      <c r="AY622" s="1">
        <v>26.7</v>
      </c>
      <c r="AZ622" s="1">
        <v>0.65</v>
      </c>
      <c r="BB622" s="1">
        <v>14.3</v>
      </c>
      <c r="BE622" s="13">
        <v>2.7</v>
      </c>
      <c r="BG622" s="1">
        <v>0.09</v>
      </c>
      <c r="BH622" s="1">
        <v>0.09</v>
      </c>
      <c r="BT622" s="1">
        <v>0</v>
      </c>
      <c r="CO622" s="1">
        <v>0</v>
      </c>
      <c r="DJ622" s="1" t="s">
        <v>96</v>
      </c>
      <c r="DK622" s="1" t="s">
        <v>96</v>
      </c>
      <c r="DL622" s="1">
        <f t="shared" si="972"/>
        <v>9.1697478991596637E-2</v>
      </c>
      <c r="DM622" s="1">
        <f t="shared" si="973"/>
        <v>0.10272268907563026</v>
      </c>
      <c r="DN622" s="1" t="s">
        <v>111</v>
      </c>
      <c r="DO622" s="1" t="s">
        <v>2</v>
      </c>
      <c r="DP622" s="38">
        <f t="shared" si="980"/>
        <v>0.30930000000000002</v>
      </c>
      <c r="DQ622" s="38">
        <f t="shared" si="981"/>
        <v>0</v>
      </c>
      <c r="DR622" s="38">
        <f t="shared" si="982"/>
        <v>801.12</v>
      </c>
      <c r="DS622" s="38">
        <f t="shared" si="983"/>
        <v>0</v>
      </c>
      <c r="DT622" s="38">
        <f t="shared" si="984"/>
        <v>0</v>
      </c>
      <c r="DU622" s="38">
        <f t="shared" si="985"/>
        <v>1.8439100000000002</v>
      </c>
      <c r="DV622" s="38">
        <f t="shared" si="986"/>
        <v>0.21570999999999999</v>
      </c>
      <c r="DW622" s="38">
        <f t="shared" si="987"/>
        <v>5.4559999999999997E-2</v>
      </c>
      <c r="DX622" s="38">
        <f t="shared" si="988"/>
        <v>6.1120000000000001E-2</v>
      </c>
      <c r="DY622" s="38">
        <f t="shared" si="989"/>
        <v>0</v>
      </c>
      <c r="DZ622" s="38">
        <f t="shared" si="990"/>
        <v>0</v>
      </c>
      <c r="EA622" s="38">
        <f t="shared" si="991"/>
        <v>0</v>
      </c>
      <c r="EB622" s="38">
        <f t="shared" si="992"/>
        <v>0</v>
      </c>
      <c r="EC622" s="38">
        <f t="shared" si="993"/>
        <v>0</v>
      </c>
      <c r="ED622" s="38">
        <f t="shared" si="994"/>
        <v>0</v>
      </c>
      <c r="EE622" s="38">
        <f t="shared" si="995"/>
        <v>0</v>
      </c>
      <c r="EG622" s="38">
        <f t="shared" si="996"/>
        <v>0</v>
      </c>
      <c r="EH622" s="38">
        <f t="shared" si="997"/>
        <v>0</v>
      </c>
      <c r="EI622" s="38">
        <f t="shared" si="998"/>
        <v>2018.3730288000002</v>
      </c>
      <c r="EJ622" s="38">
        <f t="shared" si="999"/>
        <v>0</v>
      </c>
      <c r="EK622" s="38">
        <f t="shared" si="1000"/>
        <v>405.71189710610923</v>
      </c>
      <c r="EL622" s="38">
        <f t="shared" si="1001"/>
        <v>0</v>
      </c>
      <c r="EM622" s="38">
        <f t="shared" si="1002"/>
        <v>0</v>
      </c>
      <c r="EN622" s="38">
        <f t="shared" si="1003"/>
        <v>4138.2554977480004</v>
      </c>
      <c r="EO622" s="38">
        <f t="shared" si="1004"/>
        <v>631.06051098199987</v>
      </c>
      <c r="EP622" s="38">
        <f t="shared" si="1005"/>
        <v>715.49983999999995</v>
      </c>
      <c r="EQ622" s="38">
        <f t="shared" si="1006"/>
        <v>4438.5053068799998</v>
      </c>
      <c r="ER622" s="38">
        <f t="shared" si="1007"/>
        <v>0</v>
      </c>
      <c r="ES622" s="38">
        <f t="shared" si="1008"/>
        <v>0</v>
      </c>
      <c r="ET622" s="38">
        <f t="shared" si="1009"/>
        <v>0</v>
      </c>
      <c r="EU622" s="38">
        <f t="shared" si="1010"/>
        <v>0</v>
      </c>
      <c r="EV622" s="38">
        <f t="shared" si="1011"/>
        <v>0</v>
      </c>
      <c r="EW622" s="38">
        <f t="shared" si="1012"/>
        <v>0</v>
      </c>
      <c r="EX622" s="38">
        <f t="shared" si="1013"/>
        <v>0</v>
      </c>
      <c r="EZ622" s="38">
        <f t="shared" si="1014"/>
        <v>0</v>
      </c>
      <c r="FA622" s="38">
        <f t="shared" si="1015"/>
        <v>0</v>
      </c>
      <c r="FB622" s="1">
        <f t="shared" si="1016"/>
        <v>0</v>
      </c>
      <c r="FC622" s="1">
        <f t="shared" si="1017"/>
        <v>0</v>
      </c>
      <c r="FD622" s="1">
        <f t="shared" si="1018"/>
        <v>0</v>
      </c>
      <c r="FE622" s="1">
        <f t="shared" si="1019"/>
        <v>0</v>
      </c>
      <c r="FF622" s="1">
        <f t="shared" si="1020"/>
        <v>0</v>
      </c>
      <c r="FG622" s="1">
        <f t="shared" si="1021"/>
        <v>0</v>
      </c>
      <c r="FH622" s="1">
        <f t="shared" si="1022"/>
        <v>0</v>
      </c>
      <c r="FI622" s="1">
        <f t="shared" si="1023"/>
        <v>0</v>
      </c>
      <c r="FJ622" s="1">
        <f t="shared" si="1024"/>
        <v>0</v>
      </c>
      <c r="FK622" s="1">
        <f t="shared" si="1025"/>
        <v>0</v>
      </c>
      <c r="FL622" s="1">
        <f t="shared" si="1026"/>
        <v>0</v>
      </c>
      <c r="FM622" s="1">
        <f t="shared" si="1027"/>
        <v>0</v>
      </c>
      <c r="FN622" s="1">
        <f t="shared" si="1028"/>
        <v>0</v>
      </c>
      <c r="FO622" s="1">
        <f t="shared" si="1029"/>
        <v>0</v>
      </c>
      <c r="FP622" s="1">
        <f t="shared" si="1030"/>
        <v>0</v>
      </c>
      <c r="FQ622" s="1">
        <f t="shared" si="1031"/>
        <v>0</v>
      </c>
      <c r="FS622" s="1">
        <f t="shared" si="1032"/>
        <v>0</v>
      </c>
      <c r="FT622" s="1">
        <f t="shared" si="1033"/>
        <v>0</v>
      </c>
      <c r="FU622" s="38">
        <f t="shared" si="1034"/>
        <v>0</v>
      </c>
      <c r="FV622" s="38">
        <f t="shared" si="1035"/>
        <v>0</v>
      </c>
      <c r="FW622" s="38">
        <f t="shared" si="1036"/>
        <v>0</v>
      </c>
      <c r="FX622" s="38">
        <f t="shared" si="1037"/>
        <v>0</v>
      </c>
      <c r="FY622" s="38">
        <f t="shared" si="1038"/>
        <v>0</v>
      </c>
      <c r="FZ622" s="38">
        <f t="shared" si="1039"/>
        <v>0</v>
      </c>
      <c r="GA622" s="38">
        <f t="shared" si="1040"/>
        <v>0</v>
      </c>
      <c r="GB622" s="38">
        <f t="shared" si="1041"/>
        <v>0</v>
      </c>
      <c r="GC622" s="38">
        <f t="shared" si="1042"/>
        <v>0</v>
      </c>
      <c r="GD622" s="38">
        <f t="shared" si="1043"/>
        <v>0</v>
      </c>
      <c r="GE622" s="38">
        <f t="shared" si="1044"/>
        <v>0</v>
      </c>
      <c r="GF622" s="38">
        <f t="shared" si="1045"/>
        <v>0</v>
      </c>
      <c r="GG622" s="38">
        <f t="shared" si="1046"/>
        <v>0</v>
      </c>
      <c r="GH622" s="38">
        <f t="shared" si="1047"/>
        <v>0</v>
      </c>
      <c r="GI622" s="38">
        <f t="shared" si="1048"/>
        <v>0</v>
      </c>
      <c r="GJ622" s="38">
        <f t="shared" si="1049"/>
        <v>0</v>
      </c>
      <c r="GL622" s="38">
        <f t="shared" si="1050"/>
        <v>0</v>
      </c>
      <c r="GM622" s="38">
        <f t="shared" si="1051"/>
        <v>0</v>
      </c>
      <c r="GN622" s="1" t="s">
        <v>2</v>
      </c>
      <c r="GO622" s="1">
        <f t="shared" si="974"/>
        <v>59.5</v>
      </c>
      <c r="GP622" s="2">
        <f t="shared" si="975"/>
        <v>9.1697478991596637E-2</v>
      </c>
      <c r="GQ622" s="41">
        <f t="shared" si="976"/>
        <v>54.56</v>
      </c>
      <c r="GR622" s="41">
        <f t="shared" si="977"/>
        <v>12347.40608151611</v>
      </c>
      <c r="GS622" s="14">
        <f t="shared" si="978"/>
        <v>207.51942994144724</v>
      </c>
      <c r="GT622" s="1">
        <f t="shared" si="1052"/>
        <v>10.1</v>
      </c>
      <c r="GU622" s="1">
        <f t="shared" si="1053"/>
        <v>20.429999999999996</v>
      </c>
      <c r="GV622" s="1">
        <f t="shared" si="1054"/>
        <v>24.03</v>
      </c>
      <c r="GW622" s="37">
        <f t="shared" si="979"/>
        <v>0</v>
      </c>
      <c r="GX622" s="37"/>
      <c r="GY622" s="37"/>
      <c r="GZ622" s="37"/>
      <c r="HB622" s="1">
        <f t="shared" si="1055"/>
        <v>0</v>
      </c>
      <c r="HC622" s="1">
        <f t="shared" si="1056"/>
        <v>0</v>
      </c>
      <c r="HD622" s="37" t="s">
        <v>2</v>
      </c>
      <c r="HE622" s="1" t="s">
        <v>113</v>
      </c>
      <c r="HF622" s="1" t="s">
        <v>114</v>
      </c>
      <c r="HI622" s="1" t="s">
        <v>96</v>
      </c>
      <c r="HJ622" s="37" t="s">
        <v>2</v>
      </c>
      <c r="JH622" s="58" t="s">
        <v>2</v>
      </c>
    </row>
    <row r="623" spans="1:268" ht="16.25" customHeight="1" x14ac:dyDescent="0.2">
      <c r="A623" s="15" t="s">
        <v>120</v>
      </c>
      <c r="B623" s="1" t="s">
        <v>69</v>
      </c>
      <c r="E623" s="1" t="s">
        <v>72</v>
      </c>
      <c r="F623" s="1" t="s">
        <v>110</v>
      </c>
      <c r="H623" s="1" t="s">
        <v>95</v>
      </c>
      <c r="I623" s="1">
        <v>0</v>
      </c>
      <c r="AD623" s="1">
        <v>12.2</v>
      </c>
      <c r="AE623" s="1">
        <v>0.49</v>
      </c>
      <c r="AJ623" s="1">
        <v>0.56000000000000005</v>
      </c>
      <c r="AL623" s="13">
        <v>0.2</v>
      </c>
      <c r="AM623" s="1">
        <v>0.21</v>
      </c>
      <c r="AY623" s="1">
        <v>0</v>
      </c>
      <c r="BT623" s="1">
        <v>0</v>
      </c>
      <c r="CO623" s="1">
        <v>0</v>
      </c>
      <c r="DJ623" s="1" t="s">
        <v>96</v>
      </c>
      <c r="DK623" s="1" t="s">
        <v>96</v>
      </c>
      <c r="DL623" s="1">
        <f t="shared" si="972"/>
        <v>0.2</v>
      </c>
      <c r="DM623" s="1">
        <f t="shared" si="973"/>
        <v>0.21</v>
      </c>
      <c r="DN623" s="1" t="s">
        <v>121</v>
      </c>
      <c r="DO623" s="1" t="s">
        <v>2</v>
      </c>
      <c r="DP623" s="38">
        <f t="shared" si="980"/>
        <v>5.978E-2</v>
      </c>
      <c r="DQ623" s="38">
        <f t="shared" si="981"/>
        <v>0</v>
      </c>
      <c r="DR623" s="38">
        <f t="shared" si="982"/>
        <v>0</v>
      </c>
      <c r="DS623" s="38">
        <f t="shared" si="983"/>
        <v>0</v>
      </c>
      <c r="DT623" s="38">
        <f t="shared" si="984"/>
        <v>0</v>
      </c>
      <c r="DU623" s="38">
        <f t="shared" si="985"/>
        <v>6.8319999999999992E-2</v>
      </c>
      <c r="DV623" s="38">
        <f t="shared" si="986"/>
        <v>0</v>
      </c>
      <c r="DW623" s="38">
        <f t="shared" si="987"/>
        <v>2.4399999999999998E-2</v>
      </c>
      <c r="DX623" s="38">
        <f t="shared" si="988"/>
        <v>2.5619999999999997E-2</v>
      </c>
      <c r="DY623" s="38">
        <f t="shared" si="989"/>
        <v>0</v>
      </c>
      <c r="DZ623" s="38">
        <f t="shared" si="990"/>
        <v>0</v>
      </c>
      <c r="EA623" s="38">
        <f t="shared" si="991"/>
        <v>0</v>
      </c>
      <c r="EB623" s="38">
        <f t="shared" si="992"/>
        <v>0</v>
      </c>
      <c r="EC623" s="38">
        <f t="shared" si="993"/>
        <v>0</v>
      </c>
      <c r="ED623" s="38">
        <f t="shared" si="994"/>
        <v>0</v>
      </c>
      <c r="EE623" s="38">
        <f t="shared" si="995"/>
        <v>0</v>
      </c>
      <c r="EG623" s="38">
        <f t="shared" si="996"/>
        <v>0</v>
      </c>
      <c r="EH623" s="38">
        <f t="shared" si="997"/>
        <v>0</v>
      </c>
      <c r="EI623" s="38">
        <f t="shared" si="998"/>
        <v>390.10132448000002</v>
      </c>
      <c r="EJ623" s="38">
        <f t="shared" si="999"/>
        <v>0</v>
      </c>
      <c r="EK623" s="38">
        <f t="shared" si="1000"/>
        <v>0</v>
      </c>
      <c r="EL623" s="38">
        <f t="shared" si="1001"/>
        <v>0</v>
      </c>
      <c r="EM623" s="38">
        <f t="shared" si="1002"/>
        <v>0</v>
      </c>
      <c r="EN623" s="38">
        <f t="shared" si="1003"/>
        <v>153.32940089599998</v>
      </c>
      <c r="EO623" s="38">
        <f t="shared" si="1004"/>
        <v>0</v>
      </c>
      <c r="EP623" s="38">
        <f t="shared" si="1005"/>
        <v>319.98159999999996</v>
      </c>
      <c r="EQ623" s="38">
        <f t="shared" si="1006"/>
        <v>1860.5122048799994</v>
      </c>
      <c r="ER623" s="38">
        <f t="shared" si="1007"/>
        <v>0</v>
      </c>
      <c r="ES623" s="38">
        <f t="shared" si="1008"/>
        <v>0</v>
      </c>
      <c r="ET623" s="38">
        <f t="shared" si="1009"/>
        <v>0</v>
      </c>
      <c r="EU623" s="38">
        <f t="shared" si="1010"/>
        <v>0</v>
      </c>
      <c r="EV623" s="38">
        <f t="shared" si="1011"/>
        <v>0</v>
      </c>
      <c r="EW623" s="38">
        <f t="shared" si="1012"/>
        <v>0</v>
      </c>
      <c r="EX623" s="38">
        <f t="shared" si="1013"/>
        <v>0</v>
      </c>
      <c r="EZ623" s="38">
        <f t="shared" si="1014"/>
        <v>0</v>
      </c>
      <c r="FA623" s="38">
        <f t="shared" si="1015"/>
        <v>0</v>
      </c>
      <c r="FB623" s="1">
        <f t="shared" si="1016"/>
        <v>0</v>
      </c>
      <c r="FC623" s="1">
        <f t="shared" si="1017"/>
        <v>0</v>
      </c>
      <c r="FD623" s="1">
        <f t="shared" si="1018"/>
        <v>0</v>
      </c>
      <c r="FE623" s="1">
        <f t="shared" si="1019"/>
        <v>0</v>
      </c>
      <c r="FF623" s="1">
        <f t="shared" si="1020"/>
        <v>0</v>
      </c>
      <c r="FG623" s="1">
        <f t="shared" si="1021"/>
        <v>0</v>
      </c>
      <c r="FH623" s="1">
        <f t="shared" si="1022"/>
        <v>0</v>
      </c>
      <c r="FI623" s="1">
        <f t="shared" si="1023"/>
        <v>0</v>
      </c>
      <c r="FJ623" s="1">
        <f t="shared" si="1024"/>
        <v>0</v>
      </c>
      <c r="FK623" s="1">
        <f t="shared" si="1025"/>
        <v>0</v>
      </c>
      <c r="FL623" s="1">
        <f t="shared" si="1026"/>
        <v>0</v>
      </c>
      <c r="FM623" s="1">
        <f t="shared" si="1027"/>
        <v>0</v>
      </c>
      <c r="FN623" s="1">
        <f t="shared" si="1028"/>
        <v>0</v>
      </c>
      <c r="FO623" s="1">
        <f t="shared" si="1029"/>
        <v>0</v>
      </c>
      <c r="FP623" s="1">
        <f t="shared" si="1030"/>
        <v>0</v>
      </c>
      <c r="FQ623" s="1">
        <f t="shared" si="1031"/>
        <v>0</v>
      </c>
      <c r="FS623" s="1">
        <f t="shared" si="1032"/>
        <v>0</v>
      </c>
      <c r="FT623" s="1">
        <f t="shared" si="1033"/>
        <v>0</v>
      </c>
      <c r="FU623" s="38">
        <f t="shared" si="1034"/>
        <v>0</v>
      </c>
      <c r="FV623" s="38">
        <f t="shared" si="1035"/>
        <v>0</v>
      </c>
      <c r="FW623" s="38">
        <f t="shared" si="1036"/>
        <v>0</v>
      </c>
      <c r="FX623" s="38">
        <f t="shared" si="1037"/>
        <v>0</v>
      </c>
      <c r="FY623" s="38">
        <f t="shared" si="1038"/>
        <v>0</v>
      </c>
      <c r="FZ623" s="38">
        <f t="shared" si="1039"/>
        <v>0</v>
      </c>
      <c r="GA623" s="38">
        <f t="shared" si="1040"/>
        <v>0</v>
      </c>
      <c r="GB623" s="38">
        <f t="shared" si="1041"/>
        <v>0</v>
      </c>
      <c r="GC623" s="38">
        <f t="shared" si="1042"/>
        <v>0</v>
      </c>
      <c r="GD623" s="38">
        <f t="shared" si="1043"/>
        <v>0</v>
      </c>
      <c r="GE623" s="38">
        <f t="shared" si="1044"/>
        <v>0</v>
      </c>
      <c r="GF623" s="38">
        <f t="shared" si="1045"/>
        <v>0</v>
      </c>
      <c r="GG623" s="38">
        <f t="shared" si="1046"/>
        <v>0</v>
      </c>
      <c r="GH623" s="38">
        <f t="shared" si="1047"/>
        <v>0</v>
      </c>
      <c r="GI623" s="38">
        <f t="shared" si="1048"/>
        <v>0</v>
      </c>
      <c r="GJ623" s="38">
        <f t="shared" si="1049"/>
        <v>0</v>
      </c>
      <c r="GL623" s="38">
        <f t="shared" si="1050"/>
        <v>0</v>
      </c>
      <c r="GM623" s="38">
        <f t="shared" si="1051"/>
        <v>0</v>
      </c>
      <c r="GN623" s="1" t="s">
        <v>2</v>
      </c>
      <c r="GO623" s="1">
        <f t="shared" si="974"/>
        <v>12.2</v>
      </c>
      <c r="GP623" s="1">
        <f t="shared" si="975"/>
        <v>0.2</v>
      </c>
      <c r="GQ623" s="41">
        <f t="shared" si="976"/>
        <v>24.4</v>
      </c>
      <c r="GR623" s="41">
        <f t="shared" si="977"/>
        <v>2723.9245302559993</v>
      </c>
      <c r="GS623" s="14">
        <f t="shared" si="978"/>
        <v>223.27250247999996</v>
      </c>
      <c r="GT623" s="1">
        <f t="shared" si="1052"/>
        <v>0</v>
      </c>
      <c r="GU623" s="1">
        <f t="shared" si="1053"/>
        <v>24.4</v>
      </c>
      <c r="GV623" s="1">
        <f t="shared" si="1054"/>
        <v>0</v>
      </c>
      <c r="GW623" s="37">
        <f t="shared" si="979"/>
        <v>0</v>
      </c>
      <c r="GX623" s="37"/>
      <c r="GY623" s="37"/>
      <c r="GZ623" s="37"/>
      <c r="HB623" s="1">
        <f t="shared" si="1055"/>
        <v>0</v>
      </c>
      <c r="HC623" s="1">
        <f t="shared" si="1056"/>
        <v>0</v>
      </c>
      <c r="HD623" s="37" t="s">
        <v>2</v>
      </c>
      <c r="HE623" s="1" t="s">
        <v>113</v>
      </c>
      <c r="HF623" s="1" t="s">
        <v>114</v>
      </c>
      <c r="HI623" s="1" t="s">
        <v>96</v>
      </c>
      <c r="HJ623" s="37" t="s">
        <v>2</v>
      </c>
      <c r="JH623" s="58" t="s">
        <v>2</v>
      </c>
    </row>
    <row r="624" spans="1:268" ht="16.25" customHeight="1" x14ac:dyDescent="0.2">
      <c r="A624" s="15" t="s">
        <v>950</v>
      </c>
      <c r="B624" s="1" t="s">
        <v>69</v>
      </c>
      <c r="F624" s="1" t="s">
        <v>131</v>
      </c>
      <c r="I624" s="1">
        <v>0</v>
      </c>
      <c r="AD624" s="1">
        <v>0</v>
      </c>
      <c r="AY624" s="1">
        <f>6.975+0.026</f>
        <v>7.0009999999999994</v>
      </c>
      <c r="AZ624" s="13">
        <f>(0.38*6.975+0.36*0.026)/AY624</f>
        <v>0.37992572489644338</v>
      </c>
      <c r="BA624" s="1">
        <f>(0.2*6.975+0.2*0.026)/AY624</f>
        <v>0.20000000000000004</v>
      </c>
      <c r="BG624" s="13">
        <f>(0.24*6.975+0.24*0.026)/AY624</f>
        <v>0.24000000000000002</v>
      </c>
      <c r="BI624" s="1">
        <f>(0.2*6.975+0.2*0.026)/AY624</f>
        <v>0.20000000000000004</v>
      </c>
      <c r="BJ624" s="1">
        <f>(0.6*6.975+0.6*0.026)/AY624</f>
        <v>0.6</v>
      </c>
      <c r="BT624" s="1">
        <v>0</v>
      </c>
      <c r="CO624" s="1">
        <v>0</v>
      </c>
      <c r="DJ624" s="1" t="s">
        <v>163</v>
      </c>
      <c r="DL624" s="1">
        <f t="shared" si="972"/>
        <v>0.24000000000000002</v>
      </c>
      <c r="DM624" s="1">
        <f t="shared" si="973"/>
        <v>0</v>
      </c>
      <c r="DN624" s="1" t="s">
        <v>951</v>
      </c>
      <c r="DO624" s="1" t="s">
        <v>2</v>
      </c>
      <c r="DP624" s="38">
        <f t="shared" si="980"/>
        <v>2.65986E-2</v>
      </c>
      <c r="DQ624" s="38">
        <f t="shared" si="981"/>
        <v>1.4002000000000001</v>
      </c>
      <c r="DR624" s="38">
        <f t="shared" si="982"/>
        <v>0</v>
      </c>
      <c r="DS624" s="38">
        <f t="shared" si="983"/>
        <v>0</v>
      </c>
      <c r="DT624" s="38">
        <f t="shared" si="984"/>
        <v>0</v>
      </c>
      <c r="DU624" s="38">
        <f t="shared" si="985"/>
        <v>0</v>
      </c>
      <c r="DV624" s="38">
        <f t="shared" si="986"/>
        <v>0</v>
      </c>
      <c r="DW624" s="38">
        <f t="shared" si="987"/>
        <v>1.6802399999999999E-2</v>
      </c>
      <c r="DX624" s="38">
        <f t="shared" si="988"/>
        <v>0</v>
      </c>
      <c r="DY624" s="38">
        <f t="shared" si="989"/>
        <v>1.4002000000000001</v>
      </c>
      <c r="DZ624" s="38">
        <f t="shared" si="990"/>
        <v>4.2005999999999997</v>
      </c>
      <c r="EA624" s="38">
        <f t="shared" si="991"/>
        <v>0</v>
      </c>
      <c r="EB624" s="38">
        <f t="shared" si="992"/>
        <v>0</v>
      </c>
      <c r="EC624" s="38">
        <f t="shared" si="993"/>
        <v>0</v>
      </c>
      <c r="ED624" s="38">
        <f t="shared" si="994"/>
        <v>0</v>
      </c>
      <c r="EE624" s="38">
        <f t="shared" si="995"/>
        <v>0</v>
      </c>
      <c r="EG624" s="38">
        <f t="shared" si="996"/>
        <v>0</v>
      </c>
      <c r="EH624" s="38">
        <f t="shared" si="997"/>
        <v>0</v>
      </c>
      <c r="EI624" s="38">
        <f t="shared" si="998"/>
        <v>173.5722497376</v>
      </c>
      <c r="EJ624" s="38">
        <f t="shared" si="999"/>
        <v>57.268630225080386</v>
      </c>
      <c r="EK624" s="38">
        <f t="shared" si="1000"/>
        <v>0</v>
      </c>
      <c r="EL624" s="38">
        <f t="shared" si="1001"/>
        <v>0</v>
      </c>
      <c r="EM624" s="38">
        <f t="shared" si="1002"/>
        <v>0</v>
      </c>
      <c r="EN624" s="38">
        <f t="shared" si="1003"/>
        <v>0</v>
      </c>
      <c r="EO624" s="38">
        <f t="shared" si="1004"/>
        <v>0</v>
      </c>
      <c r="EP624" s="38">
        <f t="shared" si="1005"/>
        <v>220.34667359999997</v>
      </c>
      <c r="EQ624" s="38">
        <f t="shared" si="1006"/>
        <v>0</v>
      </c>
      <c r="ER624" s="38">
        <f t="shared" si="1007"/>
        <v>39.739566945337614</v>
      </c>
      <c r="ES624" s="38">
        <f t="shared" si="1008"/>
        <v>139.9880340192926</v>
      </c>
      <c r="ET624" s="38">
        <f t="shared" si="1009"/>
        <v>0</v>
      </c>
      <c r="EU624" s="38">
        <f t="shared" si="1010"/>
        <v>0</v>
      </c>
      <c r="EV624" s="38">
        <f t="shared" si="1011"/>
        <v>0</v>
      </c>
      <c r="EW624" s="38">
        <f t="shared" si="1012"/>
        <v>0</v>
      </c>
      <c r="EX624" s="38">
        <f t="shared" si="1013"/>
        <v>0</v>
      </c>
      <c r="EZ624" s="38">
        <f t="shared" si="1014"/>
        <v>0</v>
      </c>
      <c r="FA624" s="38">
        <f t="shared" si="1015"/>
        <v>0</v>
      </c>
      <c r="FB624" s="1">
        <f t="shared" si="1016"/>
        <v>0</v>
      </c>
      <c r="FC624" s="1">
        <f t="shared" si="1017"/>
        <v>0</v>
      </c>
      <c r="FD624" s="1">
        <f t="shared" si="1018"/>
        <v>0</v>
      </c>
      <c r="FE624" s="1">
        <f t="shared" si="1019"/>
        <v>0</v>
      </c>
      <c r="FF624" s="1">
        <f t="shared" si="1020"/>
        <v>0</v>
      </c>
      <c r="FG624" s="1">
        <f t="shared" si="1021"/>
        <v>0</v>
      </c>
      <c r="FH624" s="1">
        <f t="shared" si="1022"/>
        <v>0</v>
      </c>
      <c r="FI624" s="1">
        <f t="shared" si="1023"/>
        <v>0</v>
      </c>
      <c r="FJ624" s="1">
        <f t="shared" si="1024"/>
        <v>0</v>
      </c>
      <c r="FK624" s="1">
        <f t="shared" si="1025"/>
        <v>0</v>
      </c>
      <c r="FL624" s="1">
        <f t="shared" si="1026"/>
        <v>0</v>
      </c>
      <c r="FM624" s="1">
        <f t="shared" si="1027"/>
        <v>0</v>
      </c>
      <c r="FN624" s="1">
        <f t="shared" si="1028"/>
        <v>0</v>
      </c>
      <c r="FO624" s="1">
        <f t="shared" si="1029"/>
        <v>0</v>
      </c>
      <c r="FP624" s="1">
        <f t="shared" si="1030"/>
        <v>0</v>
      </c>
      <c r="FQ624" s="1">
        <f t="shared" si="1031"/>
        <v>0</v>
      </c>
      <c r="FS624" s="1">
        <f t="shared" si="1032"/>
        <v>0</v>
      </c>
      <c r="FT624" s="1">
        <f t="shared" si="1033"/>
        <v>0</v>
      </c>
      <c r="FU624" s="38">
        <f t="shared" si="1034"/>
        <v>0</v>
      </c>
      <c r="FV624" s="38">
        <f t="shared" si="1035"/>
        <v>0</v>
      </c>
      <c r="FW624" s="38">
        <f t="shared" si="1036"/>
        <v>0</v>
      </c>
      <c r="FX624" s="38">
        <f t="shared" si="1037"/>
        <v>0</v>
      </c>
      <c r="FY624" s="38">
        <f t="shared" si="1038"/>
        <v>0</v>
      </c>
      <c r="FZ624" s="38">
        <f t="shared" si="1039"/>
        <v>0</v>
      </c>
      <c r="GA624" s="38">
        <f t="shared" si="1040"/>
        <v>0</v>
      </c>
      <c r="GB624" s="38">
        <f t="shared" si="1041"/>
        <v>0</v>
      </c>
      <c r="GC624" s="38">
        <f t="shared" si="1042"/>
        <v>0</v>
      </c>
      <c r="GD624" s="38">
        <f t="shared" si="1043"/>
        <v>0</v>
      </c>
      <c r="GE624" s="38">
        <f t="shared" si="1044"/>
        <v>0</v>
      </c>
      <c r="GF624" s="38">
        <f t="shared" si="1045"/>
        <v>0</v>
      </c>
      <c r="GG624" s="38">
        <f t="shared" si="1046"/>
        <v>0</v>
      </c>
      <c r="GH624" s="38">
        <f t="shared" si="1047"/>
        <v>0</v>
      </c>
      <c r="GI624" s="38">
        <f t="shared" si="1048"/>
        <v>0</v>
      </c>
      <c r="GJ624" s="38">
        <f t="shared" si="1049"/>
        <v>0</v>
      </c>
      <c r="GL624" s="38">
        <f t="shared" si="1050"/>
        <v>0</v>
      </c>
      <c r="GM624" s="38">
        <f t="shared" si="1051"/>
        <v>0</v>
      </c>
      <c r="GN624" s="1" t="s">
        <v>2</v>
      </c>
      <c r="GO624" s="1">
        <f t="shared" si="974"/>
        <v>7.0009999999999994</v>
      </c>
      <c r="GP624" s="1">
        <f t="shared" si="975"/>
        <v>0.24000000000000002</v>
      </c>
      <c r="GQ624" s="41">
        <f t="shared" si="976"/>
        <v>16.802399999999999</v>
      </c>
      <c r="GR624" s="41">
        <f t="shared" si="977"/>
        <v>630.91515452731062</v>
      </c>
      <c r="GS624" s="14">
        <f t="shared" si="978"/>
        <v>90.117862380704281</v>
      </c>
      <c r="GT624" s="1">
        <f t="shared" si="1052"/>
        <v>0</v>
      </c>
      <c r="GU624" s="1">
        <f t="shared" si="1053"/>
        <v>0</v>
      </c>
      <c r="GV624" s="1">
        <f t="shared" si="1054"/>
        <v>16.802399999999999</v>
      </c>
      <c r="GW624" s="37">
        <f t="shared" si="979"/>
        <v>0</v>
      </c>
      <c r="GX624" s="37"/>
      <c r="GY624" s="37"/>
      <c r="GZ624" s="37"/>
      <c r="HB624" s="1">
        <f t="shared" si="1055"/>
        <v>0</v>
      </c>
      <c r="HC624" s="1">
        <f t="shared" si="1056"/>
        <v>0</v>
      </c>
      <c r="HD624" s="37" t="s">
        <v>2</v>
      </c>
      <c r="HE624" s="1" t="s">
        <v>113</v>
      </c>
      <c r="HF624" s="1" t="s">
        <v>708</v>
      </c>
      <c r="HI624" s="1" t="s">
        <v>163</v>
      </c>
      <c r="HJ624" s="37" t="s">
        <v>2</v>
      </c>
      <c r="JH624" s="58" t="s">
        <v>2</v>
      </c>
    </row>
    <row r="625" spans="1:268" ht="16.25" customHeight="1" x14ac:dyDescent="0.2">
      <c r="A625" s="15" t="s">
        <v>1078</v>
      </c>
      <c r="B625" s="1" t="s">
        <v>69</v>
      </c>
      <c r="F625" s="1" t="s">
        <v>131</v>
      </c>
      <c r="I625" s="1">
        <v>0</v>
      </c>
      <c r="AD625" s="1">
        <v>0</v>
      </c>
      <c r="AY625" s="13">
        <f>0.4*0.9072</f>
        <v>0.36288000000000004</v>
      </c>
      <c r="AZ625" s="1">
        <v>0.16</v>
      </c>
      <c r="BG625" s="1">
        <v>0.23</v>
      </c>
      <c r="BT625" s="1">
        <v>0</v>
      </c>
      <c r="CO625" s="1">
        <v>0</v>
      </c>
      <c r="DJ625" s="1" t="s">
        <v>163</v>
      </c>
      <c r="DL625" s="1">
        <f t="shared" si="972"/>
        <v>0.22999999999999998</v>
      </c>
      <c r="DM625" s="1">
        <f t="shared" si="973"/>
        <v>0</v>
      </c>
      <c r="DN625" s="1" t="s">
        <v>1079</v>
      </c>
      <c r="DO625" s="1" t="s">
        <v>2</v>
      </c>
      <c r="DP625" s="38">
        <f t="shared" si="980"/>
        <v>5.8060800000000014E-4</v>
      </c>
      <c r="DQ625" s="38">
        <f t="shared" si="981"/>
        <v>0</v>
      </c>
      <c r="DR625" s="38">
        <f t="shared" si="982"/>
        <v>0</v>
      </c>
      <c r="DS625" s="38">
        <f t="shared" si="983"/>
        <v>0</v>
      </c>
      <c r="DT625" s="38">
        <f t="shared" si="984"/>
        <v>0</v>
      </c>
      <c r="DU625" s="38">
        <f t="shared" si="985"/>
        <v>0</v>
      </c>
      <c r="DV625" s="38">
        <f t="shared" si="986"/>
        <v>0</v>
      </c>
      <c r="DW625" s="38">
        <f t="shared" si="987"/>
        <v>8.3462400000000006E-4</v>
      </c>
      <c r="DX625" s="38">
        <f t="shared" si="988"/>
        <v>0</v>
      </c>
      <c r="DY625" s="38">
        <f t="shared" si="989"/>
        <v>0</v>
      </c>
      <c r="DZ625" s="38">
        <f t="shared" si="990"/>
        <v>0</v>
      </c>
      <c r="EA625" s="38">
        <f t="shared" si="991"/>
        <v>0</v>
      </c>
      <c r="EB625" s="38">
        <f t="shared" si="992"/>
        <v>0</v>
      </c>
      <c r="EC625" s="38">
        <f t="shared" si="993"/>
        <v>0</v>
      </c>
      <c r="ED625" s="38">
        <f t="shared" si="994"/>
        <v>0</v>
      </c>
      <c r="EE625" s="38">
        <f t="shared" si="995"/>
        <v>0</v>
      </c>
      <c r="EG625" s="38">
        <f t="shared" si="996"/>
        <v>0</v>
      </c>
      <c r="EH625" s="38">
        <f t="shared" si="997"/>
        <v>0</v>
      </c>
      <c r="EI625" s="38">
        <f t="shared" si="998"/>
        <v>3.7888248545280008</v>
      </c>
      <c r="EJ625" s="38">
        <f t="shared" si="999"/>
        <v>0</v>
      </c>
      <c r="EK625" s="38">
        <f t="shared" si="1000"/>
        <v>0</v>
      </c>
      <c r="EL625" s="38">
        <f t="shared" si="1001"/>
        <v>0</v>
      </c>
      <c r="EM625" s="38">
        <f t="shared" si="1002"/>
        <v>0</v>
      </c>
      <c r="EN625" s="38">
        <f t="shared" si="1003"/>
        <v>0</v>
      </c>
      <c r="EO625" s="38">
        <f t="shared" si="1004"/>
        <v>0</v>
      </c>
      <c r="EP625" s="38">
        <f t="shared" si="1005"/>
        <v>10.945259136000001</v>
      </c>
      <c r="EQ625" s="38">
        <f t="shared" si="1006"/>
        <v>0</v>
      </c>
      <c r="ER625" s="38">
        <f t="shared" si="1007"/>
        <v>0</v>
      </c>
      <c r="ES625" s="38">
        <f t="shared" si="1008"/>
        <v>0</v>
      </c>
      <c r="ET625" s="38">
        <f t="shared" si="1009"/>
        <v>0</v>
      </c>
      <c r="EU625" s="38">
        <f t="shared" si="1010"/>
        <v>0</v>
      </c>
      <c r="EV625" s="38">
        <f t="shared" si="1011"/>
        <v>0</v>
      </c>
      <c r="EW625" s="38">
        <f t="shared" si="1012"/>
        <v>0</v>
      </c>
      <c r="EX625" s="38">
        <f t="shared" si="1013"/>
        <v>0</v>
      </c>
      <c r="EZ625" s="38">
        <f t="shared" si="1014"/>
        <v>0</v>
      </c>
      <c r="FA625" s="38">
        <f t="shared" si="1015"/>
        <v>0</v>
      </c>
      <c r="FB625" s="1">
        <f t="shared" si="1016"/>
        <v>0</v>
      </c>
      <c r="FC625" s="1">
        <f t="shared" si="1017"/>
        <v>0</v>
      </c>
      <c r="FD625" s="1">
        <f t="shared" si="1018"/>
        <v>0</v>
      </c>
      <c r="FE625" s="1">
        <f t="shared" si="1019"/>
        <v>0</v>
      </c>
      <c r="FF625" s="1">
        <f t="shared" si="1020"/>
        <v>0</v>
      </c>
      <c r="FG625" s="1">
        <f t="shared" si="1021"/>
        <v>0</v>
      </c>
      <c r="FH625" s="1">
        <f t="shared" si="1022"/>
        <v>0</v>
      </c>
      <c r="FI625" s="1">
        <f t="shared" si="1023"/>
        <v>0</v>
      </c>
      <c r="FJ625" s="1">
        <f t="shared" si="1024"/>
        <v>0</v>
      </c>
      <c r="FK625" s="1">
        <f t="shared" si="1025"/>
        <v>0</v>
      </c>
      <c r="FL625" s="1">
        <f t="shared" si="1026"/>
        <v>0</v>
      </c>
      <c r="FM625" s="1">
        <f t="shared" si="1027"/>
        <v>0</v>
      </c>
      <c r="FN625" s="1">
        <f t="shared" si="1028"/>
        <v>0</v>
      </c>
      <c r="FO625" s="1">
        <f t="shared" si="1029"/>
        <v>0</v>
      </c>
      <c r="FP625" s="1">
        <f t="shared" si="1030"/>
        <v>0</v>
      </c>
      <c r="FQ625" s="1">
        <f t="shared" si="1031"/>
        <v>0</v>
      </c>
      <c r="FS625" s="1">
        <f t="shared" si="1032"/>
        <v>0</v>
      </c>
      <c r="FT625" s="1">
        <f t="shared" si="1033"/>
        <v>0</v>
      </c>
      <c r="FU625" s="38">
        <f t="shared" si="1034"/>
        <v>0</v>
      </c>
      <c r="FV625" s="38">
        <f t="shared" si="1035"/>
        <v>0</v>
      </c>
      <c r="FW625" s="38">
        <f t="shared" si="1036"/>
        <v>0</v>
      </c>
      <c r="FX625" s="38">
        <f t="shared" si="1037"/>
        <v>0</v>
      </c>
      <c r="FY625" s="38">
        <f t="shared" si="1038"/>
        <v>0</v>
      </c>
      <c r="FZ625" s="38">
        <f t="shared" si="1039"/>
        <v>0</v>
      </c>
      <c r="GA625" s="38">
        <f t="shared" si="1040"/>
        <v>0</v>
      </c>
      <c r="GB625" s="38">
        <f t="shared" si="1041"/>
        <v>0</v>
      </c>
      <c r="GC625" s="38">
        <f t="shared" si="1042"/>
        <v>0</v>
      </c>
      <c r="GD625" s="38">
        <f t="shared" si="1043"/>
        <v>0</v>
      </c>
      <c r="GE625" s="38">
        <f t="shared" si="1044"/>
        <v>0</v>
      </c>
      <c r="GF625" s="38">
        <f t="shared" si="1045"/>
        <v>0</v>
      </c>
      <c r="GG625" s="38">
        <f t="shared" si="1046"/>
        <v>0</v>
      </c>
      <c r="GH625" s="38">
        <f t="shared" si="1047"/>
        <v>0</v>
      </c>
      <c r="GI625" s="38">
        <f t="shared" si="1048"/>
        <v>0</v>
      </c>
      <c r="GJ625" s="38">
        <f t="shared" si="1049"/>
        <v>0</v>
      </c>
      <c r="GL625" s="38">
        <f t="shared" si="1050"/>
        <v>0</v>
      </c>
      <c r="GM625" s="38">
        <f t="shared" si="1051"/>
        <v>0</v>
      </c>
      <c r="GN625" s="1" t="s">
        <v>2</v>
      </c>
      <c r="GO625" s="2">
        <f t="shared" si="974"/>
        <v>0.36288000000000004</v>
      </c>
      <c r="GP625" s="1">
        <f t="shared" si="975"/>
        <v>0.22999999999999998</v>
      </c>
      <c r="GQ625" s="41">
        <f t="shared" si="976"/>
        <v>0.83462400000000003</v>
      </c>
      <c r="GR625" s="41">
        <f t="shared" si="977"/>
        <v>14.734083990528001</v>
      </c>
      <c r="GS625" s="14">
        <f t="shared" si="978"/>
        <v>40.603185599999996</v>
      </c>
      <c r="GT625" s="1">
        <f t="shared" si="1052"/>
        <v>0</v>
      </c>
      <c r="GU625" s="1">
        <f t="shared" si="1053"/>
        <v>0</v>
      </c>
      <c r="GV625" s="1">
        <f t="shared" si="1054"/>
        <v>0.83462400000000003</v>
      </c>
      <c r="GW625" s="37">
        <f t="shared" si="979"/>
        <v>0</v>
      </c>
      <c r="GX625" s="37"/>
      <c r="GY625" s="37"/>
      <c r="GZ625" s="37"/>
      <c r="HB625" s="1">
        <f t="shared" si="1055"/>
        <v>0</v>
      </c>
      <c r="HC625" s="1">
        <f t="shared" si="1056"/>
        <v>0</v>
      </c>
      <c r="HD625" s="37" t="s">
        <v>2</v>
      </c>
      <c r="HE625" s="1" t="s">
        <v>113</v>
      </c>
      <c r="HF625" s="1" t="s">
        <v>589</v>
      </c>
      <c r="HI625" s="1" t="s">
        <v>163</v>
      </c>
      <c r="HJ625" s="37" t="s">
        <v>2</v>
      </c>
      <c r="JH625" s="58" t="s">
        <v>2</v>
      </c>
    </row>
    <row r="626" spans="1:268" ht="16.25" customHeight="1" x14ac:dyDescent="0.2">
      <c r="A626" s="15" t="s">
        <v>1082</v>
      </c>
      <c r="B626" s="1" t="s">
        <v>69</v>
      </c>
      <c r="F626" s="1" t="s">
        <v>131</v>
      </c>
      <c r="I626" s="1">
        <v>0</v>
      </c>
      <c r="AD626" s="1">
        <v>0</v>
      </c>
      <c r="AY626" s="14">
        <f>10.2*0.9072</f>
        <v>9.2534399999999994</v>
      </c>
      <c r="AZ626" s="1">
        <v>0.25</v>
      </c>
      <c r="BG626" s="1">
        <v>0.26</v>
      </c>
      <c r="BT626" s="1">
        <v>0</v>
      </c>
      <c r="CO626" s="1">
        <v>0</v>
      </c>
      <c r="DJ626" s="1" t="s">
        <v>163</v>
      </c>
      <c r="DL626" s="1">
        <f t="shared" si="972"/>
        <v>0.26</v>
      </c>
      <c r="DM626" s="1">
        <f t="shared" si="973"/>
        <v>0</v>
      </c>
      <c r="DN626" s="1" t="s">
        <v>1079</v>
      </c>
      <c r="DO626" s="1" t="s">
        <v>2</v>
      </c>
      <c r="DP626" s="38">
        <f t="shared" si="980"/>
        <v>2.3133599999999997E-2</v>
      </c>
      <c r="DQ626" s="38">
        <f t="shared" si="981"/>
        <v>0</v>
      </c>
      <c r="DR626" s="38">
        <f t="shared" si="982"/>
        <v>0</v>
      </c>
      <c r="DS626" s="38">
        <f t="shared" si="983"/>
        <v>0</v>
      </c>
      <c r="DT626" s="38">
        <f t="shared" si="984"/>
        <v>0</v>
      </c>
      <c r="DU626" s="38">
        <f t="shared" si="985"/>
        <v>0</v>
      </c>
      <c r="DV626" s="38">
        <f t="shared" si="986"/>
        <v>0</v>
      </c>
      <c r="DW626" s="38">
        <f t="shared" si="987"/>
        <v>2.4058943999999999E-2</v>
      </c>
      <c r="DX626" s="38">
        <f t="shared" si="988"/>
        <v>0</v>
      </c>
      <c r="DY626" s="38">
        <f t="shared" si="989"/>
        <v>0</v>
      </c>
      <c r="DZ626" s="38">
        <f t="shared" si="990"/>
        <v>0</v>
      </c>
      <c r="EA626" s="38">
        <f t="shared" si="991"/>
        <v>0</v>
      </c>
      <c r="EB626" s="38">
        <f t="shared" si="992"/>
        <v>0</v>
      </c>
      <c r="EC626" s="38">
        <f t="shared" si="993"/>
        <v>0</v>
      </c>
      <c r="ED626" s="38">
        <f t="shared" si="994"/>
        <v>0</v>
      </c>
      <c r="EE626" s="38">
        <f t="shared" si="995"/>
        <v>0</v>
      </c>
      <c r="EG626" s="38">
        <f t="shared" si="996"/>
        <v>0</v>
      </c>
      <c r="EH626" s="38">
        <f t="shared" si="997"/>
        <v>0</v>
      </c>
      <c r="EI626" s="38">
        <f t="shared" si="998"/>
        <v>150.96099029759998</v>
      </c>
      <c r="EJ626" s="38">
        <f t="shared" si="999"/>
        <v>0</v>
      </c>
      <c r="EK626" s="38">
        <f t="shared" si="1000"/>
        <v>0</v>
      </c>
      <c r="EL626" s="38">
        <f t="shared" si="1001"/>
        <v>0</v>
      </c>
      <c r="EM626" s="38">
        <f t="shared" si="1002"/>
        <v>0</v>
      </c>
      <c r="EN626" s="38">
        <f t="shared" si="1003"/>
        <v>0</v>
      </c>
      <c r="EO626" s="38">
        <f t="shared" si="1004"/>
        <v>0</v>
      </c>
      <c r="EP626" s="38">
        <f t="shared" si="1005"/>
        <v>315.508991616</v>
      </c>
      <c r="EQ626" s="38">
        <f t="shared" si="1006"/>
        <v>0</v>
      </c>
      <c r="ER626" s="38">
        <f t="shared" si="1007"/>
        <v>0</v>
      </c>
      <c r="ES626" s="38">
        <f t="shared" si="1008"/>
        <v>0</v>
      </c>
      <c r="ET626" s="38">
        <f t="shared" si="1009"/>
        <v>0</v>
      </c>
      <c r="EU626" s="38">
        <f t="shared" si="1010"/>
        <v>0</v>
      </c>
      <c r="EV626" s="38">
        <f t="shared" si="1011"/>
        <v>0</v>
      </c>
      <c r="EW626" s="38">
        <f t="shared" si="1012"/>
        <v>0</v>
      </c>
      <c r="EX626" s="38">
        <f t="shared" si="1013"/>
        <v>0</v>
      </c>
      <c r="EZ626" s="38">
        <f t="shared" si="1014"/>
        <v>0</v>
      </c>
      <c r="FA626" s="38">
        <f t="shared" si="1015"/>
        <v>0</v>
      </c>
      <c r="FB626" s="1">
        <f t="shared" si="1016"/>
        <v>0</v>
      </c>
      <c r="FC626" s="1">
        <f t="shared" si="1017"/>
        <v>0</v>
      </c>
      <c r="FD626" s="1">
        <f t="shared" si="1018"/>
        <v>0</v>
      </c>
      <c r="FE626" s="1">
        <f t="shared" si="1019"/>
        <v>0</v>
      </c>
      <c r="FF626" s="1">
        <f t="shared" si="1020"/>
        <v>0</v>
      </c>
      <c r="FG626" s="1">
        <f t="shared" si="1021"/>
        <v>0</v>
      </c>
      <c r="FH626" s="1">
        <f t="shared" si="1022"/>
        <v>0</v>
      </c>
      <c r="FI626" s="1">
        <f t="shared" si="1023"/>
        <v>0</v>
      </c>
      <c r="FJ626" s="1">
        <f t="shared" si="1024"/>
        <v>0</v>
      </c>
      <c r="FK626" s="1">
        <f t="shared" si="1025"/>
        <v>0</v>
      </c>
      <c r="FL626" s="1">
        <f t="shared" si="1026"/>
        <v>0</v>
      </c>
      <c r="FM626" s="1">
        <f t="shared" si="1027"/>
        <v>0</v>
      </c>
      <c r="FN626" s="1">
        <f t="shared" si="1028"/>
        <v>0</v>
      </c>
      <c r="FO626" s="1">
        <f t="shared" si="1029"/>
        <v>0</v>
      </c>
      <c r="FP626" s="1">
        <f t="shared" si="1030"/>
        <v>0</v>
      </c>
      <c r="FQ626" s="1">
        <f t="shared" si="1031"/>
        <v>0</v>
      </c>
      <c r="FS626" s="1">
        <f t="shared" si="1032"/>
        <v>0</v>
      </c>
      <c r="FT626" s="1">
        <f t="shared" si="1033"/>
        <v>0</v>
      </c>
      <c r="FU626" s="38">
        <f t="shared" si="1034"/>
        <v>0</v>
      </c>
      <c r="FV626" s="38">
        <f t="shared" si="1035"/>
        <v>0</v>
      </c>
      <c r="FW626" s="38">
        <f t="shared" si="1036"/>
        <v>0</v>
      </c>
      <c r="FX626" s="38">
        <f t="shared" si="1037"/>
        <v>0</v>
      </c>
      <c r="FY626" s="38">
        <f t="shared" si="1038"/>
        <v>0</v>
      </c>
      <c r="FZ626" s="38">
        <f t="shared" si="1039"/>
        <v>0</v>
      </c>
      <c r="GA626" s="38">
        <f t="shared" si="1040"/>
        <v>0</v>
      </c>
      <c r="GB626" s="38">
        <f t="shared" si="1041"/>
        <v>0</v>
      </c>
      <c r="GC626" s="38">
        <f t="shared" si="1042"/>
        <v>0</v>
      </c>
      <c r="GD626" s="38">
        <f t="shared" si="1043"/>
        <v>0</v>
      </c>
      <c r="GE626" s="38">
        <f t="shared" si="1044"/>
        <v>0</v>
      </c>
      <c r="GF626" s="38">
        <f t="shared" si="1045"/>
        <v>0</v>
      </c>
      <c r="GG626" s="38">
        <f t="shared" si="1046"/>
        <v>0</v>
      </c>
      <c r="GH626" s="38">
        <f t="shared" si="1047"/>
        <v>0</v>
      </c>
      <c r="GI626" s="38">
        <f t="shared" si="1048"/>
        <v>0</v>
      </c>
      <c r="GJ626" s="38">
        <f t="shared" si="1049"/>
        <v>0</v>
      </c>
      <c r="GL626" s="38">
        <f t="shared" si="1050"/>
        <v>0</v>
      </c>
      <c r="GM626" s="38">
        <f t="shared" si="1051"/>
        <v>0</v>
      </c>
      <c r="GN626" s="1" t="s">
        <v>2</v>
      </c>
      <c r="GO626" s="2">
        <f t="shared" si="974"/>
        <v>9.2534399999999994</v>
      </c>
      <c r="GP626" s="1">
        <f t="shared" si="975"/>
        <v>0.26</v>
      </c>
      <c r="GQ626" s="41">
        <f t="shared" si="976"/>
        <v>24.058943999999997</v>
      </c>
      <c r="GR626" s="41">
        <f t="shared" si="977"/>
        <v>466.46998191360001</v>
      </c>
      <c r="GS626" s="14">
        <f t="shared" si="978"/>
        <v>50.410440000000001</v>
      </c>
      <c r="GT626" s="1">
        <f t="shared" si="1052"/>
        <v>0</v>
      </c>
      <c r="GU626" s="1">
        <f t="shared" si="1053"/>
        <v>0</v>
      </c>
      <c r="GV626" s="1">
        <f t="shared" si="1054"/>
        <v>24.058943999999997</v>
      </c>
      <c r="GW626" s="37">
        <f t="shared" si="979"/>
        <v>0</v>
      </c>
      <c r="GX626" s="37"/>
      <c r="GY626" s="37"/>
      <c r="GZ626" s="37"/>
      <c r="HB626" s="1">
        <f t="shared" si="1055"/>
        <v>0</v>
      </c>
      <c r="HC626" s="1">
        <f t="shared" si="1056"/>
        <v>0</v>
      </c>
      <c r="HD626" s="37" t="s">
        <v>2</v>
      </c>
      <c r="HE626" s="1" t="s">
        <v>113</v>
      </c>
      <c r="HF626" s="1" t="s">
        <v>589</v>
      </c>
      <c r="HI626" s="1" t="s">
        <v>163</v>
      </c>
      <c r="HJ626" s="37" t="s">
        <v>2</v>
      </c>
      <c r="JH626" s="58" t="s">
        <v>2</v>
      </c>
    </row>
    <row r="627" spans="1:268" ht="16.25" customHeight="1" x14ac:dyDescent="0.2">
      <c r="A627" s="40" t="s">
        <v>461</v>
      </c>
      <c r="B627" s="1" t="s">
        <v>71</v>
      </c>
      <c r="E627" s="1" t="s">
        <v>160</v>
      </c>
      <c r="F627" s="1" t="s">
        <v>462</v>
      </c>
      <c r="H627" s="1" t="s">
        <v>70</v>
      </c>
      <c r="I627" s="1">
        <v>0</v>
      </c>
      <c r="AD627" s="1">
        <v>0</v>
      </c>
      <c r="AY627" s="1">
        <v>101.98399999999999</v>
      </c>
      <c r="BG627" s="1">
        <v>0.21</v>
      </c>
      <c r="BT627" s="1">
        <v>0</v>
      </c>
      <c r="CO627" s="1">
        <v>0</v>
      </c>
      <c r="DJ627" s="1" t="s">
        <v>96</v>
      </c>
      <c r="DL627" s="1">
        <f t="shared" si="972"/>
        <v>0.21</v>
      </c>
      <c r="DM627" s="1">
        <f t="shared" si="973"/>
        <v>0</v>
      </c>
      <c r="DN627" s="1" t="s">
        <v>148</v>
      </c>
      <c r="DO627" s="1" t="s">
        <v>2</v>
      </c>
      <c r="DP627" s="38">
        <f t="shared" si="980"/>
        <v>0</v>
      </c>
      <c r="DQ627" s="38">
        <f t="shared" si="981"/>
        <v>0</v>
      </c>
      <c r="DR627" s="38">
        <f t="shared" si="982"/>
        <v>0</v>
      </c>
      <c r="DS627" s="38">
        <f t="shared" si="983"/>
        <v>0</v>
      </c>
      <c r="DT627" s="38">
        <f t="shared" si="984"/>
        <v>0</v>
      </c>
      <c r="DU627" s="38">
        <f t="shared" si="985"/>
        <v>0</v>
      </c>
      <c r="DV627" s="38">
        <f t="shared" si="986"/>
        <v>0</v>
      </c>
      <c r="DW627" s="38">
        <f t="shared" si="987"/>
        <v>0.21416639999999998</v>
      </c>
      <c r="DX627" s="38">
        <f t="shared" si="988"/>
        <v>0</v>
      </c>
      <c r="DY627" s="38">
        <f t="shared" si="989"/>
        <v>0</v>
      </c>
      <c r="DZ627" s="38">
        <f t="shared" si="990"/>
        <v>0</v>
      </c>
      <c r="EA627" s="38">
        <f t="shared" si="991"/>
        <v>0</v>
      </c>
      <c r="EB627" s="38">
        <f t="shared" si="992"/>
        <v>0</v>
      </c>
      <c r="EC627" s="38">
        <f t="shared" si="993"/>
        <v>0</v>
      </c>
      <c r="ED627" s="38">
        <f t="shared" si="994"/>
        <v>0</v>
      </c>
      <c r="EE627" s="38">
        <f t="shared" si="995"/>
        <v>0</v>
      </c>
      <c r="EG627" s="38">
        <f t="shared" si="996"/>
        <v>0</v>
      </c>
      <c r="EH627" s="38">
        <f t="shared" si="997"/>
        <v>0</v>
      </c>
      <c r="EI627" s="38">
        <f t="shared" si="998"/>
        <v>0</v>
      </c>
      <c r="EJ627" s="38">
        <f t="shared" si="999"/>
        <v>0</v>
      </c>
      <c r="EK627" s="38">
        <f t="shared" si="1000"/>
        <v>0</v>
      </c>
      <c r="EL627" s="38">
        <f t="shared" si="1001"/>
        <v>0</v>
      </c>
      <c r="EM627" s="38">
        <f t="shared" si="1002"/>
        <v>0</v>
      </c>
      <c r="EN627" s="38">
        <f t="shared" si="1003"/>
        <v>0</v>
      </c>
      <c r="EO627" s="38">
        <f t="shared" si="1004"/>
        <v>0</v>
      </c>
      <c r="EP627" s="38">
        <f t="shared" si="1005"/>
        <v>2808.5781695999999</v>
      </c>
      <c r="EQ627" s="38">
        <f t="shared" si="1006"/>
        <v>0</v>
      </c>
      <c r="ER627" s="38">
        <f t="shared" si="1007"/>
        <v>0</v>
      </c>
      <c r="ES627" s="38">
        <f t="shared" si="1008"/>
        <v>0</v>
      </c>
      <c r="ET627" s="38">
        <f t="shared" si="1009"/>
        <v>0</v>
      </c>
      <c r="EU627" s="38">
        <f t="shared" si="1010"/>
        <v>0</v>
      </c>
      <c r="EV627" s="38">
        <f t="shared" si="1011"/>
        <v>0</v>
      </c>
      <c r="EW627" s="38">
        <f t="shared" si="1012"/>
        <v>0</v>
      </c>
      <c r="EX627" s="38">
        <f t="shared" si="1013"/>
        <v>0</v>
      </c>
      <c r="EZ627" s="38">
        <f t="shared" si="1014"/>
        <v>0</v>
      </c>
      <c r="FA627" s="38">
        <f t="shared" si="1015"/>
        <v>0</v>
      </c>
      <c r="FB627" s="1">
        <f t="shared" si="1016"/>
        <v>0</v>
      </c>
      <c r="FC627" s="1">
        <f t="shared" si="1017"/>
        <v>0</v>
      </c>
      <c r="FD627" s="1">
        <f t="shared" si="1018"/>
        <v>0</v>
      </c>
      <c r="FE627" s="1">
        <f t="shared" si="1019"/>
        <v>0</v>
      </c>
      <c r="FF627" s="1">
        <f t="shared" si="1020"/>
        <v>0</v>
      </c>
      <c r="FG627" s="1">
        <f t="shared" si="1021"/>
        <v>0</v>
      </c>
      <c r="FH627" s="1">
        <f t="shared" si="1022"/>
        <v>0</v>
      </c>
      <c r="FI627" s="1">
        <f t="shared" si="1023"/>
        <v>0</v>
      </c>
      <c r="FJ627" s="1">
        <f t="shared" si="1024"/>
        <v>0</v>
      </c>
      <c r="FK627" s="1">
        <f t="shared" si="1025"/>
        <v>0</v>
      </c>
      <c r="FL627" s="1">
        <f t="shared" si="1026"/>
        <v>0</v>
      </c>
      <c r="FM627" s="1">
        <f t="shared" si="1027"/>
        <v>0</v>
      </c>
      <c r="FN627" s="1">
        <f t="shared" si="1028"/>
        <v>0</v>
      </c>
      <c r="FO627" s="1">
        <f t="shared" si="1029"/>
        <v>0</v>
      </c>
      <c r="FP627" s="1">
        <f t="shared" si="1030"/>
        <v>0</v>
      </c>
      <c r="FQ627" s="1">
        <f t="shared" si="1031"/>
        <v>0</v>
      </c>
      <c r="FS627" s="1">
        <f t="shared" si="1032"/>
        <v>0</v>
      </c>
      <c r="FT627" s="1">
        <f t="shared" si="1033"/>
        <v>0</v>
      </c>
      <c r="FU627" s="38">
        <f t="shared" si="1034"/>
        <v>0</v>
      </c>
      <c r="FV627" s="38">
        <f t="shared" si="1035"/>
        <v>0</v>
      </c>
      <c r="FW627" s="38">
        <f t="shared" si="1036"/>
        <v>0</v>
      </c>
      <c r="FX627" s="38">
        <f t="shared" si="1037"/>
        <v>0</v>
      </c>
      <c r="FY627" s="38">
        <f t="shared" si="1038"/>
        <v>0</v>
      </c>
      <c r="FZ627" s="38">
        <f t="shared" si="1039"/>
        <v>0</v>
      </c>
      <c r="GA627" s="38">
        <f t="shared" si="1040"/>
        <v>0</v>
      </c>
      <c r="GB627" s="38">
        <f t="shared" si="1041"/>
        <v>0</v>
      </c>
      <c r="GC627" s="38">
        <f t="shared" si="1042"/>
        <v>0</v>
      </c>
      <c r="GD627" s="38">
        <f t="shared" si="1043"/>
        <v>0</v>
      </c>
      <c r="GE627" s="38">
        <f t="shared" si="1044"/>
        <v>0</v>
      </c>
      <c r="GF627" s="38">
        <f t="shared" si="1045"/>
        <v>0</v>
      </c>
      <c r="GG627" s="38">
        <f t="shared" si="1046"/>
        <v>0</v>
      </c>
      <c r="GH627" s="38">
        <f t="shared" si="1047"/>
        <v>0</v>
      </c>
      <c r="GI627" s="38">
        <f t="shared" si="1048"/>
        <v>0</v>
      </c>
      <c r="GJ627" s="38">
        <f t="shared" si="1049"/>
        <v>0</v>
      </c>
      <c r="GL627" s="38">
        <f t="shared" si="1050"/>
        <v>0</v>
      </c>
      <c r="GM627" s="38">
        <f t="shared" si="1051"/>
        <v>0</v>
      </c>
      <c r="GN627" s="1" t="s">
        <v>2</v>
      </c>
      <c r="GO627" s="14">
        <f t="shared" si="974"/>
        <v>101.98399999999999</v>
      </c>
      <c r="GP627" s="1">
        <f t="shared" si="975"/>
        <v>0.21</v>
      </c>
      <c r="GQ627" s="41">
        <f t="shared" si="976"/>
        <v>214.16639999999998</v>
      </c>
      <c r="GR627" s="41">
        <f t="shared" si="977"/>
        <v>2808.5781695999999</v>
      </c>
      <c r="GS627" s="14">
        <f t="shared" si="978"/>
        <v>27.539400000000001</v>
      </c>
      <c r="GT627" s="1">
        <f t="shared" si="1052"/>
        <v>0</v>
      </c>
      <c r="GU627" s="1">
        <f t="shared" si="1053"/>
        <v>0</v>
      </c>
      <c r="GV627" s="1">
        <f t="shared" si="1054"/>
        <v>214.16639999999995</v>
      </c>
      <c r="GW627" s="37">
        <f t="shared" si="979"/>
        <v>0</v>
      </c>
      <c r="GX627" s="37"/>
      <c r="GY627" s="37"/>
      <c r="GZ627" s="37"/>
      <c r="HB627" s="1">
        <f t="shared" si="1055"/>
        <v>0</v>
      </c>
      <c r="HC627" s="1">
        <f t="shared" si="1056"/>
        <v>0</v>
      </c>
      <c r="HD627" s="37" t="s">
        <v>2</v>
      </c>
      <c r="HE627" s="1" t="s">
        <v>160</v>
      </c>
      <c r="HF627" s="1" t="s">
        <v>113</v>
      </c>
      <c r="HG627" s="1" t="s">
        <v>223</v>
      </c>
      <c r="HI627" s="1" t="s">
        <v>96</v>
      </c>
      <c r="HJ627" s="37" t="s">
        <v>2</v>
      </c>
      <c r="JH627" s="58" t="s">
        <v>2</v>
      </c>
    </row>
    <row r="628" spans="1:268" ht="16.25" customHeight="1" x14ac:dyDescent="0.2">
      <c r="A628" s="40" t="s">
        <v>463</v>
      </c>
      <c r="B628" s="1" t="s">
        <v>71</v>
      </c>
      <c r="E628" s="1" t="s">
        <v>160</v>
      </c>
      <c r="F628" s="1" t="s">
        <v>462</v>
      </c>
      <c r="H628" s="1" t="s">
        <v>70</v>
      </c>
      <c r="I628" s="1">
        <v>0</v>
      </c>
      <c r="AD628" s="1">
        <v>0</v>
      </c>
      <c r="AY628" s="1">
        <v>32.64</v>
      </c>
      <c r="AZ628" s="11">
        <v>0.1</v>
      </c>
      <c r="BG628" s="1">
        <v>0.41</v>
      </c>
      <c r="BT628" s="1">
        <v>0</v>
      </c>
      <c r="CO628" s="1">
        <v>0</v>
      </c>
      <c r="DJ628" s="1" t="s">
        <v>96</v>
      </c>
      <c r="DL628" s="1">
        <f t="shared" si="972"/>
        <v>0.41</v>
      </c>
      <c r="DM628" s="1">
        <f t="shared" si="973"/>
        <v>0</v>
      </c>
      <c r="DN628" s="1" t="s">
        <v>148</v>
      </c>
      <c r="DO628" s="1" t="s">
        <v>2</v>
      </c>
      <c r="DP628" s="38">
        <f t="shared" si="980"/>
        <v>3.2640000000000002E-2</v>
      </c>
      <c r="DQ628" s="38">
        <f t="shared" si="981"/>
        <v>0</v>
      </c>
      <c r="DR628" s="38">
        <f t="shared" si="982"/>
        <v>0</v>
      </c>
      <c r="DS628" s="38">
        <f t="shared" si="983"/>
        <v>0</v>
      </c>
      <c r="DT628" s="38">
        <f t="shared" si="984"/>
        <v>0</v>
      </c>
      <c r="DU628" s="38">
        <f t="shared" si="985"/>
        <v>0</v>
      </c>
      <c r="DV628" s="38">
        <f t="shared" si="986"/>
        <v>0</v>
      </c>
      <c r="DW628" s="38">
        <f t="shared" si="987"/>
        <v>0.133824</v>
      </c>
      <c r="DX628" s="38">
        <f t="shared" si="988"/>
        <v>0</v>
      </c>
      <c r="DY628" s="38">
        <f t="shared" si="989"/>
        <v>0</v>
      </c>
      <c r="DZ628" s="38">
        <f t="shared" si="990"/>
        <v>0</v>
      </c>
      <c r="EA628" s="38">
        <f t="shared" si="991"/>
        <v>0</v>
      </c>
      <c r="EB628" s="38">
        <f t="shared" si="992"/>
        <v>0</v>
      </c>
      <c r="EC628" s="38">
        <f t="shared" si="993"/>
        <v>0</v>
      </c>
      <c r="ED628" s="38">
        <f t="shared" si="994"/>
        <v>0</v>
      </c>
      <c r="EE628" s="38">
        <f t="shared" si="995"/>
        <v>0</v>
      </c>
      <c r="EG628" s="38">
        <f t="shared" si="996"/>
        <v>0</v>
      </c>
      <c r="EH628" s="38">
        <f t="shared" si="997"/>
        <v>0</v>
      </c>
      <c r="EI628" s="38">
        <f t="shared" si="998"/>
        <v>212.99610624000002</v>
      </c>
      <c r="EJ628" s="38">
        <f t="shared" si="999"/>
        <v>0</v>
      </c>
      <c r="EK628" s="38">
        <f t="shared" si="1000"/>
        <v>0</v>
      </c>
      <c r="EL628" s="38">
        <f t="shared" si="1001"/>
        <v>0</v>
      </c>
      <c r="EM628" s="38">
        <f t="shared" si="1002"/>
        <v>0</v>
      </c>
      <c r="EN628" s="38">
        <f t="shared" si="1003"/>
        <v>0</v>
      </c>
      <c r="EO628" s="38">
        <f t="shared" si="1004"/>
        <v>0</v>
      </c>
      <c r="EP628" s="38">
        <f t="shared" si="1005"/>
        <v>1754.967936</v>
      </c>
      <c r="EQ628" s="38">
        <f t="shared" si="1006"/>
        <v>0</v>
      </c>
      <c r="ER628" s="38">
        <f t="shared" si="1007"/>
        <v>0</v>
      </c>
      <c r="ES628" s="38">
        <f t="shared" si="1008"/>
        <v>0</v>
      </c>
      <c r="ET628" s="38">
        <f t="shared" si="1009"/>
        <v>0</v>
      </c>
      <c r="EU628" s="38">
        <f t="shared" si="1010"/>
        <v>0</v>
      </c>
      <c r="EV628" s="38">
        <f t="shared" si="1011"/>
        <v>0</v>
      </c>
      <c r="EW628" s="38">
        <f t="shared" si="1012"/>
        <v>0</v>
      </c>
      <c r="EX628" s="38">
        <f t="shared" si="1013"/>
        <v>0</v>
      </c>
      <c r="EZ628" s="38">
        <f t="shared" si="1014"/>
        <v>0</v>
      </c>
      <c r="FA628" s="38">
        <f t="shared" si="1015"/>
        <v>0</v>
      </c>
      <c r="FB628" s="1">
        <f t="shared" si="1016"/>
        <v>0</v>
      </c>
      <c r="FC628" s="1">
        <f t="shared" si="1017"/>
        <v>0</v>
      </c>
      <c r="FD628" s="1">
        <f t="shared" si="1018"/>
        <v>0</v>
      </c>
      <c r="FE628" s="1">
        <f t="shared" si="1019"/>
        <v>0</v>
      </c>
      <c r="FF628" s="1">
        <f t="shared" si="1020"/>
        <v>0</v>
      </c>
      <c r="FG628" s="1">
        <f t="shared" si="1021"/>
        <v>0</v>
      </c>
      <c r="FH628" s="1">
        <f t="shared" si="1022"/>
        <v>0</v>
      </c>
      <c r="FI628" s="1">
        <f t="shared" si="1023"/>
        <v>0</v>
      </c>
      <c r="FJ628" s="1">
        <f t="shared" si="1024"/>
        <v>0</v>
      </c>
      <c r="FK628" s="1">
        <f t="shared" si="1025"/>
        <v>0</v>
      </c>
      <c r="FL628" s="1">
        <f t="shared" si="1026"/>
        <v>0</v>
      </c>
      <c r="FM628" s="1">
        <f t="shared" si="1027"/>
        <v>0</v>
      </c>
      <c r="FN628" s="1">
        <f t="shared" si="1028"/>
        <v>0</v>
      </c>
      <c r="FO628" s="1">
        <f t="shared" si="1029"/>
        <v>0</v>
      </c>
      <c r="FP628" s="1">
        <f t="shared" si="1030"/>
        <v>0</v>
      </c>
      <c r="FQ628" s="1">
        <f t="shared" si="1031"/>
        <v>0</v>
      </c>
      <c r="FS628" s="1">
        <f t="shared" si="1032"/>
        <v>0</v>
      </c>
      <c r="FT628" s="1">
        <f t="shared" si="1033"/>
        <v>0</v>
      </c>
      <c r="FU628" s="38">
        <f t="shared" si="1034"/>
        <v>0</v>
      </c>
      <c r="FV628" s="38">
        <f t="shared" si="1035"/>
        <v>0</v>
      </c>
      <c r="FW628" s="38">
        <f t="shared" si="1036"/>
        <v>0</v>
      </c>
      <c r="FX628" s="38">
        <f t="shared" si="1037"/>
        <v>0</v>
      </c>
      <c r="FY628" s="38">
        <f t="shared" si="1038"/>
        <v>0</v>
      </c>
      <c r="FZ628" s="38">
        <f t="shared" si="1039"/>
        <v>0</v>
      </c>
      <c r="GA628" s="38">
        <f t="shared" si="1040"/>
        <v>0</v>
      </c>
      <c r="GB628" s="38">
        <f t="shared" si="1041"/>
        <v>0</v>
      </c>
      <c r="GC628" s="38">
        <f t="shared" si="1042"/>
        <v>0</v>
      </c>
      <c r="GD628" s="38">
        <f t="shared" si="1043"/>
        <v>0</v>
      </c>
      <c r="GE628" s="38">
        <f t="shared" si="1044"/>
        <v>0</v>
      </c>
      <c r="GF628" s="38">
        <f t="shared" si="1045"/>
        <v>0</v>
      </c>
      <c r="GG628" s="38">
        <f t="shared" si="1046"/>
        <v>0</v>
      </c>
      <c r="GH628" s="38">
        <f t="shared" si="1047"/>
        <v>0</v>
      </c>
      <c r="GI628" s="38">
        <f t="shared" si="1048"/>
        <v>0</v>
      </c>
      <c r="GJ628" s="38">
        <f t="shared" si="1049"/>
        <v>0</v>
      </c>
      <c r="GL628" s="38">
        <f t="shared" si="1050"/>
        <v>0</v>
      </c>
      <c r="GM628" s="38">
        <f t="shared" si="1051"/>
        <v>0</v>
      </c>
      <c r="GN628" s="1" t="s">
        <v>2</v>
      </c>
      <c r="GO628" s="1">
        <f t="shared" si="974"/>
        <v>32.64</v>
      </c>
      <c r="GP628" s="1">
        <f t="shared" si="975"/>
        <v>0.41</v>
      </c>
      <c r="GQ628" s="41">
        <f t="shared" si="976"/>
        <v>133.82399999999998</v>
      </c>
      <c r="GR628" s="41">
        <f t="shared" si="977"/>
        <v>1967.96404224</v>
      </c>
      <c r="GS628" s="14">
        <f t="shared" si="978"/>
        <v>60.293016000000001</v>
      </c>
      <c r="GT628" s="1">
        <f t="shared" si="1052"/>
        <v>0</v>
      </c>
      <c r="GU628" s="1">
        <f t="shared" si="1053"/>
        <v>0</v>
      </c>
      <c r="GV628" s="1">
        <f t="shared" si="1054"/>
        <v>133.82399999999998</v>
      </c>
      <c r="GW628" s="37">
        <f t="shared" si="979"/>
        <v>0</v>
      </c>
      <c r="GX628" s="37"/>
      <c r="GY628" s="37"/>
      <c r="GZ628" s="37"/>
      <c r="HB628" s="1">
        <f t="shared" si="1055"/>
        <v>0</v>
      </c>
      <c r="HC628" s="1">
        <f t="shared" si="1056"/>
        <v>0</v>
      </c>
      <c r="HD628" s="37" t="s">
        <v>2</v>
      </c>
      <c r="HE628" s="1" t="s">
        <v>160</v>
      </c>
      <c r="HF628" s="1" t="s">
        <v>113</v>
      </c>
      <c r="HG628" s="1" t="s">
        <v>223</v>
      </c>
      <c r="HI628" s="1" t="s">
        <v>96</v>
      </c>
      <c r="HJ628" s="37" t="s">
        <v>2</v>
      </c>
      <c r="JH628" s="58" t="s">
        <v>2</v>
      </c>
    </row>
    <row r="629" spans="1:268" ht="16.25" customHeight="1" x14ac:dyDescent="0.2">
      <c r="A629" s="40" t="s">
        <v>464</v>
      </c>
      <c r="B629" s="1" t="s">
        <v>69</v>
      </c>
      <c r="E629" s="1" t="s">
        <v>160</v>
      </c>
      <c r="F629" s="1" t="s">
        <v>462</v>
      </c>
      <c r="H629" s="1" t="s">
        <v>70</v>
      </c>
      <c r="I629" s="1">
        <v>3.16</v>
      </c>
      <c r="Q629" s="1">
        <v>0.6</v>
      </c>
      <c r="AD629" s="1">
        <v>0</v>
      </c>
      <c r="AY629" s="1">
        <v>26.45</v>
      </c>
      <c r="BG629" s="1">
        <v>0.44</v>
      </c>
      <c r="BT629" s="1">
        <v>0</v>
      </c>
      <c r="CO629" s="1">
        <v>0</v>
      </c>
      <c r="DJ629" s="1" t="s">
        <v>96</v>
      </c>
      <c r="DL629" s="1">
        <f t="shared" si="972"/>
        <v>0.45707531239446131</v>
      </c>
      <c r="DM629" s="1">
        <f t="shared" si="973"/>
        <v>0</v>
      </c>
      <c r="DN629" s="1" t="s">
        <v>148</v>
      </c>
      <c r="DO629" s="1" t="s">
        <v>2</v>
      </c>
      <c r="DP629" s="38">
        <f t="shared" si="980"/>
        <v>0</v>
      </c>
      <c r="DQ629" s="38">
        <f t="shared" si="981"/>
        <v>0</v>
      </c>
      <c r="DR629" s="38">
        <f t="shared" si="982"/>
        <v>0</v>
      </c>
      <c r="DS629" s="38">
        <f t="shared" si="983"/>
        <v>0</v>
      </c>
      <c r="DT629" s="38">
        <f t="shared" si="984"/>
        <v>0</v>
      </c>
      <c r="DU629" s="38">
        <f t="shared" si="985"/>
        <v>0</v>
      </c>
      <c r="DV629" s="38">
        <f t="shared" si="986"/>
        <v>0</v>
      </c>
      <c r="DW629" s="38">
        <f t="shared" si="987"/>
        <v>0.13533999999999999</v>
      </c>
      <c r="DX629" s="38">
        <f t="shared" si="988"/>
        <v>0</v>
      </c>
      <c r="DY629" s="38">
        <f t="shared" si="989"/>
        <v>0</v>
      </c>
      <c r="DZ629" s="38">
        <f t="shared" si="990"/>
        <v>0</v>
      </c>
      <c r="EA629" s="38">
        <f t="shared" si="991"/>
        <v>0</v>
      </c>
      <c r="EB629" s="38">
        <f t="shared" si="992"/>
        <v>0</v>
      </c>
      <c r="EC629" s="38">
        <f t="shared" si="993"/>
        <v>0</v>
      </c>
      <c r="ED629" s="38">
        <f t="shared" si="994"/>
        <v>0</v>
      </c>
      <c r="EE629" s="38">
        <f t="shared" si="995"/>
        <v>0</v>
      </c>
      <c r="EG629" s="38">
        <f t="shared" si="996"/>
        <v>0</v>
      </c>
      <c r="EH629" s="38">
        <f t="shared" si="997"/>
        <v>0</v>
      </c>
      <c r="EI629" s="38">
        <f t="shared" si="998"/>
        <v>0</v>
      </c>
      <c r="EJ629" s="38">
        <f t="shared" si="999"/>
        <v>0</v>
      </c>
      <c r="EK629" s="38">
        <f t="shared" si="1000"/>
        <v>0</v>
      </c>
      <c r="EL629" s="38">
        <f t="shared" si="1001"/>
        <v>0</v>
      </c>
      <c r="EM629" s="38">
        <f t="shared" si="1002"/>
        <v>0</v>
      </c>
      <c r="EN629" s="38">
        <f t="shared" si="1003"/>
        <v>0</v>
      </c>
      <c r="EO629" s="38">
        <f t="shared" si="1004"/>
        <v>0</v>
      </c>
      <c r="EP629" s="38">
        <f t="shared" si="1005"/>
        <v>1774.8487599999999</v>
      </c>
      <c r="EQ629" s="38">
        <f t="shared" si="1006"/>
        <v>0</v>
      </c>
      <c r="ER629" s="38">
        <f t="shared" si="1007"/>
        <v>0</v>
      </c>
      <c r="ES629" s="38">
        <f t="shared" si="1008"/>
        <v>0</v>
      </c>
      <c r="ET629" s="38">
        <f t="shared" si="1009"/>
        <v>0</v>
      </c>
      <c r="EU629" s="38">
        <f t="shared" si="1010"/>
        <v>0</v>
      </c>
      <c r="EV629" s="38">
        <f t="shared" si="1011"/>
        <v>0</v>
      </c>
      <c r="EW629" s="38">
        <f t="shared" si="1012"/>
        <v>0</v>
      </c>
      <c r="EX629" s="38">
        <f t="shared" si="1013"/>
        <v>0</v>
      </c>
      <c r="EZ629" s="38">
        <f t="shared" si="1014"/>
        <v>0</v>
      </c>
      <c r="FA629" s="38">
        <f t="shared" si="1015"/>
        <v>0</v>
      </c>
      <c r="FB629" s="1">
        <f t="shared" si="1016"/>
        <v>0</v>
      </c>
      <c r="FC629" s="1">
        <f t="shared" si="1017"/>
        <v>0</v>
      </c>
      <c r="FD629" s="1">
        <f t="shared" si="1018"/>
        <v>0</v>
      </c>
      <c r="FE629" s="1">
        <f t="shared" si="1019"/>
        <v>0</v>
      </c>
      <c r="FF629" s="1">
        <f t="shared" si="1020"/>
        <v>0</v>
      </c>
      <c r="FG629" s="1">
        <f t="shared" si="1021"/>
        <v>0</v>
      </c>
      <c r="FH629" s="1">
        <f t="shared" si="1022"/>
        <v>0</v>
      </c>
      <c r="FI629" s="1">
        <f t="shared" si="1023"/>
        <v>0</v>
      </c>
      <c r="FJ629" s="1">
        <f t="shared" si="1024"/>
        <v>0</v>
      </c>
      <c r="FK629" s="1">
        <f t="shared" si="1025"/>
        <v>0</v>
      </c>
      <c r="FL629" s="1">
        <f t="shared" si="1026"/>
        <v>0</v>
      </c>
      <c r="FM629" s="1">
        <f t="shared" si="1027"/>
        <v>0</v>
      </c>
      <c r="FN629" s="1">
        <f t="shared" si="1028"/>
        <v>0</v>
      </c>
      <c r="FO629" s="1">
        <f t="shared" si="1029"/>
        <v>0</v>
      </c>
      <c r="FP629" s="1">
        <f t="shared" si="1030"/>
        <v>0</v>
      </c>
      <c r="FQ629" s="1">
        <f t="shared" si="1031"/>
        <v>0</v>
      </c>
      <c r="FS629" s="1">
        <f t="shared" si="1032"/>
        <v>0</v>
      </c>
      <c r="FT629" s="1">
        <f t="shared" si="1033"/>
        <v>0</v>
      </c>
      <c r="FU629" s="38">
        <f t="shared" si="1034"/>
        <v>0</v>
      </c>
      <c r="FV629" s="38">
        <f t="shared" si="1035"/>
        <v>0</v>
      </c>
      <c r="FW629" s="38">
        <f t="shared" si="1036"/>
        <v>0</v>
      </c>
      <c r="FX629" s="38">
        <f t="shared" si="1037"/>
        <v>0</v>
      </c>
      <c r="FY629" s="38">
        <f t="shared" si="1038"/>
        <v>0</v>
      </c>
      <c r="FZ629" s="38">
        <f t="shared" si="1039"/>
        <v>0</v>
      </c>
      <c r="GA629" s="38">
        <f t="shared" si="1040"/>
        <v>0</v>
      </c>
      <c r="GB629" s="38">
        <f t="shared" si="1041"/>
        <v>0</v>
      </c>
      <c r="GC629" s="38">
        <f t="shared" si="1042"/>
        <v>0</v>
      </c>
      <c r="GD629" s="38">
        <f t="shared" si="1043"/>
        <v>0</v>
      </c>
      <c r="GE629" s="38">
        <f t="shared" si="1044"/>
        <v>0</v>
      </c>
      <c r="GF629" s="38">
        <f t="shared" si="1045"/>
        <v>0</v>
      </c>
      <c r="GG629" s="38">
        <f t="shared" si="1046"/>
        <v>0</v>
      </c>
      <c r="GH629" s="38">
        <f t="shared" si="1047"/>
        <v>0</v>
      </c>
      <c r="GI629" s="38">
        <f t="shared" si="1048"/>
        <v>0</v>
      </c>
      <c r="GJ629" s="38">
        <f t="shared" si="1049"/>
        <v>0</v>
      </c>
      <c r="GL629" s="38">
        <f t="shared" si="1050"/>
        <v>0</v>
      </c>
      <c r="GM629" s="38">
        <f t="shared" si="1051"/>
        <v>0</v>
      </c>
      <c r="GN629" s="1" t="s">
        <v>2</v>
      </c>
      <c r="GO629" s="1">
        <f t="shared" si="974"/>
        <v>29.61</v>
      </c>
      <c r="GP629" s="13">
        <f t="shared" si="975"/>
        <v>0.45707531239446131</v>
      </c>
      <c r="GQ629" s="41">
        <f t="shared" si="976"/>
        <v>135.34</v>
      </c>
      <c r="GR629" s="41">
        <f t="shared" si="977"/>
        <v>1774.8487599999999</v>
      </c>
      <c r="GS629" s="14">
        <f t="shared" si="978"/>
        <v>59.940856467409652</v>
      </c>
      <c r="GT629" s="1">
        <f t="shared" si="1052"/>
        <v>18.96</v>
      </c>
      <c r="GU629" s="1">
        <f t="shared" si="1053"/>
        <v>0</v>
      </c>
      <c r="GV629" s="1">
        <f t="shared" si="1054"/>
        <v>116.38</v>
      </c>
      <c r="GW629" s="37">
        <f t="shared" si="979"/>
        <v>0</v>
      </c>
      <c r="GX629" s="37"/>
      <c r="GY629" s="37"/>
      <c r="GZ629" s="37"/>
      <c r="HB629" s="1">
        <f t="shared" si="1055"/>
        <v>0</v>
      </c>
      <c r="HC629" s="1">
        <f t="shared" si="1056"/>
        <v>0</v>
      </c>
      <c r="HD629" s="37" t="s">
        <v>2</v>
      </c>
      <c r="HE629" s="1" t="s">
        <v>160</v>
      </c>
      <c r="HF629" s="1" t="s">
        <v>113</v>
      </c>
      <c r="HG629" s="1" t="s">
        <v>223</v>
      </c>
      <c r="HI629" s="1" t="s">
        <v>96</v>
      </c>
      <c r="HJ629" s="37" t="s">
        <v>2</v>
      </c>
      <c r="JH629" s="58" t="s">
        <v>2</v>
      </c>
    </row>
    <row r="630" spans="1:268" ht="16.25" customHeight="1" x14ac:dyDescent="0.2">
      <c r="A630" s="40" t="s">
        <v>762</v>
      </c>
      <c r="B630" s="11" t="s">
        <v>160</v>
      </c>
      <c r="F630" s="1" t="s">
        <v>763</v>
      </c>
      <c r="I630" s="1">
        <v>0</v>
      </c>
      <c r="AD630" s="1">
        <v>0</v>
      </c>
      <c r="AY630" s="2">
        <v>0.453592</v>
      </c>
      <c r="AZ630" s="1">
        <v>0.5</v>
      </c>
      <c r="BG630" s="1">
        <v>0.5</v>
      </c>
      <c r="BT630" s="1">
        <v>0</v>
      </c>
      <c r="CO630" s="1">
        <v>0</v>
      </c>
      <c r="DJ630" s="1" t="s">
        <v>163</v>
      </c>
      <c r="DL630" s="1">
        <f t="shared" si="972"/>
        <v>0.5</v>
      </c>
      <c r="DM630" s="1">
        <f t="shared" si="973"/>
        <v>0</v>
      </c>
      <c r="DN630" s="1" t="s">
        <v>764</v>
      </c>
      <c r="DO630" s="1" t="s">
        <v>2</v>
      </c>
      <c r="DP630" s="38">
        <f t="shared" si="980"/>
        <v>2.2679599999999999E-3</v>
      </c>
      <c r="DQ630" s="38">
        <f t="shared" si="981"/>
        <v>0</v>
      </c>
      <c r="DR630" s="38">
        <f t="shared" si="982"/>
        <v>0</v>
      </c>
      <c r="DS630" s="38">
        <f t="shared" si="983"/>
        <v>0</v>
      </c>
      <c r="DT630" s="38">
        <f t="shared" si="984"/>
        <v>0</v>
      </c>
      <c r="DU630" s="38">
        <f t="shared" si="985"/>
        <v>0</v>
      </c>
      <c r="DV630" s="38">
        <f t="shared" si="986"/>
        <v>0</v>
      </c>
      <c r="DW630" s="38">
        <f t="shared" si="987"/>
        <v>2.2679599999999999E-3</v>
      </c>
      <c r="DX630" s="38">
        <f t="shared" si="988"/>
        <v>0</v>
      </c>
      <c r="DY630" s="38">
        <f t="shared" si="989"/>
        <v>0</v>
      </c>
      <c r="DZ630" s="38">
        <f t="shared" si="990"/>
        <v>0</v>
      </c>
      <c r="EA630" s="38">
        <f t="shared" si="991"/>
        <v>0</v>
      </c>
      <c r="EB630" s="38">
        <f t="shared" si="992"/>
        <v>0</v>
      </c>
      <c r="EC630" s="38">
        <f t="shared" si="993"/>
        <v>0</v>
      </c>
      <c r="ED630" s="38">
        <f t="shared" si="994"/>
        <v>0</v>
      </c>
      <c r="EE630" s="38">
        <f t="shared" si="995"/>
        <v>0</v>
      </c>
      <c r="EG630" s="38">
        <f t="shared" si="996"/>
        <v>0</v>
      </c>
      <c r="EH630" s="38">
        <f t="shared" si="997"/>
        <v>0</v>
      </c>
      <c r="EI630" s="38">
        <f t="shared" si="998"/>
        <v>14.799836063359999</v>
      </c>
      <c r="EJ630" s="38">
        <f t="shared" si="999"/>
        <v>0</v>
      </c>
      <c r="EK630" s="38">
        <f t="shared" si="1000"/>
        <v>0</v>
      </c>
      <c r="EL630" s="38">
        <f t="shared" si="1001"/>
        <v>0</v>
      </c>
      <c r="EM630" s="38">
        <f t="shared" si="1002"/>
        <v>0</v>
      </c>
      <c r="EN630" s="38">
        <f t="shared" si="1003"/>
        <v>0</v>
      </c>
      <c r="EO630" s="38">
        <f t="shared" si="1004"/>
        <v>0</v>
      </c>
      <c r="EP630" s="38">
        <f t="shared" si="1005"/>
        <v>29.742027439999998</v>
      </c>
      <c r="EQ630" s="38">
        <f t="shared" si="1006"/>
        <v>0</v>
      </c>
      <c r="ER630" s="38">
        <f t="shared" si="1007"/>
        <v>0</v>
      </c>
      <c r="ES630" s="38">
        <f t="shared" si="1008"/>
        <v>0</v>
      </c>
      <c r="ET630" s="38">
        <f t="shared" si="1009"/>
        <v>0</v>
      </c>
      <c r="EU630" s="38">
        <f t="shared" si="1010"/>
        <v>0</v>
      </c>
      <c r="EV630" s="38">
        <f t="shared" si="1011"/>
        <v>0</v>
      </c>
      <c r="EW630" s="38">
        <f t="shared" si="1012"/>
        <v>0</v>
      </c>
      <c r="EX630" s="38">
        <f t="shared" si="1013"/>
        <v>0</v>
      </c>
      <c r="EZ630" s="38">
        <f t="shared" si="1014"/>
        <v>0</v>
      </c>
      <c r="FA630" s="38">
        <f t="shared" si="1015"/>
        <v>0</v>
      </c>
      <c r="FB630" s="1">
        <f t="shared" si="1016"/>
        <v>0</v>
      </c>
      <c r="FC630" s="1">
        <f t="shared" si="1017"/>
        <v>0</v>
      </c>
      <c r="FD630" s="1">
        <f t="shared" si="1018"/>
        <v>0</v>
      </c>
      <c r="FE630" s="1">
        <f t="shared" si="1019"/>
        <v>0</v>
      </c>
      <c r="FF630" s="1">
        <f t="shared" si="1020"/>
        <v>0</v>
      </c>
      <c r="FG630" s="1">
        <f t="shared" si="1021"/>
        <v>0</v>
      </c>
      <c r="FH630" s="1">
        <f t="shared" si="1022"/>
        <v>0</v>
      </c>
      <c r="FI630" s="1">
        <f t="shared" si="1023"/>
        <v>0</v>
      </c>
      <c r="FJ630" s="1">
        <f t="shared" si="1024"/>
        <v>0</v>
      </c>
      <c r="FK630" s="1">
        <f t="shared" si="1025"/>
        <v>0</v>
      </c>
      <c r="FL630" s="1">
        <f t="shared" si="1026"/>
        <v>0</v>
      </c>
      <c r="FM630" s="1">
        <f t="shared" si="1027"/>
        <v>0</v>
      </c>
      <c r="FN630" s="1">
        <f t="shared" si="1028"/>
        <v>0</v>
      </c>
      <c r="FO630" s="1">
        <f t="shared" si="1029"/>
        <v>0</v>
      </c>
      <c r="FP630" s="1">
        <f t="shared" si="1030"/>
        <v>0</v>
      </c>
      <c r="FQ630" s="1">
        <f t="shared" si="1031"/>
        <v>0</v>
      </c>
      <c r="FS630" s="1">
        <f t="shared" si="1032"/>
        <v>0</v>
      </c>
      <c r="FT630" s="1">
        <f t="shared" si="1033"/>
        <v>0</v>
      </c>
      <c r="FU630" s="38">
        <f t="shared" si="1034"/>
        <v>0</v>
      </c>
      <c r="FV630" s="38">
        <f t="shared" si="1035"/>
        <v>0</v>
      </c>
      <c r="FW630" s="38">
        <f t="shared" si="1036"/>
        <v>0</v>
      </c>
      <c r="FX630" s="38">
        <f t="shared" si="1037"/>
        <v>0</v>
      </c>
      <c r="FY630" s="38">
        <f t="shared" si="1038"/>
        <v>0</v>
      </c>
      <c r="FZ630" s="38">
        <f t="shared" si="1039"/>
        <v>0</v>
      </c>
      <c r="GA630" s="38">
        <f t="shared" si="1040"/>
        <v>0</v>
      </c>
      <c r="GB630" s="38">
        <f t="shared" si="1041"/>
        <v>0</v>
      </c>
      <c r="GC630" s="38">
        <f t="shared" si="1042"/>
        <v>0</v>
      </c>
      <c r="GD630" s="38">
        <f t="shared" si="1043"/>
        <v>0</v>
      </c>
      <c r="GE630" s="38">
        <f t="shared" si="1044"/>
        <v>0</v>
      </c>
      <c r="GF630" s="38">
        <f t="shared" si="1045"/>
        <v>0</v>
      </c>
      <c r="GG630" s="38">
        <f t="shared" si="1046"/>
        <v>0</v>
      </c>
      <c r="GH630" s="38">
        <f t="shared" si="1047"/>
        <v>0</v>
      </c>
      <c r="GI630" s="38">
        <f t="shared" si="1048"/>
        <v>0</v>
      </c>
      <c r="GJ630" s="38">
        <f t="shared" si="1049"/>
        <v>0</v>
      </c>
      <c r="GL630" s="38">
        <f t="shared" si="1050"/>
        <v>0</v>
      </c>
      <c r="GM630" s="38">
        <f t="shared" si="1051"/>
        <v>0</v>
      </c>
      <c r="GN630" s="1" t="s">
        <v>2</v>
      </c>
      <c r="GO630" s="2">
        <f t="shared" si="974"/>
        <v>0.453592</v>
      </c>
      <c r="GP630" s="1">
        <f t="shared" si="975"/>
        <v>0.5</v>
      </c>
      <c r="GQ630" s="41">
        <f t="shared" si="976"/>
        <v>2.26796</v>
      </c>
      <c r="GR630" s="41">
        <f t="shared" si="977"/>
        <v>44.541863503359998</v>
      </c>
      <c r="GS630" s="14">
        <f t="shared" si="978"/>
        <v>98.19807999999999</v>
      </c>
      <c r="GT630" s="1">
        <f t="shared" si="1052"/>
        <v>0</v>
      </c>
      <c r="GU630" s="1">
        <f t="shared" si="1053"/>
        <v>0</v>
      </c>
      <c r="GV630" s="1">
        <f t="shared" si="1054"/>
        <v>2.26796</v>
      </c>
      <c r="GW630" s="37">
        <f t="shared" si="979"/>
        <v>0</v>
      </c>
      <c r="GX630" s="37"/>
      <c r="GY630" s="37"/>
      <c r="GZ630" s="37"/>
      <c r="HB630" s="1">
        <f t="shared" si="1055"/>
        <v>0</v>
      </c>
      <c r="HC630" s="1">
        <f t="shared" si="1056"/>
        <v>0</v>
      </c>
      <c r="HD630" s="37" t="s">
        <v>2</v>
      </c>
      <c r="HE630" s="1" t="s">
        <v>160</v>
      </c>
      <c r="HF630" s="1" t="s">
        <v>765</v>
      </c>
      <c r="HG630" s="1" t="s">
        <v>765</v>
      </c>
      <c r="HI630" s="1" t="s">
        <v>163</v>
      </c>
      <c r="HJ630" s="37" t="s">
        <v>2</v>
      </c>
      <c r="JH630" s="58" t="s">
        <v>2</v>
      </c>
    </row>
    <row r="631" spans="1:268" ht="16.25" customHeight="1" x14ac:dyDescent="0.2">
      <c r="A631" s="40" t="s">
        <v>680</v>
      </c>
      <c r="B631" s="11" t="s">
        <v>160</v>
      </c>
      <c r="F631" s="1" t="s">
        <v>131</v>
      </c>
      <c r="I631" s="1">
        <v>0</v>
      </c>
      <c r="AD631" s="1">
        <v>0</v>
      </c>
      <c r="AY631" s="13">
        <f>0.91*0.9072</f>
        <v>0.82555200000000006</v>
      </c>
      <c r="AZ631" s="1">
        <v>0.27300000000000002</v>
      </c>
      <c r="BB631" s="1">
        <v>154</v>
      </c>
      <c r="BC631" s="2">
        <f>0.079/1.179</f>
        <v>6.7005937234944871E-2</v>
      </c>
      <c r="BG631" s="2">
        <v>0.05</v>
      </c>
      <c r="BH631" s="1">
        <v>7.2999999999999995E-2</v>
      </c>
      <c r="BT631" s="1">
        <v>0</v>
      </c>
      <c r="CO631" s="1">
        <v>0</v>
      </c>
      <c r="DJ631" s="1" t="s">
        <v>163</v>
      </c>
      <c r="DK631" s="1" t="s">
        <v>96</v>
      </c>
      <c r="DL631" s="1">
        <f t="shared" si="972"/>
        <v>0.05</v>
      </c>
      <c r="DM631" s="1">
        <f t="shared" si="973"/>
        <v>7.2999999999999995E-2</v>
      </c>
      <c r="DN631" s="1" t="s">
        <v>681</v>
      </c>
      <c r="DO631" s="1" t="s">
        <v>2</v>
      </c>
      <c r="DP631" s="38">
        <f t="shared" si="980"/>
        <v>2.2537569600000005E-3</v>
      </c>
      <c r="DQ631" s="38">
        <f t="shared" si="981"/>
        <v>0</v>
      </c>
      <c r="DR631" s="38">
        <f t="shared" si="982"/>
        <v>127.13500800000001</v>
      </c>
      <c r="DS631" s="38">
        <f t="shared" si="983"/>
        <v>5.5316885496183206E-4</v>
      </c>
      <c r="DT631" s="38">
        <f t="shared" si="984"/>
        <v>0</v>
      </c>
      <c r="DU631" s="38">
        <f t="shared" si="985"/>
        <v>0</v>
      </c>
      <c r="DV631" s="38">
        <f t="shared" si="986"/>
        <v>0</v>
      </c>
      <c r="DW631" s="38">
        <f t="shared" si="987"/>
        <v>4.1277600000000006E-4</v>
      </c>
      <c r="DX631" s="38">
        <f t="shared" si="988"/>
        <v>6.0265296000000003E-4</v>
      </c>
      <c r="DY631" s="38">
        <f t="shared" si="989"/>
        <v>0</v>
      </c>
      <c r="DZ631" s="38">
        <f t="shared" si="990"/>
        <v>0</v>
      </c>
      <c r="EA631" s="38">
        <f t="shared" si="991"/>
        <v>0</v>
      </c>
      <c r="EB631" s="38">
        <f t="shared" si="992"/>
        <v>0</v>
      </c>
      <c r="EC631" s="38">
        <f t="shared" si="993"/>
        <v>0</v>
      </c>
      <c r="ED631" s="38">
        <f t="shared" si="994"/>
        <v>0</v>
      </c>
      <c r="EE631" s="38">
        <f t="shared" si="995"/>
        <v>0</v>
      </c>
      <c r="EG631" s="38">
        <f t="shared" si="996"/>
        <v>0</v>
      </c>
      <c r="EH631" s="38">
        <f t="shared" si="997"/>
        <v>0</v>
      </c>
      <c r="EI631" s="38">
        <f t="shared" si="998"/>
        <v>14.707152478287362</v>
      </c>
      <c r="EJ631" s="38">
        <f t="shared" si="999"/>
        <v>0</v>
      </c>
      <c r="EK631" s="38">
        <f t="shared" si="1000"/>
        <v>64.38509247588425</v>
      </c>
      <c r="EL631" s="38">
        <f t="shared" si="1001"/>
        <v>36.537443315322022</v>
      </c>
      <c r="EM631" s="38">
        <f t="shared" si="1002"/>
        <v>0</v>
      </c>
      <c r="EN631" s="38">
        <f t="shared" si="1003"/>
        <v>0</v>
      </c>
      <c r="EO631" s="38">
        <f t="shared" si="1004"/>
        <v>0</v>
      </c>
      <c r="EP631" s="38">
        <f t="shared" si="1005"/>
        <v>5.413144464000001</v>
      </c>
      <c r="EQ631" s="38">
        <f t="shared" si="1006"/>
        <v>43.764371092391038</v>
      </c>
      <c r="ER631" s="38">
        <f t="shared" si="1007"/>
        <v>0</v>
      </c>
      <c r="ES631" s="38">
        <f t="shared" si="1008"/>
        <v>0</v>
      </c>
      <c r="ET631" s="38">
        <f t="shared" si="1009"/>
        <v>0</v>
      </c>
      <c r="EU631" s="38">
        <f t="shared" si="1010"/>
        <v>0</v>
      </c>
      <c r="EV631" s="38">
        <f t="shared" si="1011"/>
        <v>0</v>
      </c>
      <c r="EW631" s="38">
        <f t="shared" si="1012"/>
        <v>0</v>
      </c>
      <c r="EX631" s="38">
        <f t="shared" si="1013"/>
        <v>0</v>
      </c>
      <c r="EZ631" s="38">
        <f t="shared" si="1014"/>
        <v>0</v>
      </c>
      <c r="FA631" s="38">
        <f t="shared" si="1015"/>
        <v>0</v>
      </c>
      <c r="FB631" s="1">
        <f t="shared" si="1016"/>
        <v>0</v>
      </c>
      <c r="FC631" s="1">
        <f t="shared" si="1017"/>
        <v>0</v>
      </c>
      <c r="FD631" s="1">
        <f t="shared" si="1018"/>
        <v>0</v>
      </c>
      <c r="FE631" s="1">
        <f t="shared" si="1019"/>
        <v>0</v>
      </c>
      <c r="FF631" s="1">
        <f t="shared" si="1020"/>
        <v>0</v>
      </c>
      <c r="FG631" s="1">
        <f t="shared" si="1021"/>
        <v>0</v>
      </c>
      <c r="FH631" s="1">
        <f t="shared" si="1022"/>
        <v>0</v>
      </c>
      <c r="FI631" s="1">
        <f t="shared" si="1023"/>
        <v>0</v>
      </c>
      <c r="FJ631" s="1">
        <f t="shared" si="1024"/>
        <v>0</v>
      </c>
      <c r="FK631" s="1">
        <f t="shared" si="1025"/>
        <v>0</v>
      </c>
      <c r="FL631" s="1">
        <f t="shared" si="1026"/>
        <v>0</v>
      </c>
      <c r="FM631" s="1">
        <f t="shared" si="1027"/>
        <v>0</v>
      </c>
      <c r="FN631" s="1">
        <f t="shared" si="1028"/>
        <v>0</v>
      </c>
      <c r="FO631" s="1">
        <f t="shared" si="1029"/>
        <v>0</v>
      </c>
      <c r="FP631" s="1">
        <f t="shared" si="1030"/>
        <v>0</v>
      </c>
      <c r="FQ631" s="1">
        <f t="shared" si="1031"/>
        <v>0</v>
      </c>
      <c r="FS631" s="1">
        <f t="shared" si="1032"/>
        <v>0</v>
      </c>
      <c r="FT631" s="1">
        <f t="shared" si="1033"/>
        <v>0</v>
      </c>
      <c r="FU631" s="38">
        <f t="shared" si="1034"/>
        <v>0</v>
      </c>
      <c r="FV631" s="38">
        <f t="shared" si="1035"/>
        <v>0</v>
      </c>
      <c r="FW631" s="38">
        <f t="shared" si="1036"/>
        <v>0</v>
      </c>
      <c r="FX631" s="38">
        <f t="shared" si="1037"/>
        <v>0</v>
      </c>
      <c r="FY631" s="38">
        <f t="shared" si="1038"/>
        <v>0</v>
      </c>
      <c r="FZ631" s="38">
        <f t="shared" si="1039"/>
        <v>0</v>
      </c>
      <c r="GA631" s="38">
        <f t="shared" si="1040"/>
        <v>0</v>
      </c>
      <c r="GB631" s="38">
        <f t="shared" si="1041"/>
        <v>0</v>
      </c>
      <c r="GC631" s="38">
        <f t="shared" si="1042"/>
        <v>0</v>
      </c>
      <c r="GD631" s="38">
        <f t="shared" si="1043"/>
        <v>0</v>
      </c>
      <c r="GE631" s="38">
        <f t="shared" si="1044"/>
        <v>0</v>
      </c>
      <c r="GF631" s="38">
        <f t="shared" si="1045"/>
        <v>0</v>
      </c>
      <c r="GG631" s="38">
        <f t="shared" si="1046"/>
        <v>0</v>
      </c>
      <c r="GH631" s="38">
        <f t="shared" si="1047"/>
        <v>0</v>
      </c>
      <c r="GI631" s="38">
        <f t="shared" si="1048"/>
        <v>0</v>
      </c>
      <c r="GJ631" s="38">
        <f t="shared" si="1049"/>
        <v>0</v>
      </c>
      <c r="GL631" s="38">
        <f t="shared" si="1050"/>
        <v>0</v>
      </c>
      <c r="GM631" s="38">
        <f t="shared" si="1051"/>
        <v>0</v>
      </c>
      <c r="GN631" s="1" t="s">
        <v>2</v>
      </c>
      <c r="GO631" s="2">
        <f t="shared" si="974"/>
        <v>0.82555200000000006</v>
      </c>
      <c r="GP631" s="1">
        <f t="shared" si="975"/>
        <v>0.05</v>
      </c>
      <c r="GQ631" s="41">
        <f t="shared" si="976"/>
        <v>0.41277600000000009</v>
      </c>
      <c r="GR631" s="41">
        <f t="shared" si="977"/>
        <v>164.80720382588467</v>
      </c>
      <c r="GS631" s="14">
        <f t="shared" si="978"/>
        <v>199.63273521944669</v>
      </c>
      <c r="GT631" s="1">
        <f t="shared" si="1052"/>
        <v>0</v>
      </c>
      <c r="GU631" s="1">
        <f t="shared" si="1053"/>
        <v>0</v>
      </c>
      <c r="GV631" s="1">
        <f t="shared" si="1054"/>
        <v>0.41277600000000009</v>
      </c>
      <c r="GW631" s="37">
        <f t="shared" si="979"/>
        <v>0</v>
      </c>
      <c r="GX631" s="37"/>
      <c r="GY631" s="37"/>
      <c r="GZ631" s="37"/>
      <c r="HB631" s="1">
        <f t="shared" si="1055"/>
        <v>0</v>
      </c>
      <c r="HC631" s="1">
        <f t="shared" si="1056"/>
        <v>0</v>
      </c>
      <c r="HD631" s="37" t="s">
        <v>2</v>
      </c>
      <c r="HE631" s="1" t="s">
        <v>160</v>
      </c>
      <c r="HF631" s="1" t="s">
        <v>119</v>
      </c>
      <c r="HI631" s="1" t="s">
        <v>163</v>
      </c>
      <c r="HJ631" s="37" t="s">
        <v>2</v>
      </c>
      <c r="JH631" s="58" t="s">
        <v>2</v>
      </c>
    </row>
    <row r="632" spans="1:268" ht="16.25" customHeight="1" x14ac:dyDescent="0.2">
      <c r="DO632" s="1" t="s">
        <v>2</v>
      </c>
      <c r="GN632" s="1" t="s">
        <v>2</v>
      </c>
      <c r="HD632" s="1" t="s">
        <v>2</v>
      </c>
      <c r="HJ632" s="1" t="s">
        <v>2</v>
      </c>
      <c r="JH632" s="57" t="s">
        <v>2</v>
      </c>
    </row>
  </sheetData>
  <sortState xmlns:xlrd2="http://schemas.microsoft.com/office/spreadsheetml/2017/richdata2" ref="A502:JH618">
    <sortCondition ref="HE502:HE618"/>
    <sortCondition ref="HI502:HI618"/>
    <sortCondition ref="HF502:HF618"/>
    <sortCondition ref="HG502:HG618"/>
  </sortState>
  <mergeCells count="28">
    <mergeCell ref="HL48:HL50"/>
    <mergeCell ref="FU2:GM3"/>
    <mergeCell ref="GW2:HA3"/>
    <mergeCell ref="HQ2:HW3"/>
    <mergeCell ref="HZ2:ID3"/>
    <mergeCell ref="HB2:HC3"/>
    <mergeCell ref="HN2:HP3"/>
    <mergeCell ref="HX2:HY3"/>
    <mergeCell ref="IF2:IS3"/>
    <mergeCell ref="IT2:JG3"/>
    <mergeCell ref="HI1:HI4"/>
    <mergeCell ref="GT2:GV3"/>
    <mergeCell ref="FB2:FT3"/>
    <mergeCell ref="GO2:GS3"/>
    <mergeCell ref="HN1:HP1"/>
    <mergeCell ref="HX1:HY1"/>
    <mergeCell ref="EI2:FA3"/>
    <mergeCell ref="DJ1:DJ4"/>
    <mergeCell ref="DK1:DK4"/>
    <mergeCell ref="C2:D2"/>
    <mergeCell ref="I2:BS2"/>
    <mergeCell ref="BT2:DI2"/>
    <mergeCell ref="DP2:EH3"/>
    <mergeCell ref="I3:AC3"/>
    <mergeCell ref="AD3:AX3"/>
    <mergeCell ref="AY3:BS3"/>
    <mergeCell ref="BT3:CN3"/>
    <mergeCell ref="CO3:DI3"/>
  </mergeCells>
  <conditionalFormatting sqref="DM567:DM568 DM5:DM11 DM13:DM18 DM245:DM259 DM265:DM270 DM272:DM284 DM319:DM330 DM415:DM447 DM463:DM470 DM487:DM489 DM600:DM601 DM606:DM607 DM611 DM613:DM616 DM626 DM193:DM225 DM381:DM383 DM20:DM21 DM286:DM317 DM500:DM525 DM620:DM623 DM335:DM379 DM23:DM31 DM630:DM631 DM397:DM398 DM33:DM164 DM570:DM573">
    <cfRule type="cellIs" dxfId="520" priority="543" operator="greaterThan">
      <formula>0</formula>
    </cfRule>
  </conditionalFormatting>
  <conditionalFormatting sqref="DL567:DL568 DL5:DL11 DL13:DL18 DL245:DL259 DL265:DL270 DL272:DL284 DL319:DL330 DL415:DL447 DL463:DL470 DL487:DL489 DL600:DL601 DL606:DL607 DL611 DL613:DL616 DL626 DL193:DL225 DL381:DL383 DL20:DL21 DL286:DL317 DL500:DL525 DL620:DL623 DL335:DL379 DL23:DL31 DL630:DL631 DL397:DL398 DL33:DL164 DL570:DL573">
    <cfRule type="cellIs" dxfId="519" priority="542" operator="greaterThan">
      <formula>0</formula>
    </cfRule>
  </conditionalFormatting>
  <conditionalFormatting sqref="DK567:DK568 DK5:DK11 DK13:DK18 DK265:DK284 DK319:DK330 DK339:DK342 DK335:DK337 DK415:DK438 DK464:DK470 DK487:DK489 DK600:DK601 DK606:DK607 DK611 DK613:DK616 DK626 DK193:DK221 DK381:DK383 DK20:DK21 DK286:DK317 DK500:DK525 DK620:DK623 DK344:DK379 DK23:DK31 DK33:DK62 DK630:DK631 DK397:DK398 DK64:DK164 DK570:DK573">
    <cfRule type="notContainsBlanks" dxfId="518" priority="541">
      <formula>LEN(TRIM(DK5))&gt;0</formula>
    </cfRule>
  </conditionalFormatting>
  <conditionalFormatting sqref="DJ567:DJ568 DJ5:DJ11 DJ13:DJ18 DJ265:DJ284 DJ319:DJ330 DJ335:DJ337 DJ415:DJ447 DJ464:DJ465 DJ487:DJ489 DJ600:DJ601 DJ606:DJ607 DJ611 DJ613:DJ616 DJ626 DJ193:DJ221 DJ381:DJ383 DJ20:DJ21 DJ286:DJ317 DJ500:DJ525 DJ620:DJ623 DJ345:DJ379 HI345:HI379 DJ23:DJ31 DJ33:DJ62 HI23:HI31 HI33:HI62 DJ630:DJ631 HI630 DJ397:DJ398 HI397:HI399 DJ64:DJ164 HI64:HI164 DJ570:DJ573">
    <cfRule type="notContainsBlanks" dxfId="517" priority="544">
      <formula>LEN(TRIM(DJ5))&gt;0</formula>
    </cfRule>
  </conditionalFormatting>
  <conditionalFormatting sqref="DM167:DM170">
    <cfRule type="cellIs" dxfId="516" priority="540" operator="greaterThan">
      <formula>0</formula>
    </cfRule>
  </conditionalFormatting>
  <conditionalFormatting sqref="DL167:DL170">
    <cfRule type="cellIs" dxfId="515" priority="539" operator="greaterThan">
      <formula>0</formula>
    </cfRule>
  </conditionalFormatting>
  <conditionalFormatting sqref="DK167:DK170">
    <cfRule type="notContainsBlanks" dxfId="514" priority="537">
      <formula>LEN(TRIM(DK167))&gt;0</formula>
    </cfRule>
  </conditionalFormatting>
  <conditionalFormatting sqref="DJ167:DJ170">
    <cfRule type="notContainsBlanks" dxfId="513" priority="538">
      <formula>LEN(TRIM(DJ167))&gt;0</formula>
    </cfRule>
  </conditionalFormatting>
  <conditionalFormatting sqref="DM172:DM191">
    <cfRule type="cellIs" dxfId="512" priority="536" operator="greaterThan">
      <formula>0</formula>
    </cfRule>
  </conditionalFormatting>
  <conditionalFormatting sqref="DL172:DL191">
    <cfRule type="cellIs" dxfId="511" priority="535" operator="greaterThan">
      <formula>0</formula>
    </cfRule>
  </conditionalFormatting>
  <conditionalFormatting sqref="DK172:DK191">
    <cfRule type="notContainsBlanks" dxfId="510" priority="533">
      <formula>LEN(TRIM(DK172))&gt;0</formula>
    </cfRule>
  </conditionalFormatting>
  <conditionalFormatting sqref="DJ172:DJ191">
    <cfRule type="notContainsBlanks" dxfId="509" priority="534">
      <formula>LEN(TRIM(DJ172))&gt;0</formula>
    </cfRule>
  </conditionalFormatting>
  <conditionalFormatting sqref="DK222:DK225">
    <cfRule type="notContainsBlanks" dxfId="508" priority="531">
      <formula>LEN(TRIM(DK222))&gt;0</formula>
    </cfRule>
  </conditionalFormatting>
  <conditionalFormatting sqref="DJ222:DJ225">
    <cfRule type="notContainsBlanks" dxfId="507" priority="532">
      <formula>LEN(TRIM(DJ222))&gt;0</formula>
    </cfRule>
  </conditionalFormatting>
  <conditionalFormatting sqref="DM226:DM227">
    <cfRule type="cellIs" dxfId="506" priority="530" operator="greaterThan">
      <formula>0</formula>
    </cfRule>
  </conditionalFormatting>
  <conditionalFormatting sqref="DL226:DL227">
    <cfRule type="cellIs" dxfId="505" priority="529" operator="greaterThan">
      <formula>0</formula>
    </cfRule>
  </conditionalFormatting>
  <conditionalFormatting sqref="DK226:DK227">
    <cfRule type="notContainsBlanks" dxfId="504" priority="527">
      <formula>LEN(TRIM(DK226))&gt;0</formula>
    </cfRule>
  </conditionalFormatting>
  <conditionalFormatting sqref="DJ226:DJ227">
    <cfRule type="notContainsBlanks" dxfId="503" priority="528">
      <formula>LEN(TRIM(DJ226))&gt;0</formula>
    </cfRule>
  </conditionalFormatting>
  <conditionalFormatting sqref="DM229:DM231">
    <cfRule type="cellIs" dxfId="502" priority="526" operator="greaterThan">
      <formula>0</formula>
    </cfRule>
  </conditionalFormatting>
  <conditionalFormatting sqref="DL229:DL231">
    <cfRule type="cellIs" dxfId="501" priority="525" operator="greaterThan">
      <formula>0</formula>
    </cfRule>
  </conditionalFormatting>
  <conditionalFormatting sqref="DK229:DK231">
    <cfRule type="notContainsBlanks" dxfId="500" priority="523">
      <formula>LEN(TRIM(DK229))&gt;0</formula>
    </cfRule>
  </conditionalFormatting>
  <conditionalFormatting sqref="DJ229:DJ231">
    <cfRule type="notContainsBlanks" dxfId="499" priority="524">
      <formula>LEN(TRIM(DJ229))&gt;0</formula>
    </cfRule>
  </conditionalFormatting>
  <conditionalFormatting sqref="DM234">
    <cfRule type="cellIs" dxfId="498" priority="522" operator="greaterThan">
      <formula>0</formula>
    </cfRule>
  </conditionalFormatting>
  <conditionalFormatting sqref="DL234">
    <cfRule type="cellIs" dxfId="497" priority="521" operator="greaterThan">
      <formula>0</formula>
    </cfRule>
  </conditionalFormatting>
  <conditionalFormatting sqref="DK234">
    <cfRule type="notContainsBlanks" dxfId="496" priority="519">
      <formula>LEN(TRIM(DK234))&gt;0</formula>
    </cfRule>
  </conditionalFormatting>
  <conditionalFormatting sqref="DJ234">
    <cfRule type="notContainsBlanks" dxfId="495" priority="520">
      <formula>LEN(TRIM(DJ234))&gt;0</formula>
    </cfRule>
  </conditionalFormatting>
  <conditionalFormatting sqref="DM236:DM238 DM240:DM243">
    <cfRule type="cellIs" dxfId="494" priority="518" operator="greaterThan">
      <formula>0</formula>
    </cfRule>
  </conditionalFormatting>
  <conditionalFormatting sqref="DL236:DL238 DL240:DL243">
    <cfRule type="cellIs" dxfId="493" priority="517" operator="greaterThan">
      <formula>0</formula>
    </cfRule>
  </conditionalFormatting>
  <conditionalFormatting sqref="DK236:DK238 DK240:DK243 DK245:DK256">
    <cfRule type="notContainsBlanks" dxfId="492" priority="515">
      <formula>LEN(TRIM(DK236))&gt;0</formula>
    </cfRule>
  </conditionalFormatting>
  <conditionalFormatting sqref="DJ236:DJ238 DJ240:DJ243 DJ245:DJ256">
    <cfRule type="notContainsBlanks" dxfId="491" priority="516">
      <formula>LEN(TRIM(DJ236))&gt;0</formula>
    </cfRule>
  </conditionalFormatting>
  <conditionalFormatting sqref="DM263">
    <cfRule type="cellIs" dxfId="490" priority="514" operator="greaterThan">
      <formula>0</formula>
    </cfRule>
  </conditionalFormatting>
  <conditionalFormatting sqref="DL263">
    <cfRule type="cellIs" dxfId="489" priority="513" operator="greaterThan">
      <formula>0</formula>
    </cfRule>
  </conditionalFormatting>
  <conditionalFormatting sqref="DK263">
    <cfRule type="notContainsBlanks" dxfId="488" priority="511">
      <formula>LEN(TRIM(DK263))&gt;0</formula>
    </cfRule>
  </conditionalFormatting>
  <conditionalFormatting sqref="DJ263">
    <cfRule type="notContainsBlanks" dxfId="487" priority="512">
      <formula>LEN(TRIM(DJ263))&gt;0</formula>
    </cfRule>
  </conditionalFormatting>
  <conditionalFormatting sqref="DM332:DM333">
    <cfRule type="cellIs" dxfId="486" priority="509" operator="greaterThan">
      <formula>0</formula>
    </cfRule>
  </conditionalFormatting>
  <conditionalFormatting sqref="DL332:DL333">
    <cfRule type="cellIs" dxfId="485" priority="508" operator="greaterThan">
      <formula>0</formula>
    </cfRule>
  </conditionalFormatting>
  <conditionalFormatting sqref="DK332:DK333">
    <cfRule type="notContainsBlanks" dxfId="484" priority="506">
      <formula>LEN(TRIM(DK332))&gt;0</formula>
    </cfRule>
  </conditionalFormatting>
  <conditionalFormatting sqref="DJ332:DJ333">
    <cfRule type="notContainsBlanks" dxfId="483" priority="507">
      <formula>LEN(TRIM(DJ332))&gt;0</formula>
    </cfRule>
  </conditionalFormatting>
  <conditionalFormatting sqref="DJ339:DJ340">
    <cfRule type="notContainsBlanks" dxfId="482" priority="505">
      <formula>LEN(TRIM(DJ339))&gt;0</formula>
    </cfRule>
  </conditionalFormatting>
  <conditionalFormatting sqref="DM385:DM386">
    <cfRule type="cellIs" dxfId="481" priority="504" operator="greaterThan">
      <formula>0</formula>
    </cfRule>
  </conditionalFormatting>
  <conditionalFormatting sqref="DL385:DL386">
    <cfRule type="cellIs" dxfId="480" priority="503" operator="greaterThan">
      <formula>0</formula>
    </cfRule>
  </conditionalFormatting>
  <conditionalFormatting sqref="DK385:DK386">
    <cfRule type="notContainsBlanks" dxfId="479" priority="502">
      <formula>LEN(TRIM(DK385))&gt;0</formula>
    </cfRule>
  </conditionalFormatting>
  <conditionalFormatting sqref="DM388:DM390">
    <cfRule type="cellIs" dxfId="478" priority="501" operator="greaterThan">
      <formula>0</formula>
    </cfRule>
  </conditionalFormatting>
  <conditionalFormatting sqref="DL388:DL390">
    <cfRule type="cellIs" dxfId="477" priority="500" operator="greaterThan">
      <formula>0</formula>
    </cfRule>
  </conditionalFormatting>
  <conditionalFormatting sqref="DM392:DM395">
    <cfRule type="cellIs" dxfId="476" priority="499" operator="greaterThan">
      <formula>0</formula>
    </cfRule>
  </conditionalFormatting>
  <conditionalFormatting sqref="DL392:DL395">
    <cfRule type="cellIs" dxfId="475" priority="498" operator="greaterThan">
      <formula>0</formula>
    </cfRule>
  </conditionalFormatting>
  <conditionalFormatting sqref="DM400">
    <cfRule type="cellIs" dxfId="474" priority="495" operator="greaterThan">
      <formula>0</formula>
    </cfRule>
  </conditionalFormatting>
  <conditionalFormatting sqref="DL400">
    <cfRule type="cellIs" dxfId="473" priority="494" operator="greaterThan">
      <formula>0</formula>
    </cfRule>
  </conditionalFormatting>
  <conditionalFormatting sqref="DK400">
    <cfRule type="notContainsBlanks" dxfId="472" priority="493">
      <formula>LEN(TRIM(DK400))&gt;0</formula>
    </cfRule>
  </conditionalFormatting>
  <conditionalFormatting sqref="DM402">
    <cfRule type="cellIs" dxfId="471" priority="492" operator="greaterThan">
      <formula>0</formula>
    </cfRule>
  </conditionalFormatting>
  <conditionalFormatting sqref="DL402">
    <cfRule type="cellIs" dxfId="470" priority="491" operator="greaterThan">
      <formula>0</formula>
    </cfRule>
  </conditionalFormatting>
  <conditionalFormatting sqref="DM404">
    <cfRule type="cellIs" dxfId="469" priority="490" operator="greaterThan">
      <formula>0</formula>
    </cfRule>
  </conditionalFormatting>
  <conditionalFormatting sqref="DL404">
    <cfRule type="cellIs" dxfId="468" priority="489" operator="greaterThan">
      <formula>0</formula>
    </cfRule>
  </conditionalFormatting>
  <conditionalFormatting sqref="DK404">
    <cfRule type="notContainsBlanks" dxfId="467" priority="487">
      <formula>LEN(TRIM(DK404))&gt;0</formula>
    </cfRule>
  </conditionalFormatting>
  <conditionalFormatting sqref="DJ404">
    <cfRule type="notContainsBlanks" dxfId="466" priority="488">
      <formula>LEN(TRIM(DJ404))&gt;0</formula>
    </cfRule>
  </conditionalFormatting>
  <conditionalFormatting sqref="DM406:DM413">
    <cfRule type="cellIs" dxfId="465" priority="486" operator="greaterThan">
      <formula>0</formula>
    </cfRule>
  </conditionalFormatting>
  <conditionalFormatting sqref="DL406:DL413">
    <cfRule type="cellIs" dxfId="464" priority="485" operator="greaterThan">
      <formula>0</formula>
    </cfRule>
  </conditionalFormatting>
  <conditionalFormatting sqref="DK406:DK413">
    <cfRule type="notContainsBlanks" dxfId="463" priority="483">
      <formula>LEN(TRIM(DK406))&gt;0</formula>
    </cfRule>
  </conditionalFormatting>
  <conditionalFormatting sqref="DJ406:DJ413">
    <cfRule type="notContainsBlanks" dxfId="462" priority="484">
      <formula>LEN(TRIM(DJ406))&gt;0</formula>
    </cfRule>
  </conditionalFormatting>
  <conditionalFormatting sqref="DM456 DM449:DM454 DM458:DM461">
    <cfRule type="cellIs" dxfId="461" priority="482" operator="greaterThan">
      <formula>0</formula>
    </cfRule>
  </conditionalFormatting>
  <conditionalFormatting sqref="DL456 DL449:DL454 DL458:DL461">
    <cfRule type="cellIs" dxfId="460" priority="481" operator="greaterThan">
      <formula>0</formula>
    </cfRule>
  </conditionalFormatting>
  <conditionalFormatting sqref="DK456 DK449:DK454 DK441:DK447 DK458:DK461">
    <cfRule type="notContainsBlanks" dxfId="459" priority="479">
      <formula>LEN(TRIM(DK441))&gt;0</formula>
    </cfRule>
  </conditionalFormatting>
  <conditionalFormatting sqref="DJ456 DJ449:DJ454 DJ458:DJ461">
    <cfRule type="notContainsBlanks" dxfId="458" priority="480">
      <formula>LEN(TRIM(DJ449))&gt;0</formula>
    </cfRule>
  </conditionalFormatting>
  <conditionalFormatting sqref="DM477">
    <cfRule type="cellIs" dxfId="457" priority="478" operator="greaterThan">
      <formula>0</formula>
    </cfRule>
  </conditionalFormatting>
  <conditionalFormatting sqref="DL477">
    <cfRule type="cellIs" dxfId="456" priority="477" operator="greaterThan">
      <formula>0</formula>
    </cfRule>
  </conditionalFormatting>
  <conditionalFormatting sqref="DK477">
    <cfRule type="notContainsBlanks" dxfId="455" priority="476">
      <formula>LEN(TRIM(DK477))&gt;0</formula>
    </cfRule>
  </conditionalFormatting>
  <conditionalFormatting sqref="DM479">
    <cfRule type="cellIs" dxfId="454" priority="475" operator="greaterThan">
      <formula>0</formula>
    </cfRule>
  </conditionalFormatting>
  <conditionalFormatting sqref="DL479">
    <cfRule type="cellIs" dxfId="453" priority="474" operator="greaterThan">
      <formula>0</formula>
    </cfRule>
  </conditionalFormatting>
  <conditionalFormatting sqref="DK479">
    <cfRule type="notContainsBlanks" dxfId="452" priority="472">
      <formula>LEN(TRIM(DK479))&gt;0</formula>
    </cfRule>
  </conditionalFormatting>
  <conditionalFormatting sqref="DJ479">
    <cfRule type="notContainsBlanks" dxfId="451" priority="473">
      <formula>LEN(TRIM(DJ479))&gt;0</formula>
    </cfRule>
  </conditionalFormatting>
  <conditionalFormatting sqref="DM480:DM485">
    <cfRule type="cellIs" dxfId="450" priority="471" operator="greaterThan">
      <formula>0</formula>
    </cfRule>
  </conditionalFormatting>
  <conditionalFormatting sqref="DL480:DL485">
    <cfRule type="cellIs" dxfId="449" priority="470" operator="greaterThan">
      <formula>0</formula>
    </cfRule>
  </conditionalFormatting>
  <conditionalFormatting sqref="DK480:DK485">
    <cfRule type="notContainsBlanks" dxfId="448" priority="468">
      <formula>LEN(TRIM(DK480))&gt;0</formula>
    </cfRule>
  </conditionalFormatting>
  <conditionalFormatting sqref="DJ480:DJ485">
    <cfRule type="notContainsBlanks" dxfId="447" priority="469">
      <formula>LEN(TRIM(DJ480))&gt;0</formula>
    </cfRule>
  </conditionalFormatting>
  <conditionalFormatting sqref="DM491:DM493">
    <cfRule type="cellIs" dxfId="446" priority="467" operator="greaterThan">
      <formula>0</formula>
    </cfRule>
  </conditionalFormatting>
  <conditionalFormatting sqref="DL491:DL493">
    <cfRule type="cellIs" dxfId="445" priority="466" operator="greaterThan">
      <formula>0</formula>
    </cfRule>
  </conditionalFormatting>
  <conditionalFormatting sqref="DK491:DK493">
    <cfRule type="notContainsBlanks" dxfId="444" priority="464">
      <formula>LEN(TRIM(DK491))&gt;0</formula>
    </cfRule>
  </conditionalFormatting>
  <conditionalFormatting sqref="DJ491:DJ493">
    <cfRule type="notContainsBlanks" dxfId="443" priority="465">
      <formula>LEN(TRIM(DJ491))&gt;0</formula>
    </cfRule>
  </conditionalFormatting>
  <conditionalFormatting sqref="DM495:DM498">
    <cfRule type="cellIs" dxfId="442" priority="463" operator="greaterThan">
      <formula>0</formula>
    </cfRule>
  </conditionalFormatting>
  <conditionalFormatting sqref="DL495:DL498">
    <cfRule type="cellIs" dxfId="441" priority="462" operator="greaterThan">
      <formula>0</formula>
    </cfRule>
  </conditionalFormatting>
  <conditionalFormatting sqref="DK495:DK498">
    <cfRule type="notContainsBlanks" dxfId="440" priority="460">
      <formula>LEN(TRIM(DK495))&gt;0</formula>
    </cfRule>
  </conditionalFormatting>
  <conditionalFormatting sqref="DJ495:DJ498">
    <cfRule type="notContainsBlanks" dxfId="439" priority="461">
      <formula>LEN(TRIM(DJ495))&gt;0</formula>
    </cfRule>
  </conditionalFormatting>
  <conditionalFormatting sqref="DM527">
    <cfRule type="cellIs" dxfId="438" priority="459" operator="greaterThan">
      <formula>0</formula>
    </cfRule>
  </conditionalFormatting>
  <conditionalFormatting sqref="DL527">
    <cfRule type="cellIs" dxfId="437" priority="458" operator="greaterThan">
      <formula>0</formula>
    </cfRule>
  </conditionalFormatting>
  <conditionalFormatting sqref="DK527">
    <cfRule type="notContainsBlanks" dxfId="436" priority="456">
      <formula>LEN(TRIM(DK527))&gt;0</formula>
    </cfRule>
  </conditionalFormatting>
  <conditionalFormatting sqref="DJ527">
    <cfRule type="notContainsBlanks" dxfId="435" priority="457">
      <formula>LEN(TRIM(DJ527))&gt;0</formula>
    </cfRule>
  </conditionalFormatting>
  <conditionalFormatting sqref="DM529:DM533">
    <cfRule type="cellIs" dxfId="434" priority="455" operator="greaterThan">
      <formula>0</formula>
    </cfRule>
  </conditionalFormatting>
  <conditionalFormatting sqref="DL529:DL533">
    <cfRule type="cellIs" dxfId="433" priority="454" operator="greaterThan">
      <formula>0</formula>
    </cfRule>
  </conditionalFormatting>
  <conditionalFormatting sqref="DK529:DK531">
    <cfRule type="notContainsBlanks" dxfId="432" priority="452">
      <formula>LEN(TRIM(DK529))&gt;0</formula>
    </cfRule>
  </conditionalFormatting>
  <conditionalFormatting sqref="DJ529:DJ531">
    <cfRule type="notContainsBlanks" dxfId="431" priority="453">
      <formula>LEN(TRIM(DJ529))&gt;0</formula>
    </cfRule>
  </conditionalFormatting>
  <conditionalFormatting sqref="DM536">
    <cfRule type="cellIs" dxfId="430" priority="451" operator="greaterThan">
      <formula>0</formula>
    </cfRule>
  </conditionalFormatting>
  <conditionalFormatting sqref="DL536">
    <cfRule type="cellIs" dxfId="429" priority="450" operator="greaterThan">
      <formula>0</formula>
    </cfRule>
  </conditionalFormatting>
  <conditionalFormatting sqref="DK536">
    <cfRule type="notContainsBlanks" dxfId="428" priority="448">
      <formula>LEN(TRIM(DK536))&gt;0</formula>
    </cfRule>
  </conditionalFormatting>
  <conditionalFormatting sqref="DJ536">
    <cfRule type="notContainsBlanks" dxfId="427" priority="449">
      <formula>LEN(TRIM(DJ536))&gt;0</formula>
    </cfRule>
  </conditionalFormatting>
  <conditionalFormatting sqref="DM538">
    <cfRule type="cellIs" dxfId="426" priority="447" operator="greaterThan">
      <formula>0</formula>
    </cfRule>
  </conditionalFormatting>
  <conditionalFormatting sqref="DL538">
    <cfRule type="cellIs" dxfId="425" priority="446" operator="greaterThan">
      <formula>0</formula>
    </cfRule>
  </conditionalFormatting>
  <conditionalFormatting sqref="DK538">
    <cfRule type="notContainsBlanks" dxfId="424" priority="444">
      <formula>LEN(TRIM(DK538))&gt;0</formula>
    </cfRule>
  </conditionalFormatting>
  <conditionalFormatting sqref="DJ538">
    <cfRule type="notContainsBlanks" dxfId="423" priority="445">
      <formula>LEN(TRIM(DJ538))&gt;0</formula>
    </cfRule>
  </conditionalFormatting>
  <conditionalFormatting sqref="DM539">
    <cfRule type="cellIs" dxfId="422" priority="443" operator="greaterThan">
      <formula>0</formula>
    </cfRule>
  </conditionalFormatting>
  <conditionalFormatting sqref="DL539">
    <cfRule type="cellIs" dxfId="421" priority="442" operator="greaterThan">
      <formula>0</formula>
    </cfRule>
  </conditionalFormatting>
  <conditionalFormatting sqref="DK539">
    <cfRule type="notContainsBlanks" dxfId="420" priority="440">
      <formula>LEN(TRIM(DK539))&gt;0</formula>
    </cfRule>
  </conditionalFormatting>
  <conditionalFormatting sqref="DJ539">
    <cfRule type="notContainsBlanks" dxfId="419" priority="441">
      <formula>LEN(TRIM(DJ539))&gt;0</formula>
    </cfRule>
  </conditionalFormatting>
  <conditionalFormatting sqref="DM541:DM544">
    <cfRule type="cellIs" dxfId="418" priority="439" operator="greaterThan">
      <formula>0</formula>
    </cfRule>
  </conditionalFormatting>
  <conditionalFormatting sqref="DL541:DL544">
    <cfRule type="cellIs" dxfId="417" priority="438" operator="greaterThan">
      <formula>0</formula>
    </cfRule>
  </conditionalFormatting>
  <conditionalFormatting sqref="DK541:DK544">
    <cfRule type="notContainsBlanks" dxfId="416" priority="436">
      <formula>LEN(TRIM(DK541))&gt;0</formula>
    </cfRule>
  </conditionalFormatting>
  <conditionalFormatting sqref="DJ541:DJ544">
    <cfRule type="notContainsBlanks" dxfId="415" priority="437">
      <formula>LEN(TRIM(DJ541))&gt;0</formula>
    </cfRule>
  </conditionalFormatting>
  <conditionalFormatting sqref="DM546">
    <cfRule type="cellIs" dxfId="414" priority="435" operator="greaterThan">
      <formula>0</formula>
    </cfRule>
  </conditionalFormatting>
  <conditionalFormatting sqref="DL546">
    <cfRule type="cellIs" dxfId="413" priority="434" operator="greaterThan">
      <formula>0</formula>
    </cfRule>
  </conditionalFormatting>
  <conditionalFormatting sqref="DK546">
    <cfRule type="notContainsBlanks" dxfId="412" priority="432">
      <formula>LEN(TRIM(DK546))&gt;0</formula>
    </cfRule>
  </conditionalFormatting>
  <conditionalFormatting sqref="DJ546">
    <cfRule type="notContainsBlanks" dxfId="411" priority="433">
      <formula>LEN(TRIM(DJ546))&gt;0</formula>
    </cfRule>
  </conditionalFormatting>
  <conditionalFormatting sqref="DM548">
    <cfRule type="cellIs" dxfId="410" priority="431" operator="greaterThan">
      <formula>0</formula>
    </cfRule>
  </conditionalFormatting>
  <conditionalFormatting sqref="DL548">
    <cfRule type="cellIs" dxfId="409" priority="430" operator="greaterThan">
      <formula>0</formula>
    </cfRule>
  </conditionalFormatting>
  <conditionalFormatting sqref="DK548">
    <cfRule type="notContainsBlanks" dxfId="408" priority="428">
      <formula>LEN(TRIM(DK548))&gt;0</formula>
    </cfRule>
  </conditionalFormatting>
  <conditionalFormatting sqref="DJ548">
    <cfRule type="notContainsBlanks" dxfId="407" priority="429">
      <formula>LEN(TRIM(DJ548))&gt;0</formula>
    </cfRule>
  </conditionalFormatting>
  <conditionalFormatting sqref="DM575:DM579">
    <cfRule type="cellIs" dxfId="406" priority="427" operator="greaterThan">
      <formula>0</formula>
    </cfRule>
  </conditionalFormatting>
  <conditionalFormatting sqref="DL575:DL579">
    <cfRule type="cellIs" dxfId="405" priority="426" operator="greaterThan">
      <formula>0</formula>
    </cfRule>
  </conditionalFormatting>
  <conditionalFormatting sqref="DK575:DK579">
    <cfRule type="notContainsBlanks" dxfId="404" priority="424">
      <formula>LEN(TRIM(DK575))&gt;0</formula>
    </cfRule>
  </conditionalFormatting>
  <conditionalFormatting sqref="DJ575:DJ579">
    <cfRule type="notContainsBlanks" dxfId="403" priority="425">
      <formula>LEN(TRIM(DJ575))&gt;0</formula>
    </cfRule>
  </conditionalFormatting>
  <conditionalFormatting sqref="DM550:DM552">
    <cfRule type="cellIs" dxfId="402" priority="423" operator="greaterThan">
      <formula>0</formula>
    </cfRule>
  </conditionalFormatting>
  <conditionalFormatting sqref="DL550:DL552">
    <cfRule type="cellIs" dxfId="401" priority="422" operator="greaterThan">
      <formula>0</formula>
    </cfRule>
  </conditionalFormatting>
  <conditionalFormatting sqref="DK550:DK552">
    <cfRule type="notContainsBlanks" dxfId="400" priority="421">
      <formula>LEN(TRIM(DK550))&gt;0</formula>
    </cfRule>
  </conditionalFormatting>
  <conditionalFormatting sqref="DM554:DM555">
    <cfRule type="cellIs" dxfId="399" priority="420" operator="greaterThan">
      <formula>0</formula>
    </cfRule>
  </conditionalFormatting>
  <conditionalFormatting sqref="DL554:DL555">
    <cfRule type="cellIs" dxfId="398" priority="419" operator="greaterThan">
      <formula>0</formula>
    </cfRule>
  </conditionalFormatting>
  <conditionalFormatting sqref="DK554:DK555">
    <cfRule type="notContainsBlanks" dxfId="397" priority="417">
      <formula>LEN(TRIM(DK554))&gt;0</formula>
    </cfRule>
  </conditionalFormatting>
  <conditionalFormatting sqref="DJ554:DJ555">
    <cfRule type="notContainsBlanks" dxfId="396" priority="418">
      <formula>LEN(TRIM(DJ554))&gt;0</formula>
    </cfRule>
  </conditionalFormatting>
  <conditionalFormatting sqref="DM557:DM559">
    <cfRule type="cellIs" dxfId="395" priority="416" operator="greaterThan">
      <formula>0</formula>
    </cfRule>
  </conditionalFormatting>
  <conditionalFormatting sqref="DL557:DL559">
    <cfRule type="cellIs" dxfId="394" priority="415" operator="greaterThan">
      <formula>0</formula>
    </cfRule>
  </conditionalFormatting>
  <conditionalFormatting sqref="DK561">
    <cfRule type="notContainsBlanks" dxfId="393" priority="411">
      <formula>LEN(TRIM(DK561))&gt;0</formula>
    </cfRule>
  </conditionalFormatting>
  <conditionalFormatting sqref="DJ561">
    <cfRule type="notContainsBlanks" dxfId="392" priority="412">
      <formula>LEN(TRIM(DJ561))&gt;0</formula>
    </cfRule>
  </conditionalFormatting>
  <conditionalFormatting sqref="DM561:DM562">
    <cfRule type="cellIs" dxfId="391" priority="414" operator="greaterThan">
      <formula>0</formula>
    </cfRule>
  </conditionalFormatting>
  <conditionalFormatting sqref="DL561:DL562">
    <cfRule type="cellIs" dxfId="390" priority="413" operator="greaterThan">
      <formula>0</formula>
    </cfRule>
  </conditionalFormatting>
  <conditionalFormatting sqref="DM581">
    <cfRule type="cellIs" dxfId="389" priority="410" operator="greaterThan">
      <formula>0</formula>
    </cfRule>
  </conditionalFormatting>
  <conditionalFormatting sqref="DL581">
    <cfRule type="cellIs" dxfId="388" priority="409" operator="greaterThan">
      <formula>0</formula>
    </cfRule>
  </conditionalFormatting>
  <conditionalFormatting sqref="DK581">
    <cfRule type="notContainsBlanks" dxfId="387" priority="407">
      <formula>LEN(TRIM(DK581))&gt;0</formula>
    </cfRule>
  </conditionalFormatting>
  <conditionalFormatting sqref="DJ581">
    <cfRule type="notContainsBlanks" dxfId="386" priority="408">
      <formula>LEN(TRIM(DJ581))&gt;0</formula>
    </cfRule>
  </conditionalFormatting>
  <conditionalFormatting sqref="DM583">
    <cfRule type="cellIs" dxfId="385" priority="406" operator="greaterThan">
      <formula>0</formula>
    </cfRule>
  </conditionalFormatting>
  <conditionalFormatting sqref="DL583">
    <cfRule type="cellIs" dxfId="384" priority="405" operator="greaterThan">
      <formula>0</formula>
    </cfRule>
  </conditionalFormatting>
  <conditionalFormatting sqref="DK583">
    <cfRule type="notContainsBlanks" dxfId="383" priority="403">
      <formula>LEN(TRIM(DK583))&gt;0</formula>
    </cfRule>
  </conditionalFormatting>
  <conditionalFormatting sqref="DJ583">
    <cfRule type="notContainsBlanks" dxfId="382" priority="404">
      <formula>LEN(TRIM(DJ583))&gt;0</formula>
    </cfRule>
  </conditionalFormatting>
  <conditionalFormatting sqref="DM585">
    <cfRule type="cellIs" dxfId="381" priority="402" operator="greaterThan">
      <formula>0</formula>
    </cfRule>
  </conditionalFormatting>
  <conditionalFormatting sqref="DL585">
    <cfRule type="cellIs" dxfId="380" priority="401" operator="greaterThan">
      <formula>0</formula>
    </cfRule>
  </conditionalFormatting>
  <conditionalFormatting sqref="DK585">
    <cfRule type="notContainsBlanks" dxfId="379" priority="399">
      <formula>LEN(TRIM(DK585))&gt;0</formula>
    </cfRule>
  </conditionalFormatting>
  <conditionalFormatting sqref="DJ585">
    <cfRule type="notContainsBlanks" dxfId="378" priority="400">
      <formula>LEN(TRIM(DJ585))&gt;0</formula>
    </cfRule>
  </conditionalFormatting>
  <conditionalFormatting sqref="DM587:DM598">
    <cfRule type="cellIs" dxfId="377" priority="398" operator="greaterThan">
      <formula>0</formula>
    </cfRule>
  </conditionalFormatting>
  <conditionalFormatting sqref="DL587:DL598">
    <cfRule type="cellIs" dxfId="376" priority="397" operator="greaterThan">
      <formula>0</formula>
    </cfRule>
  </conditionalFormatting>
  <conditionalFormatting sqref="DK587:DK598">
    <cfRule type="notContainsBlanks" dxfId="375" priority="395">
      <formula>LEN(TRIM(DK587))&gt;0</formula>
    </cfRule>
  </conditionalFormatting>
  <conditionalFormatting sqref="DJ587:DJ598">
    <cfRule type="notContainsBlanks" dxfId="374" priority="396">
      <formula>LEN(TRIM(DJ587))&gt;0</formula>
    </cfRule>
  </conditionalFormatting>
  <conditionalFormatting sqref="DK63">
    <cfRule type="notContainsBlanks" dxfId="373" priority="393">
      <formula>LEN(TRIM(DK63))&gt;0</formula>
    </cfRule>
  </conditionalFormatting>
  <conditionalFormatting sqref="DJ63">
    <cfRule type="notContainsBlanks" dxfId="372" priority="394">
      <formula>LEN(TRIM(DJ63))&gt;0</formula>
    </cfRule>
  </conditionalFormatting>
  <conditionalFormatting sqref="DK338">
    <cfRule type="notContainsBlanks" dxfId="371" priority="391">
      <formula>LEN(TRIM(DK338))&gt;0</formula>
    </cfRule>
  </conditionalFormatting>
  <conditionalFormatting sqref="DJ338">
    <cfRule type="notContainsBlanks" dxfId="370" priority="392">
      <formula>LEN(TRIM(DJ338))&gt;0</formula>
    </cfRule>
  </conditionalFormatting>
  <conditionalFormatting sqref="DK562">
    <cfRule type="notContainsBlanks" dxfId="369" priority="372">
      <formula>LEN(TRIM(DK562))&gt;0</formula>
    </cfRule>
  </conditionalFormatting>
  <conditionalFormatting sqref="DJ341:DJ344">
    <cfRule type="notContainsBlanks" dxfId="368" priority="390">
      <formula>LEN(TRIM(DJ341))&gt;0</formula>
    </cfRule>
  </conditionalFormatting>
  <conditionalFormatting sqref="DK343">
    <cfRule type="notContainsBlanks" dxfId="367" priority="389">
      <formula>LEN(TRIM(DK343))&gt;0</formula>
    </cfRule>
  </conditionalFormatting>
  <conditionalFormatting sqref="DJ385:DJ386">
    <cfRule type="notContainsBlanks" dxfId="366" priority="388">
      <formula>LEN(TRIM(DJ385))&gt;0</formula>
    </cfRule>
  </conditionalFormatting>
  <conditionalFormatting sqref="DK388:DK390">
    <cfRule type="notContainsBlanks" dxfId="365" priority="386">
      <formula>LEN(TRIM(DK388))&gt;0</formula>
    </cfRule>
  </conditionalFormatting>
  <conditionalFormatting sqref="DJ388:DJ390">
    <cfRule type="notContainsBlanks" dxfId="364" priority="387">
      <formula>LEN(TRIM(DJ388))&gt;0</formula>
    </cfRule>
  </conditionalFormatting>
  <conditionalFormatting sqref="DK392:DK395">
    <cfRule type="notContainsBlanks" dxfId="363" priority="384">
      <formula>LEN(TRIM(DK392))&gt;0</formula>
    </cfRule>
  </conditionalFormatting>
  <conditionalFormatting sqref="DJ392:DJ395">
    <cfRule type="notContainsBlanks" dxfId="362" priority="385">
      <formula>LEN(TRIM(DJ392))&gt;0</formula>
    </cfRule>
  </conditionalFormatting>
  <conditionalFormatting sqref="DJ400">
    <cfRule type="notContainsBlanks" dxfId="361" priority="381">
      <formula>LEN(TRIM(DJ400))&gt;0</formula>
    </cfRule>
  </conditionalFormatting>
  <conditionalFormatting sqref="DK402">
    <cfRule type="notContainsBlanks" dxfId="360" priority="379">
      <formula>LEN(TRIM(DK402))&gt;0</formula>
    </cfRule>
  </conditionalFormatting>
  <conditionalFormatting sqref="DJ402">
    <cfRule type="notContainsBlanks" dxfId="359" priority="380">
      <formula>LEN(TRIM(DJ402))&gt;0</formula>
    </cfRule>
  </conditionalFormatting>
  <conditionalFormatting sqref="DK532:DK533">
    <cfRule type="notContainsBlanks" dxfId="358" priority="377">
      <formula>LEN(TRIM(DK532))&gt;0</formula>
    </cfRule>
  </conditionalFormatting>
  <conditionalFormatting sqref="DJ532:DJ533">
    <cfRule type="notContainsBlanks" dxfId="357" priority="378">
      <formula>LEN(TRIM(DJ532))&gt;0</formula>
    </cfRule>
  </conditionalFormatting>
  <conditionalFormatting sqref="DJ550:DJ552">
    <cfRule type="notContainsBlanks" dxfId="356" priority="376">
      <formula>LEN(TRIM(DJ550))&gt;0</formula>
    </cfRule>
  </conditionalFormatting>
  <conditionalFormatting sqref="DK557:DK559">
    <cfRule type="notContainsBlanks" dxfId="355" priority="374">
      <formula>LEN(TRIM(DK557))&gt;0</formula>
    </cfRule>
  </conditionalFormatting>
  <conditionalFormatting sqref="DJ557:DJ559">
    <cfRule type="notContainsBlanks" dxfId="354" priority="375">
      <formula>LEN(TRIM(DJ557))&gt;0</formula>
    </cfRule>
  </conditionalFormatting>
  <conditionalFormatting sqref="DJ562">
    <cfRule type="notContainsBlanks" dxfId="353" priority="373">
      <formula>LEN(TRIM(DJ562))&gt;0</formula>
    </cfRule>
  </conditionalFormatting>
  <conditionalFormatting sqref="DK285">
    <cfRule type="notContainsBlanks" dxfId="352" priority="370">
      <formula>LEN(TRIM(DK285))&gt;0</formula>
    </cfRule>
  </conditionalFormatting>
  <conditionalFormatting sqref="DJ285">
    <cfRule type="notContainsBlanks" dxfId="351" priority="371">
      <formula>LEN(TRIM(DJ285))&gt;0</formula>
    </cfRule>
  </conditionalFormatting>
  <conditionalFormatting sqref="DM285">
    <cfRule type="cellIs" dxfId="350" priority="369" operator="greaterThan">
      <formula>0</formula>
    </cfRule>
  </conditionalFormatting>
  <conditionalFormatting sqref="DL285">
    <cfRule type="cellIs" dxfId="349" priority="368" operator="greaterThan">
      <formula>0</formula>
    </cfRule>
  </conditionalFormatting>
  <conditionalFormatting sqref="DM455">
    <cfRule type="cellIs" dxfId="348" priority="367" operator="greaterThan">
      <formula>0</formula>
    </cfRule>
  </conditionalFormatting>
  <conditionalFormatting sqref="DL455">
    <cfRule type="cellIs" dxfId="347" priority="366" operator="greaterThan">
      <formula>0</formula>
    </cfRule>
  </conditionalFormatting>
  <conditionalFormatting sqref="DK455">
    <cfRule type="notContainsBlanks" dxfId="346" priority="364">
      <formula>LEN(TRIM(DK455))&gt;0</formula>
    </cfRule>
  </conditionalFormatting>
  <conditionalFormatting sqref="DJ455">
    <cfRule type="notContainsBlanks" dxfId="345" priority="365">
      <formula>LEN(TRIM(DJ455))&gt;0</formula>
    </cfRule>
  </conditionalFormatting>
  <conditionalFormatting sqref="DM439">
    <cfRule type="cellIs" dxfId="344" priority="363" operator="greaterThan">
      <formula>0</formula>
    </cfRule>
  </conditionalFormatting>
  <conditionalFormatting sqref="DL439">
    <cfRule type="cellIs" dxfId="343" priority="362" operator="greaterThan">
      <formula>0</formula>
    </cfRule>
  </conditionalFormatting>
  <conditionalFormatting sqref="DK448">
    <cfRule type="notContainsBlanks" dxfId="342" priority="357">
      <formula>LEN(TRIM(DK448))&gt;0</formula>
    </cfRule>
  </conditionalFormatting>
  <conditionalFormatting sqref="DJ439">
    <cfRule type="notContainsBlanks" dxfId="341" priority="361">
      <formula>LEN(TRIM(DJ439))&gt;0</formula>
    </cfRule>
  </conditionalFormatting>
  <conditionalFormatting sqref="DM448">
    <cfRule type="cellIs" dxfId="340" priority="360" operator="greaterThan">
      <formula>0</formula>
    </cfRule>
  </conditionalFormatting>
  <conditionalFormatting sqref="DL448">
    <cfRule type="cellIs" dxfId="339" priority="359" operator="greaterThan">
      <formula>0</formula>
    </cfRule>
  </conditionalFormatting>
  <conditionalFormatting sqref="DK440">
    <cfRule type="notContainsBlanks" dxfId="338" priority="349">
      <formula>LEN(TRIM(DK440))&gt;0</formula>
    </cfRule>
  </conditionalFormatting>
  <conditionalFormatting sqref="DJ448">
    <cfRule type="notContainsBlanks" dxfId="337" priority="358">
      <formula>LEN(TRIM(DJ448))&gt;0</formula>
    </cfRule>
  </conditionalFormatting>
  <conditionalFormatting sqref="DM448">
    <cfRule type="cellIs" dxfId="336" priority="356" operator="greaterThan">
      <formula>0</formula>
    </cfRule>
  </conditionalFormatting>
  <conditionalFormatting sqref="DL448">
    <cfRule type="cellIs" dxfId="335" priority="355" operator="greaterThan">
      <formula>0</formula>
    </cfRule>
  </conditionalFormatting>
  <conditionalFormatting sqref="DK448">
    <cfRule type="notContainsBlanks" dxfId="334" priority="353">
      <formula>LEN(TRIM(DK448))&gt;0</formula>
    </cfRule>
  </conditionalFormatting>
  <conditionalFormatting sqref="DJ448">
    <cfRule type="notContainsBlanks" dxfId="333" priority="354">
      <formula>LEN(TRIM(DJ448))&gt;0</formula>
    </cfRule>
  </conditionalFormatting>
  <conditionalFormatting sqref="DK439">
    <cfRule type="notContainsBlanks" dxfId="332" priority="352">
      <formula>LEN(TRIM(DK439))&gt;0</formula>
    </cfRule>
  </conditionalFormatting>
  <conditionalFormatting sqref="DK439">
    <cfRule type="notContainsBlanks" dxfId="331" priority="351">
      <formula>LEN(TRIM(DK439))&gt;0</formula>
    </cfRule>
  </conditionalFormatting>
  <conditionalFormatting sqref="DK440">
    <cfRule type="notContainsBlanks" dxfId="330" priority="350">
      <formula>LEN(TRIM(DK440))&gt;0</formula>
    </cfRule>
  </conditionalFormatting>
  <conditionalFormatting sqref="DK457">
    <cfRule type="notContainsBlanks" dxfId="329" priority="345">
      <formula>LEN(TRIM(DK457))&gt;0</formula>
    </cfRule>
  </conditionalFormatting>
  <conditionalFormatting sqref="DK457">
    <cfRule type="notContainsBlanks" dxfId="328" priority="341">
      <formula>LEN(TRIM(DK457))&gt;0</formula>
    </cfRule>
  </conditionalFormatting>
  <conditionalFormatting sqref="DM457">
    <cfRule type="cellIs" dxfId="327" priority="348" operator="greaterThan">
      <formula>0</formula>
    </cfRule>
  </conditionalFormatting>
  <conditionalFormatting sqref="DL457">
    <cfRule type="cellIs" dxfId="326" priority="347" operator="greaterThan">
      <formula>0</formula>
    </cfRule>
  </conditionalFormatting>
  <conditionalFormatting sqref="DJ457">
    <cfRule type="notContainsBlanks" dxfId="325" priority="346">
      <formula>LEN(TRIM(DJ457))&gt;0</formula>
    </cfRule>
  </conditionalFormatting>
  <conditionalFormatting sqref="DM457">
    <cfRule type="cellIs" dxfId="324" priority="344" operator="greaterThan">
      <formula>0</formula>
    </cfRule>
  </conditionalFormatting>
  <conditionalFormatting sqref="DL457">
    <cfRule type="cellIs" dxfId="323" priority="343" operator="greaterThan">
      <formula>0</formula>
    </cfRule>
  </conditionalFormatting>
  <conditionalFormatting sqref="DK565">
    <cfRule type="notContainsBlanks" dxfId="322" priority="329">
      <formula>LEN(TRIM(DK565))&gt;0</formula>
    </cfRule>
  </conditionalFormatting>
  <conditionalFormatting sqref="DJ457">
    <cfRule type="notContainsBlanks" dxfId="321" priority="342">
      <formula>LEN(TRIM(DJ457))&gt;0</formula>
    </cfRule>
  </conditionalFormatting>
  <conditionalFormatting sqref="DJ257:DJ259">
    <cfRule type="notContainsBlanks" dxfId="320" priority="340">
      <formula>LEN(TRIM(DJ257))&gt;0</formula>
    </cfRule>
  </conditionalFormatting>
  <conditionalFormatting sqref="DM261">
    <cfRule type="cellIs" dxfId="319" priority="339" operator="greaterThan">
      <formula>0</formula>
    </cfRule>
  </conditionalFormatting>
  <conditionalFormatting sqref="DL261">
    <cfRule type="cellIs" dxfId="318" priority="338" operator="greaterThan">
      <formula>0</formula>
    </cfRule>
  </conditionalFormatting>
  <conditionalFormatting sqref="DJ261">
    <cfRule type="notContainsBlanks" dxfId="317" priority="337">
      <formula>LEN(TRIM(DJ261))&gt;0</formula>
    </cfRule>
  </conditionalFormatting>
  <conditionalFormatting sqref="DM166">
    <cfRule type="cellIs" dxfId="316" priority="336" operator="greaterThan">
      <formula>0</formula>
    </cfRule>
  </conditionalFormatting>
  <conditionalFormatting sqref="DL166">
    <cfRule type="cellIs" dxfId="315" priority="335" operator="greaterThan">
      <formula>0</formula>
    </cfRule>
  </conditionalFormatting>
  <conditionalFormatting sqref="DK166">
    <cfRule type="notContainsBlanks" dxfId="314" priority="333">
      <formula>LEN(TRIM(DK166))&gt;0</formula>
    </cfRule>
  </conditionalFormatting>
  <conditionalFormatting sqref="DJ166">
    <cfRule type="notContainsBlanks" dxfId="313" priority="334">
      <formula>LEN(TRIM(DJ166))&gt;0</formula>
    </cfRule>
  </conditionalFormatting>
  <conditionalFormatting sqref="DM565">
    <cfRule type="cellIs" dxfId="312" priority="332" operator="greaterThan">
      <formula>0</formula>
    </cfRule>
  </conditionalFormatting>
  <conditionalFormatting sqref="DL565">
    <cfRule type="cellIs" dxfId="311" priority="331" operator="greaterThan">
      <formula>0</formula>
    </cfRule>
  </conditionalFormatting>
  <conditionalFormatting sqref="DJ565">
    <cfRule type="notContainsBlanks" dxfId="310" priority="330">
      <formula>LEN(TRIM(DJ565))&gt;0</formula>
    </cfRule>
  </conditionalFormatting>
  <conditionalFormatting sqref="DM564">
    <cfRule type="cellIs" dxfId="309" priority="328" operator="greaterThan">
      <formula>0</formula>
    </cfRule>
  </conditionalFormatting>
  <conditionalFormatting sqref="DL564">
    <cfRule type="cellIs" dxfId="308" priority="327" operator="greaterThan">
      <formula>0</formula>
    </cfRule>
  </conditionalFormatting>
  <conditionalFormatting sqref="DK564">
    <cfRule type="notContainsBlanks" dxfId="307" priority="325">
      <formula>LEN(TRIM(DK564))&gt;0</formula>
    </cfRule>
  </conditionalFormatting>
  <conditionalFormatting sqref="DJ564">
    <cfRule type="notContainsBlanks" dxfId="306" priority="326">
      <formula>LEN(TRIM(DJ564))&gt;0</formula>
    </cfRule>
  </conditionalFormatting>
  <conditionalFormatting sqref="DM566">
    <cfRule type="cellIs" dxfId="305" priority="324" operator="greaterThan">
      <formula>0</formula>
    </cfRule>
  </conditionalFormatting>
  <conditionalFormatting sqref="DL566">
    <cfRule type="cellIs" dxfId="304" priority="323" operator="greaterThan">
      <formula>0</formula>
    </cfRule>
  </conditionalFormatting>
  <conditionalFormatting sqref="DK566">
    <cfRule type="notContainsBlanks" dxfId="303" priority="321">
      <formula>LEN(TRIM(DK566))&gt;0</formula>
    </cfRule>
  </conditionalFormatting>
  <conditionalFormatting sqref="DJ566">
    <cfRule type="notContainsBlanks" dxfId="302" priority="322">
      <formula>LEN(TRIM(DJ566))&gt;0</formula>
    </cfRule>
  </conditionalFormatting>
  <conditionalFormatting sqref="DM260">
    <cfRule type="cellIs" dxfId="301" priority="320" operator="greaterThan">
      <formula>0</formula>
    </cfRule>
  </conditionalFormatting>
  <conditionalFormatting sqref="DL260">
    <cfRule type="cellIs" dxfId="300" priority="319" operator="greaterThan">
      <formula>0</formula>
    </cfRule>
  </conditionalFormatting>
  <conditionalFormatting sqref="DJ260">
    <cfRule type="notContainsBlanks" dxfId="299" priority="318">
      <formula>LEN(TRIM(DJ260))&gt;0</formula>
    </cfRule>
  </conditionalFormatting>
  <conditionalFormatting sqref="DM232">
    <cfRule type="cellIs" dxfId="298" priority="317" operator="greaterThan">
      <formula>0</formula>
    </cfRule>
  </conditionalFormatting>
  <conditionalFormatting sqref="DL232">
    <cfRule type="cellIs" dxfId="297" priority="316" operator="greaterThan">
      <formula>0</formula>
    </cfRule>
  </conditionalFormatting>
  <conditionalFormatting sqref="DK232">
    <cfRule type="notContainsBlanks" dxfId="296" priority="314">
      <formula>LEN(TRIM(DK232))&gt;0</formula>
    </cfRule>
  </conditionalFormatting>
  <conditionalFormatting sqref="DJ232">
    <cfRule type="notContainsBlanks" dxfId="295" priority="315">
      <formula>LEN(TRIM(DJ232))&gt;0</formula>
    </cfRule>
  </conditionalFormatting>
  <conditionalFormatting sqref="DK318">
    <cfRule type="notContainsBlanks" dxfId="294" priority="312">
      <formula>LEN(TRIM(DK318))&gt;0</formula>
    </cfRule>
  </conditionalFormatting>
  <conditionalFormatting sqref="DJ318">
    <cfRule type="notContainsBlanks" dxfId="293" priority="313">
      <formula>LEN(TRIM(DJ318))&gt;0</formula>
    </cfRule>
  </conditionalFormatting>
  <conditionalFormatting sqref="DM244">
    <cfRule type="cellIs" dxfId="292" priority="311" operator="greaterThan">
      <formula>0</formula>
    </cfRule>
  </conditionalFormatting>
  <conditionalFormatting sqref="DL244">
    <cfRule type="cellIs" dxfId="291" priority="310" operator="greaterThan">
      <formula>0</formula>
    </cfRule>
  </conditionalFormatting>
  <conditionalFormatting sqref="DK244">
    <cfRule type="notContainsBlanks" dxfId="290" priority="308">
      <formula>LEN(TRIM(DK244))&gt;0</formula>
    </cfRule>
  </conditionalFormatting>
  <conditionalFormatting sqref="DJ244">
    <cfRule type="notContainsBlanks" dxfId="289" priority="309">
      <formula>LEN(TRIM(DJ244))&gt;0</formula>
    </cfRule>
  </conditionalFormatting>
  <conditionalFormatting sqref="DM534">
    <cfRule type="cellIs" dxfId="288" priority="307" operator="greaterThan">
      <formula>0</formula>
    </cfRule>
  </conditionalFormatting>
  <conditionalFormatting sqref="DL534">
    <cfRule type="cellIs" dxfId="287" priority="306" operator="greaterThan">
      <formula>0</formula>
    </cfRule>
  </conditionalFormatting>
  <conditionalFormatting sqref="DK534">
    <cfRule type="notContainsBlanks" dxfId="286" priority="304">
      <formula>LEN(TRIM(DK534))&gt;0</formula>
    </cfRule>
  </conditionalFormatting>
  <conditionalFormatting sqref="DJ534">
    <cfRule type="notContainsBlanks" dxfId="285" priority="305">
      <formula>LEN(TRIM(DJ534))&gt;0</formula>
    </cfRule>
  </conditionalFormatting>
  <conditionalFormatting sqref="DM165">
    <cfRule type="cellIs" dxfId="284" priority="303" operator="greaterThan">
      <formula>0</formula>
    </cfRule>
  </conditionalFormatting>
  <conditionalFormatting sqref="DL165">
    <cfRule type="cellIs" dxfId="283" priority="302" operator="greaterThan">
      <formula>0</formula>
    </cfRule>
  </conditionalFormatting>
  <conditionalFormatting sqref="DK165">
    <cfRule type="notContainsBlanks" dxfId="282" priority="300">
      <formula>LEN(TRIM(DK165))&gt;0</formula>
    </cfRule>
  </conditionalFormatting>
  <conditionalFormatting sqref="DJ165">
    <cfRule type="notContainsBlanks" dxfId="281" priority="301">
      <formula>LEN(TRIM(DJ165))&gt;0</formula>
    </cfRule>
  </conditionalFormatting>
  <conditionalFormatting sqref="DK463">
    <cfRule type="notContainsBlanks" dxfId="280" priority="298">
      <formula>LEN(TRIM(DK463))&gt;0</formula>
    </cfRule>
  </conditionalFormatting>
  <conditionalFormatting sqref="DK475:DK476">
    <cfRule type="notContainsBlanks" dxfId="279" priority="295">
      <formula>LEN(TRIM(DK475))&gt;0</formula>
    </cfRule>
  </conditionalFormatting>
  <conditionalFormatting sqref="DJ463">
    <cfRule type="notContainsBlanks" dxfId="278" priority="299">
      <formula>LEN(TRIM(DJ463))&gt;0</formula>
    </cfRule>
  </conditionalFormatting>
  <conditionalFormatting sqref="DM475:DM476">
    <cfRule type="cellIs" dxfId="277" priority="297" operator="greaterThan">
      <formula>0</formula>
    </cfRule>
  </conditionalFormatting>
  <conditionalFormatting sqref="DL475:DL476">
    <cfRule type="cellIs" dxfId="276" priority="296" operator="greaterThan">
      <formula>0</formula>
    </cfRule>
  </conditionalFormatting>
  <conditionalFormatting sqref="DM473:DM474">
    <cfRule type="cellIs" dxfId="275" priority="294" operator="greaterThan">
      <formula>0</formula>
    </cfRule>
  </conditionalFormatting>
  <conditionalFormatting sqref="DL473:DL474">
    <cfRule type="cellIs" dxfId="274" priority="293" operator="greaterThan">
      <formula>0</formula>
    </cfRule>
  </conditionalFormatting>
  <conditionalFormatting sqref="DK473:DK474">
    <cfRule type="notContainsBlanks" dxfId="273" priority="292">
      <formula>LEN(TRIM(DK473))&gt;0</formula>
    </cfRule>
  </conditionalFormatting>
  <conditionalFormatting sqref="DK471:DK472">
    <cfRule type="notContainsBlanks" dxfId="272" priority="289">
      <formula>LEN(TRIM(DK471))&gt;0</formula>
    </cfRule>
  </conditionalFormatting>
  <conditionalFormatting sqref="DM471:DM472">
    <cfRule type="cellIs" dxfId="271" priority="291" operator="greaterThan">
      <formula>0</formula>
    </cfRule>
  </conditionalFormatting>
  <conditionalFormatting sqref="DL471:DL472">
    <cfRule type="cellIs" dxfId="270" priority="290" operator="greaterThan">
      <formula>0</formula>
    </cfRule>
  </conditionalFormatting>
  <conditionalFormatting sqref="DJ468">
    <cfRule type="notContainsBlanks" dxfId="269" priority="288">
      <formula>LEN(TRIM(DJ468))&gt;0</formula>
    </cfRule>
  </conditionalFormatting>
  <conditionalFormatting sqref="DJ467">
    <cfRule type="notContainsBlanks" dxfId="268" priority="287">
      <formula>LEN(TRIM(DJ467))&gt;0</formula>
    </cfRule>
  </conditionalFormatting>
  <conditionalFormatting sqref="DJ466">
    <cfRule type="notContainsBlanks" dxfId="267" priority="286">
      <formula>LEN(TRIM(DJ466))&gt;0</formula>
    </cfRule>
  </conditionalFormatting>
  <conditionalFormatting sqref="DJ469:DJ470">
    <cfRule type="notContainsBlanks" dxfId="266" priority="285">
      <formula>LEN(TRIM(DJ469))&gt;0</formula>
    </cfRule>
  </conditionalFormatting>
  <conditionalFormatting sqref="DJ471:DJ477">
    <cfRule type="notContainsBlanks" dxfId="265" priority="284">
      <formula>LEN(TRIM(DJ471))&gt;0</formula>
    </cfRule>
  </conditionalFormatting>
  <conditionalFormatting sqref="DL318">
    <cfRule type="cellIs" dxfId="264" priority="283" operator="greaterThan">
      <formula>0</formula>
    </cfRule>
  </conditionalFormatting>
  <conditionalFormatting sqref="DM318">
    <cfRule type="cellIs" dxfId="263" priority="282" operator="greaterThan">
      <formula>0</formula>
    </cfRule>
  </conditionalFormatting>
  <conditionalFormatting sqref="DM271">
    <cfRule type="cellIs" dxfId="262" priority="281" operator="greaterThan">
      <formula>0</formula>
    </cfRule>
  </conditionalFormatting>
  <conditionalFormatting sqref="DL271">
    <cfRule type="cellIs" dxfId="261" priority="280" operator="greaterThan">
      <formula>0</formula>
    </cfRule>
  </conditionalFormatting>
  <conditionalFormatting sqref="DL602">
    <cfRule type="cellIs" dxfId="260" priority="278" operator="greaterThan">
      <formula>0</formula>
    </cfRule>
  </conditionalFormatting>
  <conditionalFormatting sqref="DK602">
    <cfRule type="notContainsBlanks" dxfId="259" priority="277">
      <formula>LEN(TRIM(DK602))&gt;0</formula>
    </cfRule>
  </conditionalFormatting>
  <conditionalFormatting sqref="DJ602">
    <cfRule type="notContainsBlanks" dxfId="258" priority="279">
      <formula>LEN(TRIM(DJ602))&gt;0</formula>
    </cfRule>
  </conditionalFormatting>
  <conditionalFormatting sqref="DM602">
    <cfRule type="cellIs" dxfId="257" priority="276" operator="greaterThan">
      <formula>0</formula>
    </cfRule>
  </conditionalFormatting>
  <conditionalFormatting sqref="DL603">
    <cfRule type="cellIs" dxfId="256" priority="274" operator="greaterThan">
      <formula>0</formula>
    </cfRule>
  </conditionalFormatting>
  <conditionalFormatting sqref="DK603">
    <cfRule type="notContainsBlanks" dxfId="255" priority="273">
      <formula>LEN(TRIM(DK603))&gt;0</formula>
    </cfRule>
  </conditionalFormatting>
  <conditionalFormatting sqref="DJ603">
    <cfRule type="notContainsBlanks" dxfId="254" priority="275">
      <formula>LEN(TRIM(DJ603))&gt;0</formula>
    </cfRule>
  </conditionalFormatting>
  <conditionalFormatting sqref="DM603">
    <cfRule type="cellIs" dxfId="253" priority="272" operator="greaterThan">
      <formula>0</formula>
    </cfRule>
  </conditionalFormatting>
  <conditionalFormatting sqref="DL604">
    <cfRule type="cellIs" dxfId="252" priority="270" operator="greaterThan">
      <formula>0</formula>
    </cfRule>
  </conditionalFormatting>
  <conditionalFormatting sqref="DK604">
    <cfRule type="notContainsBlanks" dxfId="251" priority="269">
      <formula>LEN(TRIM(DK604))&gt;0</formula>
    </cfRule>
  </conditionalFormatting>
  <conditionalFormatting sqref="DJ604">
    <cfRule type="notContainsBlanks" dxfId="250" priority="271">
      <formula>LEN(TRIM(DJ604))&gt;0</formula>
    </cfRule>
  </conditionalFormatting>
  <conditionalFormatting sqref="DM604">
    <cfRule type="cellIs" dxfId="249" priority="268" operator="greaterThan">
      <formula>0</formula>
    </cfRule>
  </conditionalFormatting>
  <conditionalFormatting sqref="DL605">
    <cfRule type="cellIs" dxfId="248" priority="266" operator="greaterThan">
      <formula>0</formula>
    </cfRule>
  </conditionalFormatting>
  <conditionalFormatting sqref="DK605">
    <cfRule type="notContainsBlanks" dxfId="247" priority="265">
      <formula>LEN(TRIM(DK605))&gt;0</formula>
    </cfRule>
  </conditionalFormatting>
  <conditionalFormatting sqref="DJ605">
    <cfRule type="notContainsBlanks" dxfId="246" priority="267">
      <formula>LEN(TRIM(DJ605))&gt;0</formula>
    </cfRule>
  </conditionalFormatting>
  <conditionalFormatting sqref="DM605">
    <cfRule type="cellIs" dxfId="245" priority="264" operator="greaterThan">
      <formula>0</formula>
    </cfRule>
  </conditionalFormatting>
  <conditionalFormatting sqref="DL608">
    <cfRule type="cellIs" dxfId="244" priority="262" operator="greaterThan">
      <formula>0</formula>
    </cfRule>
  </conditionalFormatting>
  <conditionalFormatting sqref="DK608">
    <cfRule type="notContainsBlanks" dxfId="243" priority="261">
      <formula>LEN(TRIM(DK608))&gt;0</formula>
    </cfRule>
  </conditionalFormatting>
  <conditionalFormatting sqref="DJ608">
    <cfRule type="notContainsBlanks" dxfId="242" priority="263">
      <formula>LEN(TRIM(DJ608))&gt;0</formula>
    </cfRule>
  </conditionalFormatting>
  <conditionalFormatting sqref="DM608">
    <cfRule type="cellIs" dxfId="241" priority="260" operator="greaterThan">
      <formula>0</formula>
    </cfRule>
  </conditionalFormatting>
  <conditionalFormatting sqref="DL609">
    <cfRule type="cellIs" dxfId="240" priority="258" operator="greaterThan">
      <formula>0</formula>
    </cfRule>
  </conditionalFormatting>
  <conditionalFormatting sqref="DK609">
    <cfRule type="notContainsBlanks" dxfId="239" priority="257">
      <formula>LEN(TRIM(DK609))&gt;0</formula>
    </cfRule>
  </conditionalFormatting>
  <conditionalFormatting sqref="DJ609">
    <cfRule type="notContainsBlanks" dxfId="238" priority="259">
      <formula>LEN(TRIM(DJ609))&gt;0</formula>
    </cfRule>
  </conditionalFormatting>
  <conditionalFormatting sqref="DM609">
    <cfRule type="cellIs" dxfId="237" priority="256" operator="greaterThan">
      <formula>0</formula>
    </cfRule>
  </conditionalFormatting>
  <conditionalFormatting sqref="DL610">
    <cfRule type="cellIs" dxfId="236" priority="254" operator="greaterThan">
      <formula>0</formula>
    </cfRule>
  </conditionalFormatting>
  <conditionalFormatting sqref="DK610">
    <cfRule type="notContainsBlanks" dxfId="235" priority="253">
      <formula>LEN(TRIM(DK610))&gt;0</formula>
    </cfRule>
  </conditionalFormatting>
  <conditionalFormatting sqref="DJ610">
    <cfRule type="notContainsBlanks" dxfId="234" priority="255">
      <formula>LEN(TRIM(DJ610))&gt;0</formula>
    </cfRule>
  </conditionalFormatting>
  <conditionalFormatting sqref="DM610">
    <cfRule type="cellIs" dxfId="233" priority="252" operator="greaterThan">
      <formula>0</formula>
    </cfRule>
  </conditionalFormatting>
  <conditionalFormatting sqref="DL612">
    <cfRule type="cellIs" dxfId="232" priority="250" operator="greaterThan">
      <formula>0</formula>
    </cfRule>
  </conditionalFormatting>
  <conditionalFormatting sqref="DK612">
    <cfRule type="notContainsBlanks" dxfId="231" priority="249">
      <formula>LEN(TRIM(DK612))&gt;0</formula>
    </cfRule>
  </conditionalFormatting>
  <conditionalFormatting sqref="DJ612">
    <cfRule type="notContainsBlanks" dxfId="230" priority="251">
      <formula>LEN(TRIM(DJ612))&gt;0</formula>
    </cfRule>
  </conditionalFormatting>
  <conditionalFormatting sqref="DM612">
    <cfRule type="cellIs" dxfId="229" priority="248" operator="greaterThan">
      <formula>0</formula>
    </cfRule>
  </conditionalFormatting>
  <conditionalFormatting sqref="DL617">
    <cfRule type="cellIs" dxfId="228" priority="246" operator="greaterThan">
      <formula>0</formula>
    </cfRule>
  </conditionalFormatting>
  <conditionalFormatting sqref="DK617">
    <cfRule type="notContainsBlanks" dxfId="227" priority="245">
      <formula>LEN(TRIM(DK617))&gt;0</formula>
    </cfRule>
  </conditionalFormatting>
  <conditionalFormatting sqref="DJ617">
    <cfRule type="notContainsBlanks" dxfId="226" priority="247">
      <formula>LEN(TRIM(DJ617))&gt;0</formula>
    </cfRule>
  </conditionalFormatting>
  <conditionalFormatting sqref="DM617">
    <cfRule type="cellIs" dxfId="225" priority="244" operator="greaterThan">
      <formula>0</formula>
    </cfRule>
  </conditionalFormatting>
  <conditionalFormatting sqref="DL618">
    <cfRule type="cellIs" dxfId="224" priority="242" operator="greaterThan">
      <formula>0</formula>
    </cfRule>
  </conditionalFormatting>
  <conditionalFormatting sqref="DK618">
    <cfRule type="notContainsBlanks" dxfId="223" priority="241">
      <formula>LEN(TRIM(DK618))&gt;0</formula>
    </cfRule>
  </conditionalFormatting>
  <conditionalFormatting sqref="DJ618">
    <cfRule type="notContainsBlanks" dxfId="222" priority="243">
      <formula>LEN(TRIM(DJ618))&gt;0</formula>
    </cfRule>
  </conditionalFormatting>
  <conditionalFormatting sqref="DM618">
    <cfRule type="cellIs" dxfId="221" priority="240" operator="greaterThan">
      <formula>0</formula>
    </cfRule>
  </conditionalFormatting>
  <conditionalFormatting sqref="DL619:DL623">
    <cfRule type="cellIs" dxfId="220" priority="238" operator="greaterThan">
      <formula>0</formula>
    </cfRule>
  </conditionalFormatting>
  <conditionalFormatting sqref="DK619:DK623">
    <cfRule type="notContainsBlanks" dxfId="219" priority="237">
      <formula>LEN(TRIM(DK619))&gt;0</formula>
    </cfRule>
  </conditionalFormatting>
  <conditionalFormatting sqref="DJ619:DJ623">
    <cfRule type="notContainsBlanks" dxfId="218" priority="239">
      <formula>LEN(TRIM(DJ619))&gt;0</formula>
    </cfRule>
  </conditionalFormatting>
  <conditionalFormatting sqref="DM619:DM623">
    <cfRule type="cellIs" dxfId="217" priority="236" operator="greaterThan">
      <formula>0</formula>
    </cfRule>
  </conditionalFormatting>
  <conditionalFormatting sqref="DL624">
    <cfRule type="cellIs" dxfId="216" priority="234" operator="greaterThan">
      <formula>0</formula>
    </cfRule>
  </conditionalFormatting>
  <conditionalFormatting sqref="DK624">
    <cfRule type="notContainsBlanks" dxfId="215" priority="233">
      <formula>LEN(TRIM(DK624))&gt;0</formula>
    </cfRule>
  </conditionalFormatting>
  <conditionalFormatting sqref="DJ624">
    <cfRule type="notContainsBlanks" dxfId="214" priority="235">
      <formula>LEN(TRIM(DJ624))&gt;0</formula>
    </cfRule>
  </conditionalFormatting>
  <conditionalFormatting sqref="DM624">
    <cfRule type="cellIs" dxfId="213" priority="232" operator="greaterThan">
      <formula>0</formula>
    </cfRule>
  </conditionalFormatting>
  <conditionalFormatting sqref="DL625">
    <cfRule type="cellIs" dxfId="212" priority="230" operator="greaterThan">
      <formula>0</formula>
    </cfRule>
  </conditionalFormatting>
  <conditionalFormatting sqref="DK625">
    <cfRule type="notContainsBlanks" dxfId="211" priority="229">
      <formula>LEN(TRIM(DK625))&gt;0</formula>
    </cfRule>
  </conditionalFormatting>
  <conditionalFormatting sqref="DJ625">
    <cfRule type="notContainsBlanks" dxfId="210" priority="231">
      <formula>LEN(TRIM(DJ625))&gt;0</formula>
    </cfRule>
  </conditionalFormatting>
  <conditionalFormatting sqref="DM625">
    <cfRule type="cellIs" dxfId="209" priority="228" operator="greaterThan">
      <formula>0</formula>
    </cfRule>
  </conditionalFormatting>
  <conditionalFormatting sqref="DL630">
    <cfRule type="cellIs" dxfId="208" priority="226" operator="greaterThan">
      <formula>0</formula>
    </cfRule>
  </conditionalFormatting>
  <conditionalFormatting sqref="DK630">
    <cfRule type="notContainsBlanks" dxfId="207" priority="225">
      <formula>LEN(TRIM(DK630))&gt;0</formula>
    </cfRule>
  </conditionalFormatting>
  <conditionalFormatting sqref="DJ630">
    <cfRule type="notContainsBlanks" dxfId="206" priority="227">
      <formula>LEN(TRIM(DJ630))&gt;0</formula>
    </cfRule>
  </conditionalFormatting>
  <conditionalFormatting sqref="DM630">
    <cfRule type="cellIs" dxfId="205" priority="224" operator="greaterThan">
      <formula>0</formula>
    </cfRule>
  </conditionalFormatting>
  <conditionalFormatting sqref="DL627">
    <cfRule type="cellIs" dxfId="204" priority="222" operator="greaterThan">
      <formula>0</formula>
    </cfRule>
  </conditionalFormatting>
  <conditionalFormatting sqref="DK627">
    <cfRule type="notContainsBlanks" dxfId="203" priority="221">
      <formula>LEN(TRIM(DK627))&gt;0</formula>
    </cfRule>
  </conditionalFormatting>
  <conditionalFormatting sqref="DJ627">
    <cfRule type="notContainsBlanks" dxfId="202" priority="223">
      <formula>LEN(TRIM(DJ627))&gt;0</formula>
    </cfRule>
  </conditionalFormatting>
  <conditionalFormatting sqref="DM627">
    <cfRule type="cellIs" dxfId="201" priority="220" operator="greaterThan">
      <formula>0</formula>
    </cfRule>
  </conditionalFormatting>
  <conditionalFormatting sqref="DL628">
    <cfRule type="cellIs" dxfId="200" priority="218" operator="greaterThan">
      <formula>0</formula>
    </cfRule>
  </conditionalFormatting>
  <conditionalFormatting sqref="DK628">
    <cfRule type="notContainsBlanks" dxfId="199" priority="217">
      <formula>LEN(TRIM(DK628))&gt;0</formula>
    </cfRule>
  </conditionalFormatting>
  <conditionalFormatting sqref="DJ628">
    <cfRule type="notContainsBlanks" dxfId="198" priority="219">
      <formula>LEN(TRIM(DJ628))&gt;0</formula>
    </cfRule>
  </conditionalFormatting>
  <conditionalFormatting sqref="DM628">
    <cfRule type="cellIs" dxfId="197" priority="216" operator="greaterThan">
      <formula>0</formula>
    </cfRule>
  </conditionalFormatting>
  <conditionalFormatting sqref="DL629">
    <cfRule type="cellIs" dxfId="196" priority="214" operator="greaterThan">
      <formula>0</formula>
    </cfRule>
  </conditionalFormatting>
  <conditionalFormatting sqref="DK629">
    <cfRule type="notContainsBlanks" dxfId="195" priority="213">
      <formula>LEN(TRIM(DK629))&gt;0</formula>
    </cfRule>
  </conditionalFormatting>
  <conditionalFormatting sqref="DJ629">
    <cfRule type="notContainsBlanks" dxfId="194" priority="215">
      <formula>LEN(TRIM(DJ629))&gt;0</formula>
    </cfRule>
  </conditionalFormatting>
  <conditionalFormatting sqref="DM629">
    <cfRule type="cellIs" dxfId="193" priority="212" operator="greaterThan">
      <formula>0</formula>
    </cfRule>
  </conditionalFormatting>
  <conditionalFormatting sqref="HI567:HI568 HI5:HI11 HI13:HI18 HI265:HI284 HI464:HI465 HI487:HI489 HI600:HI601 HI606:HI607 HI611 HI613:HI616 HI626 HI631 HI193:HI221 HI381:HI383 HI20:HI21 HI286:HI317 HI319:HI337 HI500:HI528 HI415:HI447 HI620:HI623 HI570:HI573">
    <cfRule type="notContainsBlanks" dxfId="192" priority="207">
      <formula>LEN(TRIM(HI5))&gt;0</formula>
    </cfRule>
  </conditionalFormatting>
  <conditionalFormatting sqref="HI167:HI170">
    <cfRule type="notContainsBlanks" dxfId="191" priority="206">
      <formula>LEN(TRIM(HI167))&gt;0</formula>
    </cfRule>
  </conditionalFormatting>
  <conditionalFormatting sqref="HI172:HI191">
    <cfRule type="notContainsBlanks" dxfId="190" priority="205">
      <formula>LEN(TRIM(HI172))&gt;0</formula>
    </cfRule>
  </conditionalFormatting>
  <conditionalFormatting sqref="HI222:HI225">
    <cfRule type="notContainsBlanks" dxfId="189" priority="204">
      <formula>LEN(TRIM(HI222))&gt;0</formula>
    </cfRule>
  </conditionalFormatting>
  <conditionalFormatting sqref="HI226:HI227">
    <cfRule type="notContainsBlanks" dxfId="188" priority="203">
      <formula>LEN(TRIM(HI226))&gt;0</formula>
    </cfRule>
  </conditionalFormatting>
  <conditionalFormatting sqref="HI388:HI390">
    <cfRule type="notContainsBlanks" dxfId="187" priority="170">
      <formula>LEN(TRIM(HI388))&gt;0</formula>
    </cfRule>
  </conditionalFormatting>
  <conditionalFormatting sqref="HI392:HI395">
    <cfRule type="notContainsBlanks" dxfId="186" priority="169">
      <formula>LEN(TRIM(HI392))&gt;0</formula>
    </cfRule>
  </conditionalFormatting>
  <conditionalFormatting sqref="HI236:HI238 HI240:HI243 HI245:HI256">
    <cfRule type="notContainsBlanks" dxfId="185" priority="200">
      <formula>LEN(TRIM(HI236))&gt;0</formula>
    </cfRule>
  </conditionalFormatting>
  <conditionalFormatting sqref="HI332:HI333">
    <cfRule type="notContainsBlanks" dxfId="184" priority="198">
      <formula>LEN(TRIM(HI332))&gt;0</formula>
    </cfRule>
  </conditionalFormatting>
  <conditionalFormatting sqref="HI339:HI340">
    <cfRule type="notContainsBlanks" dxfId="183" priority="197">
      <formula>LEN(TRIM(HI339))&gt;0</formula>
    </cfRule>
  </conditionalFormatting>
  <conditionalFormatting sqref="HI480:HI485">
    <cfRule type="notContainsBlanks" dxfId="182" priority="192">
      <formula>LEN(TRIM(HI480))&gt;0</formula>
    </cfRule>
  </conditionalFormatting>
  <conditionalFormatting sqref="HI406:HI409 HI411:HI413">
    <cfRule type="notContainsBlanks" dxfId="181" priority="195">
      <formula>LEN(TRIM(HI406))&gt;0</formula>
    </cfRule>
  </conditionalFormatting>
  <conditionalFormatting sqref="HI456 HI449:HI454 HI458:HI461">
    <cfRule type="notContainsBlanks" dxfId="180" priority="194">
      <formula>LEN(TRIM(HI449))&gt;0</formula>
    </cfRule>
  </conditionalFormatting>
  <conditionalFormatting sqref="HI479">
    <cfRule type="notContainsBlanks" dxfId="179" priority="193">
      <formula>LEN(TRIM(HI479))&gt;0</formula>
    </cfRule>
  </conditionalFormatting>
  <conditionalFormatting sqref="HI491:HI493">
    <cfRule type="notContainsBlanks" dxfId="178" priority="191">
      <formula>LEN(TRIM(HI491))&gt;0</formula>
    </cfRule>
  </conditionalFormatting>
  <conditionalFormatting sqref="HI495:HI498">
    <cfRule type="notContainsBlanks" dxfId="177" priority="190">
      <formula>LEN(TRIM(HI495))&gt;0</formula>
    </cfRule>
  </conditionalFormatting>
  <conditionalFormatting sqref="HI527">
    <cfRule type="notContainsBlanks" dxfId="176" priority="189">
      <formula>LEN(TRIM(HI527))&gt;0</formula>
    </cfRule>
  </conditionalFormatting>
  <conditionalFormatting sqref="HI529:HI531">
    <cfRule type="notContainsBlanks" dxfId="175" priority="188">
      <formula>LEN(TRIM(HI529))&gt;0</formula>
    </cfRule>
  </conditionalFormatting>
  <conditionalFormatting sqref="HI536">
    <cfRule type="notContainsBlanks" dxfId="174" priority="187">
      <formula>LEN(TRIM(HI536))&gt;0</formula>
    </cfRule>
  </conditionalFormatting>
  <conditionalFormatting sqref="HI341:HI344">
    <cfRule type="notContainsBlanks" dxfId="173" priority="172">
      <formula>LEN(TRIM(HI341))&gt;0</formula>
    </cfRule>
  </conditionalFormatting>
  <conditionalFormatting sqref="HI539">
    <cfRule type="notContainsBlanks" dxfId="172" priority="185">
      <formula>LEN(TRIM(HI539))&gt;0</formula>
    </cfRule>
  </conditionalFormatting>
  <conditionalFormatting sqref="HI541:HI544">
    <cfRule type="notContainsBlanks" dxfId="171" priority="184">
      <formula>LEN(TRIM(HI541))&gt;0</formula>
    </cfRule>
  </conditionalFormatting>
  <conditionalFormatting sqref="HI546">
    <cfRule type="notContainsBlanks" dxfId="170" priority="183">
      <formula>LEN(TRIM(HI546))&gt;0</formula>
    </cfRule>
  </conditionalFormatting>
  <conditionalFormatting sqref="HI548">
    <cfRule type="notContainsBlanks" dxfId="169" priority="182">
      <formula>LEN(TRIM(HI548))&gt;0</formula>
    </cfRule>
  </conditionalFormatting>
  <conditionalFormatting sqref="HI575:HI579">
    <cfRule type="notContainsBlanks" dxfId="168" priority="181">
      <formula>LEN(TRIM(HI575))&gt;0</formula>
    </cfRule>
  </conditionalFormatting>
  <conditionalFormatting sqref="HI554:HI555">
    <cfRule type="notContainsBlanks" dxfId="167" priority="180">
      <formula>LEN(TRIM(HI554))&gt;0</formula>
    </cfRule>
  </conditionalFormatting>
  <conditionalFormatting sqref="HI561">
    <cfRule type="notContainsBlanks" dxfId="166" priority="179">
      <formula>LEN(TRIM(HI561))&gt;0</formula>
    </cfRule>
  </conditionalFormatting>
  <conditionalFormatting sqref="HI581">
    <cfRule type="notContainsBlanks" dxfId="165" priority="178">
      <formula>LEN(TRIM(HI581))&gt;0</formula>
    </cfRule>
  </conditionalFormatting>
  <conditionalFormatting sqref="HI583">
    <cfRule type="notContainsBlanks" dxfId="164" priority="177">
      <formula>LEN(TRIM(HI583))&gt;0</formula>
    </cfRule>
  </conditionalFormatting>
  <conditionalFormatting sqref="HI585">
    <cfRule type="notContainsBlanks" dxfId="163" priority="176">
      <formula>LEN(TRIM(HI585))&gt;0</formula>
    </cfRule>
  </conditionalFormatting>
  <conditionalFormatting sqref="HI588:HI598">
    <cfRule type="notContainsBlanks" dxfId="162" priority="175">
      <formula>LEN(TRIM(HI588))&gt;0</formula>
    </cfRule>
  </conditionalFormatting>
  <conditionalFormatting sqref="HI63">
    <cfRule type="notContainsBlanks" dxfId="161" priority="174">
      <formula>LEN(TRIM(HI63))&gt;0</formula>
    </cfRule>
  </conditionalFormatting>
  <conditionalFormatting sqref="HI338">
    <cfRule type="notContainsBlanks" dxfId="160" priority="173">
      <formula>LEN(TRIM(HI338))&gt;0</formula>
    </cfRule>
  </conditionalFormatting>
  <conditionalFormatting sqref="HI385:HI386">
    <cfRule type="notContainsBlanks" dxfId="159" priority="171">
      <formula>LEN(TRIM(HI385))&gt;0</formula>
    </cfRule>
  </conditionalFormatting>
  <conditionalFormatting sqref="HI532:HI533">
    <cfRule type="notContainsBlanks" dxfId="158" priority="165">
      <formula>LEN(TRIM(HI532))&gt;0</formula>
    </cfRule>
  </conditionalFormatting>
  <conditionalFormatting sqref="HI400">
    <cfRule type="notContainsBlanks" dxfId="157" priority="167">
      <formula>LEN(TRIM(HI400))&gt;0</formula>
    </cfRule>
  </conditionalFormatting>
  <conditionalFormatting sqref="HI402">
    <cfRule type="notContainsBlanks" dxfId="156" priority="166">
      <formula>LEN(TRIM(HI402))&gt;0</formula>
    </cfRule>
  </conditionalFormatting>
  <conditionalFormatting sqref="HI550:HI552">
    <cfRule type="notContainsBlanks" dxfId="155" priority="164">
      <formula>LEN(TRIM(HI550))&gt;0</formula>
    </cfRule>
  </conditionalFormatting>
  <conditionalFormatting sqref="HI557:HI559">
    <cfRule type="notContainsBlanks" dxfId="154" priority="163">
      <formula>LEN(TRIM(HI557))&gt;0</formula>
    </cfRule>
  </conditionalFormatting>
  <conditionalFormatting sqref="HI562">
    <cfRule type="notContainsBlanks" dxfId="153" priority="162">
      <formula>LEN(TRIM(HI562))&gt;0</formula>
    </cfRule>
  </conditionalFormatting>
  <conditionalFormatting sqref="HI285">
    <cfRule type="notContainsBlanks" dxfId="152" priority="161">
      <formula>LEN(TRIM(HI285))&gt;0</formula>
    </cfRule>
  </conditionalFormatting>
  <conditionalFormatting sqref="HI455">
    <cfRule type="notContainsBlanks" dxfId="151" priority="160">
      <formula>LEN(TRIM(HI455))&gt;0</formula>
    </cfRule>
  </conditionalFormatting>
  <conditionalFormatting sqref="HI439">
    <cfRule type="notContainsBlanks" dxfId="150" priority="159">
      <formula>LEN(TRIM(HI439))&gt;0</formula>
    </cfRule>
  </conditionalFormatting>
  <conditionalFormatting sqref="HI448">
    <cfRule type="notContainsBlanks" dxfId="149" priority="158">
      <formula>LEN(TRIM(HI448))&gt;0</formula>
    </cfRule>
  </conditionalFormatting>
  <conditionalFormatting sqref="HI448">
    <cfRule type="notContainsBlanks" dxfId="148" priority="157">
      <formula>LEN(TRIM(HI448))&gt;0</formula>
    </cfRule>
  </conditionalFormatting>
  <conditionalFormatting sqref="HI457">
    <cfRule type="notContainsBlanks" dxfId="147" priority="156">
      <formula>LEN(TRIM(HI457))&gt;0</formula>
    </cfRule>
  </conditionalFormatting>
  <conditionalFormatting sqref="HI457">
    <cfRule type="notContainsBlanks" dxfId="146" priority="155">
      <formula>LEN(TRIM(HI457))&gt;0</formula>
    </cfRule>
  </conditionalFormatting>
  <conditionalFormatting sqref="HI257:HI259">
    <cfRule type="notContainsBlanks" dxfId="145" priority="154">
      <formula>LEN(TRIM(HI257))&gt;0</formula>
    </cfRule>
  </conditionalFormatting>
  <conditionalFormatting sqref="HI261">
    <cfRule type="notContainsBlanks" dxfId="144" priority="153">
      <formula>LEN(TRIM(HI261))&gt;0</formula>
    </cfRule>
  </conditionalFormatting>
  <conditionalFormatting sqref="HI166">
    <cfRule type="notContainsBlanks" dxfId="143" priority="152">
      <formula>LEN(TRIM(HI166))&gt;0</formula>
    </cfRule>
  </conditionalFormatting>
  <conditionalFormatting sqref="HI565">
    <cfRule type="notContainsBlanks" dxfId="142" priority="151">
      <formula>LEN(TRIM(HI565))&gt;0</formula>
    </cfRule>
  </conditionalFormatting>
  <conditionalFormatting sqref="HI564">
    <cfRule type="notContainsBlanks" dxfId="141" priority="150">
      <formula>LEN(TRIM(HI564))&gt;0</formula>
    </cfRule>
  </conditionalFormatting>
  <conditionalFormatting sqref="HI566">
    <cfRule type="notContainsBlanks" dxfId="140" priority="149">
      <formula>LEN(TRIM(HI566))&gt;0</formula>
    </cfRule>
  </conditionalFormatting>
  <conditionalFormatting sqref="HI260">
    <cfRule type="notContainsBlanks" dxfId="139" priority="148">
      <formula>LEN(TRIM(HI260))&gt;0</formula>
    </cfRule>
  </conditionalFormatting>
  <conditionalFormatting sqref="HI318">
    <cfRule type="notContainsBlanks" dxfId="138" priority="146">
      <formula>LEN(TRIM(HI318))&gt;0</formula>
    </cfRule>
  </conditionalFormatting>
  <conditionalFormatting sqref="HI244">
    <cfRule type="notContainsBlanks" dxfId="137" priority="145">
      <formula>LEN(TRIM(HI244))&gt;0</formula>
    </cfRule>
  </conditionalFormatting>
  <conditionalFormatting sqref="HI534">
    <cfRule type="notContainsBlanks" dxfId="136" priority="144">
      <formula>LEN(TRIM(HI534))&gt;0</formula>
    </cfRule>
  </conditionalFormatting>
  <conditionalFormatting sqref="HI165">
    <cfRule type="notContainsBlanks" dxfId="135" priority="143">
      <formula>LEN(TRIM(HI165))&gt;0</formula>
    </cfRule>
  </conditionalFormatting>
  <conditionalFormatting sqref="HI463">
    <cfRule type="notContainsBlanks" dxfId="134" priority="142">
      <formula>LEN(TRIM(HI463))&gt;0</formula>
    </cfRule>
  </conditionalFormatting>
  <conditionalFormatting sqref="HI468">
    <cfRule type="notContainsBlanks" dxfId="133" priority="141">
      <formula>LEN(TRIM(HI468))&gt;0</formula>
    </cfRule>
  </conditionalFormatting>
  <conditionalFormatting sqref="HI467">
    <cfRule type="notContainsBlanks" dxfId="132" priority="140">
      <formula>LEN(TRIM(HI467))&gt;0</formula>
    </cfRule>
  </conditionalFormatting>
  <conditionalFormatting sqref="HI466">
    <cfRule type="notContainsBlanks" dxfId="131" priority="139">
      <formula>LEN(TRIM(HI466))&gt;0</formula>
    </cfRule>
  </conditionalFormatting>
  <conditionalFormatting sqref="HI469:HI470">
    <cfRule type="notContainsBlanks" dxfId="130" priority="138">
      <formula>LEN(TRIM(HI469))&gt;0</formula>
    </cfRule>
  </conditionalFormatting>
  <conditionalFormatting sqref="HI471:HI477">
    <cfRule type="notContainsBlanks" dxfId="129" priority="137">
      <formula>LEN(TRIM(HI471))&gt;0</formula>
    </cfRule>
  </conditionalFormatting>
  <conditionalFormatting sqref="HI602">
    <cfRule type="notContainsBlanks" dxfId="128" priority="136">
      <formula>LEN(TRIM(HI602))&gt;0</formula>
    </cfRule>
  </conditionalFormatting>
  <conditionalFormatting sqref="HI603">
    <cfRule type="notContainsBlanks" dxfId="127" priority="135">
      <formula>LEN(TRIM(HI603))&gt;0</formula>
    </cfRule>
  </conditionalFormatting>
  <conditionalFormatting sqref="HI604">
    <cfRule type="notContainsBlanks" dxfId="126" priority="134">
      <formula>LEN(TRIM(HI604))&gt;0</formula>
    </cfRule>
  </conditionalFormatting>
  <conditionalFormatting sqref="HI605">
    <cfRule type="notContainsBlanks" dxfId="125" priority="133">
      <formula>LEN(TRIM(HI605))&gt;0</formula>
    </cfRule>
  </conditionalFormatting>
  <conditionalFormatting sqref="HI608">
    <cfRule type="notContainsBlanks" dxfId="124" priority="132">
      <formula>LEN(TRIM(HI608))&gt;0</formula>
    </cfRule>
  </conditionalFormatting>
  <conditionalFormatting sqref="HI609">
    <cfRule type="notContainsBlanks" dxfId="123" priority="131">
      <formula>LEN(TRIM(HI609))&gt;0</formula>
    </cfRule>
  </conditionalFormatting>
  <conditionalFormatting sqref="HI610">
    <cfRule type="notContainsBlanks" dxfId="122" priority="130">
      <formula>LEN(TRIM(HI610))&gt;0</formula>
    </cfRule>
  </conditionalFormatting>
  <conditionalFormatting sqref="HI612">
    <cfRule type="notContainsBlanks" dxfId="121" priority="129">
      <formula>LEN(TRIM(HI612))&gt;0</formula>
    </cfRule>
  </conditionalFormatting>
  <conditionalFormatting sqref="HI617">
    <cfRule type="notContainsBlanks" dxfId="120" priority="128">
      <formula>LEN(TRIM(HI617))&gt;0</formula>
    </cfRule>
  </conditionalFormatting>
  <conditionalFormatting sqref="HI618">
    <cfRule type="notContainsBlanks" dxfId="119" priority="127">
      <formula>LEN(TRIM(HI618))&gt;0</formula>
    </cfRule>
  </conditionalFormatting>
  <conditionalFormatting sqref="HI619:HI623">
    <cfRule type="notContainsBlanks" dxfId="118" priority="126">
      <formula>LEN(TRIM(HI619))&gt;0</formula>
    </cfRule>
  </conditionalFormatting>
  <conditionalFormatting sqref="HI624">
    <cfRule type="notContainsBlanks" dxfId="117" priority="125">
      <formula>LEN(TRIM(HI624))&gt;0</formula>
    </cfRule>
  </conditionalFormatting>
  <conditionalFormatting sqref="HI625">
    <cfRule type="notContainsBlanks" dxfId="116" priority="124">
      <formula>LEN(TRIM(HI625))&gt;0</formula>
    </cfRule>
  </conditionalFormatting>
  <conditionalFormatting sqref="HI630">
    <cfRule type="notContainsBlanks" dxfId="115" priority="123">
      <formula>LEN(TRIM(HI630))&gt;0</formula>
    </cfRule>
  </conditionalFormatting>
  <conditionalFormatting sqref="HI627">
    <cfRule type="notContainsBlanks" dxfId="114" priority="122">
      <formula>LEN(TRIM(HI627))&gt;0</formula>
    </cfRule>
  </conditionalFormatting>
  <conditionalFormatting sqref="HI628">
    <cfRule type="notContainsBlanks" dxfId="113" priority="121">
      <formula>LEN(TRIM(HI628))&gt;0</formula>
    </cfRule>
  </conditionalFormatting>
  <conditionalFormatting sqref="HI629">
    <cfRule type="notContainsBlanks" dxfId="112" priority="120">
      <formula>LEN(TRIM(HI629))&gt;0</formula>
    </cfRule>
  </conditionalFormatting>
  <conditionalFormatting sqref="HI12">
    <cfRule type="notContainsBlanks" dxfId="111" priority="118">
      <formula>LEN(TRIM(HI12))&gt;0</formula>
    </cfRule>
  </conditionalFormatting>
  <conditionalFormatting sqref="HI19">
    <cfRule type="notContainsBlanks" dxfId="110" priority="117">
      <formula>LEN(TRIM(HI19))&gt;0</formula>
    </cfRule>
  </conditionalFormatting>
  <conditionalFormatting sqref="DK19">
    <cfRule type="notContainsBlanks" dxfId="109" priority="115">
      <formula>LEN(TRIM(DK19))&gt;0</formula>
    </cfRule>
  </conditionalFormatting>
  <conditionalFormatting sqref="DJ19">
    <cfRule type="notContainsBlanks" dxfId="108" priority="116">
      <formula>LEN(TRIM(DJ19))&gt;0</formula>
    </cfRule>
  </conditionalFormatting>
  <conditionalFormatting sqref="DJ12">
    <cfRule type="notContainsBlanks" dxfId="107" priority="114">
      <formula>LEN(TRIM(DJ12))&gt;0</formula>
    </cfRule>
  </conditionalFormatting>
  <conditionalFormatting sqref="DK171">
    <cfRule type="notContainsBlanks" dxfId="106" priority="112">
      <formula>LEN(TRIM(DK171))&gt;0</formula>
    </cfRule>
  </conditionalFormatting>
  <conditionalFormatting sqref="DJ171">
    <cfRule type="notContainsBlanks" dxfId="105" priority="113">
      <formula>LEN(TRIM(DJ171))&gt;0</formula>
    </cfRule>
  </conditionalFormatting>
  <conditionalFormatting sqref="DK192">
    <cfRule type="notContainsBlanks" dxfId="104" priority="110">
      <formula>LEN(TRIM(DK192))&gt;0</formula>
    </cfRule>
  </conditionalFormatting>
  <conditionalFormatting sqref="DJ192">
    <cfRule type="notContainsBlanks" dxfId="103" priority="111">
      <formula>LEN(TRIM(DJ192))&gt;0</formula>
    </cfRule>
  </conditionalFormatting>
  <conditionalFormatting sqref="DJ239">
    <cfRule type="notContainsBlanks" dxfId="102" priority="109">
      <formula>LEN(TRIM(DJ239))&gt;0</formula>
    </cfRule>
  </conditionalFormatting>
  <conditionalFormatting sqref="DK235">
    <cfRule type="notContainsBlanks" dxfId="101" priority="107">
      <formula>LEN(TRIM(DK235))&gt;0</formula>
    </cfRule>
  </conditionalFormatting>
  <conditionalFormatting sqref="DJ235">
    <cfRule type="notContainsBlanks" dxfId="100" priority="108">
      <formula>LEN(TRIM(DJ235))&gt;0</formula>
    </cfRule>
  </conditionalFormatting>
  <conditionalFormatting sqref="DJ233">
    <cfRule type="notContainsBlanks" dxfId="99" priority="106">
      <formula>LEN(TRIM(DJ233))&gt;0</formula>
    </cfRule>
  </conditionalFormatting>
  <conditionalFormatting sqref="DJ262">
    <cfRule type="notContainsBlanks" dxfId="98" priority="105">
      <formula>LEN(TRIM(DJ262))&gt;0</formula>
    </cfRule>
  </conditionalFormatting>
  <conditionalFormatting sqref="DK262">
    <cfRule type="notContainsBlanks" dxfId="97" priority="104">
      <formula>LEN(TRIM(DK262))&gt;0</formula>
    </cfRule>
  </conditionalFormatting>
  <conditionalFormatting sqref="DK264">
    <cfRule type="notContainsBlanks" dxfId="96" priority="102">
      <formula>LEN(TRIM(DK264))&gt;0</formula>
    </cfRule>
  </conditionalFormatting>
  <conditionalFormatting sqref="DJ264">
    <cfRule type="notContainsBlanks" dxfId="95" priority="103">
      <formula>LEN(TRIM(DJ264))&gt;0</formula>
    </cfRule>
  </conditionalFormatting>
  <conditionalFormatting sqref="DK257:DK258">
    <cfRule type="notContainsBlanks" dxfId="94" priority="101">
      <formula>LEN(TRIM(DK257))&gt;0</formula>
    </cfRule>
  </conditionalFormatting>
  <conditionalFormatting sqref="DK334">
    <cfRule type="notContainsBlanks" dxfId="93" priority="99">
      <formula>LEN(TRIM(DK334))&gt;0</formula>
    </cfRule>
  </conditionalFormatting>
  <conditionalFormatting sqref="DJ334">
    <cfRule type="notContainsBlanks" dxfId="92" priority="100">
      <formula>LEN(TRIM(DJ334))&gt;0</formula>
    </cfRule>
  </conditionalFormatting>
  <conditionalFormatting sqref="DJ331">
    <cfRule type="notContainsBlanks" dxfId="91" priority="98">
      <formula>LEN(TRIM(DJ331))&gt;0</formula>
    </cfRule>
  </conditionalFormatting>
  <conditionalFormatting sqref="DJ380">
    <cfRule type="notContainsBlanks" dxfId="90" priority="97">
      <formula>LEN(TRIM(DJ380))&gt;0</formula>
    </cfRule>
  </conditionalFormatting>
  <conditionalFormatting sqref="DJ401">
    <cfRule type="notContainsBlanks" dxfId="89" priority="96">
      <formula>LEN(TRIM(DJ401))&gt;0</formula>
    </cfRule>
  </conditionalFormatting>
  <conditionalFormatting sqref="DJ396">
    <cfRule type="notContainsBlanks" dxfId="88" priority="95">
      <formula>LEN(TRIM(DJ396))&gt;0</formula>
    </cfRule>
  </conditionalFormatting>
  <conditionalFormatting sqref="DJ391">
    <cfRule type="notContainsBlanks" dxfId="87" priority="94">
      <formula>LEN(TRIM(DJ391))&gt;0</formula>
    </cfRule>
  </conditionalFormatting>
  <conditionalFormatting sqref="DJ387">
    <cfRule type="notContainsBlanks" dxfId="86" priority="93">
      <formula>LEN(TRIM(DJ387))&gt;0</formula>
    </cfRule>
  </conditionalFormatting>
  <conditionalFormatting sqref="DK387">
    <cfRule type="notContainsBlanks" dxfId="85" priority="92">
      <formula>LEN(TRIM(DK387))&gt;0</formula>
    </cfRule>
  </conditionalFormatting>
  <conditionalFormatting sqref="DJ384">
    <cfRule type="notContainsBlanks" dxfId="84" priority="91">
      <formula>LEN(TRIM(DJ384))&gt;0</formula>
    </cfRule>
  </conditionalFormatting>
  <conditionalFormatting sqref="DJ405">
    <cfRule type="notContainsBlanks" dxfId="83" priority="90">
      <formula>LEN(TRIM(DJ405))&gt;0</formula>
    </cfRule>
  </conditionalFormatting>
  <conditionalFormatting sqref="DJ462">
    <cfRule type="notContainsBlanks" dxfId="82" priority="89">
      <formula>LEN(TRIM(DJ462))&gt;0</formula>
    </cfRule>
  </conditionalFormatting>
  <conditionalFormatting sqref="DK486">
    <cfRule type="notContainsBlanks" dxfId="81" priority="87">
      <formula>LEN(TRIM(DK486))&gt;0</formula>
    </cfRule>
  </conditionalFormatting>
  <conditionalFormatting sqref="DJ486">
    <cfRule type="notContainsBlanks" dxfId="80" priority="88">
      <formula>LEN(TRIM(DJ486))&gt;0</formula>
    </cfRule>
  </conditionalFormatting>
  <conditionalFormatting sqref="DJ490">
    <cfRule type="notContainsBlanks" dxfId="79" priority="86">
      <formula>LEN(TRIM(DJ490))&gt;0</formula>
    </cfRule>
  </conditionalFormatting>
  <conditionalFormatting sqref="DK499">
    <cfRule type="notContainsBlanks" dxfId="78" priority="84">
      <formula>LEN(TRIM(DK499))&gt;0</formula>
    </cfRule>
  </conditionalFormatting>
  <conditionalFormatting sqref="DJ499">
    <cfRule type="notContainsBlanks" dxfId="77" priority="85">
      <formula>LEN(TRIM(DJ499))&gt;0</formula>
    </cfRule>
  </conditionalFormatting>
  <conditionalFormatting sqref="DJ494">
    <cfRule type="notContainsBlanks" dxfId="76" priority="83">
      <formula>LEN(TRIM(DJ494))&gt;0</formula>
    </cfRule>
  </conditionalFormatting>
  <conditionalFormatting sqref="DK526">
    <cfRule type="notContainsBlanks" dxfId="75" priority="81">
      <formula>LEN(TRIM(DK526))&gt;0</formula>
    </cfRule>
  </conditionalFormatting>
  <conditionalFormatting sqref="DJ526">
    <cfRule type="notContainsBlanks" dxfId="74" priority="82">
      <formula>LEN(TRIM(DJ526))&gt;0</formula>
    </cfRule>
  </conditionalFormatting>
  <conditionalFormatting sqref="DK528">
    <cfRule type="notContainsBlanks" dxfId="73" priority="79">
      <formula>LEN(TRIM(DK528))&gt;0</formula>
    </cfRule>
  </conditionalFormatting>
  <conditionalFormatting sqref="DJ528">
    <cfRule type="notContainsBlanks" dxfId="72" priority="80">
      <formula>LEN(TRIM(DJ528))&gt;0</formula>
    </cfRule>
  </conditionalFormatting>
  <conditionalFormatting sqref="DJ535">
    <cfRule type="notContainsBlanks" dxfId="71" priority="78">
      <formula>LEN(TRIM(DJ535))&gt;0</formula>
    </cfRule>
  </conditionalFormatting>
  <conditionalFormatting sqref="DJ537">
    <cfRule type="notContainsBlanks" dxfId="70" priority="77">
      <formula>LEN(TRIM(DJ537))&gt;0</formula>
    </cfRule>
  </conditionalFormatting>
  <conditionalFormatting sqref="DJ540">
    <cfRule type="notContainsBlanks" dxfId="69" priority="76">
      <formula>LEN(TRIM(DJ540))&gt;0</formula>
    </cfRule>
  </conditionalFormatting>
  <conditionalFormatting sqref="DJ545">
    <cfRule type="notContainsBlanks" dxfId="68" priority="75">
      <formula>LEN(TRIM(DJ545))&gt;0</formula>
    </cfRule>
  </conditionalFormatting>
  <conditionalFormatting sqref="DJ563">
    <cfRule type="notContainsBlanks" dxfId="67" priority="74">
      <formula>LEN(TRIM(DJ563))&gt;0</formula>
    </cfRule>
  </conditionalFormatting>
  <conditionalFormatting sqref="DJ560">
    <cfRule type="notContainsBlanks" dxfId="66" priority="73">
      <formula>LEN(TRIM(DJ560))&gt;0</formula>
    </cfRule>
  </conditionalFormatting>
  <conditionalFormatting sqref="DK556">
    <cfRule type="notContainsBlanks" dxfId="65" priority="71">
      <formula>LEN(TRIM(DK556))&gt;0</formula>
    </cfRule>
  </conditionalFormatting>
  <conditionalFormatting sqref="DJ556">
    <cfRule type="notContainsBlanks" dxfId="64" priority="72">
      <formula>LEN(TRIM(DJ556))&gt;0</formula>
    </cfRule>
  </conditionalFormatting>
  <conditionalFormatting sqref="DJ553">
    <cfRule type="notContainsBlanks" dxfId="63" priority="70">
      <formula>LEN(TRIM(DJ553))&gt;0</formula>
    </cfRule>
  </conditionalFormatting>
  <conditionalFormatting sqref="DJ549">
    <cfRule type="notContainsBlanks" dxfId="62" priority="69">
      <formula>LEN(TRIM(DJ549))&gt;0</formula>
    </cfRule>
  </conditionalFormatting>
  <conditionalFormatting sqref="DK547">
    <cfRule type="notContainsBlanks" dxfId="61" priority="67">
      <formula>LEN(TRIM(DK547))&gt;0</formula>
    </cfRule>
  </conditionalFormatting>
  <conditionalFormatting sqref="DJ547">
    <cfRule type="notContainsBlanks" dxfId="60" priority="68">
      <formula>LEN(TRIM(DJ547))&gt;0</formula>
    </cfRule>
  </conditionalFormatting>
  <conditionalFormatting sqref="DK574">
    <cfRule type="notContainsBlanks" dxfId="59" priority="65">
      <formula>LEN(TRIM(DK574))&gt;0</formula>
    </cfRule>
  </conditionalFormatting>
  <conditionalFormatting sqref="DJ574">
    <cfRule type="notContainsBlanks" dxfId="58" priority="66">
      <formula>LEN(TRIM(DJ574))&gt;0</formula>
    </cfRule>
  </conditionalFormatting>
  <conditionalFormatting sqref="DJ582">
    <cfRule type="notContainsBlanks" dxfId="57" priority="64">
      <formula>LEN(TRIM(DJ582))&gt;0</formula>
    </cfRule>
  </conditionalFormatting>
  <conditionalFormatting sqref="DJ580">
    <cfRule type="notContainsBlanks" dxfId="56" priority="63">
      <formula>LEN(TRIM(DJ580))&gt;0</formula>
    </cfRule>
  </conditionalFormatting>
  <conditionalFormatting sqref="DJ586">
    <cfRule type="notContainsBlanks" dxfId="55" priority="62">
      <formula>LEN(TRIM(DJ586))&gt;0</formula>
    </cfRule>
  </conditionalFormatting>
  <conditionalFormatting sqref="DJ599">
    <cfRule type="notContainsBlanks" dxfId="54" priority="61">
      <formula>LEN(TRIM(DJ599))&gt;0</formula>
    </cfRule>
  </conditionalFormatting>
  <conditionalFormatting sqref="DM22">
    <cfRule type="cellIs" dxfId="53" priority="59" operator="greaterThan">
      <formula>0</formula>
    </cfRule>
  </conditionalFormatting>
  <conditionalFormatting sqref="DL22">
    <cfRule type="cellIs" dxfId="52" priority="58" operator="greaterThan">
      <formula>0</formula>
    </cfRule>
  </conditionalFormatting>
  <conditionalFormatting sqref="DK22">
    <cfRule type="notContainsBlanks" dxfId="51" priority="57">
      <formula>LEN(TRIM(DK22))&gt;0</formula>
    </cfRule>
  </conditionalFormatting>
  <conditionalFormatting sqref="DJ22">
    <cfRule type="notContainsBlanks" dxfId="50" priority="60">
      <formula>LEN(TRIM(DJ22))&gt;0</formula>
    </cfRule>
  </conditionalFormatting>
  <conditionalFormatting sqref="HI22">
    <cfRule type="notContainsBlanks" dxfId="49" priority="56">
      <formula>LEN(TRIM(HI22))&gt;0</formula>
    </cfRule>
  </conditionalFormatting>
  <conditionalFormatting sqref="HI192">
    <cfRule type="notContainsBlanks" dxfId="48" priority="55">
      <formula>LEN(TRIM(HI192))&gt;0</formula>
    </cfRule>
  </conditionalFormatting>
  <conditionalFormatting sqref="HI171">
    <cfRule type="notContainsBlanks" dxfId="47" priority="54">
      <formula>LEN(TRIM(HI171))&gt;0</formula>
    </cfRule>
  </conditionalFormatting>
  <conditionalFormatting sqref="HI228:HI235">
    <cfRule type="notContainsBlanks" dxfId="46" priority="53">
      <formula>LEN(TRIM(HI228))&gt;0</formula>
    </cfRule>
  </conditionalFormatting>
  <conditionalFormatting sqref="HI239">
    <cfRule type="notContainsBlanks" dxfId="45" priority="52">
      <formula>LEN(TRIM(HI239))&gt;0</formula>
    </cfRule>
  </conditionalFormatting>
  <conditionalFormatting sqref="HI262:HI264">
    <cfRule type="notContainsBlanks" dxfId="44" priority="51">
      <formula>LEN(TRIM(HI262))&gt;0</formula>
    </cfRule>
  </conditionalFormatting>
  <conditionalFormatting sqref="HI380">
    <cfRule type="notContainsBlanks" dxfId="43" priority="50">
      <formula>LEN(TRIM(HI380))&gt;0</formula>
    </cfRule>
  </conditionalFormatting>
  <conditionalFormatting sqref="HI405">
    <cfRule type="notContainsBlanks" dxfId="42" priority="49">
      <formula>LEN(TRIM(HI405))&gt;0</formula>
    </cfRule>
  </conditionalFormatting>
  <conditionalFormatting sqref="HI401">
    <cfRule type="notContainsBlanks" dxfId="41" priority="48">
      <formula>LEN(TRIM(HI401))&gt;0</formula>
    </cfRule>
  </conditionalFormatting>
  <conditionalFormatting sqref="HI396">
    <cfRule type="notContainsBlanks" dxfId="40" priority="47">
      <formula>LEN(TRIM(HI396))&gt;0</formula>
    </cfRule>
  </conditionalFormatting>
  <conditionalFormatting sqref="HI391">
    <cfRule type="notContainsBlanks" dxfId="39" priority="46">
      <formula>LEN(TRIM(HI391))&gt;0</formula>
    </cfRule>
  </conditionalFormatting>
  <conditionalFormatting sqref="HI387">
    <cfRule type="notContainsBlanks" dxfId="38" priority="45">
      <formula>LEN(TRIM(HI387))&gt;0</formula>
    </cfRule>
  </conditionalFormatting>
  <conditionalFormatting sqref="HI384">
    <cfRule type="notContainsBlanks" dxfId="37" priority="44">
      <formula>LEN(TRIM(HI384))&gt;0</formula>
    </cfRule>
  </conditionalFormatting>
  <conditionalFormatting sqref="HI414">
    <cfRule type="notContainsBlanks" dxfId="36" priority="43">
      <formula>LEN(TRIM(HI414))&gt;0</formula>
    </cfRule>
  </conditionalFormatting>
  <conditionalFormatting sqref="HI462">
    <cfRule type="notContainsBlanks" dxfId="35" priority="42">
      <formula>LEN(TRIM(HI462))&gt;0</formula>
    </cfRule>
  </conditionalFormatting>
  <conditionalFormatting sqref="HI478">
    <cfRule type="notContainsBlanks" dxfId="34" priority="41">
      <formula>LEN(TRIM(HI478))&gt;0</formula>
    </cfRule>
  </conditionalFormatting>
  <conditionalFormatting sqref="HI486">
    <cfRule type="notContainsBlanks" dxfId="33" priority="40">
      <formula>LEN(TRIM(HI486))&gt;0</formula>
    </cfRule>
  </conditionalFormatting>
  <conditionalFormatting sqref="HI499">
    <cfRule type="notContainsBlanks" dxfId="32" priority="39">
      <formula>LEN(TRIM(HI499))&gt;0</formula>
    </cfRule>
  </conditionalFormatting>
  <conditionalFormatting sqref="HI494">
    <cfRule type="notContainsBlanks" dxfId="31" priority="38">
      <formula>LEN(TRIM(HI494))&gt;0</formula>
    </cfRule>
  </conditionalFormatting>
  <conditionalFormatting sqref="HI490">
    <cfRule type="notContainsBlanks" dxfId="30" priority="37">
      <formula>LEN(TRIM(HI490))&gt;0</formula>
    </cfRule>
  </conditionalFormatting>
  <conditionalFormatting sqref="HI535">
    <cfRule type="notContainsBlanks" dxfId="29" priority="36">
      <formula>LEN(TRIM(HI535))&gt;0</formula>
    </cfRule>
  </conditionalFormatting>
  <conditionalFormatting sqref="HI537:HI538">
    <cfRule type="notContainsBlanks" dxfId="28" priority="35">
      <formula>LEN(TRIM(HI537))&gt;0</formula>
    </cfRule>
  </conditionalFormatting>
  <conditionalFormatting sqref="HI540">
    <cfRule type="notContainsBlanks" dxfId="27" priority="34">
      <formula>LEN(TRIM(HI540))&gt;0</formula>
    </cfRule>
  </conditionalFormatting>
  <conditionalFormatting sqref="HI563">
    <cfRule type="notContainsBlanks" dxfId="26" priority="33">
      <formula>LEN(TRIM(HI563))&gt;0</formula>
    </cfRule>
  </conditionalFormatting>
  <conditionalFormatting sqref="HI549">
    <cfRule type="notContainsBlanks" dxfId="25" priority="32">
      <formula>LEN(TRIM(HI549))&gt;0</formula>
    </cfRule>
  </conditionalFormatting>
  <conditionalFormatting sqref="HI545">
    <cfRule type="notContainsBlanks" dxfId="24" priority="31">
      <formula>LEN(TRIM(HI545))&gt;0</formula>
    </cfRule>
  </conditionalFormatting>
  <conditionalFormatting sqref="HI547">
    <cfRule type="notContainsBlanks" dxfId="23" priority="30">
      <formula>LEN(TRIM(HI547))&gt;0</formula>
    </cfRule>
  </conditionalFormatting>
  <conditionalFormatting sqref="HI553">
    <cfRule type="notContainsBlanks" dxfId="22" priority="29">
      <formula>LEN(TRIM(HI553))&gt;0</formula>
    </cfRule>
  </conditionalFormatting>
  <conditionalFormatting sqref="HI556">
    <cfRule type="notContainsBlanks" dxfId="21" priority="28">
      <formula>LEN(TRIM(HI556))&gt;0</formula>
    </cfRule>
  </conditionalFormatting>
  <conditionalFormatting sqref="HI560">
    <cfRule type="notContainsBlanks" dxfId="20" priority="27">
      <formula>LEN(TRIM(HI560))&gt;0</formula>
    </cfRule>
  </conditionalFormatting>
  <conditionalFormatting sqref="HI586">
    <cfRule type="notContainsBlanks" dxfId="19" priority="26">
      <formula>LEN(TRIM(HI586))&gt;0</formula>
    </cfRule>
  </conditionalFormatting>
  <conditionalFormatting sqref="HI582">
    <cfRule type="notContainsBlanks" dxfId="18" priority="25">
      <formula>LEN(TRIM(HI582))&gt;0</formula>
    </cfRule>
  </conditionalFormatting>
  <conditionalFormatting sqref="HI580">
    <cfRule type="notContainsBlanks" dxfId="17" priority="24">
      <formula>LEN(TRIM(HI580))&gt;0</formula>
    </cfRule>
  </conditionalFormatting>
  <conditionalFormatting sqref="HI574">
    <cfRule type="notContainsBlanks" dxfId="16" priority="23">
      <formula>LEN(TRIM(HI574))&gt;0</formula>
    </cfRule>
  </conditionalFormatting>
  <conditionalFormatting sqref="HI599">
    <cfRule type="notContainsBlanks" dxfId="15" priority="22">
      <formula>LEN(TRIM(HI599))&gt;0</formula>
    </cfRule>
  </conditionalFormatting>
  <conditionalFormatting sqref="HI410">
    <cfRule type="notContainsBlanks" dxfId="14" priority="21">
      <formula>LEN(TRIM(HI410))&gt;0</formula>
    </cfRule>
  </conditionalFormatting>
  <conditionalFormatting sqref="HI403:HI404">
    <cfRule type="notContainsBlanks" dxfId="13" priority="20">
      <formula>LEN(TRIM(HI403))&gt;0</formula>
    </cfRule>
  </conditionalFormatting>
  <conditionalFormatting sqref="HI584">
    <cfRule type="notContainsBlanks" dxfId="12" priority="18">
      <formula>LEN(TRIM(HI584))&gt;0</formula>
    </cfRule>
  </conditionalFormatting>
  <conditionalFormatting sqref="HI587">
    <cfRule type="notContainsBlanks" dxfId="11" priority="17">
      <formula>LEN(TRIM(HI587))&gt;0</formula>
    </cfRule>
  </conditionalFormatting>
  <conditionalFormatting sqref="DL32">
    <cfRule type="cellIs" dxfId="10" priority="10" operator="greaterThan">
      <formula>0</formula>
    </cfRule>
  </conditionalFormatting>
  <conditionalFormatting sqref="DK32">
    <cfRule type="notContainsBlanks" dxfId="9" priority="9">
      <formula>LEN(TRIM(DK32))&gt;0</formula>
    </cfRule>
  </conditionalFormatting>
  <conditionalFormatting sqref="DJ32">
    <cfRule type="notContainsBlanks" dxfId="8" priority="11">
      <formula>LEN(TRIM(DJ32))&gt;0</formula>
    </cfRule>
  </conditionalFormatting>
  <conditionalFormatting sqref="DM32">
    <cfRule type="cellIs" dxfId="7" priority="8" operator="greaterThan">
      <formula>0</formula>
    </cfRule>
  </conditionalFormatting>
  <conditionalFormatting sqref="HI32">
    <cfRule type="notContainsBlanks" dxfId="6" priority="7">
      <formula>LEN(TRIM(HI32))&gt;0</formula>
    </cfRule>
  </conditionalFormatting>
  <conditionalFormatting sqref="DM569">
    <cfRule type="cellIs" dxfId="5" priority="4" operator="greaterThan">
      <formula>0</formula>
    </cfRule>
  </conditionalFormatting>
  <conditionalFormatting sqref="DL569">
    <cfRule type="cellIs" dxfId="4" priority="3" operator="greaterThan">
      <formula>0</formula>
    </cfRule>
  </conditionalFormatting>
  <conditionalFormatting sqref="DK569">
    <cfRule type="notContainsBlanks" dxfId="3" priority="2">
      <formula>LEN(TRIM(DK569))&gt;0</formula>
    </cfRule>
  </conditionalFormatting>
  <conditionalFormatting sqref="DJ569">
    <cfRule type="notContainsBlanks" dxfId="2" priority="5">
      <formula>LEN(TRIM(DJ569))&gt;0</formula>
    </cfRule>
  </conditionalFormatting>
  <conditionalFormatting sqref="HI569">
    <cfRule type="notContainsBlanks" dxfId="1" priority="1">
      <formula>LEN(TRIM(HI569))&gt;0</formula>
    </cfRule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6</vt:i4>
      </vt:variant>
    </vt:vector>
  </HeadingPairs>
  <TitlesOfParts>
    <vt:vector size="9" baseType="lpstr">
      <vt:lpstr>Ni Master</vt:lpstr>
      <vt:lpstr>Sheet1</vt:lpstr>
      <vt:lpstr>Ni $Values</vt:lpstr>
      <vt:lpstr>ResC % v t</vt:lpstr>
      <vt:lpstr>ResV % v t</vt:lpstr>
      <vt:lpstr>ResC $ v t</vt:lpstr>
      <vt:lpstr>ResV $ v t</vt:lpstr>
      <vt:lpstr>1v1 S</vt:lpstr>
      <vt:lpstr>1v1 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Gavin Mudd</dc:creator>
  <cp:lastModifiedBy>Microsoft Office User</cp:lastModifiedBy>
  <dcterms:created xsi:type="dcterms:W3CDTF">2021-08-06T00:22:52Z</dcterms:created>
  <dcterms:modified xsi:type="dcterms:W3CDTF">2022-05-17T04:14:14Z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52b3a1-dbcb-41fb-a452-370cf542753f_Enabled">
    <vt:lpwstr>true</vt:lpwstr>
  </property>
  <property fmtid="{D5CDD505-2E9C-101B-9397-08002B2CF9AE}" pid="3" name="MSIP_Label_1b52b3a1-dbcb-41fb-a452-370cf542753f_SetDate">
    <vt:lpwstr>2021-08-18T04:06:03Z</vt:lpwstr>
  </property>
  <property fmtid="{D5CDD505-2E9C-101B-9397-08002B2CF9AE}" pid="4" name="MSIP_Label_1b52b3a1-dbcb-41fb-a452-370cf542753f_Method">
    <vt:lpwstr>Privileged</vt:lpwstr>
  </property>
  <property fmtid="{D5CDD505-2E9C-101B-9397-08002B2CF9AE}" pid="5" name="MSIP_Label_1b52b3a1-dbcb-41fb-a452-370cf542753f_Name">
    <vt:lpwstr>Public</vt:lpwstr>
  </property>
  <property fmtid="{D5CDD505-2E9C-101B-9397-08002B2CF9AE}" pid="6" name="MSIP_Label_1b52b3a1-dbcb-41fb-a452-370cf542753f_SiteId">
    <vt:lpwstr>d1323671-cdbe-4417-b4d4-bdb24b51316b</vt:lpwstr>
  </property>
  <property fmtid="{D5CDD505-2E9C-101B-9397-08002B2CF9AE}" pid="7" name="MSIP_Label_1b52b3a1-dbcb-41fb-a452-370cf542753f_ActionId">
    <vt:lpwstr>10e57e6b-b204-4144-97b9-0d98bab2debb</vt:lpwstr>
  </property>
  <property fmtid="{D5CDD505-2E9C-101B-9397-08002B2CF9AE}" pid="8" name="MSIP_Label_1b52b3a1-dbcb-41fb-a452-370cf542753f_ContentBits">
    <vt:lpwstr>0</vt:lpwstr>
  </property>
</Properties>
</file>